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Runs'!$A$12:$AD$178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7" i="1" l="1"/>
  <c r="L157" i="1"/>
  <c r="M157" i="1"/>
  <c r="N157" i="1"/>
  <c r="T157" i="1"/>
  <c r="V157" i="1"/>
  <c r="X157" i="1"/>
  <c r="Y157" i="1"/>
  <c r="U157" i="1" s="1"/>
  <c r="S157" i="1" s="1"/>
  <c r="Z157" i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X158" i="1"/>
  <c r="Y158" i="1"/>
  <c r="Z158" i="1"/>
  <c r="AA158" i="1" s="1"/>
  <c r="W158" i="1" s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A159" i="1" s="1"/>
  <c r="W159" i="1" s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A160" i="1" s="1"/>
  <c r="W160" i="1" s="1"/>
  <c r="AB160" i="1"/>
  <c r="AC160" i="1"/>
  <c r="AD160" i="1"/>
  <c r="AE160" i="1"/>
  <c r="AF160" i="1"/>
  <c r="AG160" i="1"/>
  <c r="K161" i="1"/>
  <c r="L161" i="1"/>
  <c r="M161" i="1"/>
  <c r="N161" i="1"/>
  <c r="T161" i="1"/>
  <c r="V161" i="1"/>
  <c r="X161" i="1"/>
  <c r="Y161" i="1"/>
  <c r="Z161" i="1"/>
  <c r="AB161" i="1"/>
  <c r="AC161" i="1"/>
  <c r="AD161" i="1"/>
  <c r="AE161" i="1"/>
  <c r="AF161" i="1"/>
  <c r="AG161" i="1"/>
  <c r="K162" i="1"/>
  <c r="L162" i="1"/>
  <c r="M162" i="1"/>
  <c r="N162" i="1" s="1"/>
  <c r="T162" i="1"/>
  <c r="V162" i="1"/>
  <c r="X162" i="1"/>
  <c r="Y162" i="1"/>
  <c r="Z162" i="1"/>
  <c r="AB162" i="1"/>
  <c r="AC162" i="1"/>
  <c r="AD162" i="1"/>
  <c r="AE162" i="1"/>
  <c r="AF162" i="1"/>
  <c r="AG162" i="1"/>
  <c r="K163" i="1"/>
  <c r="L163" i="1"/>
  <c r="M163" i="1"/>
  <c r="N163" i="1" s="1"/>
  <c r="T163" i="1"/>
  <c r="V163" i="1"/>
  <c r="X163" i="1"/>
  <c r="Y163" i="1"/>
  <c r="Z163" i="1"/>
  <c r="AA163" i="1"/>
  <c r="W163" i="1" s="1"/>
  <c r="AB163" i="1"/>
  <c r="AC163" i="1"/>
  <c r="AD163" i="1"/>
  <c r="AE163" i="1"/>
  <c r="AF163" i="1"/>
  <c r="AG163" i="1"/>
  <c r="K164" i="1"/>
  <c r="L164" i="1"/>
  <c r="M164" i="1"/>
  <c r="N164" i="1" s="1"/>
  <c r="T164" i="1"/>
  <c r="V164" i="1"/>
  <c r="X164" i="1"/>
  <c r="Y164" i="1"/>
  <c r="Z164" i="1"/>
  <c r="AB164" i="1"/>
  <c r="AC164" i="1"/>
  <c r="AD164" i="1"/>
  <c r="AE164" i="1"/>
  <c r="AF164" i="1"/>
  <c r="AG164" i="1"/>
  <c r="K165" i="1"/>
  <c r="L165" i="1"/>
  <c r="M165" i="1"/>
  <c r="N165" i="1"/>
  <c r="T165" i="1"/>
  <c r="V165" i="1"/>
  <c r="X165" i="1"/>
  <c r="Y165" i="1"/>
  <c r="U165" i="1" s="1"/>
  <c r="S165" i="1" s="1"/>
  <c r="Z165" i="1"/>
  <c r="AB165" i="1"/>
  <c r="AC165" i="1"/>
  <c r="AD165" i="1"/>
  <c r="AE165" i="1"/>
  <c r="AF165" i="1"/>
  <c r="AG165" i="1"/>
  <c r="K166" i="1"/>
  <c r="L166" i="1"/>
  <c r="M166" i="1"/>
  <c r="N166" i="1" s="1"/>
  <c r="T166" i="1"/>
  <c r="V166" i="1"/>
  <c r="X166" i="1"/>
  <c r="Y166" i="1"/>
  <c r="Z166" i="1"/>
  <c r="AA166" i="1" s="1"/>
  <c r="W166" i="1" s="1"/>
  <c r="AB166" i="1"/>
  <c r="AC166" i="1"/>
  <c r="AD166" i="1"/>
  <c r="AE166" i="1"/>
  <c r="AF166" i="1"/>
  <c r="AG166" i="1"/>
  <c r="K167" i="1"/>
  <c r="L167" i="1"/>
  <c r="M167" i="1"/>
  <c r="N167" i="1" s="1"/>
  <c r="T167" i="1"/>
  <c r="V167" i="1"/>
  <c r="X167" i="1"/>
  <c r="Y167" i="1"/>
  <c r="AA167" i="1" s="1"/>
  <c r="W167" i="1" s="1"/>
  <c r="Z167" i="1"/>
  <c r="AB167" i="1"/>
  <c r="AC167" i="1"/>
  <c r="AD167" i="1"/>
  <c r="AE167" i="1"/>
  <c r="AF167" i="1"/>
  <c r="AG167" i="1"/>
  <c r="K168" i="1"/>
  <c r="L168" i="1"/>
  <c r="M168" i="1"/>
  <c r="N168" i="1" s="1"/>
  <c r="T168" i="1"/>
  <c r="V168" i="1"/>
  <c r="X168" i="1"/>
  <c r="Y168" i="1"/>
  <c r="Z168" i="1"/>
  <c r="AA168" i="1" s="1"/>
  <c r="W168" i="1" s="1"/>
  <c r="AB168" i="1"/>
  <c r="AC168" i="1"/>
  <c r="AD168" i="1"/>
  <c r="AE168" i="1"/>
  <c r="AF168" i="1"/>
  <c r="AG168" i="1"/>
  <c r="K169" i="1"/>
  <c r="L169" i="1"/>
  <c r="M169" i="1"/>
  <c r="N169" i="1"/>
  <c r="T169" i="1"/>
  <c r="V169" i="1"/>
  <c r="X169" i="1"/>
  <c r="Y169" i="1"/>
  <c r="Z169" i="1"/>
  <c r="AB169" i="1"/>
  <c r="AC169" i="1"/>
  <c r="AD169" i="1"/>
  <c r="AE169" i="1"/>
  <c r="AF169" i="1"/>
  <c r="AG169" i="1"/>
  <c r="K170" i="1"/>
  <c r="L170" i="1"/>
  <c r="M170" i="1"/>
  <c r="N170" i="1" s="1"/>
  <c r="T170" i="1"/>
  <c r="V170" i="1"/>
  <c r="X170" i="1"/>
  <c r="Y170" i="1"/>
  <c r="Z170" i="1"/>
  <c r="AB170" i="1"/>
  <c r="AC170" i="1"/>
  <c r="AD170" i="1"/>
  <c r="AE170" i="1"/>
  <c r="AF170" i="1"/>
  <c r="AG170" i="1"/>
  <c r="K171" i="1"/>
  <c r="L171" i="1"/>
  <c r="M171" i="1"/>
  <c r="N171" i="1" s="1"/>
  <c r="T171" i="1"/>
  <c r="V171" i="1"/>
  <c r="X171" i="1"/>
  <c r="Y171" i="1"/>
  <c r="Z171" i="1"/>
  <c r="AA171" i="1"/>
  <c r="W171" i="1" s="1"/>
  <c r="AB171" i="1"/>
  <c r="AC171" i="1"/>
  <c r="AD171" i="1"/>
  <c r="AE171" i="1"/>
  <c r="AF171" i="1"/>
  <c r="AG171" i="1"/>
  <c r="K172" i="1"/>
  <c r="L172" i="1"/>
  <c r="M172" i="1"/>
  <c r="N172" i="1" s="1"/>
  <c r="T172" i="1"/>
  <c r="V172" i="1"/>
  <c r="X172" i="1"/>
  <c r="Y172" i="1"/>
  <c r="Z172" i="1"/>
  <c r="AA172" i="1" s="1"/>
  <c r="W172" i="1" s="1"/>
  <c r="AB172" i="1"/>
  <c r="AC172" i="1"/>
  <c r="AD172" i="1"/>
  <c r="AE172" i="1"/>
  <c r="AF172" i="1"/>
  <c r="AG172" i="1"/>
  <c r="K173" i="1"/>
  <c r="L173" i="1"/>
  <c r="M173" i="1"/>
  <c r="N173" i="1"/>
  <c r="T173" i="1"/>
  <c r="V173" i="1"/>
  <c r="X173" i="1"/>
  <c r="Y173" i="1"/>
  <c r="U173" i="1" s="1"/>
  <c r="S173" i="1" s="1"/>
  <c r="Z173" i="1"/>
  <c r="AB173" i="1"/>
  <c r="AC173" i="1"/>
  <c r="AD173" i="1"/>
  <c r="AE173" i="1"/>
  <c r="AF173" i="1"/>
  <c r="AG173" i="1"/>
  <c r="K174" i="1"/>
  <c r="L174" i="1"/>
  <c r="M174" i="1"/>
  <c r="N174" i="1" s="1"/>
  <c r="T174" i="1"/>
  <c r="V174" i="1"/>
  <c r="X174" i="1"/>
  <c r="Y174" i="1"/>
  <c r="Z174" i="1"/>
  <c r="AA174" i="1" s="1"/>
  <c r="W174" i="1" s="1"/>
  <c r="AB174" i="1"/>
  <c r="AC174" i="1"/>
  <c r="AD174" i="1"/>
  <c r="AE174" i="1"/>
  <c r="AF174" i="1"/>
  <c r="AG174" i="1"/>
  <c r="K175" i="1"/>
  <c r="L175" i="1"/>
  <c r="M175" i="1"/>
  <c r="N175" i="1" s="1"/>
  <c r="T175" i="1"/>
  <c r="V175" i="1"/>
  <c r="X175" i="1"/>
  <c r="Y175" i="1"/>
  <c r="AA175" i="1" s="1"/>
  <c r="W175" i="1" s="1"/>
  <c r="Z175" i="1"/>
  <c r="AB175" i="1"/>
  <c r="AC175" i="1"/>
  <c r="AD175" i="1"/>
  <c r="AE175" i="1"/>
  <c r="AF175" i="1"/>
  <c r="AG175" i="1"/>
  <c r="K176" i="1"/>
  <c r="L176" i="1"/>
  <c r="M176" i="1"/>
  <c r="N176" i="1" s="1"/>
  <c r="T176" i="1"/>
  <c r="V176" i="1"/>
  <c r="X176" i="1"/>
  <c r="Y176" i="1"/>
  <c r="Z176" i="1"/>
  <c r="AA176" i="1" s="1"/>
  <c r="W176" i="1" s="1"/>
  <c r="AB176" i="1"/>
  <c r="AC176" i="1"/>
  <c r="AD176" i="1"/>
  <c r="AE176" i="1"/>
  <c r="AF176" i="1"/>
  <c r="AG176" i="1"/>
  <c r="K177" i="1"/>
  <c r="L177" i="1"/>
  <c r="M177" i="1"/>
  <c r="N177" i="1"/>
  <c r="T177" i="1"/>
  <c r="V177" i="1"/>
  <c r="X177" i="1"/>
  <c r="Y177" i="1"/>
  <c r="Z177" i="1"/>
  <c r="AB177" i="1"/>
  <c r="AC177" i="1"/>
  <c r="AD177" i="1"/>
  <c r="AE177" i="1"/>
  <c r="AF177" i="1"/>
  <c r="AG177" i="1"/>
  <c r="K178" i="1"/>
  <c r="L178" i="1"/>
  <c r="M178" i="1"/>
  <c r="N178" i="1" s="1"/>
  <c r="T178" i="1"/>
  <c r="V178" i="1"/>
  <c r="X178" i="1"/>
  <c r="Y178" i="1"/>
  <c r="Z178" i="1"/>
  <c r="AB178" i="1"/>
  <c r="AC178" i="1"/>
  <c r="AD178" i="1"/>
  <c r="AE178" i="1"/>
  <c r="AF178" i="1"/>
  <c r="AG178" i="1"/>
  <c r="L50" i="3"/>
  <c r="L16" i="3"/>
  <c r="L40" i="3"/>
  <c r="L13" i="3"/>
  <c r="L43" i="3"/>
  <c r="L17" i="3"/>
  <c r="L29" i="3"/>
  <c r="L25" i="3"/>
  <c r="L30" i="3"/>
  <c r="L22" i="3"/>
  <c r="L63" i="3"/>
  <c r="L31" i="3"/>
  <c r="L32" i="3"/>
  <c r="L15" i="3"/>
  <c r="L19" i="3"/>
  <c r="L24" i="3"/>
  <c r="L35" i="3"/>
  <c r="L18" i="3"/>
  <c r="S18" i="3"/>
  <c r="R18" i="3" s="1"/>
  <c r="T18" i="3"/>
  <c r="U18" i="3"/>
  <c r="V18" i="3"/>
  <c r="S50" i="3"/>
  <c r="R50" i="3" s="1"/>
  <c r="T50" i="3"/>
  <c r="U50" i="3"/>
  <c r="V50" i="3"/>
  <c r="S16" i="3"/>
  <c r="R16" i="3" s="1"/>
  <c r="T16" i="3"/>
  <c r="U16" i="3"/>
  <c r="V16" i="3"/>
  <c r="S40" i="3"/>
  <c r="R40" i="3" s="1"/>
  <c r="T40" i="3"/>
  <c r="U40" i="3"/>
  <c r="V40" i="3"/>
  <c r="S13" i="3"/>
  <c r="R13" i="3" s="1"/>
  <c r="T13" i="3"/>
  <c r="U13" i="3"/>
  <c r="V13" i="3"/>
  <c r="S43" i="3"/>
  <c r="R43" i="3" s="1"/>
  <c r="T43" i="3"/>
  <c r="U43" i="3"/>
  <c r="V43" i="3"/>
  <c r="S17" i="3"/>
  <c r="R17" i="3" s="1"/>
  <c r="T17" i="3"/>
  <c r="U17" i="3"/>
  <c r="V17" i="3"/>
  <c r="S29" i="3"/>
  <c r="R29" i="3" s="1"/>
  <c r="T29" i="3"/>
  <c r="U29" i="3"/>
  <c r="V29" i="3"/>
  <c r="S25" i="3"/>
  <c r="R25" i="3" s="1"/>
  <c r="T25" i="3"/>
  <c r="U25" i="3"/>
  <c r="V25" i="3"/>
  <c r="S30" i="3"/>
  <c r="R30" i="3" s="1"/>
  <c r="T30" i="3"/>
  <c r="U30" i="3"/>
  <c r="V30" i="3"/>
  <c r="S22" i="3"/>
  <c r="R22" i="3" s="1"/>
  <c r="T22" i="3"/>
  <c r="U22" i="3"/>
  <c r="V22" i="3"/>
  <c r="S63" i="3"/>
  <c r="R63" i="3" s="1"/>
  <c r="T63" i="3"/>
  <c r="U63" i="3"/>
  <c r="V63" i="3"/>
  <c r="S31" i="3"/>
  <c r="R31" i="3" s="1"/>
  <c r="T31" i="3"/>
  <c r="U31" i="3"/>
  <c r="V31" i="3"/>
  <c r="S32" i="3"/>
  <c r="R32" i="3" s="1"/>
  <c r="T32" i="3"/>
  <c r="U32" i="3"/>
  <c r="V32" i="3"/>
  <c r="S15" i="3"/>
  <c r="R15" i="3" s="1"/>
  <c r="T15" i="3"/>
  <c r="U15" i="3"/>
  <c r="V15" i="3"/>
  <c r="S19" i="3"/>
  <c r="R19" i="3" s="1"/>
  <c r="T19" i="3"/>
  <c r="U19" i="3"/>
  <c r="V19" i="3"/>
  <c r="S24" i="3"/>
  <c r="R24" i="3" s="1"/>
  <c r="T24" i="3"/>
  <c r="U24" i="3"/>
  <c r="V24" i="3"/>
  <c r="S35" i="3"/>
  <c r="R35" i="3" s="1"/>
  <c r="T35" i="3"/>
  <c r="U35" i="3"/>
  <c r="V35" i="3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A156" i="1" s="1"/>
  <c r="W156" i="1" s="1"/>
  <c r="AB156" i="1"/>
  <c r="AC156" i="1"/>
  <c r="AD156" i="1"/>
  <c r="AE156" i="1"/>
  <c r="AF156" i="1"/>
  <c r="AG156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A62" i="1" s="1"/>
  <c r="W62" i="1" s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A64" i="1" s="1"/>
  <c r="W64" i="1" s="1"/>
  <c r="AB64" i="1"/>
  <c r="AC64" i="1"/>
  <c r="AD64" i="1"/>
  <c r="AE64" i="1"/>
  <c r="AF64" i="1"/>
  <c r="AG64" i="1"/>
  <c r="K65" i="1"/>
  <c r="L65" i="1"/>
  <c r="M65" i="1"/>
  <c r="N65" i="1" s="1"/>
  <c r="T65" i="1"/>
  <c r="V65" i="1"/>
  <c r="Q43" i="3" s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AA93" i="1" s="1"/>
  <c r="W93" i="1" s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Q17" i="3" s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Q18" i="3" s="1"/>
  <c r="X113" i="1"/>
  <c r="Y113" i="1"/>
  <c r="Z113" i="1"/>
  <c r="AB113" i="1"/>
  <c r="AC113" i="1"/>
  <c r="AD113" i="1"/>
  <c r="AE113" i="1"/>
  <c r="P18" i="3" s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P43" i="3" s="1"/>
  <c r="AF125" i="1"/>
  <c r="AG125" i="1"/>
  <c r="K126" i="1"/>
  <c r="L126" i="1"/>
  <c r="M126" i="1"/>
  <c r="N126" i="1" s="1"/>
  <c r="T126" i="1"/>
  <c r="V126" i="1"/>
  <c r="Q16" i="3" s="1"/>
  <c r="X126" i="1"/>
  <c r="Y126" i="1"/>
  <c r="Z126" i="1"/>
  <c r="AB126" i="1"/>
  <c r="AC126" i="1"/>
  <c r="AD126" i="1"/>
  <c r="AE126" i="1"/>
  <c r="P16" i="3" s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A129" i="1" s="1"/>
  <c r="W129" i="1" s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A139" i="1" s="1"/>
  <c r="W139" i="1" s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P19" i="3" s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Q31" i="3" s="1"/>
  <c r="X152" i="1"/>
  <c r="Y152" i="1"/>
  <c r="Z152" i="1"/>
  <c r="AA152" i="1" s="1"/>
  <c r="W152" i="1" s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Q35" i="3" l="1"/>
  <c r="P50" i="3"/>
  <c r="AA79" i="1"/>
  <c r="W79" i="1" s="1"/>
  <c r="AA77" i="1"/>
  <c r="W77" i="1" s="1"/>
  <c r="U177" i="1"/>
  <c r="S177" i="1" s="1"/>
  <c r="U169" i="1"/>
  <c r="S169" i="1" s="1"/>
  <c r="AA164" i="1"/>
  <c r="W164" i="1" s="1"/>
  <c r="U161" i="1"/>
  <c r="S161" i="1" s="1"/>
  <c r="P35" i="3"/>
  <c r="Q30" i="3"/>
  <c r="AA108" i="1"/>
  <c r="W108" i="1" s="1"/>
  <c r="AA104" i="1"/>
  <c r="W104" i="1" s="1"/>
  <c r="AA100" i="1"/>
  <c r="W100" i="1" s="1"/>
  <c r="AA63" i="1"/>
  <c r="W63" i="1" s="1"/>
  <c r="AA22" i="1"/>
  <c r="W22" i="1" s="1"/>
  <c r="AA178" i="1"/>
  <c r="W178" i="1" s="1"/>
  <c r="AA170" i="1"/>
  <c r="W170" i="1" s="1"/>
  <c r="AA162" i="1"/>
  <c r="W162" i="1" s="1"/>
  <c r="Q24" i="3"/>
  <c r="U175" i="1"/>
  <c r="S175" i="1" s="1"/>
  <c r="U171" i="1"/>
  <c r="S171" i="1" s="1"/>
  <c r="U167" i="1"/>
  <c r="S167" i="1" s="1"/>
  <c r="U163" i="1"/>
  <c r="S163" i="1" s="1"/>
  <c r="U159" i="1"/>
  <c r="S159" i="1" s="1"/>
  <c r="U170" i="1"/>
  <c r="S170" i="1" s="1"/>
  <c r="U166" i="1"/>
  <c r="S166" i="1" s="1"/>
  <c r="U162" i="1"/>
  <c r="S162" i="1" s="1"/>
  <c r="Q29" i="3"/>
  <c r="P17" i="3"/>
  <c r="U178" i="1"/>
  <c r="S178" i="1" s="1"/>
  <c r="U174" i="1"/>
  <c r="S174" i="1" s="1"/>
  <c r="U158" i="1"/>
  <c r="S158" i="1" s="1"/>
  <c r="P30" i="3"/>
  <c r="Q63" i="3"/>
  <c r="AA113" i="1"/>
  <c r="W113" i="1" s="1"/>
  <c r="AA76" i="1"/>
  <c r="W76" i="1" s="1"/>
  <c r="AA74" i="1"/>
  <c r="W74" i="1" s="1"/>
  <c r="AA37" i="1"/>
  <c r="W37" i="1" s="1"/>
  <c r="AA177" i="1"/>
  <c r="W177" i="1" s="1"/>
  <c r="U176" i="1"/>
  <c r="S176" i="1" s="1"/>
  <c r="AA173" i="1"/>
  <c r="W173" i="1" s="1"/>
  <c r="U172" i="1"/>
  <c r="S172" i="1" s="1"/>
  <c r="AA169" i="1"/>
  <c r="W169" i="1" s="1"/>
  <c r="U168" i="1"/>
  <c r="S168" i="1" s="1"/>
  <c r="AA165" i="1"/>
  <c r="W165" i="1" s="1"/>
  <c r="U164" i="1"/>
  <c r="S164" i="1" s="1"/>
  <c r="AA161" i="1"/>
  <c r="W161" i="1" s="1"/>
  <c r="U160" i="1"/>
  <c r="S160" i="1" s="1"/>
  <c r="AA157" i="1"/>
  <c r="W157" i="1" s="1"/>
  <c r="Q15" i="3"/>
  <c r="P29" i="3"/>
  <c r="AA26" i="1"/>
  <c r="W26" i="1" s="1"/>
  <c r="P24" i="3"/>
  <c r="Q32" i="3"/>
  <c r="Q22" i="3"/>
  <c r="Q40" i="3"/>
  <c r="Q19" i="3"/>
  <c r="P32" i="3"/>
  <c r="P31" i="3"/>
  <c r="AA136" i="1"/>
  <c r="W136" i="1" s="1"/>
  <c r="P63" i="3"/>
  <c r="AA132" i="1"/>
  <c r="W132" i="1" s="1"/>
  <c r="P22" i="3"/>
  <c r="AA126" i="1"/>
  <c r="W126" i="1" s="1"/>
  <c r="P40" i="3"/>
  <c r="Q50" i="3"/>
  <c r="AA47" i="1"/>
  <c r="W47" i="1" s="1"/>
  <c r="AA45" i="1"/>
  <c r="W45" i="1" s="1"/>
  <c r="AA155" i="1"/>
  <c r="W155" i="1" s="1"/>
  <c r="U123" i="1"/>
  <c r="S123" i="1" s="1"/>
  <c r="AA24" i="1"/>
  <c r="W24" i="1" s="1"/>
  <c r="Q25" i="3"/>
  <c r="U70" i="1"/>
  <c r="S70" i="1" s="1"/>
  <c r="AA145" i="1"/>
  <c r="W145" i="1" s="1"/>
  <c r="AA143" i="1"/>
  <c r="W143" i="1" s="1"/>
  <c r="AA97" i="1"/>
  <c r="W97" i="1" s="1"/>
  <c r="AA69" i="1"/>
  <c r="W69" i="1" s="1"/>
  <c r="AA42" i="1"/>
  <c r="W42" i="1" s="1"/>
  <c r="AA33" i="1"/>
  <c r="W33" i="1" s="1"/>
  <c r="AA20" i="1"/>
  <c r="W20" i="1" s="1"/>
  <c r="AA15" i="1"/>
  <c r="W15" i="1" s="1"/>
  <c r="AA140" i="1"/>
  <c r="W140" i="1" s="1"/>
  <c r="U119" i="1"/>
  <c r="S119" i="1" s="1"/>
  <c r="AA117" i="1"/>
  <c r="W117" i="1" s="1"/>
  <c r="U95" i="1"/>
  <c r="S95" i="1" s="1"/>
  <c r="U87" i="1"/>
  <c r="S87" i="1" s="1"/>
  <c r="AA78" i="1"/>
  <c r="W78" i="1" s="1"/>
  <c r="AA60" i="1"/>
  <c r="W60" i="1" s="1"/>
  <c r="P15" i="3"/>
  <c r="P25" i="3"/>
  <c r="AA149" i="1"/>
  <c r="W149" i="1" s="1"/>
  <c r="AA111" i="1"/>
  <c r="W111" i="1" s="1"/>
  <c r="AA81" i="1"/>
  <c r="W81" i="1" s="1"/>
  <c r="AA70" i="1"/>
  <c r="W70" i="1" s="1"/>
  <c r="AA65" i="1"/>
  <c r="W65" i="1" s="1"/>
  <c r="AA17" i="1"/>
  <c r="W17" i="1" s="1"/>
  <c r="Q13" i="3"/>
  <c r="AA148" i="1"/>
  <c r="W148" i="1" s="1"/>
  <c r="AA144" i="1"/>
  <c r="W144" i="1" s="1"/>
  <c r="AA137" i="1"/>
  <c r="W137" i="1" s="1"/>
  <c r="U127" i="1"/>
  <c r="S127" i="1" s="1"/>
  <c r="AA125" i="1"/>
  <c r="W125" i="1" s="1"/>
  <c r="AA114" i="1"/>
  <c r="W114" i="1" s="1"/>
  <c r="AA112" i="1"/>
  <c r="W112" i="1" s="1"/>
  <c r="AA94" i="1"/>
  <c r="W94" i="1" s="1"/>
  <c r="AA91" i="1"/>
  <c r="W91" i="1" s="1"/>
  <c r="AA88" i="1"/>
  <c r="W88" i="1" s="1"/>
  <c r="AA86" i="1"/>
  <c r="W86" i="1" s="1"/>
  <c r="AA84" i="1"/>
  <c r="W84" i="1" s="1"/>
  <c r="AA73" i="1"/>
  <c r="W73" i="1" s="1"/>
  <c r="AA68" i="1"/>
  <c r="W68" i="1" s="1"/>
  <c r="AA53" i="1"/>
  <c r="W53" i="1" s="1"/>
  <c r="AA38" i="1"/>
  <c r="W38" i="1" s="1"/>
  <c r="AA29" i="1"/>
  <c r="W29" i="1" s="1"/>
  <c r="U18" i="1"/>
  <c r="S18" i="1" s="1"/>
  <c r="P13" i="3"/>
  <c r="U141" i="1"/>
  <c r="S141" i="1" s="1"/>
  <c r="AA130" i="1"/>
  <c r="W130" i="1" s="1"/>
  <c r="AA124" i="1"/>
  <c r="W124" i="1" s="1"/>
  <c r="U109" i="1"/>
  <c r="S109" i="1" s="1"/>
  <c r="AA107" i="1"/>
  <c r="W107" i="1" s="1"/>
  <c r="AA103" i="1"/>
  <c r="W103" i="1" s="1"/>
  <c r="AA89" i="1"/>
  <c r="W89" i="1" s="1"/>
  <c r="AA80" i="1"/>
  <c r="W80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3" i="1"/>
  <c r="W153" i="1" s="1"/>
  <c r="AA151" i="1"/>
  <c r="W151" i="1" s="1"/>
  <c r="AA147" i="1"/>
  <c r="W147" i="1" s="1"/>
  <c r="AA118" i="1"/>
  <c r="W118" i="1" s="1"/>
  <c r="AA116" i="1"/>
  <c r="W116" i="1" s="1"/>
  <c r="AA115" i="1"/>
  <c r="W115" i="1" s="1"/>
  <c r="AA98" i="1"/>
  <c r="W98" i="1" s="1"/>
  <c r="AA92" i="1"/>
  <c r="W92" i="1" s="1"/>
  <c r="AA85" i="1"/>
  <c r="W85" i="1" s="1"/>
  <c r="AA58" i="1"/>
  <c r="W58" i="1" s="1"/>
  <c r="U52" i="1"/>
  <c r="S52" i="1" s="1"/>
  <c r="U50" i="1"/>
  <c r="S50" i="1" s="1"/>
  <c r="AA40" i="1"/>
  <c r="W40" i="1" s="1"/>
  <c r="AA25" i="1"/>
  <c r="W25" i="1" s="1"/>
  <c r="U154" i="1"/>
  <c r="S154" i="1" s="1"/>
  <c r="U145" i="1"/>
  <c r="S145" i="1" s="1"/>
  <c r="U138" i="1"/>
  <c r="S138" i="1" s="1"/>
  <c r="U113" i="1"/>
  <c r="S113" i="1" s="1"/>
  <c r="U92" i="1"/>
  <c r="S92" i="1" s="1"/>
  <c r="U30" i="1"/>
  <c r="S30" i="1" s="1"/>
  <c r="AA30" i="1"/>
  <c r="W30" i="1" s="1"/>
  <c r="U151" i="1"/>
  <c r="S151" i="1" s="1"/>
  <c r="U108" i="1"/>
  <c r="S108" i="1" s="1"/>
  <c r="U107" i="1"/>
  <c r="S107" i="1" s="1"/>
  <c r="U103" i="1"/>
  <c r="S103" i="1" s="1"/>
  <c r="AA99" i="1"/>
  <c r="W99" i="1" s="1"/>
  <c r="U97" i="1"/>
  <c r="S97" i="1" s="1"/>
  <c r="U91" i="1"/>
  <c r="S91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5" i="1"/>
  <c r="S155" i="1" s="1"/>
  <c r="U143" i="1"/>
  <c r="S143" i="1" s="1"/>
  <c r="AA127" i="1"/>
  <c r="W127" i="1" s="1"/>
  <c r="U125" i="1"/>
  <c r="S125" i="1" s="1"/>
  <c r="AA121" i="1"/>
  <c r="W121" i="1" s="1"/>
  <c r="AA109" i="1"/>
  <c r="W109" i="1" s="1"/>
  <c r="AA95" i="1"/>
  <c r="W95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50" i="1"/>
  <c r="W150" i="1" s="1"/>
  <c r="AA141" i="1"/>
  <c r="W141" i="1" s="1"/>
  <c r="U140" i="1"/>
  <c r="S140" i="1" s="1"/>
  <c r="AA134" i="1"/>
  <c r="W134" i="1" s="1"/>
  <c r="AA133" i="1"/>
  <c r="W133" i="1" s="1"/>
  <c r="AA128" i="1"/>
  <c r="W128" i="1" s="1"/>
  <c r="AA123" i="1"/>
  <c r="W123" i="1" s="1"/>
  <c r="U122" i="1"/>
  <c r="S122" i="1" s="1"/>
  <c r="AA120" i="1"/>
  <c r="W120" i="1" s="1"/>
  <c r="AA110" i="1"/>
  <c r="W110" i="1" s="1"/>
  <c r="U90" i="1"/>
  <c r="S90" i="1" s="1"/>
  <c r="AA87" i="1"/>
  <c r="W87" i="1" s="1"/>
  <c r="AA83" i="1"/>
  <c r="W83" i="1" s="1"/>
  <c r="U75" i="1"/>
  <c r="S75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S26" i="1" s="1"/>
  <c r="U24" i="1"/>
  <c r="S24" i="1" s="1"/>
  <c r="U22" i="1"/>
  <c r="S22" i="1" s="1"/>
  <c r="U16" i="1"/>
  <c r="S16" i="1" s="1"/>
  <c r="U156" i="1"/>
  <c r="S156" i="1" s="1"/>
  <c r="AA146" i="1"/>
  <c r="W146" i="1" s="1"/>
  <c r="AA142" i="1"/>
  <c r="W142" i="1" s="1"/>
  <c r="U139" i="1"/>
  <c r="S139" i="1" s="1"/>
  <c r="U135" i="1"/>
  <c r="S135" i="1" s="1"/>
  <c r="AA131" i="1"/>
  <c r="W131" i="1" s="1"/>
  <c r="U129" i="1"/>
  <c r="S129" i="1" s="1"/>
  <c r="U124" i="1"/>
  <c r="S124" i="1" s="1"/>
  <c r="AA119" i="1"/>
  <c r="W119" i="1" s="1"/>
  <c r="U111" i="1"/>
  <c r="S111" i="1" s="1"/>
  <c r="U106" i="1"/>
  <c r="S106" i="1" s="1"/>
  <c r="AA105" i="1"/>
  <c r="W105" i="1" s="1"/>
  <c r="AA102" i="1"/>
  <c r="W102" i="1" s="1"/>
  <c r="AA101" i="1"/>
  <c r="W101" i="1" s="1"/>
  <c r="AA96" i="1"/>
  <c r="W96" i="1" s="1"/>
  <c r="U93" i="1"/>
  <c r="S93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49" i="1"/>
  <c r="S149" i="1" s="1"/>
  <c r="U147" i="1"/>
  <c r="S147" i="1" s="1"/>
  <c r="U142" i="1"/>
  <c r="S142" i="1" s="1"/>
  <c r="U133" i="1"/>
  <c r="S133" i="1" s="1"/>
  <c r="U131" i="1"/>
  <c r="S131" i="1" s="1"/>
  <c r="U126" i="1"/>
  <c r="S126" i="1" s="1"/>
  <c r="U117" i="1"/>
  <c r="S117" i="1" s="1"/>
  <c r="U115" i="1"/>
  <c r="S115" i="1" s="1"/>
  <c r="U110" i="1"/>
  <c r="S110" i="1" s="1"/>
  <c r="U101" i="1"/>
  <c r="S101" i="1" s="1"/>
  <c r="U99" i="1"/>
  <c r="S99" i="1" s="1"/>
  <c r="U94" i="1"/>
  <c r="S94" i="1" s="1"/>
  <c r="U85" i="1"/>
  <c r="S85" i="1" s="1"/>
  <c r="U83" i="1"/>
  <c r="S83" i="1" s="1"/>
  <c r="U78" i="1"/>
  <c r="S78" i="1" s="1"/>
  <c r="U64" i="1"/>
  <c r="S64" i="1" s="1"/>
  <c r="U63" i="1"/>
  <c r="S63" i="1" s="1"/>
  <c r="U46" i="1"/>
  <c r="S46" i="1" s="1"/>
  <c r="U32" i="1"/>
  <c r="S32" i="1" s="1"/>
  <c r="U31" i="1"/>
  <c r="S31" i="1" s="1"/>
  <c r="U153" i="1"/>
  <c r="S153" i="1" s="1"/>
  <c r="U146" i="1"/>
  <c r="S146" i="1" s="1"/>
  <c r="U144" i="1"/>
  <c r="S144" i="1" s="1"/>
  <c r="U137" i="1"/>
  <c r="S137" i="1" s="1"/>
  <c r="U130" i="1"/>
  <c r="S130" i="1" s="1"/>
  <c r="U128" i="1"/>
  <c r="S128" i="1" s="1"/>
  <c r="U121" i="1"/>
  <c r="S121" i="1" s="1"/>
  <c r="U114" i="1"/>
  <c r="S114" i="1" s="1"/>
  <c r="U112" i="1"/>
  <c r="S112" i="1" s="1"/>
  <c r="U105" i="1"/>
  <c r="S105" i="1" s="1"/>
  <c r="U98" i="1"/>
  <c r="S98" i="1" s="1"/>
  <c r="U96" i="1"/>
  <c r="S96" i="1" s="1"/>
  <c r="U89" i="1"/>
  <c r="S89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0" i="1"/>
  <c r="S150" i="1" s="1"/>
  <c r="U148" i="1"/>
  <c r="S148" i="1" s="1"/>
  <c r="U134" i="1"/>
  <c r="S134" i="1" s="1"/>
  <c r="U132" i="1"/>
  <c r="S132" i="1" s="1"/>
  <c r="U118" i="1"/>
  <c r="S118" i="1" s="1"/>
  <c r="U116" i="1"/>
  <c r="S116" i="1" s="1"/>
  <c r="U102" i="1"/>
  <c r="S102" i="1" s="1"/>
  <c r="U100" i="1"/>
  <c r="S100" i="1" s="1"/>
  <c r="U86" i="1"/>
  <c r="S86" i="1" s="1"/>
  <c r="U84" i="1"/>
  <c r="S84" i="1" s="1"/>
  <c r="U80" i="1"/>
  <c r="S80" i="1" s="1"/>
  <c r="U79" i="1"/>
  <c r="S79" i="1" s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4" i="1"/>
  <c r="W154" i="1" s="1"/>
  <c r="U152" i="1"/>
  <c r="S152" i="1" s="1"/>
  <c r="AA138" i="1"/>
  <c r="W138" i="1" s="1"/>
  <c r="U136" i="1"/>
  <c r="S136" i="1" s="1"/>
  <c r="AA122" i="1"/>
  <c r="W122" i="1" s="1"/>
  <c r="U120" i="1"/>
  <c r="S120" i="1" s="1"/>
  <c r="AA106" i="1"/>
  <c r="W106" i="1" s="1"/>
  <c r="U104" i="1"/>
  <c r="S104" i="1" s="1"/>
  <c r="AA90" i="1"/>
  <c r="W90" i="1" s="1"/>
  <c r="U88" i="1"/>
  <c r="S88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S19" i="1" s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51" i="3"/>
  <c r="S51" i="3"/>
  <c r="R51" i="3" s="1"/>
  <c r="T51" i="3"/>
  <c r="U51" i="3"/>
  <c r="V51" i="3"/>
  <c r="L23" i="3"/>
  <c r="S23" i="3"/>
  <c r="R23" i="3" s="1"/>
  <c r="T23" i="3"/>
  <c r="U23" i="3"/>
  <c r="V23" i="3"/>
  <c r="L56" i="3"/>
  <c r="S56" i="3"/>
  <c r="R56" i="3" s="1"/>
  <c r="T56" i="3"/>
  <c r="U56" i="3"/>
  <c r="V56" i="3"/>
  <c r="L37" i="3"/>
  <c r="S37" i="3"/>
  <c r="R37" i="3" s="1"/>
  <c r="T37" i="3"/>
  <c r="U37" i="3"/>
  <c r="V37" i="3"/>
  <c r="L28" i="3"/>
  <c r="S28" i="3"/>
  <c r="R28" i="3" s="1"/>
  <c r="T28" i="3"/>
  <c r="U28" i="3"/>
  <c r="V28" i="3"/>
  <c r="L62" i="3"/>
  <c r="S62" i="3"/>
  <c r="R62" i="3" s="1"/>
  <c r="T62" i="3"/>
  <c r="U62" i="3"/>
  <c r="V62" i="3"/>
  <c r="L26" i="3"/>
  <c r="S26" i="3"/>
  <c r="R26" i="3" s="1"/>
  <c r="T26" i="3"/>
  <c r="U26" i="3"/>
  <c r="V26" i="3"/>
  <c r="L48" i="3"/>
  <c r="S48" i="3"/>
  <c r="R48" i="3" s="1"/>
  <c r="T48" i="3"/>
  <c r="U48" i="3"/>
  <c r="V48" i="3"/>
  <c r="L65" i="3"/>
  <c r="S65" i="3"/>
  <c r="R65" i="3" s="1"/>
  <c r="T65" i="3"/>
  <c r="U65" i="3"/>
  <c r="V65" i="3"/>
  <c r="L33" i="3"/>
  <c r="S33" i="3"/>
  <c r="R33" i="3" s="1"/>
  <c r="T33" i="3"/>
  <c r="U33" i="3"/>
  <c r="V33" i="3"/>
  <c r="L58" i="3"/>
  <c r="S58" i="3"/>
  <c r="R58" i="3" s="1"/>
  <c r="T58" i="3"/>
  <c r="U58" i="3"/>
  <c r="V58" i="3"/>
  <c r="L46" i="3"/>
  <c r="S46" i="3"/>
  <c r="R46" i="3" s="1"/>
  <c r="T46" i="3"/>
  <c r="U46" i="3"/>
  <c r="V46" i="3"/>
  <c r="P51" i="3"/>
  <c r="Q23" i="3"/>
  <c r="P23" i="3"/>
  <c r="Q37" i="3"/>
  <c r="P37" i="3"/>
  <c r="Q28" i="3"/>
  <c r="P28" i="3"/>
  <c r="Q56" i="3"/>
  <c r="P56" i="3"/>
  <c r="Q26" i="3"/>
  <c r="P62" i="3"/>
  <c r="P65" i="3"/>
  <c r="Q33" i="3"/>
  <c r="P48" i="3"/>
  <c r="Q58" i="3"/>
  <c r="P58" i="3"/>
  <c r="Q46" i="3"/>
  <c r="P46" i="3"/>
  <c r="Q65" i="3" l="1"/>
  <c r="Q48" i="3"/>
  <c r="P33" i="3"/>
  <c r="P26" i="3"/>
  <c r="Q62" i="3"/>
  <c r="Q51" i="3"/>
  <c r="V14" i="1" l="1"/>
  <c r="V13" i="1"/>
  <c r="V42" i="3" l="1"/>
  <c r="V9" i="3"/>
  <c r="V57" i="3"/>
  <c r="V20" i="3"/>
  <c r="V47" i="3"/>
  <c r="V7" i="3"/>
  <c r="V38" i="3"/>
  <c r="V52" i="3"/>
  <c r="V14" i="3"/>
  <c r="V39" i="3"/>
  <c r="V61" i="3"/>
  <c r="V44" i="3"/>
  <c r="V41" i="3"/>
  <c r="V36" i="3"/>
  <c r="V53" i="3"/>
  <c r="V59" i="3"/>
  <c r="V12" i="3"/>
  <c r="V8" i="3"/>
  <c r="V55" i="3"/>
  <c r="V66" i="3"/>
  <c r="V27" i="3"/>
  <c r="V49" i="3"/>
  <c r="V45" i="3"/>
  <c r="V34" i="3"/>
  <c r="V64" i="3"/>
  <c r="V10" i="3"/>
  <c r="V54" i="3"/>
  <c r="V21" i="3"/>
  <c r="V60" i="3"/>
  <c r="V11" i="3"/>
  <c r="L52" i="3"/>
  <c r="L36" i="3"/>
  <c r="L38" i="3"/>
  <c r="L59" i="3"/>
  <c r="L60" i="3"/>
  <c r="L14" i="3"/>
  <c r="L53" i="3"/>
  <c r="L64" i="3"/>
  <c r="L11" i="3"/>
  <c r="L9" i="3"/>
  <c r="L39" i="3"/>
  <c r="L54" i="3"/>
  <c r="L57" i="3"/>
  <c r="L8" i="3"/>
  <c r="L21" i="3"/>
  <c r="L61" i="3"/>
  <c r="L42" i="3"/>
  <c r="L44" i="3"/>
  <c r="L20" i="3"/>
  <c r="AF14" i="1" l="1"/>
  <c r="AF13" i="1"/>
  <c r="Q20" i="3" l="1"/>
  <c r="P44" i="3"/>
  <c r="S42" i="3"/>
  <c r="R42" i="3" s="1"/>
  <c r="T42" i="3"/>
  <c r="U42" i="3"/>
  <c r="S44" i="3"/>
  <c r="R44" i="3" s="1"/>
  <c r="T44" i="3"/>
  <c r="U44" i="3"/>
  <c r="S54" i="3"/>
  <c r="R54" i="3" s="1"/>
  <c r="T54" i="3"/>
  <c r="U54" i="3"/>
  <c r="P20" i="3"/>
  <c r="S20" i="3"/>
  <c r="R20" i="3" s="1"/>
  <c r="T20" i="3"/>
  <c r="U20" i="3"/>
  <c r="L27" i="3"/>
  <c r="S27" i="3"/>
  <c r="R27" i="3" s="1"/>
  <c r="T27" i="3"/>
  <c r="U27" i="3"/>
  <c r="L41" i="3"/>
  <c r="S41" i="3"/>
  <c r="R41" i="3" s="1"/>
  <c r="T41" i="3"/>
  <c r="U41" i="3"/>
  <c r="S53" i="3"/>
  <c r="R53" i="3" s="1"/>
  <c r="T53" i="3"/>
  <c r="U53" i="3"/>
  <c r="S64" i="3"/>
  <c r="R64" i="3" s="1"/>
  <c r="T64" i="3"/>
  <c r="U64" i="3"/>
  <c r="S8" i="3"/>
  <c r="R8" i="3" s="1"/>
  <c r="T8" i="3"/>
  <c r="U8" i="3"/>
  <c r="S21" i="3"/>
  <c r="R21" i="3" s="1"/>
  <c r="T21" i="3"/>
  <c r="U21" i="3"/>
  <c r="S11" i="3"/>
  <c r="R11" i="3" s="1"/>
  <c r="T11" i="3"/>
  <c r="U11" i="3"/>
  <c r="S38" i="3"/>
  <c r="R38" i="3" s="1"/>
  <c r="T38" i="3"/>
  <c r="U38" i="3"/>
  <c r="S61" i="3"/>
  <c r="R61" i="3" s="1"/>
  <c r="T61" i="3"/>
  <c r="U61" i="3"/>
  <c r="S9" i="3"/>
  <c r="R9" i="3" s="1"/>
  <c r="T9" i="3"/>
  <c r="U9" i="3"/>
  <c r="S39" i="3"/>
  <c r="R39" i="3" s="1"/>
  <c r="T39" i="3"/>
  <c r="U39" i="3"/>
  <c r="Q44" i="3" l="1"/>
  <c r="Q42" i="3"/>
  <c r="AG13" i="1"/>
  <c r="AG14" i="1"/>
  <c r="U45" i="3"/>
  <c r="U34" i="3"/>
  <c r="U47" i="3"/>
  <c r="U55" i="3"/>
  <c r="U12" i="3"/>
  <c r="U66" i="3"/>
  <c r="U49" i="3"/>
  <c r="U7" i="3"/>
  <c r="U10" i="3"/>
  <c r="U52" i="3"/>
  <c r="U36" i="3"/>
  <c r="U59" i="3"/>
  <c r="U60" i="3"/>
  <c r="U14" i="3"/>
  <c r="U57" i="3"/>
  <c r="Q27" i="3"/>
  <c r="AE13" i="1"/>
  <c r="AE14" i="1"/>
  <c r="P42" i="3" s="1"/>
  <c r="P27" i="3"/>
  <c r="L12" i="3"/>
  <c r="L55" i="3"/>
  <c r="L66" i="3"/>
  <c r="L45" i="3"/>
  <c r="L7" i="3"/>
  <c r="L49" i="3"/>
  <c r="L34" i="3"/>
  <c r="L47" i="3"/>
  <c r="L10" i="3"/>
  <c r="S52" i="3"/>
  <c r="R52" i="3" s="1"/>
  <c r="T52" i="3"/>
  <c r="S55" i="3"/>
  <c r="R55" i="3" s="1"/>
  <c r="T55" i="3"/>
  <c r="Q53" i="3" l="1"/>
  <c r="Q52" i="3"/>
  <c r="Q55" i="3"/>
  <c r="P55" i="3"/>
  <c r="Q41" i="3"/>
  <c r="Q8" i="3"/>
  <c r="Q38" i="3"/>
  <c r="Q9" i="3"/>
  <c r="Q54" i="3"/>
  <c r="Q61" i="3" l="1"/>
  <c r="Q21" i="3"/>
  <c r="P52" i="3"/>
  <c r="P53" i="3"/>
  <c r="Q11" i="3"/>
  <c r="Q64" i="3"/>
  <c r="P11" i="3"/>
  <c r="P9" i="3"/>
  <c r="P64" i="3"/>
  <c r="P38" i="3"/>
  <c r="P41" i="3"/>
  <c r="Q39" i="3"/>
  <c r="Q45" i="3"/>
  <c r="Q7" i="3"/>
  <c r="Q34" i="3"/>
  <c r="P45" i="3"/>
  <c r="P7" i="3"/>
  <c r="P34" i="3"/>
  <c r="P59" i="3"/>
  <c r="P39" i="3"/>
  <c r="P61" i="3"/>
  <c r="P21" i="3"/>
  <c r="P57" i="3"/>
  <c r="P54" i="3" l="1"/>
  <c r="P8" i="3"/>
  <c r="P14" i="3"/>
  <c r="P60" i="3"/>
  <c r="P47" i="3"/>
  <c r="P66" i="3"/>
  <c r="P10" i="3"/>
  <c r="P36" i="3"/>
  <c r="P12" i="3"/>
  <c r="P49" i="3"/>
  <c r="M19" i="5"/>
  <c r="M18" i="5"/>
  <c r="T59" i="3"/>
  <c r="T49" i="3"/>
  <c r="T10" i="3"/>
  <c r="T12" i="3"/>
  <c r="T57" i="3"/>
  <c r="T45" i="3"/>
  <c r="T14" i="3"/>
  <c r="T66" i="3"/>
  <c r="T36" i="3"/>
  <c r="T7" i="3"/>
  <c r="T47" i="3"/>
  <c r="T34" i="3"/>
  <c r="T60" i="3"/>
  <c r="Q57" i="3" l="1"/>
  <c r="S14" i="3"/>
  <c r="R14" i="3" s="1"/>
  <c r="S10" i="3"/>
  <c r="R10" i="3" s="1"/>
  <c r="S66" i="3"/>
  <c r="R66" i="3" s="1"/>
  <c r="Q60" i="3" l="1"/>
  <c r="Q47" i="3"/>
  <c r="S57" i="3" l="1"/>
  <c r="R57" i="3" s="1"/>
  <c r="S47" i="3"/>
  <c r="R47" i="3" s="1"/>
  <c r="S36" i="3"/>
  <c r="R36" i="3" s="1"/>
  <c r="S45" i="3"/>
  <c r="R45" i="3" s="1"/>
  <c r="Q12" i="3" l="1"/>
  <c r="Q36" i="3"/>
  <c r="Q66" i="3"/>
  <c r="Q14" i="3"/>
  <c r="AD14" i="1" l="1"/>
  <c r="AD13" i="1"/>
  <c r="S7" i="3" l="1"/>
  <c r="R7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0" i="3" l="1"/>
  <c r="R60" i="3" s="1"/>
  <c r="S12" i="3"/>
  <c r="R12" i="3" s="1"/>
  <c r="S49" i="3"/>
  <c r="R49" i="3" s="1"/>
  <c r="S34" i="3"/>
  <c r="R34" i="3" s="1"/>
  <c r="S59" i="3"/>
  <c r="R59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59" i="3" l="1"/>
  <c r="Q4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0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<sst xmlns="http://schemas.openxmlformats.org/spreadsheetml/2006/main" count="1981" uniqueCount="632">
  <si>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</si>
  <si>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</si>
  <si>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</si>
  <si>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</si>
  <si>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</si>
  <si>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</si>
  <si>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</si>
  <si>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</si>
  <si>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</si>
  <si>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</si>
  <si>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</si>
  <si>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</si>
  <si>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</si>
  <si>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</si>
  <si>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</si>
  <si>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</si>
  <si>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</si>
  <si>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</si>
  <si>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</si>
  <si>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</si>
  <si>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</si>
  <si>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</si>
  <si>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</si>
  <si>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</si>
  <si>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</si>
  <si>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</si>
  <si>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</si>
  <si>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</si>
  <si>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</si>
  <si>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</si>
  <si>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</si>
  <si>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</si>
  <si>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</si>
  <si>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</si>
  <si>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</si>
  <si>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</si>
  <si>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</si>
  <si>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</si>
  <si>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</si>
  <si>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</si>
  <si>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</si>
  <si>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</si>
  <si>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</si>
  <si>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</si>
  <si>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</si>
  <si>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</si>
  <si>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</si>
  <si>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</si>
  <si>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</si>
  <si>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</si>
  <si>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</si>
  <si>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</si>
  <si>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</si>
  <si>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</si>
  <si>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</si>
  <si>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</si>
  <si>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</si>
  <si>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</si>
  <si>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</si>
  <si>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</si>
  <si>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</si>
  <si>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</si>
  <si>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</si>
  <si>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</si>
  <si>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</si>
  <si>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</si>
  <si>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</si>
  <si>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</si>
  <si>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</si>
  <si>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</si>
  <si>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</si>
  <si>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</si>
  <si>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</si>
  <si>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</si>
  <si>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</si>
  <si>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</si>
  <si>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</si>
  <si>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</si>
  <si>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</si>
  <si>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</si>
  <si>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</si>
  <si>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</si>
  <si>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</si>
  <si>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</si>
  <si>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</si>
  <si>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</si>
  <si>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</si>
  <si>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</si>
  <si>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</si>
  <si>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</si>
  <si>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</si>
  <si>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</si>
  <si>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</si>
  <si>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</si>
  <si>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</si>
  <si>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</si>
  <si>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</si>
  <si>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</si>
  <si>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</si>
  <si>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</si>
  <si>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</si>
  <si>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</si>
  <si>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</si>
  <si>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</si>
  <si>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</si>
  <si>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</si>
  <si>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</si>
  <si>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</si>
  <si>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</si>
  <si>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</si>
  <si>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</si>
  <si>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</si>
  <si>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</si>
  <si>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</si>
  <si>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</si>
  <si>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</si>
  <si>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</si>
  <si>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</si>
  <si>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</si>
  <si>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</si>
  <si>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</si>
  <si>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</si>
  <si>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</si>
  <si>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</si>
  <si>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</si>
  <si>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</si>
  <si>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</si>
  <si>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</si>
  <si>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</si>
  <si>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</si>
  <si>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</si>
  <si>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</si>
  <si>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</si>
  <si>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</si>
  <si>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</si>
  <si>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</si>
  <si>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</si>
  <si>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</si>
  <si>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</si>
  <si>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</si>
  <si>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</si>
  <si>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</si>
  <si>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</si>
  <si>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</si>
  <si>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</si>
  <si>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</si>
  <si>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</si>
  <si>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</si>
  <si>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</si>
  <si>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</si>
  <si>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</si>
  <si>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</si>
  <si>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</si>
  <si>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</si>
  <si>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</si>
  <si>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</si>
  <si>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</si>
  <si>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</si>
  <si>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</si>
  <si>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</si>
  <si>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</si>
  <si>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</si>
  <si>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</si>
  <si>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</si>
  <si>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</si>
  <si>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</si>
  <si>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</si>
  <si>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</si>
  <si>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</si>
  <si>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</si>
  <si>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</si>
  <si>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</si>
  <si>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</si>
  <si>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</si>
  <si>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</si>
  <si>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</si>
  <si>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</si>
  <si>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</si>
  <si>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</si>
  <si>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</si>
  <si>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</si>
  <si>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</si>
  <si>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</si>
  <si>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</si>
  <si>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</si>
  <si>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</si>
  <si>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</si>
  <si>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</si>
  <si>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</si>
  <si>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</si>
  <si>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</si>
  <si>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</si>
  <si>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</si>
  <si>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</si>
  <si>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</si>
  <si>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</si>
  <si>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</si>
  <si>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</si>
  <si>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</si>
  <si>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</si>
  <si>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</si>
  <si>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204:232993</t>
  </si>
  <si>
    <t>Omit due to TWC &lt; 1</t>
  </si>
  <si>
    <t>Reactive Enforcement (3)</t>
  </si>
  <si>
    <t>204:232990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</si>
  <si>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</si>
  <si>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</si>
  <si>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</si>
  <si>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</si>
  <si>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</si>
  <si>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</si>
  <si>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</si>
  <si>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</si>
  <si>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</si>
  <si>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BRANNON</t>
  </si>
  <si>
    <t>SHOOK</t>
  </si>
  <si>
    <t>rtdc.l.rtdc.4041:itc</t>
  </si>
  <si>
    <t>220-12</t>
  </si>
  <si>
    <t>236-12</t>
  </si>
  <si>
    <t>228-12</t>
  </si>
  <si>
    <t>204:141</t>
  </si>
  <si>
    <t>204:232989</t>
  </si>
  <si>
    <t>204:233304</t>
  </si>
  <si>
    <t>204:233289</t>
  </si>
  <si>
    <t>204:232961</t>
  </si>
  <si>
    <t>204:232963</t>
  </si>
  <si>
    <t>109-12</t>
  </si>
  <si>
    <t>110-12</t>
  </si>
  <si>
    <t>204:233307</t>
  </si>
  <si>
    <t>204:233311</t>
  </si>
  <si>
    <t>204:233298</t>
  </si>
  <si>
    <t>204:232969</t>
  </si>
  <si>
    <t>204:233306</t>
  </si>
  <si>
    <t>204:232981</t>
  </si>
  <si>
    <t>204:486</t>
  </si>
  <si>
    <t>204:233288</t>
  </si>
  <si>
    <t>204:232983</t>
  </si>
  <si>
    <t>204:232965</t>
  </si>
  <si>
    <t>204:475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</si>
  <si>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</si>
  <si>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</si>
  <si>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</si>
  <si>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</si>
  <si>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</si>
  <si>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</si>
  <si>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</si>
  <si>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</si>
  <si>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</si>
  <si>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</si>
  <si>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204:232979</t>
  </si>
  <si>
    <t>204:232940</t>
  </si>
  <si>
    <t>204:232985</t>
  </si>
  <si>
    <t>204:440</t>
  </si>
  <si>
    <t>145-14</t>
  </si>
  <si>
    <t>204:233293</t>
  </si>
  <si>
    <t>160-14</t>
  </si>
  <si>
    <t>204:232991</t>
  </si>
  <si>
    <t>166-14</t>
  </si>
  <si>
    <t>204:232978</t>
  </si>
  <si>
    <t>169-14</t>
  </si>
  <si>
    <t>204:233268</t>
  </si>
  <si>
    <t>171-14</t>
  </si>
  <si>
    <t>204:233280</t>
  </si>
  <si>
    <t>204:233315</t>
  </si>
  <si>
    <t>204:233308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</si>
  <si>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</si>
  <si>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</si>
  <si>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</si>
  <si>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</si>
  <si>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</si>
  <si>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</si>
  <si>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</si>
  <si>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</si>
  <si>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</si>
  <si>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</si>
  <si>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</si>
  <si>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</si>
  <si>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215-14</t>
  </si>
  <si>
    <t>217-14</t>
  </si>
  <si>
    <t>218-14</t>
  </si>
  <si>
    <t>220-14</t>
  </si>
  <si>
    <t>204:127866</t>
  </si>
  <si>
    <t>204:183</t>
  </si>
  <si>
    <t>222-14</t>
  </si>
  <si>
    <t>225-14</t>
  </si>
  <si>
    <t>204:233286</t>
  </si>
  <si>
    <t>204:232957</t>
  </si>
  <si>
    <t>204:502</t>
  </si>
  <si>
    <t>241-14</t>
  </si>
  <si>
    <t>242-14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</si>
  <si>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</si>
  <si>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</si>
  <si>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</si>
  <si>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</si>
  <si>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</si>
  <si>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</si>
  <si>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</si>
  <si>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</si>
  <si>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</si>
  <si>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</si>
  <si>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</si>
  <si>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</si>
  <si>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</si>
  <si>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</si>
  <si>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</si>
  <si>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</si>
  <si>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</si>
  <si>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</si>
  <si>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</si>
  <si>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</si>
  <si>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</si>
  <si>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</si>
  <si>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</si>
  <si>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</si>
  <si>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</si>
  <si>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</si>
  <si>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</si>
  <si>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</si>
  <si>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</si>
  <si>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</si>
  <si>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</si>
  <si>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</si>
  <si>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</si>
  <si>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</si>
  <si>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</si>
  <si>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</si>
  <si>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</si>
  <si>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</si>
  <si>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</si>
  <si>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</si>
  <si>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</si>
  <si>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</si>
  <si>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</si>
  <si>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</si>
  <si>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</si>
  <si>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</si>
  <si>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</si>
  <si>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</si>
  <si>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</si>
  <si>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</si>
  <si>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</si>
  <si>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</si>
  <si>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</si>
  <si>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</si>
  <si>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</si>
  <si>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</si>
  <si>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</si>
  <si>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</si>
  <si>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</si>
  <si>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</si>
  <si>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</si>
  <si>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</si>
  <si>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</si>
  <si>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</si>
  <si>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</si>
  <si>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</si>
  <si>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204:233003</t>
  </si>
  <si>
    <t>204:233332</t>
  </si>
  <si>
    <t>204:473</t>
  </si>
  <si>
    <t>204:233285</t>
  </si>
  <si>
    <t>204:232966</t>
  </si>
  <si>
    <t>204:233317</t>
  </si>
  <si>
    <t>204:233309</t>
  </si>
  <si>
    <t>204:232988</t>
  </si>
  <si>
    <t>204:165</t>
  </si>
  <si>
    <t>204:467</t>
  </si>
  <si>
    <t>204:232973</t>
  </si>
  <si>
    <t>204:446</t>
  </si>
  <si>
    <t>204:232992</t>
  </si>
  <si>
    <t>204:471</t>
  </si>
  <si>
    <t>204:431</t>
  </si>
  <si>
    <t>204:64167</t>
  </si>
  <si>
    <t>204:167</t>
  </si>
  <si>
    <t>204:232976</t>
  </si>
  <si>
    <t>204:233000</t>
  </si>
  <si>
    <t>204:480</t>
  </si>
  <si>
    <t>243-17</t>
  </si>
  <si>
    <t>STEWART</t>
  </si>
  <si>
    <t>CHANDLER</t>
  </si>
  <si>
    <t>214-16</t>
  </si>
  <si>
    <t>BRUDER</t>
  </si>
  <si>
    <t>217-16</t>
  </si>
  <si>
    <t>STORY</t>
  </si>
  <si>
    <t>ACKERMAN</t>
  </si>
  <si>
    <t>242-16</t>
  </si>
  <si>
    <t>119-16</t>
  </si>
  <si>
    <t>GEBRETEKLE</t>
  </si>
  <si>
    <t>MAYBERRY</t>
  </si>
  <si>
    <t>129-16</t>
  </si>
  <si>
    <t>247-16</t>
  </si>
  <si>
    <t>244-16</t>
  </si>
  <si>
    <t>229-16</t>
  </si>
  <si>
    <t>236-16</t>
  </si>
  <si>
    <t>222-16</t>
  </si>
  <si>
    <t>127-16</t>
  </si>
  <si>
    <t>123-16</t>
  </si>
  <si>
    <t>114-16</t>
  </si>
  <si>
    <t>238-16</t>
  </si>
  <si>
    <t>113-16</t>
  </si>
  <si>
    <t>111-16</t>
  </si>
  <si>
    <t>246-16</t>
  </si>
  <si>
    <t>213-17</t>
  </si>
  <si>
    <t>200-17</t>
  </si>
  <si>
    <t>204:233015</t>
  </si>
  <si>
    <t>204:233329</t>
  </si>
  <si>
    <t>204:127849</t>
  </si>
  <si>
    <t>204:233318</t>
  </si>
  <si>
    <t>204:119</t>
  </si>
  <si>
    <t>204:36791</t>
  </si>
  <si>
    <t>204:86375</t>
  </si>
  <si>
    <t>204:484</t>
  </si>
  <si>
    <t>101-17</t>
  </si>
  <si>
    <t>103-17</t>
  </si>
  <si>
    <t>105-17</t>
  </si>
  <si>
    <t>102-17</t>
  </si>
  <si>
    <t>104-17</t>
  </si>
  <si>
    <t>110-17</t>
  </si>
  <si>
    <t>114-17</t>
  </si>
  <si>
    <t>123-17</t>
  </si>
  <si>
    <t>118-17</t>
  </si>
  <si>
    <t>128-17</t>
  </si>
  <si>
    <t>132-17</t>
  </si>
  <si>
    <t>141-17</t>
  </si>
  <si>
    <t>163-17</t>
  </si>
  <si>
    <t>152-17</t>
  </si>
  <si>
    <t>165-17</t>
  </si>
  <si>
    <t>160-17</t>
  </si>
  <si>
    <t>166-17</t>
  </si>
  <si>
    <t>179-17</t>
  </si>
  <si>
    <t>181-17</t>
  </si>
  <si>
    <t>183-17</t>
  </si>
  <si>
    <t>180-17</t>
  </si>
  <si>
    <t>189-17</t>
  </si>
  <si>
    <t>186-17</t>
  </si>
  <si>
    <t>184-17</t>
  </si>
  <si>
    <t>190-17</t>
  </si>
  <si>
    <t>195-17</t>
  </si>
  <si>
    <t>194-17</t>
  </si>
  <si>
    <t>198-17</t>
  </si>
  <si>
    <t>203-17</t>
  </si>
  <si>
    <t>205-17</t>
  </si>
  <si>
    <t>207-17</t>
  </si>
  <si>
    <t>206-17</t>
  </si>
  <si>
    <t>204-17</t>
  </si>
  <si>
    <t>217-17</t>
  </si>
  <si>
    <t>208-17</t>
  </si>
  <si>
    <t>215-17</t>
  </si>
  <si>
    <t>219-17</t>
  </si>
  <si>
    <t>214-17</t>
  </si>
  <si>
    <t>220-17</t>
  </si>
  <si>
    <t>222-17</t>
  </si>
  <si>
    <t>225-17</t>
  </si>
  <si>
    <t>226-17</t>
  </si>
  <si>
    <t>230-17</t>
  </si>
  <si>
    <t>234-17</t>
  </si>
  <si>
    <t>232-17</t>
  </si>
  <si>
    <t>236-17</t>
  </si>
  <si>
    <t>237-17</t>
  </si>
  <si>
    <t>241-17</t>
  </si>
  <si>
    <t>242-17</t>
  </si>
  <si>
    <t xml:space="preserve">2016-07-17 00:45:50.457 to 2016-07-18 03:00:50.457 </t>
  </si>
  <si>
    <t>Trip IDs  175 hits</t>
  </si>
  <si>
    <t>2016-07-17 00:45:50.457 - 2016-07-18 03:00:50.457</t>
  </si>
  <si>
    <t>161-17</t>
  </si>
  <si>
    <t>173-17</t>
  </si>
  <si>
    <t>149-17</t>
  </si>
  <si>
    <t>193-17</t>
  </si>
  <si>
    <t>RIVERA</t>
  </si>
  <si>
    <t>188-17</t>
  </si>
  <si>
    <t>196-17</t>
  </si>
  <si>
    <t>140-17</t>
  </si>
  <si>
    <t>137-17</t>
  </si>
  <si>
    <t>209-17</t>
  </si>
  <si>
    <t>LEVERE</t>
  </si>
  <si>
    <t>133-17</t>
  </si>
  <si>
    <t>211-17</t>
  </si>
  <si>
    <t>124-17</t>
  </si>
  <si>
    <t>131-17</t>
  </si>
  <si>
    <t>212-17</t>
  </si>
  <si>
    <t>121-17</t>
  </si>
  <si>
    <t>115-17</t>
  </si>
  <si>
    <t>216-17</t>
  </si>
  <si>
    <t>238-17</t>
  </si>
  <si>
    <t>COOLAHAN</t>
  </si>
  <si>
    <t>228-17</t>
  </si>
  <si>
    <t>109-17</t>
  </si>
  <si>
    <t>108-17</t>
  </si>
  <si>
    <t>210-17</t>
  </si>
  <si>
    <t>117-17</t>
  </si>
  <si>
    <t>112-17</t>
  </si>
  <si>
    <t>116-17</t>
  </si>
  <si>
    <t>202-17</t>
  </si>
  <si>
    <t>197-17</t>
  </si>
  <si>
    <t>127-17</t>
  </si>
  <si>
    <t>139-17</t>
  </si>
  <si>
    <t>155-17</t>
  </si>
  <si>
    <t>187-17</t>
  </si>
  <si>
    <t>157-17</t>
  </si>
  <si>
    <t>176-17</t>
  </si>
  <si>
    <t>174-17</t>
  </si>
  <si>
    <t>158-17</t>
  </si>
  <si>
    <t>177-17</t>
  </si>
  <si>
    <t>170-17</t>
  </si>
  <si>
    <t>169-17</t>
  </si>
  <si>
    <t>175-17</t>
  </si>
  <si>
    <t>162-17</t>
  </si>
  <si>
    <t>172-17</t>
  </si>
  <si>
    <t>156-17</t>
  </si>
  <si>
    <t>178-17</t>
  </si>
  <si>
    <t>144-17</t>
  </si>
  <si>
    <t>185-17</t>
  </si>
  <si>
    <t>147-17</t>
  </si>
  <si>
    <t>136-17</t>
  </si>
  <si>
    <t>134-17</t>
  </si>
  <si>
    <t>122-17</t>
  </si>
  <si>
    <t>120-17</t>
  </si>
  <si>
    <t>119-17</t>
  </si>
  <si>
    <t>244-17</t>
  </si>
  <si>
    <t>113-17</t>
  </si>
  <si>
    <t>107-17</t>
  </si>
  <si>
    <t>125-17</t>
  </si>
  <si>
    <t>129-17</t>
  </si>
  <si>
    <t>126-17</t>
  </si>
  <si>
    <t>240-17</t>
  </si>
  <si>
    <t>143-17</t>
  </si>
  <si>
    <t>145-17</t>
  </si>
  <si>
    <t>138-17</t>
  </si>
  <si>
    <t>142-17</t>
  </si>
  <si>
    <t>151-17</t>
  </si>
  <si>
    <t>153-17</t>
  </si>
  <si>
    <t>233-17</t>
  </si>
  <si>
    <t>150-17</t>
  </si>
  <si>
    <t>231-17</t>
  </si>
  <si>
    <t>159-17</t>
  </si>
  <si>
    <t>229-17</t>
  </si>
  <si>
    <t>154-17</t>
  </si>
  <si>
    <t>164-17</t>
  </si>
  <si>
    <t>182-17</t>
  </si>
  <si>
    <t>191-17</t>
  </si>
  <si>
    <t>201-17</t>
  </si>
  <si>
    <t>192-17</t>
  </si>
  <si>
    <t>199-17</t>
  </si>
  <si>
    <t>223-17</t>
  </si>
  <si>
    <t>168-17</t>
  </si>
  <si>
    <t>224-17</t>
  </si>
  <si>
    <t>171-17</t>
  </si>
  <si>
    <t>227-17</t>
  </si>
  <si>
    <t>167-17</t>
  </si>
  <si>
    <t>148-17</t>
  </si>
  <si>
    <t>235-17</t>
  </si>
  <si>
    <t>146-17</t>
  </si>
  <si>
    <t>135-17</t>
  </si>
  <si>
    <t>239-17</t>
  </si>
  <si>
    <t>130-17</t>
  </si>
  <si>
    <t>106-17</t>
  </si>
  <si>
    <t>111-17</t>
  </si>
  <si>
    <t>204:794</t>
  </si>
  <si>
    <t>204:232654</t>
  </si>
  <si>
    <t>204:653</t>
  </si>
  <si>
    <t>204:233227</t>
  </si>
  <si>
    <t>204:232602</t>
  </si>
  <si>
    <t>204:67620</t>
  </si>
  <si>
    <t>204:64791</t>
  </si>
  <si>
    <t>204:752</t>
  </si>
  <si>
    <t>204:36916</t>
  </si>
  <si>
    <t>204:232631</t>
  </si>
  <si>
    <t>204:334</t>
  </si>
  <si>
    <t>204:646</t>
  </si>
  <si>
    <t>204:340</t>
  </si>
  <si>
    <t>204:755</t>
  </si>
  <si>
    <t>204:209</t>
  </si>
  <si>
    <t>204:125</t>
  </si>
  <si>
    <t>204:23156</t>
  </si>
  <si>
    <t>204:506</t>
  </si>
  <si>
    <t>204:233330</t>
  </si>
  <si>
    <t>204:200</t>
  </si>
  <si>
    <t>204:232970</t>
  </si>
  <si>
    <t>204:64161</t>
  </si>
  <si>
    <t>204:19137</t>
  </si>
  <si>
    <t>204:233044</t>
  </si>
  <si>
    <t>204:128258</t>
  </si>
  <si>
    <t>204:110355</t>
  </si>
  <si>
    <t>204:232962</t>
  </si>
  <si>
    <t>204:233347</t>
  </si>
  <si>
    <t>204:63844</t>
  </si>
  <si>
    <t>204:36794</t>
  </si>
  <si>
    <t>204:61849</t>
  </si>
  <si>
    <t>204:60274</t>
  </si>
  <si>
    <t>204:36793</t>
  </si>
  <si>
    <t>204:18779</t>
  </si>
  <si>
    <t>204:64151</t>
  </si>
  <si>
    <t>204:56452</t>
  </si>
  <si>
    <t>204:64135</t>
  </si>
  <si>
    <t>204:36779</t>
  </si>
  <si>
    <t>204:53828</t>
  </si>
  <si>
    <t>204:64702</t>
  </si>
  <si>
    <t>204:63470</t>
  </si>
  <si>
    <t>204:55606</t>
  </si>
  <si>
    <t>204:64684</t>
  </si>
  <si>
    <t>204:56487</t>
  </si>
  <si>
    <t>204:64708</t>
  </si>
  <si>
    <t>204:54642</t>
  </si>
  <si>
    <t>204:64704</t>
  </si>
  <si>
    <t>204:56361</t>
  </si>
  <si>
    <t>204:64706</t>
  </si>
  <si>
    <t>204:233364</t>
  </si>
  <si>
    <t>204:95</t>
  </si>
  <si>
    <t>204:56664</t>
  </si>
  <si>
    <t>204:64698</t>
  </si>
  <si>
    <t>204:127</t>
  </si>
  <si>
    <t>204:195559</t>
  </si>
  <si>
    <t>204:220</t>
  </si>
  <si>
    <t>204:3004</t>
  </si>
  <si>
    <t>204:1533</t>
  </si>
  <si>
    <t>204:1757</t>
  </si>
  <si>
    <t>204:37191</t>
  </si>
  <si>
    <t>204:542</t>
  </si>
  <si>
    <t>204:233008</t>
  </si>
  <si>
    <t>204:153980</t>
  </si>
  <si>
    <t>204:160755</t>
  </si>
  <si>
    <t>204:86353</t>
  </si>
  <si>
    <t>204:85329</t>
  </si>
  <si>
    <t>204:160960</t>
  </si>
  <si>
    <t>204:86352</t>
  </si>
  <si>
    <t>204:174</t>
  </si>
  <si>
    <t>204:522</t>
  </si>
  <si>
    <t>204:127869</t>
  </si>
  <si>
    <t>204:194811</t>
  </si>
  <si>
    <t>204:127842</t>
  </si>
  <si>
    <t>204:192114</t>
  </si>
  <si>
    <t>204:172</t>
  </si>
  <si>
    <t>204:198934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</si>
</sst>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8"/>
  <sheetViews>
    <sheetView tabSelected="1" zoomScale="85" zoomScaleNormal="85" workbookViewId="0"/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94" hidden="1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42566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COUNT($N$13:$P$1729)</f>
        <v>166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COUNT($N$13:$N$1729)</f>
        <v>166</v>
      </c>
      <c r="K5" s="61"/>
      <c r="L5" s="61"/>
      <c r="M5" s="62">
        <f>AVERAGE($N$13:$N$729)</f>
        <v>36.946084337233266</v>
      </c>
      <c r="N5" s="60">
        <f>MIN($N$13:$N$729)</f>
        <v>1.1999999976251274</v>
      </c>
      <c r="O5" s="3">
        <f>MAX($N$13:$N$729)</f>
        <v>110.85000000195578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COUNT($O$13:$O$729)</f>
        <v>0</v>
      </c>
      <c r="K6" s="61"/>
      <c r="L6" s="61"/>
      <c r="M6" s="62">
        <f>IFERROR(AVERAGE($O$13:$O$729),0)</f>
        <v>0</v>
      </c>
      <c r="N6" s="60">
        <f>MIN($O$13:$O$729)</f>
        <v>0</v>
      </c>
      <c r="O6" s="3">
        <f>MAX($O$13:$O$729)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COUNT($P$13:$P$729)</f>
        <v>0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COUNT($N$13:$O$729)</f>
        <v>166</v>
      </c>
      <c r="K8" s="61"/>
      <c r="L8" s="61"/>
      <c r="M8" s="62">
        <f>AVERAGE($N$13:$P$729)</f>
        <v>36.946084337233266</v>
      </c>
      <c r="N8" s="60">
        <f>MIN($N$13:$O$729)</f>
        <v>1.1999999976251274</v>
      </c>
      <c r="O8" s="3">
        <f>MAX($N$13:$O$729)</f>
        <v>110.85000000195578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1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- 2016-07-15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85</v>
      </c>
      <c r="T12" s="76" t="s">
        <v>86</v>
      </c>
      <c r="U12" s="95" t="s">
        <v>87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138</v>
      </c>
      <c r="AE12" s="73" t="s">
        <v>165</v>
      </c>
      <c r="AF12" s="73" t="s">
        <v>170</v>
      </c>
      <c r="AG12" s="4" t="s">
        <v>182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411</v>
      </c>
      <c r="B13" s="7">
        <v>4009</v>
      </c>
      <c r="C13" s="26" t="s">
        <v>59</v>
      </c>
      <c r="D13" s="26" t="s">
        <v>556</v>
      </c>
      <c r="E13" s="16">
        <v>42568.134467592594</v>
      </c>
      <c r="F13" s="16">
        <v>42568.135567129626</v>
      </c>
      <c r="G13" s="7">
        <v>1</v>
      </c>
      <c r="H13" s="16" t="s">
        <v>223</v>
      </c>
      <c r="I13" s="16">
        <v>42568.160057870373</v>
      </c>
      <c r="J13" s="7">
        <v>1</v>
      </c>
      <c r="K13" s="26" t="str">
        <f t="shared" ref="K13:K14" si="0">IF(ISEVEN(B13),(B13-1)&amp;"/"&amp;B13,B13&amp;"/"&amp;(B13+1))</f>
        <v>4009/4010</v>
      </c>
      <c r="L13" s="26" t="str">
        <f>VLOOKUP(A13,'Trips&amp;Operators'!$C$1:$E$10000,3,FALSE)</f>
        <v>ROCHA</v>
      </c>
      <c r="M13" s="6">
        <f t="shared" ref="M13:M14" si="1">I13-F13</f>
        <v>2.4490740746841766E-2</v>
      </c>
      <c r="N13" s="7">
        <f t="shared" ref="N13:N76" si="2">24*60*SUM($M13:$M13)</f>
        <v>35.266666675452143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https://search-rtdc-monitor-bjffxe2xuh6vdkpspy63sjmuny.us-east-1.es.amazonaws.com/_plugin/kibana/#/discover/Steve-Slow-Train-Analysis-(2080s-and-2083s)?_g=(refreshInterval:(display:Off,section:0,value:0),time:(from:'2016-07-17 02:13:38-0600',mode:absolute,to:'2016-07-17 04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7.9399999999999998E-2</v>
      </c>
      <c r="Z13" s="89">
        <f t="shared" ref="Z13:Z14" si="7">RIGHT(H13,LEN(H13)-4)/10000</f>
        <v>23.328900000000001</v>
      </c>
      <c r="AA13" s="89">
        <f t="shared" ref="AA13:AA14" si="8">ABS(Z13-Y13)</f>
        <v>23.249500000000001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0101-17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/stypes="*4009*20160717*"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414</v>
      </c>
      <c r="B14" s="7">
        <v>4015</v>
      </c>
      <c r="C14" s="26" t="s">
        <v>59</v>
      </c>
      <c r="D14" s="26" t="s">
        <v>557</v>
      </c>
      <c r="E14" s="16">
        <v>42568.173090277778</v>
      </c>
      <c r="F14" s="16">
        <v>42568.173877314817</v>
      </c>
      <c r="G14" s="7">
        <v>1</v>
      </c>
      <c r="H14" s="16" t="s">
        <v>140</v>
      </c>
      <c r="I14" s="16">
        <v>42568.201620370368</v>
      </c>
      <c r="J14" s="7">
        <v>1</v>
      </c>
      <c r="K14" s="26" t="str">
        <f t="shared" si="0"/>
        <v>4015/4016</v>
      </c>
      <c r="L14" s="26" t="str">
        <f>VLOOKUP(A14,'Trips&amp;Operators'!$C$1:$E$10000,3,FALSE)</f>
        <v>ROCHA</v>
      </c>
      <c r="M14" s="6">
        <f t="shared" si="1"/>
        <v>2.774305555067258E-2</v>
      </c>
      <c r="N14" s="7">
        <f t="shared" si="2"/>
        <v>39.949999992968515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https://search-rtdc-monitor-bjffxe2xuh6vdkpspy63sjmuny.us-east-1.es.amazonaws.com/_plugin/kibana/#/discover/Steve-Slow-Train-Analysis-(2080s-and-2083s)?_g=(refreshInterval:(display:Off,section:0,value:0),time:(from:'2016-07-17 03:09:15-0600',mode:absolute,to:'2016-07-17 05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23.2654</v>
      </c>
      <c r="Z14" s="89">
        <f t="shared" si="7"/>
        <v>1.61E-2</v>
      </c>
      <c r="AA14" s="89">
        <f t="shared" si="8"/>
        <v>23.249299999999998</v>
      </c>
      <c r="AB14" s="86">
        <f>VLOOKUP(A14,Enforcements!$C$7:$J$23,8,0)</f>
        <v>5457</v>
      </c>
      <c r="AC14" s="82" t="str">
        <f>VLOOKUP(A14,Enforcements!$C$7:$E$23,3,0)</f>
        <v>PERMANENT SPEED RESTRICTION</v>
      </c>
      <c r="AD14" s="83" t="str">
        <f t="shared" si="9"/>
        <v>0102-17</v>
      </c>
      <c r="AE14" s="75" t="str">
        <f t="shared" si="1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4" s="75" t="str">
        <f t="shared" si="11"/>
        <v>"C:\Program Files (x86)\AstroGrep\AstroGrep.exe" /spath="C:\Users\stu\Documents\Analysis\2016-02-23 RTDC Observations" /stypes="*4015*20160717*"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412</v>
      </c>
      <c r="B15" s="7">
        <v>4042</v>
      </c>
      <c r="C15" s="26" t="s">
        <v>59</v>
      </c>
      <c r="D15" s="26" t="s">
        <v>558</v>
      </c>
      <c r="E15" s="16">
        <v>42568.148101851853</v>
      </c>
      <c r="F15" s="16">
        <v>42568.149525462963</v>
      </c>
      <c r="G15" s="7">
        <v>2</v>
      </c>
      <c r="H15" s="16" t="s">
        <v>559</v>
      </c>
      <c r="I15" s="16">
        <v>42568.182824074072</v>
      </c>
      <c r="J15" s="7">
        <v>1</v>
      </c>
      <c r="K15" s="26" t="str">
        <f t="shared" ref="K15:K78" si="15">IF(ISEVEN(B15),(B15-1)&amp;"/"&amp;B15,B15&amp;"/"&amp;(B15+1))</f>
        <v>4041/4042</v>
      </c>
      <c r="L15" s="26" t="str">
        <f>VLOOKUP(A15,'Trips&amp;Operators'!$C$1:$E$10000,3,FALSE)</f>
        <v>ACKERMAN</v>
      </c>
      <c r="M15" s="6">
        <f t="shared" ref="M15:M78" si="16">I15-F15</f>
        <v>3.329861110978527E-2</v>
      </c>
      <c r="N15" s="7">
        <f t="shared" si="2"/>
        <v>47.949999998090789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https://search-rtdc-monitor-bjffxe2xuh6vdkpspy63sjmuny.us-east-1.es.amazonaws.com/_plugin/kibana/#/discover/Steve-Slow-Train-Analysis-(2080s-and-2083s)?_g=(refreshInterval:(display:Off,section:0,value:0),time:(from:'2016-07-17 02:33:16-0600',mode:absolute,to:'2016-07-17 05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4" t="str">
        <f t="shared" ref="W15:W78" si="20">IF(AA15&lt;23,"Y","N")</f>
        <v>N</v>
      </c>
      <c r="X15" s="92">
        <f t="shared" ref="X15:X78" si="21">VALUE(LEFT(A15,3))-VALUE(LEFT(A14,3))</f>
        <v>1</v>
      </c>
      <c r="Y15" s="89">
        <f t="shared" ref="Y15:Y78" si="22">RIGHT(D15,LEN(D15)-4)/10000</f>
        <v>6.5299999999999997E-2</v>
      </c>
      <c r="Z15" s="89">
        <f t="shared" ref="Z15:Z78" si="23">RIGHT(H15,LEN(H15)-4)/10000</f>
        <v>23.322700000000001</v>
      </c>
      <c r="AA15" s="89">
        <f t="shared" ref="AA15:AA78" si="24">ABS(Z15-Y15)</f>
        <v>23.257400000000001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8" si="25">IF(LEN(A15)=6,"0"&amp;A15,A15)</f>
        <v>0103-17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/stypes="*4042*20160717*"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9" t="s">
        <v>415</v>
      </c>
      <c r="B16" s="7">
        <v>4028</v>
      </c>
      <c r="C16" s="26" t="s">
        <v>59</v>
      </c>
      <c r="D16" s="26" t="s">
        <v>560</v>
      </c>
      <c r="E16" s="16">
        <v>42568.190868055557</v>
      </c>
      <c r="F16" s="16">
        <v>42568.191967592589</v>
      </c>
      <c r="G16" s="7">
        <v>1</v>
      </c>
      <c r="H16" s="16" t="s">
        <v>561</v>
      </c>
      <c r="I16" s="16">
        <v>42568.2109837963</v>
      </c>
      <c r="J16" s="7">
        <v>1</v>
      </c>
      <c r="K16" s="26" t="str">
        <f t="shared" si="15"/>
        <v>4027/4028</v>
      </c>
      <c r="L16" s="26" t="str">
        <f>VLOOKUP(A16,'Trips&amp;Operators'!$C$1:$E$10000,3,FALSE)</f>
        <v>ACKERMAN</v>
      </c>
      <c r="M16" s="6">
        <f t="shared" si="16"/>
        <v>1.9016203710634727E-2</v>
      </c>
      <c r="N16" s="7">
        <f t="shared" si="2"/>
        <v>27.383333343314007</v>
      </c>
      <c r="O16" s="7"/>
      <c r="P16" s="7"/>
      <c r="Q16" s="27"/>
      <c r="R16" s="27"/>
      <c r="S16" s="45">
        <f t="shared" si="17"/>
        <v>0.25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3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03:34:51-0600',mode:absolute,to:'2016-07-17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" s="74" t="str">
        <f t="shared" si="20"/>
        <v>Y</v>
      </c>
      <c r="X16" s="92">
        <f t="shared" si="21"/>
        <v>1</v>
      </c>
      <c r="Y16" s="89">
        <f t="shared" si="22"/>
        <v>23.260200000000001</v>
      </c>
      <c r="Z16" s="89">
        <f t="shared" si="23"/>
        <v>6.7619999999999996</v>
      </c>
      <c r="AA16" s="89">
        <f t="shared" si="24"/>
        <v>16.498200000000001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0104-17</v>
      </c>
      <c r="AE16" s="75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6" s="75" t="str">
        <f t="shared" si="27"/>
        <v>"C:\Program Files (x86)\AstroGrep\AstroGrep.exe" /spath="C:\Users\stu\Documents\Analysis\2016-02-23 RTDC Observations" /stypes="*4028*20160717*"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413</v>
      </c>
      <c r="B17" s="7">
        <v>4007</v>
      </c>
      <c r="C17" s="26" t="s">
        <v>59</v>
      </c>
      <c r="D17" s="26" t="s">
        <v>562</v>
      </c>
      <c r="E17" s="16">
        <v>42568.188113425924</v>
      </c>
      <c r="F17" s="16">
        <v>42568.188680555555</v>
      </c>
      <c r="G17" s="7">
        <v>0</v>
      </c>
      <c r="H17" s="16" t="s">
        <v>260</v>
      </c>
      <c r="I17" s="16">
        <v>42568.208865740744</v>
      </c>
      <c r="J17" s="7">
        <v>0</v>
      </c>
      <c r="K17" s="26" t="str">
        <f t="shared" si="15"/>
        <v>4007/4008</v>
      </c>
      <c r="L17" s="26" t="str">
        <f>VLOOKUP(A17,'Trips&amp;Operators'!$C$1:$E$10000,3,FALSE)</f>
        <v>MAELZER</v>
      </c>
      <c r="M17" s="6">
        <f t="shared" si="16"/>
        <v>2.0185185188893229E-2</v>
      </c>
      <c r="N17" s="7">
        <f t="shared" si="2"/>
        <v>29.066666672006249</v>
      </c>
      <c r="O17" s="7"/>
      <c r="P17" s="7"/>
      <c r="Q17" s="27"/>
      <c r="R17" s="27"/>
      <c r="S17" s="45">
        <f t="shared" si="17"/>
        <v>0.25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3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7" s="74" t="str">
        <f t="shared" si="20"/>
        <v>Y</v>
      </c>
      <c r="X17" s="92">
        <f t="shared" si="21"/>
        <v>1</v>
      </c>
      <c r="Y17" s="89">
        <f t="shared" si="22"/>
        <v>6.4790999999999999</v>
      </c>
      <c r="Z17" s="89">
        <f t="shared" si="23"/>
        <v>23.326799999999999</v>
      </c>
      <c r="AA17" s="89">
        <f t="shared" si="24"/>
        <v>16.8477</v>
      </c>
      <c r="AB17" s="86">
        <f>VLOOKUP(A17,Enforcements!$C$7:$J$23,8,0)</f>
        <v>36645</v>
      </c>
      <c r="AC17" s="82" t="str">
        <f>VLOOKUP(A17,Enforcements!$C$7:$E$23,3,0)</f>
        <v>SIGNAL</v>
      </c>
      <c r="AD17" s="83" t="str">
        <f t="shared" si="25"/>
        <v>0105-17</v>
      </c>
      <c r="AE17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7" s="75" t="str">
        <f t="shared" si="27"/>
        <v>"C:\Program Files (x86)\AstroGrep\AstroGrep.exe" /spath="C:\Users\stu\Documents\Analysis\2016-02-23 RTDC Observations" /stypes="*4007*20160717*" /stext=" 11:.+((prompt.+disp)|(slice.+state.+chan)|(ment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413</v>
      </c>
      <c r="B18" s="7">
        <v>4007</v>
      </c>
      <c r="C18" s="26" t="s">
        <v>59</v>
      </c>
      <c r="D18" s="26" t="s">
        <v>563</v>
      </c>
      <c r="E18" s="16">
        <v>42568.170115740744</v>
      </c>
      <c r="F18" s="16">
        <v>42568.172314814816</v>
      </c>
      <c r="G18" s="7">
        <v>3</v>
      </c>
      <c r="H18" s="16" t="s">
        <v>564</v>
      </c>
      <c r="I18" s="16">
        <v>42568.185324074075</v>
      </c>
      <c r="J18" s="7">
        <v>2</v>
      </c>
      <c r="K18" s="26" t="str">
        <f t="shared" si="15"/>
        <v>4007/4008</v>
      </c>
      <c r="L18" s="26" t="str">
        <f>VLOOKUP(A18,'Trips&amp;Operators'!$C$1:$E$10000,3,FALSE)</f>
        <v>MAELZER</v>
      </c>
      <c r="M18" s="6">
        <f t="shared" si="16"/>
        <v>1.3009259258979E-2</v>
      </c>
      <c r="N18" s="7">
        <f t="shared" si="2"/>
        <v>18.73333333292976</v>
      </c>
      <c r="O18" s="7"/>
      <c r="P18" s="7"/>
      <c r="Q18" s="27"/>
      <c r="R18" s="27"/>
      <c r="S18" s="45">
        <f t="shared" si="17"/>
        <v>0.25</v>
      </c>
      <c r="T18" s="69" t="str">
        <f t="shared" si="18"/>
        <v>NorthBound</v>
      </c>
      <c r="U18" s="96">
        <f>COUNTIFS(Variables!$M$2:$M$19,IF(T18="NorthBound","&gt;=","&lt;=")&amp;Y18,Variables!$M$2:$M$19,IF(T18="NorthBound","&lt;=","&gt;=")&amp;Z18)</f>
        <v>3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03:04:58-0600',mode:absolute,to:'2016-07-17 05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8" s="74" t="str">
        <f t="shared" si="20"/>
        <v>Y</v>
      </c>
      <c r="X18" s="92">
        <f t="shared" si="21"/>
        <v>0</v>
      </c>
      <c r="Y18" s="89">
        <f t="shared" si="22"/>
        <v>7.5200000000000003E-2</v>
      </c>
      <c r="Z18" s="89">
        <f t="shared" si="23"/>
        <v>3.6916000000000002</v>
      </c>
      <c r="AA18" s="89">
        <f t="shared" si="24"/>
        <v>3.6164000000000001</v>
      </c>
      <c r="AB18" s="86">
        <f>VLOOKUP(A18,Enforcements!$C$7:$J$23,8,0)</f>
        <v>36645</v>
      </c>
      <c r="AC18" s="82" t="str">
        <f>VLOOKUP(A18,Enforcements!$C$7:$E$23,3,0)</f>
        <v>SIGNAL</v>
      </c>
      <c r="AD18" s="83" t="str">
        <f t="shared" si="25"/>
        <v>0105-17</v>
      </c>
      <c r="AE18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8" s="75" t="str">
        <f t="shared" si="27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554</v>
      </c>
      <c r="B19" s="7">
        <v>4043</v>
      </c>
      <c r="C19" s="26" t="s">
        <v>59</v>
      </c>
      <c r="D19" s="26" t="s">
        <v>565</v>
      </c>
      <c r="E19" s="16">
        <v>42568.214166666665</v>
      </c>
      <c r="F19" s="16">
        <v>42568.215277777781</v>
      </c>
      <c r="G19" s="7">
        <v>1</v>
      </c>
      <c r="H19" s="16" t="s">
        <v>355</v>
      </c>
      <c r="I19" s="16">
        <v>42568.242060185185</v>
      </c>
      <c r="J19" s="7">
        <v>0</v>
      </c>
      <c r="K19" s="26" t="str">
        <f t="shared" si="15"/>
        <v>4043/4044</v>
      </c>
      <c r="L19" s="26" t="str">
        <f>VLOOKUP(A19,'Trips&amp;Operators'!$C$1:$E$10000,3,FALSE)</f>
        <v>MAELZER</v>
      </c>
      <c r="M19" s="6">
        <f t="shared" si="16"/>
        <v>2.6782407403516117E-2</v>
      </c>
      <c r="N19" s="7">
        <f t="shared" si="2"/>
        <v>38.566666661063209</v>
      </c>
      <c r="O19" s="7"/>
      <c r="P19" s="7"/>
      <c r="Q19" s="27"/>
      <c r="R19" s="27"/>
      <c r="S19" s="45">
        <f t="shared" si="17"/>
        <v>1</v>
      </c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04:08:24-0600',mode:absolute,to:'2016-07-17 06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" s="74" t="str">
        <f t="shared" si="20"/>
        <v>N</v>
      </c>
      <c r="X19" s="92">
        <f t="shared" si="21"/>
        <v>1</v>
      </c>
      <c r="Y19" s="89">
        <f t="shared" si="22"/>
        <v>23.263100000000001</v>
      </c>
      <c r="Z19" s="89">
        <f t="shared" si="23"/>
        <v>1.6E-2</v>
      </c>
      <c r="AA19" s="89">
        <f t="shared" si="24"/>
        <v>23.247100000000003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0106-17</v>
      </c>
      <c r="AE19" s="75" t="str">
        <f t="shared" si="26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9" s="75" t="str">
        <f t="shared" si="27"/>
        <v>"C:\Program Files (x86)\AstroGrep\AstroGrep.exe" /spath="C:\Users\stu\Documents\Analysis\2016-02-23 RTDC Observations" /stypes="*4043*20160717*"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519</v>
      </c>
      <c r="B20" s="7">
        <v>4031</v>
      </c>
      <c r="C20" s="26" t="s">
        <v>59</v>
      </c>
      <c r="D20" s="26" t="s">
        <v>566</v>
      </c>
      <c r="E20" s="16">
        <v>42568.179363425923</v>
      </c>
      <c r="F20" s="16">
        <v>42568.180567129632</v>
      </c>
      <c r="G20" s="7">
        <v>1</v>
      </c>
      <c r="H20" s="16" t="s">
        <v>232</v>
      </c>
      <c r="I20" s="16">
        <v>42568.212731481479</v>
      </c>
      <c r="J20" s="7">
        <v>0</v>
      </c>
      <c r="K20" s="26" t="str">
        <f t="shared" si="15"/>
        <v>4031/4032</v>
      </c>
      <c r="L20" s="26" t="str">
        <f>VLOOKUP(A20,'Trips&amp;Operators'!$C$1:$E$10000,3,FALSE)</f>
        <v>SANTIZO</v>
      </c>
      <c r="M20" s="6">
        <f t="shared" si="16"/>
        <v>3.216435184731381E-2</v>
      </c>
      <c r="N20" s="7">
        <f t="shared" si="2"/>
        <v>46.316666660131887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03:18:17-0600',mode:absolute,to:'2016-07-17 06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3.3399999999999999E-2</v>
      </c>
      <c r="Z20" s="89">
        <f t="shared" si="23"/>
        <v>23.3306</v>
      </c>
      <c r="AA20" s="89">
        <f t="shared" si="24"/>
        <v>23.2972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0107-17</v>
      </c>
      <c r="AE20" s="75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20" s="75" t="str">
        <f t="shared" si="27"/>
        <v>"C:\Program Files (x86)\AstroGrep\AstroGrep.exe" /spath="C:\Users\stu\Documents\Analysis\2016-02-23 RTDC Observations" /stypes="*4031*20160717*"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486</v>
      </c>
      <c r="B21" s="7">
        <v>4032</v>
      </c>
      <c r="C21" s="26" t="s">
        <v>59</v>
      </c>
      <c r="D21" s="26" t="s">
        <v>207</v>
      </c>
      <c r="E21" s="16">
        <v>42568.214699074073</v>
      </c>
      <c r="F21" s="16">
        <v>42568.215914351851</v>
      </c>
      <c r="G21" s="7">
        <v>1</v>
      </c>
      <c r="H21" s="16" t="s">
        <v>110</v>
      </c>
      <c r="I21" s="16">
        <v>42568.252152777779</v>
      </c>
      <c r="J21" s="7">
        <v>0</v>
      </c>
      <c r="K21" s="26" t="str">
        <f t="shared" si="15"/>
        <v>4031/4032</v>
      </c>
      <c r="L21" s="26" t="str">
        <f>VLOOKUP(A21,'Trips&amp;Operators'!$C$1:$E$10000,3,FALSE)</f>
        <v>SANTIZO</v>
      </c>
      <c r="M21" s="6">
        <f t="shared" si="16"/>
        <v>3.623842592787696E-2</v>
      </c>
      <c r="N21" s="7">
        <f t="shared" si="2"/>
        <v>52.183333336142823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04:09:10-0600',mode:absolute,to:'2016-07-17 07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23.299399999999999</v>
      </c>
      <c r="Z21" s="89">
        <f t="shared" si="23"/>
        <v>1.43E-2</v>
      </c>
      <c r="AA21" s="89">
        <f t="shared" si="24"/>
        <v>23.2851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0108-17</v>
      </c>
      <c r="AE21" s="75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21" s="75" t="str">
        <f t="shared" si="27"/>
        <v>"C:\Program Files (x86)\AstroGrep\AstroGrep.exe" /spath="C:\Users\stu\Documents\Analysis\2016-02-23 RTDC Observations" /stypes="*4032*20160717*"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485</v>
      </c>
      <c r="B22" s="7">
        <v>4014</v>
      </c>
      <c r="C22" s="26" t="s">
        <v>59</v>
      </c>
      <c r="D22" s="26" t="s">
        <v>192</v>
      </c>
      <c r="E22" s="16">
        <v>42568.195972222224</v>
      </c>
      <c r="F22" s="16">
        <v>42568.197141203702</v>
      </c>
      <c r="G22" s="7">
        <v>1</v>
      </c>
      <c r="H22" s="16" t="s">
        <v>188</v>
      </c>
      <c r="I22" s="16">
        <v>42568.222615740742</v>
      </c>
      <c r="J22" s="7">
        <v>0</v>
      </c>
      <c r="K22" s="26" t="str">
        <f t="shared" si="15"/>
        <v>4013/4014</v>
      </c>
      <c r="L22" s="26" t="str">
        <f>VLOOKUP(A22,'Trips&amp;Operators'!$C$1:$E$10000,3,FALSE)</f>
        <v>MALAVE</v>
      </c>
      <c r="M22" s="6">
        <f t="shared" si="16"/>
        <v>2.5474537040281575E-2</v>
      </c>
      <c r="N22" s="7">
        <f t="shared" si="2"/>
        <v>36.683333338005468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03:42:12-0600',mode:absolute,to:'2016-07-17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4.6199999999999998E-2</v>
      </c>
      <c r="Z22" s="89">
        <f t="shared" si="23"/>
        <v>23.329499999999999</v>
      </c>
      <c r="AA22" s="89">
        <f t="shared" si="24"/>
        <v>23.283300000000001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0109-17</v>
      </c>
      <c r="AE22" s="75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22" s="75" t="str">
        <f t="shared" si="27"/>
        <v>"C:\Program Files (x86)\AstroGrep\AstroGrep.exe" /spath="C:\Users\stu\Documents\Analysis\2016-02-23 RTDC Observations" /stypes="*4014*20160717*"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416</v>
      </c>
      <c r="B23" s="7">
        <v>4013</v>
      </c>
      <c r="C23" s="26" t="s">
        <v>59</v>
      </c>
      <c r="D23" s="26" t="s">
        <v>286</v>
      </c>
      <c r="E23" s="16">
        <v>42568.232615740744</v>
      </c>
      <c r="F23" s="16">
        <v>42568.234444444446</v>
      </c>
      <c r="G23" s="7">
        <v>2</v>
      </c>
      <c r="H23" s="16" t="s">
        <v>70</v>
      </c>
      <c r="I23" s="16">
        <v>42568.263078703705</v>
      </c>
      <c r="J23" s="7">
        <v>1</v>
      </c>
      <c r="K23" s="26" t="str">
        <f t="shared" si="15"/>
        <v>4013/4014</v>
      </c>
      <c r="L23" s="26" t="str">
        <f>VLOOKUP(A23,'Trips&amp;Operators'!$C$1:$E$10000,3,FALSE)</f>
        <v>MALAVE</v>
      </c>
      <c r="M23" s="6">
        <f t="shared" si="16"/>
        <v>2.8634259258979E-2</v>
      </c>
      <c r="N23" s="7">
        <f t="shared" si="2"/>
        <v>41.23333333292976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04:34:58-0600',mode:absolute,to:'2016-07-17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23.2957</v>
      </c>
      <c r="Z23" s="89">
        <f t="shared" si="23"/>
        <v>4.5699999999999998E-2</v>
      </c>
      <c r="AA23" s="89">
        <f t="shared" si="24"/>
        <v>23.25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0110-17</v>
      </c>
      <c r="AE23" s="75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23" s="75" t="str">
        <f t="shared" si="27"/>
        <v>"C:\Program Files (x86)\AstroGrep\AstroGrep.exe" /spath="C:\Users\stu\Documents\Analysis\2016-02-23 RTDC Observations" /stypes="*4013*20160717*"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555</v>
      </c>
      <c r="B24" s="7">
        <v>4009</v>
      </c>
      <c r="C24" s="26" t="s">
        <v>59</v>
      </c>
      <c r="D24" s="26" t="s">
        <v>563</v>
      </c>
      <c r="E24" s="16">
        <v>42568.20484953704</v>
      </c>
      <c r="F24" s="16">
        <v>42568.206273148149</v>
      </c>
      <c r="G24" s="7">
        <v>2</v>
      </c>
      <c r="H24" s="16" t="s">
        <v>359</v>
      </c>
      <c r="I24" s="16">
        <v>42568.233668981484</v>
      </c>
      <c r="J24" s="7">
        <v>0</v>
      </c>
      <c r="K24" s="26" t="str">
        <f t="shared" si="15"/>
        <v>4009/4010</v>
      </c>
      <c r="L24" s="26" t="str">
        <f>VLOOKUP(A24,'Trips&amp;Operators'!$C$1:$E$10000,3,FALSE)</f>
        <v>NELSON</v>
      </c>
      <c r="M24" s="6">
        <f t="shared" si="16"/>
        <v>2.7395833334594499E-2</v>
      </c>
      <c r="N24" s="7">
        <f t="shared" si="2"/>
        <v>39.450000001816079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03:54:59-0600',mode:absolute,to:'2016-07-17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7.5200000000000003E-2</v>
      </c>
      <c r="Z24" s="89">
        <f t="shared" si="23"/>
        <v>23.328499999999998</v>
      </c>
      <c r="AA24" s="89">
        <f t="shared" si="24"/>
        <v>23.253299999999999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0111-17</v>
      </c>
      <c r="AE24" s="75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24" s="75" t="str">
        <f t="shared" si="27"/>
        <v>"C:\Program Files (x86)\AstroGrep\AstroGrep.exe" /spath="C:\Users\stu\Documents\Analysis\2016-02-23 RTDC Observations" /stypes="*4009*20160717*"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489</v>
      </c>
      <c r="B25" s="7">
        <v>4010</v>
      </c>
      <c r="C25" s="26" t="s">
        <v>59</v>
      </c>
      <c r="D25" s="26" t="s">
        <v>256</v>
      </c>
      <c r="E25" s="16">
        <v>42568.240057870367</v>
      </c>
      <c r="F25" s="16">
        <v>42568.241331018522</v>
      </c>
      <c r="G25" s="7">
        <v>1</v>
      </c>
      <c r="H25" s="16" t="s">
        <v>200</v>
      </c>
      <c r="I25" s="16">
        <v>42568.273055555554</v>
      </c>
      <c r="J25" s="7">
        <v>0</v>
      </c>
      <c r="K25" s="26" t="str">
        <f t="shared" si="15"/>
        <v>4009/4010</v>
      </c>
      <c r="L25" s="26" t="str">
        <f>VLOOKUP(A25,'Trips&amp;Operators'!$C$1:$E$10000,3,FALSE)</f>
        <v>NELSON</v>
      </c>
      <c r="M25" s="6">
        <f t="shared" si="16"/>
        <v>3.1724537031550426E-2</v>
      </c>
      <c r="N25" s="7">
        <f t="shared" si="2"/>
        <v>45.683333325432613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04:45:41-0600',mode:absolute,to:'2016-07-17 07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23.299099999999999</v>
      </c>
      <c r="Z25" s="89">
        <f t="shared" si="23"/>
        <v>1.38E-2</v>
      </c>
      <c r="AA25" s="89">
        <f t="shared" si="24"/>
        <v>23.285299999999999</v>
      </c>
      <c r="AB25" s="86" t="e">
        <f>VLOOKUP(A25,Enforcements!$C$7:$J$23,8,0)</f>
        <v>#N/A</v>
      </c>
      <c r="AC25" s="82" t="e">
        <f>VLOOKUP(A25,Enforcements!$C$7:$E$23,3,0)</f>
        <v>#N/A</v>
      </c>
      <c r="AD25" s="83" t="str">
        <f t="shared" si="25"/>
        <v>0112-17</v>
      </c>
      <c r="AE25" s="75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25" s="75" t="str">
        <f t="shared" si="27"/>
        <v>"C:\Program Files (x86)\AstroGrep\AstroGrep.exe" /spath="C:\Users\stu\Documents\Analysis\2016-02-23 RTDC Observations" /stypes="*4010*20160717*"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518</v>
      </c>
      <c r="B26" s="7">
        <v>4016</v>
      </c>
      <c r="C26" s="26" t="s">
        <v>59</v>
      </c>
      <c r="D26" s="26" t="s">
        <v>205</v>
      </c>
      <c r="E26" s="16">
        <v>42568.217268518521</v>
      </c>
      <c r="F26" s="16">
        <v>42568.218206018515</v>
      </c>
      <c r="G26" s="7">
        <v>1</v>
      </c>
      <c r="H26" s="16" t="s">
        <v>285</v>
      </c>
      <c r="I26" s="16">
        <v>42568.243831018517</v>
      </c>
      <c r="J26" s="7">
        <v>0</v>
      </c>
      <c r="K26" s="26" t="str">
        <f t="shared" si="15"/>
        <v>4015/4016</v>
      </c>
      <c r="L26" s="26" t="str">
        <f>VLOOKUP(A26,'Trips&amp;Operators'!$C$1:$E$10000,3,FALSE)</f>
        <v>ROCHA</v>
      </c>
      <c r="M26" s="6">
        <f t="shared" si="16"/>
        <v>2.5625000002037268E-2</v>
      </c>
      <c r="N26" s="7">
        <f t="shared" si="2"/>
        <v>36.900000002933666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04:12:52-0600',mode:absolute,to:'2016-07-17 06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6" s="74" t="str">
        <f t="shared" si="20"/>
        <v>N</v>
      </c>
      <c r="X26" s="92">
        <f t="shared" si="21"/>
        <v>1</v>
      </c>
      <c r="Y26" s="89">
        <f t="shared" si="22"/>
        <v>4.4699999999999997E-2</v>
      </c>
      <c r="Z26" s="89">
        <f t="shared" si="23"/>
        <v>23.328600000000002</v>
      </c>
      <c r="AA26" s="89">
        <f t="shared" si="24"/>
        <v>23.283900000000003</v>
      </c>
      <c r="AB26" s="86" t="e">
        <f>VLOOKUP(A26,Enforcements!$C$7:$J$23,8,0)</f>
        <v>#N/A</v>
      </c>
      <c r="AC26" s="82" t="e">
        <f>VLOOKUP(A26,Enforcements!$C$7:$E$23,3,0)</f>
        <v>#N/A</v>
      </c>
      <c r="AD26" s="83" t="str">
        <f t="shared" si="25"/>
        <v>0113-17</v>
      </c>
      <c r="AE26" s="75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26" s="75" t="str">
        <f t="shared" si="27"/>
        <v>"C:\Program Files (x86)\AstroGrep\AstroGrep.exe" /spath="C:\Users\stu\Documents\Analysis\2016-02-23 RTDC Observations" /stypes="*4016*20160717*"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417</v>
      </c>
      <c r="B27" s="7">
        <v>4015</v>
      </c>
      <c r="C27" s="26" t="s">
        <v>59</v>
      </c>
      <c r="D27" s="26" t="s">
        <v>213</v>
      </c>
      <c r="E27" s="16">
        <v>42568.25681712963</v>
      </c>
      <c r="F27" s="16">
        <v>42568.257685185185</v>
      </c>
      <c r="G27" s="7">
        <v>1</v>
      </c>
      <c r="H27" s="16" t="s">
        <v>71</v>
      </c>
      <c r="I27" s="16">
        <v>42568.283692129633</v>
      </c>
      <c r="J27" s="7">
        <v>1</v>
      </c>
      <c r="K27" s="26" t="str">
        <f t="shared" si="15"/>
        <v>4015/4016</v>
      </c>
      <c r="L27" s="26" t="str">
        <f>VLOOKUP(A27,'Trips&amp;Operators'!$C$1:$E$10000,3,FALSE)</f>
        <v>ROCHA</v>
      </c>
      <c r="M27" s="6">
        <f t="shared" si="16"/>
        <v>2.6006944448454306E-2</v>
      </c>
      <c r="N27" s="7">
        <f t="shared" si="2"/>
        <v>37.4500000057742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05:09:49-0600',mode:absolute,to:'2016-07-17 07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23.298400000000001</v>
      </c>
      <c r="Z27" s="89">
        <f t="shared" si="23"/>
        <v>1.49E-2</v>
      </c>
      <c r="AA27" s="89">
        <f t="shared" si="24"/>
        <v>23.2835</v>
      </c>
      <c r="AB27" s="86">
        <f>VLOOKUP(A27,Enforcements!$C$7:$J$23,8,0)</f>
        <v>30562</v>
      </c>
      <c r="AC27" s="82" t="str">
        <f>VLOOKUP(A27,Enforcements!$C$7:$E$23,3,0)</f>
        <v>PERMANENT SPEED RESTRICTION</v>
      </c>
      <c r="AD27" s="83" t="str">
        <f t="shared" si="25"/>
        <v>0114-17</v>
      </c>
      <c r="AE27" s="75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27" s="75" t="str">
        <f t="shared" si="27"/>
        <v>"C:\Program Files (x86)\AstroGrep\AstroGrep.exe" /spath="C:\Users\stu\Documents\Analysis\2016-02-23 RTDC Observations" /stypes="*4015*20160717*"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480</v>
      </c>
      <c r="B28" s="7">
        <v>4042</v>
      </c>
      <c r="C28" s="26" t="s">
        <v>59</v>
      </c>
      <c r="D28" s="26" t="s">
        <v>567</v>
      </c>
      <c r="E28" s="16">
        <v>42568.224814814814</v>
      </c>
      <c r="F28" s="16">
        <v>42568.225810185184</v>
      </c>
      <c r="G28" s="7">
        <v>1</v>
      </c>
      <c r="H28" s="16" t="s">
        <v>179</v>
      </c>
      <c r="I28" s="16">
        <v>42568.253865740742</v>
      </c>
      <c r="J28" s="7">
        <v>0</v>
      </c>
      <c r="K28" s="26" t="str">
        <f t="shared" si="15"/>
        <v>4041/4042</v>
      </c>
      <c r="L28" s="26" t="str">
        <f>VLOOKUP(A28,'Trips&amp;Operators'!$C$1:$E$10000,3,FALSE)</f>
        <v>YORK</v>
      </c>
      <c r="M28" s="6">
        <f t="shared" si="16"/>
        <v>2.8055555558239575E-2</v>
      </c>
      <c r="N28" s="7">
        <f t="shared" si="2"/>
        <v>40.400000003864989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04:23:44-0600',mode:absolute,to:'2016-07-17 07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6.4600000000000005E-2</v>
      </c>
      <c r="Z28" s="89">
        <f t="shared" si="23"/>
        <v>23.3276</v>
      </c>
      <c r="AA28" s="89">
        <f t="shared" si="24"/>
        <v>23.263000000000002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0115-17</v>
      </c>
      <c r="AE28" s="75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28" s="75" t="str">
        <f t="shared" si="27"/>
        <v>"C:\Program Files (x86)\AstroGrep\AstroGrep.exe" /spath="C:\Users\stu\Documents\Analysis\2016-02-23 RTDC Observations" /stypes="*4042*20160717*"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490</v>
      </c>
      <c r="B29" s="7">
        <v>4041</v>
      </c>
      <c r="C29" s="26" t="s">
        <v>59</v>
      </c>
      <c r="D29" s="26" t="s">
        <v>286</v>
      </c>
      <c r="E29" s="16">
        <v>42568.256458333337</v>
      </c>
      <c r="F29" s="16">
        <v>42568.257627314815</v>
      </c>
      <c r="G29" s="7">
        <v>1</v>
      </c>
      <c r="H29" s="16" t="s">
        <v>372</v>
      </c>
      <c r="I29" s="16">
        <v>42568.293263888889</v>
      </c>
      <c r="J29" s="7">
        <v>0</v>
      </c>
      <c r="K29" s="26" t="str">
        <f t="shared" si="15"/>
        <v>4041/4042</v>
      </c>
      <c r="L29" s="26" t="str">
        <f>VLOOKUP(A29,'Trips&amp;Operators'!$C$1:$E$10000,3,FALSE)</f>
        <v>YORK</v>
      </c>
      <c r="M29" s="6">
        <f t="shared" si="16"/>
        <v>3.5636574073578231E-2</v>
      </c>
      <c r="N29" s="7">
        <f t="shared" si="2"/>
        <v>51.316666665952653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05:09:18-0600',mode:absolute,to:'2016-07-17 08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23.2957</v>
      </c>
      <c r="Z29" s="89">
        <f t="shared" si="23"/>
        <v>1.67E-2</v>
      </c>
      <c r="AA29" s="89">
        <f t="shared" si="24"/>
        <v>23.279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0116-17</v>
      </c>
      <c r="AE29" s="75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29" s="75" t="str">
        <f t="shared" si="27"/>
        <v>"C:\Program Files (x86)\AstroGrep\AstroGrep.exe" /spath="C:\Users\stu\Documents\Analysis\2016-02-23 RTDC Observations" /stypes="*4041*20160717*"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488</v>
      </c>
      <c r="B30" s="7">
        <v>4027</v>
      </c>
      <c r="C30" s="26" t="s">
        <v>59</v>
      </c>
      <c r="D30" s="26" t="s">
        <v>568</v>
      </c>
      <c r="E30" s="16">
        <v>42568.233414351853</v>
      </c>
      <c r="F30" s="16">
        <v>42568.234675925924</v>
      </c>
      <c r="G30" s="7">
        <v>1</v>
      </c>
      <c r="H30" s="16" t="s">
        <v>254</v>
      </c>
      <c r="I30" s="16">
        <v>42568.264675925922</v>
      </c>
      <c r="J30" s="7">
        <v>0</v>
      </c>
      <c r="K30" s="26" t="str">
        <f t="shared" si="15"/>
        <v>4027/4028</v>
      </c>
      <c r="L30" s="26" t="str">
        <f>VLOOKUP(A30,'Trips&amp;Operators'!$C$1:$E$10000,3,FALSE)</f>
        <v>ACKERMAN</v>
      </c>
      <c r="M30" s="6">
        <f t="shared" si="16"/>
        <v>2.9999999998835847E-2</v>
      </c>
      <c r="N30" s="7">
        <f t="shared" si="2"/>
        <v>43.199999998323619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04:36:07-0600',mode:absolute,to:'2016-07-17 07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3.4000000000000002E-2</v>
      </c>
      <c r="Z30" s="89">
        <f t="shared" si="23"/>
        <v>23.3293</v>
      </c>
      <c r="AA30" s="89">
        <f t="shared" si="24"/>
        <v>23.295300000000001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0117-17</v>
      </c>
      <c r="AE30" s="75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30" s="75" t="str">
        <f t="shared" si="27"/>
        <v>"C:\Program Files (x86)\AstroGrep\AstroGrep.exe" /spath="C:\Users\stu\Documents\Analysis\2016-02-23 RTDC Observations" /stypes="*4027*20160717*"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419</v>
      </c>
      <c r="B31" s="7">
        <v>4028</v>
      </c>
      <c r="C31" s="26" t="s">
        <v>59</v>
      </c>
      <c r="D31" s="26" t="s">
        <v>207</v>
      </c>
      <c r="E31" s="16">
        <v>42568.271840277775</v>
      </c>
      <c r="F31" s="16">
        <v>42568.272951388892</v>
      </c>
      <c r="G31" s="7">
        <v>1</v>
      </c>
      <c r="H31" s="16" t="s">
        <v>407</v>
      </c>
      <c r="I31" s="16">
        <v>42568.304085648146</v>
      </c>
      <c r="J31" s="7">
        <v>1</v>
      </c>
      <c r="K31" s="26" t="str">
        <f t="shared" si="15"/>
        <v>4027/4028</v>
      </c>
      <c r="L31" s="26" t="str">
        <f>VLOOKUP(A31,'Trips&amp;Operators'!$C$1:$E$10000,3,FALSE)</f>
        <v>ACKERMAN</v>
      </c>
      <c r="M31" s="6">
        <f t="shared" si="16"/>
        <v>3.1134259254031349E-2</v>
      </c>
      <c r="N31" s="7">
        <f t="shared" si="2"/>
        <v>44.833333325805143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05:31:27-0600',mode:absolute,to:'2016-07-17 08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23.299399999999999</v>
      </c>
      <c r="Z31" s="89">
        <f t="shared" si="23"/>
        <v>1.1900000000000001E-2</v>
      </c>
      <c r="AA31" s="89">
        <f t="shared" si="24"/>
        <v>23.287499999999998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0118-17</v>
      </c>
      <c r="AE31" s="75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31" s="75" t="str">
        <f t="shared" si="27"/>
        <v>"C:\Program Files (x86)\AstroGrep\AstroGrep.exe" /spath="C:\Users\stu\Documents\Analysis\2016-02-23 RTDC Observations" /stypes="*4028*20160717*"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516</v>
      </c>
      <c r="B32" s="7">
        <v>4007</v>
      </c>
      <c r="C32" s="26" t="s">
        <v>59</v>
      </c>
      <c r="D32" s="26" t="s">
        <v>569</v>
      </c>
      <c r="E32" s="16">
        <v>42568.247615740744</v>
      </c>
      <c r="F32" s="16">
        <v>42568.248842592591</v>
      </c>
      <c r="G32" s="7">
        <v>1</v>
      </c>
      <c r="H32" s="16" t="s">
        <v>187</v>
      </c>
      <c r="I32" s="16">
        <v>42568.274791666663</v>
      </c>
      <c r="J32" s="7">
        <v>0</v>
      </c>
      <c r="K32" s="26" t="str">
        <f t="shared" si="15"/>
        <v>4007/4008</v>
      </c>
      <c r="L32" s="26" t="str">
        <f>VLOOKUP(A32,'Trips&amp;Operators'!$C$1:$E$10000,3,FALSE)</f>
        <v>MAELZER</v>
      </c>
      <c r="M32" s="6">
        <f t="shared" si="16"/>
        <v>2.5949074071832001E-2</v>
      </c>
      <c r="N32" s="7">
        <f t="shared" si="2"/>
        <v>37.366666663438082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04:56:34-0600',mode:absolute,to:'2016-07-17 07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7.5499999999999998E-2</v>
      </c>
      <c r="Z32" s="89">
        <f t="shared" si="23"/>
        <v>23.331</v>
      </c>
      <c r="AA32" s="89">
        <f t="shared" si="24"/>
        <v>23.255499999999998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0119-17</v>
      </c>
      <c r="AE32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32" s="75" t="str">
        <f t="shared" si="27"/>
        <v>"C:\Program Files (x86)\AstroGrep\AstroGrep.exe" /spath="C:\Users\stu\Documents\Analysis\2016-02-23 RTDC Observations" /stypes="*4007*20160717*"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515</v>
      </c>
      <c r="B33" s="7">
        <v>4008</v>
      </c>
      <c r="C33" s="26" t="s">
        <v>59</v>
      </c>
      <c r="D33" s="26" t="s">
        <v>360</v>
      </c>
      <c r="E33" s="16">
        <v>42568.285381944443</v>
      </c>
      <c r="F33" s="16">
        <v>42568.286585648151</v>
      </c>
      <c r="G33" s="7">
        <v>1</v>
      </c>
      <c r="H33" s="16" t="s">
        <v>125</v>
      </c>
      <c r="I33" s="16">
        <v>42568.314386574071</v>
      </c>
      <c r="J33" s="7">
        <v>0</v>
      </c>
      <c r="K33" s="26" t="str">
        <f t="shared" si="15"/>
        <v>4007/4008</v>
      </c>
      <c r="L33" s="26" t="str">
        <f>VLOOKUP(A33,'Trips&amp;Operators'!$C$1:$E$10000,3,FALSE)</f>
        <v>MAELZER</v>
      </c>
      <c r="M33" s="6">
        <f t="shared" si="16"/>
        <v>2.7800925920018926E-2</v>
      </c>
      <c r="N33" s="7">
        <f t="shared" si="2"/>
        <v>40.033333324827254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05:50:57-0600',mode:absolute,to:'2016-07-17 08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23.296600000000002</v>
      </c>
      <c r="Z33" s="89">
        <f t="shared" si="23"/>
        <v>1.5599999999999999E-2</v>
      </c>
      <c r="AA33" s="89">
        <f t="shared" si="24"/>
        <v>23.281000000000002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0120-17</v>
      </c>
      <c r="AE33" s="75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33" s="75" t="str">
        <f t="shared" si="27"/>
        <v>"C:\Program Files (x86)\AstroGrep\AstroGrep.exe" /spath="C:\Users\stu\Documents\Analysis\2016-02-23 RTDC Observations" /stypes="*4008*20160717*"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479</v>
      </c>
      <c r="B34" s="7">
        <v>4031</v>
      </c>
      <c r="C34" s="26" t="s">
        <v>59</v>
      </c>
      <c r="D34" s="26" t="s">
        <v>365</v>
      </c>
      <c r="E34" s="16">
        <v>42568.2578587963</v>
      </c>
      <c r="F34" s="16">
        <v>42568.259085648147</v>
      </c>
      <c r="G34" s="7">
        <v>1</v>
      </c>
      <c r="H34" s="16" t="s">
        <v>189</v>
      </c>
      <c r="I34" s="16">
        <v>42568.285682870373</v>
      </c>
      <c r="J34" s="7">
        <v>0</v>
      </c>
      <c r="K34" s="26" t="str">
        <f t="shared" si="15"/>
        <v>4031/4032</v>
      </c>
      <c r="L34" s="26" t="str">
        <f>VLOOKUP(A34,'Trips&amp;Operators'!$C$1:$E$10000,3,FALSE)</f>
        <v>SANTIZO</v>
      </c>
      <c r="M34" s="6">
        <f t="shared" si="16"/>
        <v>2.6597222225973383E-2</v>
      </c>
      <c r="N34" s="7">
        <f t="shared" si="2"/>
        <v>38.300000005401671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05:11:19-0600',mode:absolute,to:'2016-07-17 07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4.6699999999999998E-2</v>
      </c>
      <c r="Z34" s="89">
        <f t="shared" si="23"/>
        <v>23.329699999999999</v>
      </c>
      <c r="AA34" s="89">
        <f t="shared" si="24"/>
        <v>23.282999999999998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0121-17</v>
      </c>
      <c r="AE34" s="75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34" s="75" t="str">
        <f t="shared" si="27"/>
        <v>"C:\Program Files (x86)\AstroGrep\AstroGrep.exe" /spath="C:\Users\stu\Documents\Analysis\2016-02-23 RTDC Observations" /stypes="*4031*20160717*"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514</v>
      </c>
      <c r="B35" s="7">
        <v>4032</v>
      </c>
      <c r="C35" s="26" t="s">
        <v>59</v>
      </c>
      <c r="D35" s="26" t="s">
        <v>239</v>
      </c>
      <c r="E35" s="16">
        <v>42568.286446759259</v>
      </c>
      <c r="F35" s="16">
        <v>42568.287453703706</v>
      </c>
      <c r="G35" s="7">
        <v>1</v>
      </c>
      <c r="H35" s="16" t="s">
        <v>183</v>
      </c>
      <c r="I35" s="16">
        <v>42568.324629629627</v>
      </c>
      <c r="J35" s="7">
        <v>0</v>
      </c>
      <c r="K35" s="26" t="str">
        <f t="shared" si="15"/>
        <v>4031/4032</v>
      </c>
      <c r="L35" s="26" t="str">
        <f>VLOOKUP(A35,'Trips&amp;Operators'!$C$1:$E$10000,3,FALSE)</f>
        <v>SANTIZO</v>
      </c>
      <c r="M35" s="6">
        <f t="shared" si="16"/>
        <v>3.7175925921474118E-2</v>
      </c>
      <c r="N35" s="7">
        <f t="shared" si="2"/>
        <v>53.53333332692273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05:52:29-0600',mode:absolute,to:'2016-07-17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23.2971</v>
      </c>
      <c r="Z35" s="89">
        <f t="shared" si="23"/>
        <v>1.54E-2</v>
      </c>
      <c r="AA35" s="89">
        <f t="shared" si="24"/>
        <v>23.281700000000001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0122-17</v>
      </c>
      <c r="AE35" s="75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35" s="75" t="str">
        <f t="shared" si="27"/>
        <v>"C:\Program Files (x86)\AstroGrep\AstroGrep.exe" /spath="C:\Users\stu\Documents\Analysis\2016-02-23 RTDC Observations" /stypes="*4032*20160717*"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418</v>
      </c>
      <c r="B36" s="7">
        <v>4014</v>
      </c>
      <c r="C36" s="26" t="s">
        <v>59</v>
      </c>
      <c r="D36" s="26" t="s">
        <v>563</v>
      </c>
      <c r="E36" s="16">
        <v>42568.269918981481</v>
      </c>
      <c r="F36" s="16">
        <v>42568.270821759259</v>
      </c>
      <c r="G36" s="7">
        <v>1</v>
      </c>
      <c r="H36" s="16" t="s">
        <v>222</v>
      </c>
      <c r="I36" s="16">
        <v>42568.295787037037</v>
      </c>
      <c r="J36" s="7">
        <v>1</v>
      </c>
      <c r="K36" s="26" t="str">
        <f t="shared" si="15"/>
        <v>4013/4014</v>
      </c>
      <c r="L36" s="26" t="str">
        <f>VLOOKUP(A36,'Trips&amp;Operators'!$C$1:$E$10000,3,FALSE)</f>
        <v>MALAVE</v>
      </c>
      <c r="M36" s="6">
        <f t="shared" si="16"/>
        <v>2.4965277778392192E-2</v>
      </c>
      <c r="N36" s="7">
        <f t="shared" si="2"/>
        <v>35.950000000884756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05:28:41-0600',mode:absolute,to:'2016-07-17 08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7.5200000000000003E-2</v>
      </c>
      <c r="Z36" s="89">
        <f t="shared" si="23"/>
        <v>23.330400000000001</v>
      </c>
      <c r="AA36" s="89">
        <f t="shared" si="24"/>
        <v>23.255200000000002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0123-17</v>
      </c>
      <c r="AE36" s="75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36" s="75" t="str">
        <f t="shared" si="27"/>
        <v>"C:\Program Files (x86)\AstroGrep\AstroGrep.exe" /spath="C:\Users\stu\Documents\Analysis\2016-02-23 RTDC Observations" /stypes="*4014*20160717*"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476</v>
      </c>
      <c r="B37" s="7">
        <v>4013</v>
      </c>
      <c r="C37" s="26" t="s">
        <v>59</v>
      </c>
      <c r="D37" s="26" t="s">
        <v>373</v>
      </c>
      <c r="E37" s="16">
        <v>42568.308287037034</v>
      </c>
      <c r="F37" s="16">
        <v>42568.309236111112</v>
      </c>
      <c r="G37" s="7">
        <v>1</v>
      </c>
      <c r="H37" s="16" t="s">
        <v>364</v>
      </c>
      <c r="I37" s="16">
        <v>42568.335787037038</v>
      </c>
      <c r="J37" s="7">
        <v>0</v>
      </c>
      <c r="K37" s="26" t="str">
        <f t="shared" si="15"/>
        <v>4013/4014</v>
      </c>
      <c r="L37" s="26" t="str">
        <f>VLOOKUP(A37,'Trips&amp;Operators'!$C$1:$E$10000,3,FALSE)</f>
        <v>MALAVE</v>
      </c>
      <c r="M37" s="6">
        <f t="shared" si="16"/>
        <v>2.6550925926130731E-2</v>
      </c>
      <c r="N37" s="7">
        <f t="shared" si="2"/>
        <v>38.233333333628252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06:23:56-0600',mode:absolute,to:'2016-07-17 09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23.297599999999999</v>
      </c>
      <c r="Z37" s="89">
        <f t="shared" si="23"/>
        <v>1.6500000000000001E-2</v>
      </c>
      <c r="AA37" s="89">
        <f t="shared" si="24"/>
        <v>23.281099999999999</v>
      </c>
      <c r="AB37" s="86" t="e">
        <f>VLOOKUP(A37,Enforcements!$C$7:$J$23,8,0)</f>
        <v>#N/A</v>
      </c>
      <c r="AC37" s="82" t="e">
        <f>VLOOKUP(A37,Enforcements!$C$7:$E$23,3,0)</f>
        <v>#N/A</v>
      </c>
      <c r="AD37" s="83" t="str">
        <f t="shared" si="25"/>
        <v>0124-17</v>
      </c>
      <c r="AE37" s="75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37" s="75" t="str">
        <f t="shared" si="27"/>
        <v>"C:\Program Files (x86)\AstroGrep\AstroGrep.exe" /spath="C:\Users\stu\Documents\Analysis\2016-02-23 RTDC Observations" /stypes="*4013*20160717*"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520</v>
      </c>
      <c r="B38" s="7">
        <v>4009</v>
      </c>
      <c r="C38" s="26" t="s">
        <v>59</v>
      </c>
      <c r="D38" s="26" t="s">
        <v>367</v>
      </c>
      <c r="E38" s="16">
        <v>42568.274710648147</v>
      </c>
      <c r="F38" s="16">
        <v>42568.275729166664</v>
      </c>
      <c r="G38" s="7">
        <v>1</v>
      </c>
      <c r="H38" s="16" t="s">
        <v>229</v>
      </c>
      <c r="I38" s="16">
        <v>42568.305983796294</v>
      </c>
      <c r="J38" s="7">
        <v>0</v>
      </c>
      <c r="K38" s="26" t="str">
        <f t="shared" si="15"/>
        <v>4009/4010</v>
      </c>
      <c r="L38" s="26" t="str">
        <f>VLOOKUP(A38,'Trips&amp;Operators'!$C$1:$E$10000,3,FALSE)</f>
        <v>NELSON</v>
      </c>
      <c r="M38" s="6">
        <f t="shared" si="16"/>
        <v>3.0254629629780538E-2</v>
      </c>
      <c r="N38" s="7">
        <f t="shared" si="2"/>
        <v>43.566666666883975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05:35:35-0600',mode:absolute,to:'2016-07-17 08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4.4600000000000001E-2</v>
      </c>
      <c r="Z38" s="89">
        <f t="shared" si="23"/>
        <v>23.331099999999999</v>
      </c>
      <c r="AA38" s="89">
        <f t="shared" si="24"/>
        <v>23.2865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0125-17</v>
      </c>
      <c r="AE38" s="75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38" s="75" t="str">
        <f t="shared" si="27"/>
        <v>"C:\Program Files (x86)\AstroGrep\AstroGrep.exe" /spath="C:\Users\stu\Documents\Analysis\2016-02-23 RTDC Observations" /stypes="*4009*20160717*"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522</v>
      </c>
      <c r="B39" s="7">
        <v>4010</v>
      </c>
      <c r="C39" s="26" t="s">
        <v>59</v>
      </c>
      <c r="D39" s="26" t="s">
        <v>258</v>
      </c>
      <c r="E39" s="16">
        <v>42568.313101851854</v>
      </c>
      <c r="F39" s="16">
        <v>42568.314027777778</v>
      </c>
      <c r="G39" s="7">
        <v>1</v>
      </c>
      <c r="H39" s="16" t="s">
        <v>60</v>
      </c>
      <c r="I39" s="16">
        <v>42568.345659722225</v>
      </c>
      <c r="J39" s="7">
        <v>0</v>
      </c>
      <c r="K39" s="26" t="str">
        <f t="shared" si="15"/>
        <v>4009/4010</v>
      </c>
      <c r="L39" s="26" t="str">
        <f>VLOOKUP(A39,'Trips&amp;Operators'!$C$1:$E$10000,3,FALSE)</f>
        <v>NELSON</v>
      </c>
      <c r="M39" s="6">
        <f t="shared" si="16"/>
        <v>3.1631944446417037E-2</v>
      </c>
      <c r="N39" s="7">
        <f t="shared" si="2"/>
        <v>45.550000002840534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06:30:52-0600',mode:absolute,to:'2016-07-17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23.297799999999999</v>
      </c>
      <c r="Z39" s="89">
        <f t="shared" si="23"/>
        <v>1.4500000000000001E-2</v>
      </c>
      <c r="AA39" s="89">
        <f t="shared" si="24"/>
        <v>23.283299999999997</v>
      </c>
      <c r="AB39" s="86" t="e">
        <f>VLOOKUP(A39,Enforcements!$C$7:$J$23,8,0)</f>
        <v>#N/A</v>
      </c>
      <c r="AC39" s="82" t="e">
        <f>VLOOKUP(A39,Enforcements!$C$7:$E$23,3,0)</f>
        <v>#N/A</v>
      </c>
      <c r="AD39" s="83" t="str">
        <f t="shared" si="25"/>
        <v>0126-17</v>
      </c>
      <c r="AE39" s="75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39" s="75" t="str">
        <f t="shared" si="27"/>
        <v>"C:\Program Files (x86)\AstroGrep\AstroGrep.exe" /spath="C:\Users\stu\Documents\Analysis\2016-02-23 RTDC Observations" /stypes="*4010*20160717*"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493</v>
      </c>
      <c r="B40" s="7">
        <v>4016</v>
      </c>
      <c r="C40" s="26" t="s">
        <v>59</v>
      </c>
      <c r="D40" s="26" t="s">
        <v>410</v>
      </c>
      <c r="E40" s="16">
        <v>42568.288194444445</v>
      </c>
      <c r="F40" s="16">
        <v>42568.289143518516</v>
      </c>
      <c r="G40" s="7">
        <v>1</v>
      </c>
      <c r="H40" s="16" t="s">
        <v>404</v>
      </c>
      <c r="I40" s="16">
        <v>42568.317731481482</v>
      </c>
      <c r="J40" s="7">
        <v>0</v>
      </c>
      <c r="K40" s="26" t="str">
        <f t="shared" si="15"/>
        <v>4015/4016</v>
      </c>
      <c r="L40" s="26" t="str">
        <f>VLOOKUP(A40,'Trips&amp;Operators'!$C$1:$E$10000,3,FALSE)</f>
        <v>STARKS</v>
      </c>
      <c r="M40" s="6">
        <f t="shared" si="16"/>
        <v>2.8587962966412306E-2</v>
      </c>
      <c r="N40" s="7">
        <f t="shared" si="2"/>
        <v>41.16666667163372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05:55:00-0600',mode:absolute,to:'2016-07-17 08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4.8399999999999999E-2</v>
      </c>
      <c r="Z40" s="89">
        <f t="shared" si="23"/>
        <v>23.332899999999999</v>
      </c>
      <c r="AA40" s="89">
        <f t="shared" si="24"/>
        <v>23.284499999999998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0127-17</v>
      </c>
      <c r="AE40" s="75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40" s="75" t="str">
        <f t="shared" si="27"/>
        <v>"C:\Program Files (x86)\AstroGrep\AstroGrep.exe" /spath="C:\Users\stu\Documents\Analysis\2016-02-23 RTDC Observations" /stypes="*4016*20160717*"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420</v>
      </c>
      <c r="B41" s="7">
        <v>4015</v>
      </c>
      <c r="C41" s="26" t="s">
        <v>59</v>
      </c>
      <c r="D41" s="26" t="s">
        <v>201</v>
      </c>
      <c r="E41" s="16">
        <v>42568.328356481485</v>
      </c>
      <c r="F41" s="16">
        <v>42568.329652777778</v>
      </c>
      <c r="G41" s="7">
        <v>1</v>
      </c>
      <c r="H41" s="16" t="s">
        <v>570</v>
      </c>
      <c r="I41" s="16">
        <v>42568.356620370374</v>
      </c>
      <c r="J41" s="7">
        <v>1</v>
      </c>
      <c r="K41" s="26" t="str">
        <f t="shared" si="15"/>
        <v>4015/4016</v>
      </c>
      <c r="L41" s="26" t="str">
        <f>VLOOKUP(A41,'Trips&amp;Operators'!$C$1:$E$10000,3,FALSE)</f>
        <v>STARKS</v>
      </c>
      <c r="M41" s="6">
        <f t="shared" si="16"/>
        <v>2.6967592595610768E-2</v>
      </c>
      <c r="N41" s="7">
        <f t="shared" si="2"/>
        <v>38.833333337679505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06:52:50-0600',mode:absolute,to:'2016-07-17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23.299299999999999</v>
      </c>
      <c r="Z41" s="89">
        <f t="shared" si="23"/>
        <v>2.0899999999999998E-2</v>
      </c>
      <c r="AA41" s="89">
        <f t="shared" si="24"/>
        <v>23.278399999999998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0128-17</v>
      </c>
      <c r="AE41" s="75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41" s="75" t="str">
        <f t="shared" si="27"/>
        <v>"C:\Program Files (x86)\AstroGrep\AstroGrep.exe" /spath="C:\Users\stu\Documents\Analysis\2016-02-23 RTDC Observations" /stypes="*4015*20160717*"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521</v>
      </c>
      <c r="B42" s="7">
        <v>4042</v>
      </c>
      <c r="C42" s="26" t="s">
        <v>59</v>
      </c>
      <c r="D42" s="26" t="s">
        <v>66</v>
      </c>
      <c r="E42" s="16">
        <v>42568.294050925928</v>
      </c>
      <c r="F42" s="16">
        <v>42568.294918981483</v>
      </c>
      <c r="G42" s="7">
        <v>1</v>
      </c>
      <c r="H42" s="16" t="s">
        <v>254</v>
      </c>
      <c r="I42" s="16">
        <v>42568.326423611114</v>
      </c>
      <c r="J42" s="7">
        <v>0</v>
      </c>
      <c r="K42" s="26" t="str">
        <f t="shared" si="15"/>
        <v>4041/4042</v>
      </c>
      <c r="L42" s="26" t="str">
        <f>VLOOKUP(A42,'Trips&amp;Operators'!$C$1:$E$10000,3,FALSE)</f>
        <v>YORK</v>
      </c>
      <c r="M42" s="6">
        <f t="shared" si="16"/>
        <v>3.1504629630944692E-2</v>
      </c>
      <c r="N42" s="7">
        <f t="shared" si="2"/>
        <v>45.366666668560356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06:03:26-0600',mode:absolute,to:'2016-07-17 08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4.5999999999999999E-2</v>
      </c>
      <c r="Z42" s="89">
        <f t="shared" si="23"/>
        <v>23.3293</v>
      </c>
      <c r="AA42" s="89">
        <f t="shared" si="24"/>
        <v>23.283300000000001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0129-17</v>
      </c>
      <c r="AE42" s="75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42" s="75" t="str">
        <f t="shared" si="27"/>
        <v>"C:\Program Files (x86)\AstroGrep\AstroGrep.exe" /spath="C:\Users\stu\Documents\Analysis\2016-02-23 RTDC Observations" /stypes="*4042*20160717*"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553</v>
      </c>
      <c r="B43" s="7">
        <v>4041</v>
      </c>
      <c r="C43" s="26" t="s">
        <v>59</v>
      </c>
      <c r="D43" s="26" t="s">
        <v>239</v>
      </c>
      <c r="E43" s="16">
        <v>42568.327349537038</v>
      </c>
      <c r="F43" s="16">
        <v>42568.327951388892</v>
      </c>
      <c r="G43" s="7">
        <v>0</v>
      </c>
      <c r="H43" s="16" t="s">
        <v>220</v>
      </c>
      <c r="I43" s="16">
        <v>42568.366041666668</v>
      </c>
      <c r="J43" s="7">
        <v>0</v>
      </c>
      <c r="K43" s="26" t="str">
        <f t="shared" si="15"/>
        <v>4041/4042</v>
      </c>
      <c r="L43" s="26" t="str">
        <f>VLOOKUP(A43,'Trips&amp;Operators'!$C$1:$E$10000,3,FALSE)</f>
        <v>YORK</v>
      </c>
      <c r="M43" s="6">
        <f t="shared" si="16"/>
        <v>3.8090277776063886E-2</v>
      </c>
      <c r="N43" s="7">
        <f t="shared" si="2"/>
        <v>54.849999997531995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06:51:23-0600',mode:absolute,to:'2016-07-17 09:47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23.2971</v>
      </c>
      <c r="Z43" s="89">
        <f t="shared" si="23"/>
        <v>1.41E-2</v>
      </c>
      <c r="AA43" s="89">
        <f t="shared" si="24"/>
        <v>23.283000000000001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0130-17</v>
      </c>
      <c r="AE43" s="75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43" s="75" t="str">
        <f t="shared" si="27"/>
        <v>"C:\Program Files (x86)\AstroGrep\AstroGrep.exe" /spath="C:\Users\stu\Documents\Analysis\2016-02-23 RTDC Observations" /stypes="*4041*20160717*"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477</v>
      </c>
      <c r="B44" s="7">
        <v>4027</v>
      </c>
      <c r="C44" s="26" t="s">
        <v>59</v>
      </c>
      <c r="D44" s="26" t="s">
        <v>367</v>
      </c>
      <c r="E44" s="16">
        <v>42568.306180555555</v>
      </c>
      <c r="F44" s="16">
        <v>42568.307210648149</v>
      </c>
      <c r="G44" s="7">
        <v>1</v>
      </c>
      <c r="H44" s="16" t="s">
        <v>357</v>
      </c>
      <c r="I44" s="16">
        <v>42568.337905092594</v>
      </c>
      <c r="J44" s="7">
        <v>0</v>
      </c>
      <c r="K44" s="26" t="str">
        <f t="shared" si="15"/>
        <v>4027/4028</v>
      </c>
      <c r="L44" s="26" t="str">
        <f>VLOOKUP(A44,'Trips&amp;Operators'!$C$1:$E$10000,3,FALSE)</f>
        <v>ACKERMAN</v>
      </c>
      <c r="M44" s="6">
        <f t="shared" si="16"/>
        <v>3.0694444445543922E-2</v>
      </c>
      <c r="N44" s="7">
        <f t="shared" si="2"/>
        <v>44.200000001583248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06:20:54-0600',mode:absolute,to:'2016-07-17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4.4600000000000001E-2</v>
      </c>
      <c r="Z44" s="89">
        <f t="shared" si="23"/>
        <v>23.333200000000001</v>
      </c>
      <c r="AA44" s="89">
        <f t="shared" si="24"/>
        <v>23.288600000000002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0131-17</v>
      </c>
      <c r="AE44" s="75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44" s="75" t="str">
        <f t="shared" si="27"/>
        <v>"C:\Program Files (x86)\AstroGrep\AstroGrep.exe" /spath="C:\Users\stu\Documents\Analysis\2016-02-23 RTDC Observations" /stypes="*4027*20160717*"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421</v>
      </c>
      <c r="B45" s="7">
        <v>4028</v>
      </c>
      <c r="C45" s="26" t="s">
        <v>59</v>
      </c>
      <c r="D45" s="26" t="s">
        <v>201</v>
      </c>
      <c r="E45" s="16">
        <v>42568.345104166663</v>
      </c>
      <c r="F45" s="16">
        <v>42568.34611111111</v>
      </c>
      <c r="G45" s="7">
        <v>1</v>
      </c>
      <c r="H45" s="16" t="s">
        <v>571</v>
      </c>
      <c r="I45" s="16">
        <v>42568.377187500002</v>
      </c>
      <c r="J45" s="7">
        <v>1</v>
      </c>
      <c r="K45" s="26" t="str">
        <f t="shared" si="15"/>
        <v>4027/4028</v>
      </c>
      <c r="L45" s="26" t="str">
        <f>VLOOKUP(A45,'Trips&amp;Operators'!$C$1:$E$10000,3,FALSE)</f>
        <v>ACKERMAN</v>
      </c>
      <c r="M45" s="6">
        <f t="shared" si="16"/>
        <v>3.107638889196096E-2</v>
      </c>
      <c r="N45" s="7">
        <f t="shared" si="2"/>
        <v>44.750000004423782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07:16:57-0600',mode:absolute,to:'2016-07-17 10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23.299299999999999</v>
      </c>
      <c r="Z45" s="89">
        <f t="shared" si="23"/>
        <v>1.2500000000000001E-2</v>
      </c>
      <c r="AA45" s="89">
        <f t="shared" si="24"/>
        <v>23.286799999999999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0132-17</v>
      </c>
      <c r="AE45" s="75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45" s="75" t="str">
        <f t="shared" si="27"/>
        <v>"C:\Program Files (x86)\AstroGrep\AstroGrep.exe" /spath="C:\Users\stu\Documents\Analysis\2016-02-23 RTDC Observations" /stypes="*4028*20160717*"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474</v>
      </c>
      <c r="B46" s="7">
        <v>4007</v>
      </c>
      <c r="C46" s="26" t="s">
        <v>59</v>
      </c>
      <c r="D46" s="26" t="s">
        <v>238</v>
      </c>
      <c r="E46" s="16">
        <v>42568.31659722222</v>
      </c>
      <c r="F46" s="16">
        <v>42568.31858796296</v>
      </c>
      <c r="G46" s="7">
        <v>2</v>
      </c>
      <c r="H46" s="16" t="s">
        <v>406</v>
      </c>
      <c r="I46" s="16">
        <v>42568.347604166665</v>
      </c>
      <c r="J46" s="7">
        <v>0</v>
      </c>
      <c r="K46" s="26" t="str">
        <f t="shared" si="15"/>
        <v>4007/4008</v>
      </c>
      <c r="L46" s="26" t="str">
        <f>VLOOKUP(A46,'Trips&amp;Operators'!$C$1:$E$10000,3,FALSE)</f>
        <v>MAELZER</v>
      </c>
      <c r="M46" s="6">
        <f t="shared" si="16"/>
        <v>2.9016203705396038E-2</v>
      </c>
      <c r="N46" s="7">
        <f t="shared" si="2"/>
        <v>41.783333335770294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06:35:54-0600',mode:absolute,to:'2016-07-17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4.7500000000000001E-2</v>
      </c>
      <c r="Z46" s="89">
        <f t="shared" si="23"/>
        <v>23.331800000000001</v>
      </c>
      <c r="AA46" s="89">
        <f t="shared" si="24"/>
        <v>23.284300000000002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0133-17</v>
      </c>
      <c r="AE46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46" s="75" t="str">
        <f t="shared" si="27"/>
        <v>"C:\Program Files (x86)\AstroGrep\AstroGrep.exe" /spath="C:\Users\stu\Documents\Analysis\2016-02-23 RTDC Observations" /stypes="*4007*20160717*"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513</v>
      </c>
      <c r="B47" s="7">
        <v>4008</v>
      </c>
      <c r="C47" s="26" t="s">
        <v>59</v>
      </c>
      <c r="D47" s="26" t="s">
        <v>374</v>
      </c>
      <c r="E47" s="16">
        <v>42568.355821759258</v>
      </c>
      <c r="F47" s="16">
        <v>42568.356828703705</v>
      </c>
      <c r="G47" s="7">
        <v>1</v>
      </c>
      <c r="H47" s="16" t="s">
        <v>195</v>
      </c>
      <c r="I47" s="16">
        <v>42568.387256944443</v>
      </c>
      <c r="J47" s="7">
        <v>0</v>
      </c>
      <c r="K47" s="26" t="str">
        <f t="shared" si="15"/>
        <v>4007/4008</v>
      </c>
      <c r="L47" s="26" t="str">
        <f>VLOOKUP(A47,'Trips&amp;Operators'!$C$1:$E$10000,3,FALSE)</f>
        <v>MAELZER</v>
      </c>
      <c r="M47" s="6">
        <f t="shared" si="16"/>
        <v>3.0428240737819578E-2</v>
      </c>
      <c r="N47" s="7">
        <f t="shared" si="2"/>
        <v>43.816666662460193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07:32:23-0600',mode:absolute,to:'2016-07-17 10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23.3</v>
      </c>
      <c r="Z47" s="89">
        <f t="shared" si="23"/>
        <v>1.47E-2</v>
      </c>
      <c r="AA47" s="89">
        <f t="shared" si="24"/>
        <v>23.285299999999999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0134-17</v>
      </c>
      <c r="AE47" s="75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47" s="75" t="str">
        <f t="shared" si="27"/>
        <v>"C:\Program Files (x86)\AstroGrep\AstroGrep.exe" /spath="C:\Users\stu\Documents\Analysis\2016-02-23 RTDC Observations" /stypes="*4008*20160717*"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551</v>
      </c>
      <c r="B48" s="7">
        <v>4031</v>
      </c>
      <c r="C48" s="26" t="s">
        <v>59</v>
      </c>
      <c r="D48" s="26" t="s">
        <v>66</v>
      </c>
      <c r="E48" s="16">
        <v>42568.330543981479</v>
      </c>
      <c r="F48" s="16">
        <v>42568.331631944442</v>
      </c>
      <c r="G48" s="7">
        <v>1</v>
      </c>
      <c r="H48" s="16" t="s">
        <v>197</v>
      </c>
      <c r="I48" s="16">
        <v>42568.358796296299</v>
      </c>
      <c r="J48" s="7">
        <v>0</v>
      </c>
      <c r="K48" s="26" t="str">
        <f t="shared" si="15"/>
        <v>4031/4032</v>
      </c>
      <c r="L48" s="26" t="str">
        <f>VLOOKUP(A48,'Trips&amp;Operators'!$C$1:$E$10000,3,FALSE)</f>
        <v>SANTIZO</v>
      </c>
      <c r="M48" s="6">
        <f t="shared" si="16"/>
        <v>2.7164351857209112E-2</v>
      </c>
      <c r="N48" s="7">
        <f t="shared" si="2"/>
        <v>39.116666674381122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06:55:59-0600',mode:absolute,to:'2016-07-17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4.5999999999999999E-2</v>
      </c>
      <c r="Z48" s="89">
        <f t="shared" si="23"/>
        <v>23.331399999999999</v>
      </c>
      <c r="AA48" s="89">
        <f t="shared" si="24"/>
        <v>23.285399999999999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0135-17</v>
      </c>
      <c r="AE48" s="75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48" s="75" t="str">
        <f t="shared" si="27"/>
        <v>"C:\Program Files (x86)\AstroGrep\AstroGrep.exe" /spath="C:\Users\stu\Documents\Analysis\2016-02-23 RTDC Observations" /stypes="*4031*20160717*"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512</v>
      </c>
      <c r="B49" s="7">
        <v>4032</v>
      </c>
      <c r="C49" s="26" t="s">
        <v>59</v>
      </c>
      <c r="D49" s="26" t="s">
        <v>221</v>
      </c>
      <c r="E49" s="16">
        <v>42568.35974537037</v>
      </c>
      <c r="F49" s="16">
        <v>42568.360671296294</v>
      </c>
      <c r="G49" s="7">
        <v>1</v>
      </c>
      <c r="H49" s="16" t="s">
        <v>372</v>
      </c>
      <c r="I49" s="16">
        <v>42568.397604166668</v>
      </c>
      <c r="J49" s="7">
        <v>0</v>
      </c>
      <c r="K49" s="26" t="str">
        <f t="shared" si="15"/>
        <v>4031/4032</v>
      </c>
      <c r="L49" s="26" t="str">
        <f>VLOOKUP(A49,'Trips&amp;Operators'!$C$1:$E$10000,3,FALSE)</f>
        <v>SANTIZO</v>
      </c>
      <c r="M49" s="6">
        <f t="shared" si="16"/>
        <v>3.6932870374585036E-2</v>
      </c>
      <c r="N49" s="7">
        <f t="shared" si="2"/>
        <v>53.183333339402452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07:38:02-0600',mode:absolute,to:'2016-07-17 10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23.2989</v>
      </c>
      <c r="Z49" s="89">
        <f t="shared" si="23"/>
        <v>1.67E-2</v>
      </c>
      <c r="AA49" s="89">
        <f t="shared" si="24"/>
        <v>23.2822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0136-17</v>
      </c>
      <c r="AE49" s="75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49" s="75" t="str">
        <f t="shared" si="27"/>
        <v>"C:\Program Files (x86)\AstroGrep\AstroGrep.exe" /spath="C:\Users\stu\Documents\Analysis\2016-02-23 RTDC Observations" /stypes="*4032*20160717*"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471</v>
      </c>
      <c r="B50" s="7">
        <v>4014</v>
      </c>
      <c r="C50" s="26" t="s">
        <v>59</v>
      </c>
      <c r="D50" s="26" t="s">
        <v>181</v>
      </c>
      <c r="E50" s="16">
        <v>42568.34269675926</v>
      </c>
      <c r="F50" s="16">
        <v>42568.343622685185</v>
      </c>
      <c r="G50" s="7">
        <v>1</v>
      </c>
      <c r="H50" s="16" t="s">
        <v>254</v>
      </c>
      <c r="I50" s="16">
        <v>42568.368252314816</v>
      </c>
      <c r="J50" s="7">
        <v>0</v>
      </c>
      <c r="K50" s="26" t="str">
        <f t="shared" si="15"/>
        <v>4013/4014</v>
      </c>
      <c r="L50" s="26" t="str">
        <f>VLOOKUP(A50,'Trips&amp;Operators'!$C$1:$E$10000,3,FALSE)</f>
        <v>MALAVE</v>
      </c>
      <c r="M50" s="6">
        <f t="shared" si="16"/>
        <v>2.4629629631817807E-2</v>
      </c>
      <c r="N50" s="7">
        <f t="shared" si="2"/>
        <v>35.466666669817641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07:13:29-0600',mode:absolute,to:'2016-07-17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4.6899999999999997E-2</v>
      </c>
      <c r="Z50" s="89">
        <f t="shared" si="23"/>
        <v>23.3293</v>
      </c>
      <c r="AA50" s="89">
        <f t="shared" si="24"/>
        <v>23.282399999999999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0137-17</v>
      </c>
      <c r="AE50" s="75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50" s="75" t="str">
        <f t="shared" si="27"/>
        <v>"C:\Program Files (x86)\AstroGrep\AstroGrep.exe" /spath="C:\Users\stu\Documents\Analysis\2016-02-23 RTDC Observations" /stypes="*4014*20160717*"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526</v>
      </c>
      <c r="B51" s="7">
        <v>4013</v>
      </c>
      <c r="C51" s="26" t="s">
        <v>59</v>
      </c>
      <c r="D51" s="26" t="s">
        <v>237</v>
      </c>
      <c r="E51" s="16">
        <v>42568.381111111114</v>
      </c>
      <c r="F51" s="16">
        <v>42568.382800925923</v>
      </c>
      <c r="G51" s="7">
        <v>2</v>
      </c>
      <c r="H51" s="16" t="s">
        <v>61</v>
      </c>
      <c r="I51" s="16">
        <v>42568.40824074074</v>
      </c>
      <c r="J51" s="7">
        <v>0</v>
      </c>
      <c r="K51" s="26" t="str">
        <f t="shared" si="15"/>
        <v>4013/4014</v>
      </c>
      <c r="L51" s="26" t="str">
        <f>VLOOKUP(A51,'Trips&amp;Operators'!$C$1:$E$10000,3,FALSE)</f>
        <v>MALAVE</v>
      </c>
      <c r="M51" s="6">
        <f t="shared" si="16"/>
        <v>2.5439814817218576E-2</v>
      </c>
      <c r="N51" s="7">
        <f t="shared" si="2"/>
        <v>36.633333336794749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08:08:48-0600',mode:absolute,to:'2016-07-17 10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23.296500000000002</v>
      </c>
      <c r="Z51" s="89">
        <f t="shared" si="23"/>
        <v>1.52E-2</v>
      </c>
      <c r="AA51" s="89">
        <f t="shared" si="24"/>
        <v>23.281300000000002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0138-17</v>
      </c>
      <c r="AE51" s="75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51" s="75" t="str">
        <f t="shared" si="27"/>
        <v>"C:\Program Files (x86)\AstroGrep\AstroGrep.exe" /spath="C:\Users\stu\Documents\Analysis\2016-02-23 RTDC Observations" /stypes="*4013*20160717*"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494</v>
      </c>
      <c r="B52" s="7">
        <v>4009</v>
      </c>
      <c r="C52" s="26" t="s">
        <v>59</v>
      </c>
      <c r="D52" s="26" t="s">
        <v>252</v>
      </c>
      <c r="E52" s="16">
        <v>42568.347268518519</v>
      </c>
      <c r="F52" s="16">
        <v>42568.348275462966</v>
      </c>
      <c r="G52" s="7">
        <v>1</v>
      </c>
      <c r="H52" s="16" t="s">
        <v>264</v>
      </c>
      <c r="I52" s="16">
        <v>42568.379201388889</v>
      </c>
      <c r="J52" s="7">
        <v>0</v>
      </c>
      <c r="K52" s="26" t="str">
        <f t="shared" si="15"/>
        <v>4009/4010</v>
      </c>
      <c r="L52" s="26" t="str">
        <f>VLOOKUP(A52,'Trips&amp;Operators'!$C$1:$E$10000,3,FALSE)</f>
        <v>NELSON</v>
      </c>
      <c r="M52" s="6">
        <f t="shared" si="16"/>
        <v>3.0925925922929309E-2</v>
      </c>
      <c r="N52" s="7">
        <f t="shared" si="2"/>
        <v>44.533333329018205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07:20:04-0600',mode:absolute,to:'2016-07-17 10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4.3999999999999997E-2</v>
      </c>
      <c r="Z52" s="89">
        <f t="shared" si="23"/>
        <v>23.3308</v>
      </c>
      <c r="AA52" s="89">
        <f t="shared" si="24"/>
        <v>23.286799999999999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0139-17</v>
      </c>
      <c r="AE52" s="75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52" s="75" t="str">
        <f t="shared" si="27"/>
        <v>"C:\Program Files (x86)\AstroGrep\AstroGrep.exe" /spath="C:\Users\stu\Documents\Analysis\2016-02-23 RTDC Observations" /stypes="*4009*20160717*"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470</v>
      </c>
      <c r="B53" s="7">
        <v>4010</v>
      </c>
      <c r="C53" s="26" t="s">
        <v>59</v>
      </c>
      <c r="D53" s="26" t="s">
        <v>157</v>
      </c>
      <c r="E53" s="16">
        <v>42568.386990740742</v>
      </c>
      <c r="F53" s="16">
        <v>42568.388009259259</v>
      </c>
      <c r="G53" s="7">
        <v>1</v>
      </c>
      <c r="H53" s="16" t="s">
        <v>572</v>
      </c>
      <c r="I53" s="16">
        <v>42568.414942129632</v>
      </c>
      <c r="J53" s="7">
        <v>0</v>
      </c>
      <c r="K53" s="26" t="str">
        <f t="shared" si="15"/>
        <v>4009/4010</v>
      </c>
      <c r="L53" s="26" t="str">
        <f>VLOOKUP(A53,'Trips&amp;Operators'!$C$1:$E$10000,3,FALSE)</f>
        <v>NELSON</v>
      </c>
      <c r="M53" s="6">
        <f t="shared" si="16"/>
        <v>2.6932870372547768E-2</v>
      </c>
      <c r="N53" s="7">
        <f t="shared" si="2"/>
        <v>38.783333336468786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08:17:16-0600',mode:absolute,to:'2016-07-17 10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4" t="str">
        <f t="shared" si="20"/>
        <v>Y</v>
      </c>
      <c r="X53" s="92">
        <f t="shared" si="21"/>
        <v>1</v>
      </c>
      <c r="Y53" s="89">
        <f t="shared" si="22"/>
        <v>23.299600000000002</v>
      </c>
      <c r="Z53" s="89">
        <f t="shared" si="23"/>
        <v>2.3155999999999999</v>
      </c>
      <c r="AA53" s="89">
        <f t="shared" si="24"/>
        <v>20.984000000000002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0140-17</v>
      </c>
      <c r="AE53" s="75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53" s="75" t="str">
        <f t="shared" si="27"/>
        <v>"C:\Program Files (x86)\AstroGrep\AstroGrep.exe" /spath="C:\Users\stu\Documents\Analysis\2016-02-23 RTDC Observations" /stypes="*4010*20160717*"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422</v>
      </c>
      <c r="B54" s="7">
        <v>4016</v>
      </c>
      <c r="C54" s="26" t="s">
        <v>59</v>
      </c>
      <c r="D54" s="26" t="s">
        <v>573</v>
      </c>
      <c r="E54" s="16">
        <v>42568.358576388891</v>
      </c>
      <c r="F54" s="16">
        <v>42568.359537037039</v>
      </c>
      <c r="G54" s="7">
        <v>1</v>
      </c>
      <c r="H54" s="16" t="s">
        <v>362</v>
      </c>
      <c r="I54" s="16">
        <v>42568.389201388891</v>
      </c>
      <c r="J54" s="7">
        <v>1</v>
      </c>
      <c r="K54" s="26" t="str">
        <f t="shared" si="15"/>
        <v>4015/4016</v>
      </c>
      <c r="L54" s="26" t="str">
        <f>VLOOKUP(A54,'Trips&amp;Operators'!$C$1:$E$10000,3,FALSE)</f>
        <v>ROCHA</v>
      </c>
      <c r="M54" s="6">
        <f t="shared" si="16"/>
        <v>2.9664351852261461E-2</v>
      </c>
      <c r="N54" s="7">
        <f t="shared" si="2"/>
        <v>42.716666667256504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07:36:21-0600',mode:absolute,to:'2016-07-17 10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5.0599999999999999E-2</v>
      </c>
      <c r="Z54" s="89">
        <f t="shared" si="23"/>
        <v>23.3309</v>
      </c>
      <c r="AA54" s="89">
        <f t="shared" si="24"/>
        <v>23.2803</v>
      </c>
      <c r="AB54" s="86" t="e">
        <f>VLOOKUP(A54,Enforcements!$C$7:$J$23,8,0)</f>
        <v>#N/A</v>
      </c>
      <c r="AC54" s="82" t="e">
        <f>VLOOKUP(A54,Enforcements!$C$7:$E$23,3,0)</f>
        <v>#N/A</v>
      </c>
      <c r="AD54" s="83" t="str">
        <f t="shared" si="25"/>
        <v>0141-17</v>
      </c>
      <c r="AE54" s="75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54" s="75" t="str">
        <f t="shared" si="27"/>
        <v>"C:\Program Files (x86)\AstroGrep\AstroGrep.exe" /spath="C:\Users\stu\Documents\Analysis\2016-02-23 RTDC Observations" /stypes="*4016*20160717*"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527</v>
      </c>
      <c r="B55" s="7">
        <v>4015</v>
      </c>
      <c r="C55" s="26" t="s">
        <v>59</v>
      </c>
      <c r="D55" s="26" t="s">
        <v>157</v>
      </c>
      <c r="E55" s="16">
        <v>42568.39607638889</v>
      </c>
      <c r="F55" s="16">
        <v>42568.400625000002</v>
      </c>
      <c r="G55" s="7">
        <v>6</v>
      </c>
      <c r="H55" s="16" t="s">
        <v>125</v>
      </c>
      <c r="I55" s="16">
        <v>42568.428726851853</v>
      </c>
      <c r="J55" s="7">
        <v>0</v>
      </c>
      <c r="K55" s="26" t="str">
        <f t="shared" si="15"/>
        <v>4015/4016</v>
      </c>
      <c r="L55" s="26" t="str">
        <f>VLOOKUP(A55,'Trips&amp;Operators'!$C$1:$E$10000,3,FALSE)</f>
        <v>ROCHA</v>
      </c>
      <c r="M55" s="6">
        <f t="shared" si="16"/>
        <v>2.810185185080627E-2</v>
      </c>
      <c r="N55" s="7">
        <f t="shared" si="2"/>
        <v>40.466666665161029</v>
      </c>
      <c r="O55" s="7"/>
      <c r="P55" s="7"/>
      <c r="Q55" s="27"/>
      <c r="R55" s="27"/>
      <c r="S55" s="45">
        <f t="shared" si="17"/>
        <v>1</v>
      </c>
      <c r="T55" s="69" t="str">
        <f t="shared" si="18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08:30:21-0600',mode:absolute,to:'2016-07-17 11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23.299600000000002</v>
      </c>
      <c r="Z55" s="89">
        <f t="shared" si="23"/>
        <v>1.5599999999999999E-2</v>
      </c>
      <c r="AA55" s="89">
        <f t="shared" si="24"/>
        <v>23.284000000000002</v>
      </c>
      <c r="AB55" s="86" t="e">
        <f>VLOOKUP(A55,Enforcements!$C$7:$J$23,8,0)</f>
        <v>#N/A</v>
      </c>
      <c r="AC55" s="82" t="e">
        <f>VLOOKUP(A55,Enforcements!$C$7:$E$23,3,0)</f>
        <v>#N/A</v>
      </c>
      <c r="AD55" s="83" t="str">
        <f t="shared" si="25"/>
        <v>0142-17</v>
      </c>
      <c r="AE55" s="75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55" s="75" t="str">
        <f t="shared" si="27"/>
        <v>"C:\Program Files (x86)\AstroGrep\AstroGrep.exe" /spath="C:\Users\stu\Documents\Analysis\2016-02-23 RTDC Observations" /stypes="*4015*20160717*"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524</v>
      </c>
      <c r="B56" s="7">
        <v>4042</v>
      </c>
      <c r="C56" s="26" t="s">
        <v>59</v>
      </c>
      <c r="D56" s="26" t="s">
        <v>252</v>
      </c>
      <c r="E56" s="16">
        <v>42568.366932870369</v>
      </c>
      <c r="F56" s="16">
        <v>42568.367789351854</v>
      </c>
      <c r="G56" s="7">
        <v>1</v>
      </c>
      <c r="H56" s="16" t="s">
        <v>189</v>
      </c>
      <c r="I56" s="16">
        <v>42568.399409722224</v>
      </c>
      <c r="J56" s="7">
        <v>0</v>
      </c>
      <c r="K56" s="26" t="str">
        <f t="shared" si="15"/>
        <v>4041/4042</v>
      </c>
      <c r="L56" s="26" t="str">
        <f>VLOOKUP(A56,'Trips&amp;Operators'!$C$1:$E$10000,3,FALSE)</f>
        <v>YORK</v>
      </c>
      <c r="M56" s="6">
        <f t="shared" si="16"/>
        <v>3.1620370369637385E-2</v>
      </c>
      <c r="N56" s="7">
        <f t="shared" si="2"/>
        <v>45.533333332277834</v>
      </c>
      <c r="O56" s="7"/>
      <c r="P56" s="7"/>
      <c r="Q56" s="27"/>
      <c r="R56" s="27"/>
      <c r="S56" s="45">
        <f t="shared" si="17"/>
        <v>1</v>
      </c>
      <c r="T56" s="69" t="str">
        <f t="shared" si="18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07:48:23-0600',mode:absolute,to:'2016-07-17 10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4.3999999999999997E-2</v>
      </c>
      <c r="Z56" s="89">
        <f t="shared" si="23"/>
        <v>23.329699999999999</v>
      </c>
      <c r="AA56" s="89">
        <f t="shared" si="24"/>
        <v>23.285699999999999</v>
      </c>
      <c r="AB56" s="86" t="e">
        <f>VLOOKUP(A56,Enforcements!$C$7:$J$23,8,0)</f>
        <v>#N/A</v>
      </c>
      <c r="AC56" s="82" t="e">
        <f>VLOOKUP(A56,Enforcements!$C$7:$E$23,3,0)</f>
        <v>#N/A</v>
      </c>
      <c r="AD56" s="83" t="str">
        <f t="shared" si="25"/>
        <v>0143-17</v>
      </c>
      <c r="AE56" s="75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56" s="75" t="str">
        <f t="shared" si="27"/>
        <v>"C:\Program Files (x86)\AstroGrep\AstroGrep.exe" /spath="C:\Users\stu\Documents\Analysis\2016-02-23 RTDC Observations" /stypes="*4042*20160717*"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509</v>
      </c>
      <c r="B57" s="7">
        <v>4041</v>
      </c>
      <c r="C57" s="26" t="s">
        <v>59</v>
      </c>
      <c r="D57" s="26" t="s">
        <v>249</v>
      </c>
      <c r="E57" s="16">
        <v>42568.400509259256</v>
      </c>
      <c r="F57" s="16">
        <v>42568.401192129626</v>
      </c>
      <c r="G57" s="7">
        <v>0</v>
      </c>
      <c r="H57" s="16" t="s">
        <v>61</v>
      </c>
      <c r="I57" s="16">
        <v>42568.43922453704</v>
      </c>
      <c r="J57" s="7">
        <v>0</v>
      </c>
      <c r="K57" s="26" t="str">
        <f t="shared" si="15"/>
        <v>4041/4042</v>
      </c>
      <c r="L57" s="26" t="str">
        <f>VLOOKUP(A57,'Trips&amp;Operators'!$C$1:$E$10000,3,FALSE)</f>
        <v>YORK</v>
      </c>
      <c r="M57" s="6">
        <f t="shared" si="16"/>
        <v>3.8032407413993496E-2</v>
      </c>
      <c r="N57" s="7">
        <f t="shared" si="2"/>
        <v>54.766666676150635</v>
      </c>
      <c r="O57" s="7"/>
      <c r="P57" s="7"/>
      <c r="Q57" s="27"/>
      <c r="R57" s="27"/>
      <c r="S57" s="45">
        <f t="shared" si="17"/>
        <v>1</v>
      </c>
      <c r="T57" s="69" t="str">
        <f t="shared" si="18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08:36:44-0600',mode:absolute,to:'2016-07-17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23.297899999999998</v>
      </c>
      <c r="Z57" s="89">
        <f t="shared" si="23"/>
        <v>1.52E-2</v>
      </c>
      <c r="AA57" s="89">
        <f t="shared" si="24"/>
        <v>23.282699999999998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0144-17</v>
      </c>
      <c r="AE57" s="75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57" s="75" t="str">
        <f t="shared" si="27"/>
        <v>"C:\Program Files (x86)\AstroGrep\AstroGrep.exe" /spath="C:\Users\stu\Documents\Analysis\2016-02-23 RTDC Observations" /stypes="*4041*20160717*"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525</v>
      </c>
      <c r="B58" s="7">
        <v>4027</v>
      </c>
      <c r="C58" s="26" t="s">
        <v>59</v>
      </c>
      <c r="D58" s="26" t="s">
        <v>370</v>
      </c>
      <c r="E58" s="16">
        <v>42568.37972222222</v>
      </c>
      <c r="F58" s="16">
        <v>42568.380902777775</v>
      </c>
      <c r="G58" s="7">
        <v>1</v>
      </c>
      <c r="H58" s="16" t="s">
        <v>574</v>
      </c>
      <c r="I58" s="16">
        <v>42568.410046296296</v>
      </c>
      <c r="J58" s="7">
        <v>0</v>
      </c>
      <c r="K58" s="26" t="str">
        <f t="shared" si="15"/>
        <v>4027/4028</v>
      </c>
      <c r="L58" s="26" t="str">
        <f>VLOOKUP(A58,'Trips&amp;Operators'!$C$1:$E$10000,3,FALSE)</f>
        <v>ACKERMAN</v>
      </c>
      <c r="M58" s="6">
        <f t="shared" si="16"/>
        <v>2.9143518520868383E-2</v>
      </c>
      <c r="N58" s="7">
        <f t="shared" si="2"/>
        <v>41.966666670050472</v>
      </c>
      <c r="O58" s="7"/>
      <c r="P58" s="7"/>
      <c r="Q58" s="27"/>
      <c r="R58" s="27"/>
      <c r="S58" s="45">
        <f t="shared" si="17"/>
        <v>1</v>
      </c>
      <c r="T58" s="69" t="str">
        <f t="shared" si="18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08:06:48-0600',mode:absolute,to:'2016-07-17 10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4.3099999999999999E-2</v>
      </c>
      <c r="Z58" s="89">
        <f t="shared" si="23"/>
        <v>23.332999999999998</v>
      </c>
      <c r="AA58" s="89">
        <f t="shared" si="24"/>
        <v>23.289899999999999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0145-17</v>
      </c>
      <c r="AE58" s="75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58" s="75" t="str">
        <f t="shared" si="27"/>
        <v>"C:\Program Files (x86)\AstroGrep\AstroGrep.exe" /spath="C:\Users\stu\Documents\Analysis\2016-02-23 RTDC Observations" /stypes="*4027*20160717*"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550</v>
      </c>
      <c r="B59" s="7">
        <v>4028</v>
      </c>
      <c r="C59" s="26" t="s">
        <v>59</v>
      </c>
      <c r="D59" s="26" t="s">
        <v>356</v>
      </c>
      <c r="E59" s="16">
        <v>42568.418692129628</v>
      </c>
      <c r="F59" s="16">
        <v>42568.41978009259</v>
      </c>
      <c r="G59" s="7">
        <v>1</v>
      </c>
      <c r="H59" s="16" t="s">
        <v>575</v>
      </c>
      <c r="I59" s="16">
        <v>42568.450416666667</v>
      </c>
      <c r="J59" s="7">
        <v>0</v>
      </c>
      <c r="K59" s="26" t="str">
        <f t="shared" si="15"/>
        <v>4027/4028</v>
      </c>
      <c r="L59" s="26" t="str">
        <f>VLOOKUP(A59,'Trips&amp;Operators'!$C$1:$E$10000,3,FALSE)</f>
        <v>ACKERMAN</v>
      </c>
      <c r="M59" s="6">
        <f t="shared" si="16"/>
        <v>3.0636574076197576E-2</v>
      </c>
      <c r="N59" s="7">
        <f t="shared" si="2"/>
        <v>44.116666669724509</v>
      </c>
      <c r="O59" s="7"/>
      <c r="P59" s="7"/>
      <c r="Q59" s="27"/>
      <c r="R59" s="27"/>
      <c r="S59" s="45">
        <f t="shared" si="17"/>
        <v>1</v>
      </c>
      <c r="T59" s="69" t="str">
        <f t="shared" si="18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09:02:55-0600',mode:absolute,to:'2016-07-17 11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23.3003</v>
      </c>
      <c r="Z59" s="89">
        <f t="shared" si="23"/>
        <v>0.02</v>
      </c>
      <c r="AA59" s="89">
        <f t="shared" si="24"/>
        <v>23.2803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0146-17</v>
      </c>
      <c r="AE59" s="75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59" s="75" t="str">
        <f t="shared" si="27"/>
        <v>"C:\Program Files (x86)\AstroGrep\AstroGrep.exe" /spath="C:\Users\stu\Documents\Analysis\2016-02-23 RTDC Observations" /stypes="*4028*20160717*"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511</v>
      </c>
      <c r="B60" s="7">
        <v>4007</v>
      </c>
      <c r="C60" s="26" t="s">
        <v>59</v>
      </c>
      <c r="D60" s="26" t="s">
        <v>192</v>
      </c>
      <c r="E60" s="16">
        <v>42568.389768518522</v>
      </c>
      <c r="F60" s="16">
        <v>42568.390775462962</v>
      </c>
      <c r="G60" s="7">
        <v>1</v>
      </c>
      <c r="H60" s="16" t="s">
        <v>357</v>
      </c>
      <c r="I60" s="16">
        <v>42568.433333333334</v>
      </c>
      <c r="J60" s="7">
        <v>0</v>
      </c>
      <c r="K60" s="26" t="str">
        <f t="shared" si="15"/>
        <v>4007/4008</v>
      </c>
      <c r="L60" s="26" t="str">
        <f>VLOOKUP(A60,'Trips&amp;Operators'!$C$1:$E$10000,3,FALSE)</f>
        <v>MAELZER</v>
      </c>
      <c r="M60" s="6">
        <f t="shared" si="16"/>
        <v>4.2557870372547768E-2</v>
      </c>
      <c r="N60" s="7">
        <f t="shared" si="2"/>
        <v>61.283333336468786</v>
      </c>
      <c r="O60" s="7"/>
      <c r="P60" s="7"/>
      <c r="Q60" s="27"/>
      <c r="R60" s="27"/>
      <c r="S60" s="45">
        <f t="shared" si="17"/>
        <v>1</v>
      </c>
      <c r="T60" s="69" t="str">
        <f t="shared" si="18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08:21:16-0600',mode:absolute,to:'2016-07-17 11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4.6199999999999998E-2</v>
      </c>
      <c r="Z60" s="89">
        <f t="shared" si="23"/>
        <v>23.333200000000001</v>
      </c>
      <c r="AA60" s="89">
        <f t="shared" si="24"/>
        <v>23.287000000000003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0147-17</v>
      </c>
      <c r="AE60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60" s="75" t="str">
        <f t="shared" si="27"/>
        <v>"C:\Program Files (x86)\AstroGrep\AstroGrep.exe" /spath="C:\Users\stu\Documents\Analysis\2016-02-23 RTDC Observations" /stypes="*4007*20160717*"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548</v>
      </c>
      <c r="B61" s="7">
        <v>4008</v>
      </c>
      <c r="C61" s="26" t="s">
        <v>59</v>
      </c>
      <c r="D61" s="26" t="s">
        <v>221</v>
      </c>
      <c r="E61" s="16">
        <v>42568.42386574074</v>
      </c>
      <c r="F61" s="16">
        <v>42568.424768518518</v>
      </c>
      <c r="G61" s="7">
        <v>1</v>
      </c>
      <c r="H61" s="16" t="s">
        <v>220</v>
      </c>
      <c r="I61" s="16">
        <v>42568.46020833333</v>
      </c>
      <c r="J61" s="7">
        <v>0</v>
      </c>
      <c r="K61" s="26" t="str">
        <f t="shared" si="15"/>
        <v>4007/4008</v>
      </c>
      <c r="L61" s="26" t="str">
        <f>VLOOKUP(A61,'Trips&amp;Operators'!$C$1:$E$10000,3,FALSE)</f>
        <v>MAELZER</v>
      </c>
      <c r="M61" s="6">
        <f t="shared" si="16"/>
        <v>3.5439814811979886E-2</v>
      </c>
      <c r="N61" s="7">
        <f t="shared" si="2"/>
        <v>51.033333329251036</v>
      </c>
      <c r="O61" s="7"/>
      <c r="P61" s="7"/>
      <c r="Q61" s="27"/>
      <c r="R61" s="27"/>
      <c r="S61" s="45">
        <f t="shared" si="17"/>
        <v>1</v>
      </c>
      <c r="T61" s="69" t="str">
        <f t="shared" si="18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09:10:22-0600',mode:absolute,to:'2016-07-17 12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23.2989</v>
      </c>
      <c r="Z61" s="89">
        <f t="shared" si="23"/>
        <v>1.41E-2</v>
      </c>
      <c r="AA61" s="89">
        <f t="shared" si="24"/>
        <v>23.284800000000001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0148-17</v>
      </c>
      <c r="AE61" s="75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61" s="75" t="str">
        <f t="shared" si="27"/>
        <v>"C:\Program Files (x86)\AstroGrep\AstroGrep.exe" /spath="C:\Users\stu\Documents\Analysis\2016-02-23 RTDC Observations" /stypes="*4008*20160717*"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465</v>
      </c>
      <c r="B62" s="7">
        <v>4031</v>
      </c>
      <c r="C62" s="26" t="s">
        <v>59</v>
      </c>
      <c r="D62" s="26" t="s">
        <v>365</v>
      </c>
      <c r="E62" s="16">
        <v>42568.403622685182</v>
      </c>
      <c r="F62" s="16">
        <v>42568.405243055553</v>
      </c>
      <c r="G62" s="7">
        <v>2</v>
      </c>
      <c r="H62" s="16" t="s">
        <v>209</v>
      </c>
      <c r="I62" s="16">
        <v>42568.431226851855</v>
      </c>
      <c r="J62" s="7">
        <v>0</v>
      </c>
      <c r="K62" s="26" t="str">
        <f t="shared" si="15"/>
        <v>4031/4032</v>
      </c>
      <c r="L62" s="26" t="str">
        <f>VLOOKUP(A62,'Trips&amp;Operators'!$C$1:$E$10000,3,FALSE)</f>
        <v>SANTIZO</v>
      </c>
      <c r="M62" s="6">
        <f t="shared" si="16"/>
        <v>2.5983796302170958E-2</v>
      </c>
      <c r="N62" s="7">
        <f t="shared" si="2"/>
        <v>37.41666667512618</v>
      </c>
      <c r="O62" s="7"/>
      <c r="P62" s="7"/>
      <c r="Q62" s="27"/>
      <c r="R62" s="27"/>
      <c r="S62" s="45">
        <f t="shared" si="17"/>
        <v>1</v>
      </c>
      <c r="T62" s="69" t="str">
        <f t="shared" si="18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08:41:13-0600',mode:absolute,to:'2016-07-17 11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4.6699999999999998E-2</v>
      </c>
      <c r="Z62" s="89">
        <f t="shared" si="23"/>
        <v>23.330500000000001</v>
      </c>
      <c r="AA62" s="89">
        <f t="shared" si="24"/>
        <v>23.283799999999999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0149-17</v>
      </c>
      <c r="AE62" s="75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62" s="75" t="str">
        <f t="shared" si="27"/>
        <v>"C:\Program Files (x86)\AstroGrep\AstroGrep.exe" /spath="C:\Users\stu\Documents\Analysis\2016-02-23 RTDC Observations" /stypes="*4031*20160717*"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531</v>
      </c>
      <c r="B63" s="7">
        <v>4032</v>
      </c>
      <c r="C63" s="26" t="s">
        <v>59</v>
      </c>
      <c r="D63" s="26" t="s">
        <v>204</v>
      </c>
      <c r="E63" s="16">
        <v>42568.432569444441</v>
      </c>
      <c r="F63" s="16">
        <v>42568.433391203704</v>
      </c>
      <c r="G63" s="7">
        <v>1</v>
      </c>
      <c r="H63" s="16" t="s">
        <v>184</v>
      </c>
      <c r="I63" s="16">
        <v>42568.470416666663</v>
      </c>
      <c r="J63" s="7">
        <v>0</v>
      </c>
      <c r="K63" s="26" t="str">
        <f t="shared" si="15"/>
        <v>4031/4032</v>
      </c>
      <c r="L63" s="26" t="str">
        <f>VLOOKUP(A63,'Trips&amp;Operators'!$C$1:$E$10000,3,FALSE)</f>
        <v>SANTIZO</v>
      </c>
      <c r="M63" s="6">
        <f t="shared" si="16"/>
        <v>3.7025462959718425E-2</v>
      </c>
      <c r="N63" s="7">
        <f t="shared" si="2"/>
        <v>53.316666661994532</v>
      </c>
      <c r="O63" s="7"/>
      <c r="P63" s="7"/>
      <c r="Q63" s="27"/>
      <c r="R63" s="27"/>
      <c r="S63" s="45">
        <f t="shared" si="17"/>
        <v>1</v>
      </c>
      <c r="T63" s="69" t="str">
        <f t="shared" si="18"/>
        <v>Southbound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09:22:54-0600',mode:absolute,to:'2016-07-17 12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23.298999999999999</v>
      </c>
      <c r="Z63" s="89">
        <f t="shared" si="23"/>
        <v>1.4999999999999999E-2</v>
      </c>
      <c r="AA63" s="89">
        <f t="shared" si="24"/>
        <v>23.283999999999999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0150-17</v>
      </c>
      <c r="AE63" s="75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63" s="75" t="str">
        <f t="shared" si="27"/>
        <v>"C:\Program Files (x86)\AstroGrep\AstroGrep.exe" /spath="C:\Users\stu\Documents\Analysis\2016-02-23 RTDC Observations" /stypes="*4032*20160717*"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528</v>
      </c>
      <c r="B64" s="7">
        <v>4014</v>
      </c>
      <c r="C64" s="26" t="s">
        <v>59</v>
      </c>
      <c r="D64" s="26" t="s">
        <v>238</v>
      </c>
      <c r="E64" s="16">
        <v>42568.41542824074</v>
      </c>
      <c r="F64" s="16">
        <v>42568.416018518517</v>
      </c>
      <c r="G64" s="7">
        <v>0</v>
      </c>
      <c r="H64" s="16" t="s">
        <v>188</v>
      </c>
      <c r="I64" s="16">
        <v>42568.441516203704</v>
      </c>
      <c r="J64" s="7">
        <v>0</v>
      </c>
      <c r="K64" s="26" t="str">
        <f t="shared" si="15"/>
        <v>4013/4014</v>
      </c>
      <c r="L64" s="26" t="str">
        <f>VLOOKUP(A64,'Trips&amp;Operators'!$C$1:$E$10000,3,FALSE)</f>
        <v>MALAVE</v>
      </c>
      <c r="M64" s="6">
        <f t="shared" si="16"/>
        <v>2.5497685186564922E-2</v>
      </c>
      <c r="N64" s="7">
        <f t="shared" si="2"/>
        <v>36.716666668653488</v>
      </c>
      <c r="O64" s="7"/>
      <c r="P64" s="7"/>
      <c r="Q64" s="27"/>
      <c r="R64" s="27"/>
      <c r="S64" s="45">
        <f t="shared" si="17"/>
        <v>1</v>
      </c>
      <c r="T64" s="69" t="str">
        <f t="shared" si="18"/>
        <v>NorthBound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08:58:13-0600',mode:absolute,to:'2016-07-17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4.7500000000000001E-2</v>
      </c>
      <c r="Z64" s="89">
        <f t="shared" si="23"/>
        <v>23.329499999999999</v>
      </c>
      <c r="AA64" s="89">
        <f t="shared" si="24"/>
        <v>23.282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0151-17</v>
      </c>
      <c r="AE64" s="75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64" s="75" t="str">
        <f t="shared" si="27"/>
        <v>"C:\Program Files (x86)\AstroGrep\AstroGrep.exe" /spath="C:\Users\stu\Documents\Analysis\2016-02-23 RTDC Observations" /stypes="*4014*20160717*"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424</v>
      </c>
      <c r="B65" s="7">
        <v>4013</v>
      </c>
      <c r="C65" s="26" t="s">
        <v>59</v>
      </c>
      <c r="D65" s="26" t="s">
        <v>576</v>
      </c>
      <c r="E65" s="16">
        <v>42568.453946759262</v>
      </c>
      <c r="F65" s="16">
        <v>42568.455833333333</v>
      </c>
      <c r="G65" s="7">
        <v>2</v>
      </c>
      <c r="H65" s="16" t="s">
        <v>190</v>
      </c>
      <c r="I65" s="16">
        <v>42568.481562499997</v>
      </c>
      <c r="J65" s="7">
        <v>1</v>
      </c>
      <c r="K65" s="26" t="str">
        <f t="shared" si="15"/>
        <v>4013/4014</v>
      </c>
      <c r="L65" s="26" t="str">
        <f>VLOOKUP(A65,'Trips&amp;Operators'!$C$1:$E$10000,3,FALSE)</f>
        <v>MALAVE</v>
      </c>
      <c r="M65" s="6">
        <f t="shared" si="16"/>
        <v>2.5729166663950309E-2</v>
      </c>
      <c r="N65" s="7">
        <f t="shared" si="2"/>
        <v>37.049999996088445</v>
      </c>
      <c r="O65" s="7"/>
      <c r="P65" s="7"/>
      <c r="Q65" s="27"/>
      <c r="R65" s="27"/>
      <c r="S65" s="45">
        <f t="shared" si="17"/>
        <v>1</v>
      </c>
      <c r="T65" s="69" t="str">
        <f t="shared" si="18"/>
        <v>Southbound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09:53:41-0600',mode:absolute,to:'2016-07-17 12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23.297000000000001</v>
      </c>
      <c r="Z65" s="89">
        <f t="shared" si="23"/>
        <v>1.3899999999999999E-2</v>
      </c>
      <c r="AA65" s="89">
        <f t="shared" si="24"/>
        <v>23.283100000000001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0152-17</v>
      </c>
      <c r="AE65" s="75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65" s="75" t="str">
        <f t="shared" si="27"/>
        <v>"C:\Program Files (x86)\AstroGrep\AstroGrep.exe" /spath="C:\Users\stu\Documents\Analysis\2016-02-23 RTDC Observations" /stypes="*4013*20160717*"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529</v>
      </c>
      <c r="B66" s="7">
        <v>4009</v>
      </c>
      <c r="C66" s="26" t="s">
        <v>59</v>
      </c>
      <c r="D66" s="26" t="s">
        <v>375</v>
      </c>
      <c r="E66" s="16">
        <v>42568.4215625</v>
      </c>
      <c r="F66" s="16">
        <v>42568.422673611109</v>
      </c>
      <c r="G66" s="7">
        <v>1</v>
      </c>
      <c r="H66" s="16" t="s">
        <v>362</v>
      </c>
      <c r="I66" s="16">
        <v>42568.451805555553</v>
      </c>
      <c r="J66" s="7">
        <v>0</v>
      </c>
      <c r="K66" s="26" t="str">
        <f t="shared" si="15"/>
        <v>4009/4010</v>
      </c>
      <c r="L66" s="26" t="str">
        <f>VLOOKUP(A66,'Trips&amp;Operators'!$C$1:$E$10000,3,FALSE)</f>
        <v>NELSON</v>
      </c>
      <c r="M66" s="6">
        <f t="shared" si="16"/>
        <v>2.9131944444088731E-2</v>
      </c>
      <c r="N66" s="7">
        <f t="shared" si="2"/>
        <v>41.949999999487773</v>
      </c>
      <c r="O66" s="7"/>
      <c r="P66" s="7"/>
      <c r="Q66" s="27"/>
      <c r="R66" s="27"/>
      <c r="S66" s="45">
        <f t="shared" si="17"/>
        <v>1</v>
      </c>
      <c r="T66" s="69" t="str">
        <f t="shared" si="18"/>
        <v>NorthBound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09:07:03-0600',mode:absolute,to:'2016-07-17 11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4.8000000000000001E-2</v>
      </c>
      <c r="Z66" s="89">
        <f t="shared" si="23"/>
        <v>23.3309</v>
      </c>
      <c r="AA66" s="89">
        <f t="shared" si="24"/>
        <v>23.282900000000001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0153-17</v>
      </c>
      <c r="AE66" s="75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66" s="75" t="str">
        <f t="shared" si="27"/>
        <v>"C:\Program Files (x86)\AstroGrep\AstroGrep.exe" /spath="C:\Users\stu\Documents\Analysis\2016-02-23 RTDC Observations" /stypes="*4009*20160717*" /stext=" 16:.+((prompt.+disp)|(slice.+state.+chan)|(ment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535</v>
      </c>
      <c r="B67" s="7">
        <v>4010</v>
      </c>
      <c r="C67" s="26" t="s">
        <v>59</v>
      </c>
      <c r="D67" s="26" t="s">
        <v>363</v>
      </c>
      <c r="E67" s="16">
        <v>42568.457025462965</v>
      </c>
      <c r="F67" s="16">
        <v>42568.458564814813</v>
      </c>
      <c r="G67" s="7">
        <v>2</v>
      </c>
      <c r="H67" s="16" t="s">
        <v>71</v>
      </c>
      <c r="I67" s="16">
        <v>42568.491412037038</v>
      </c>
      <c r="J67" s="7">
        <v>0</v>
      </c>
      <c r="K67" s="26" t="str">
        <f t="shared" si="15"/>
        <v>4009/4010</v>
      </c>
      <c r="L67" s="26" t="str">
        <f>VLOOKUP(A67,'Trips&amp;Operators'!$C$1:$E$10000,3,FALSE)</f>
        <v>NELSON</v>
      </c>
      <c r="M67" s="6">
        <f t="shared" si="16"/>
        <v>3.2847222224518191E-2</v>
      </c>
      <c r="N67" s="7">
        <f t="shared" si="2"/>
        <v>47.300000003306195</v>
      </c>
      <c r="O67" s="7"/>
      <c r="P67" s="7"/>
      <c r="Q67" s="27"/>
      <c r="R67" s="27"/>
      <c r="S67" s="45">
        <f t="shared" si="17"/>
        <v>1</v>
      </c>
      <c r="T67" s="69" t="str">
        <f t="shared" si="18"/>
        <v>Southbound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09:58:07-0600',mode:absolute,to:'2016-07-17 12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23.2988</v>
      </c>
      <c r="Z67" s="89">
        <f t="shared" si="23"/>
        <v>1.49E-2</v>
      </c>
      <c r="AA67" s="89">
        <f t="shared" si="24"/>
        <v>23.283899999999999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0154-17</v>
      </c>
      <c r="AE67" s="75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67" s="75" t="str">
        <f t="shared" si="27"/>
        <v>"C:\Program Files (x86)\AstroGrep\AstroGrep.exe" /spath="C:\Users\stu\Documents\Analysis\2016-02-23 RTDC Observations" /stypes="*4010*20160717*"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495</v>
      </c>
      <c r="B68" s="7">
        <v>4016</v>
      </c>
      <c r="C68" s="26" t="s">
        <v>59</v>
      </c>
      <c r="D68" s="26" t="s">
        <v>172</v>
      </c>
      <c r="E68" s="16">
        <v>42568.434398148151</v>
      </c>
      <c r="F68" s="16">
        <v>42568.435578703706</v>
      </c>
      <c r="G68" s="7">
        <v>1</v>
      </c>
      <c r="H68" s="16" t="s">
        <v>206</v>
      </c>
      <c r="I68" s="16">
        <v>42568.462164351855</v>
      </c>
      <c r="J68" s="7">
        <v>0</v>
      </c>
      <c r="K68" s="26" t="str">
        <f t="shared" si="15"/>
        <v>4015/4016</v>
      </c>
      <c r="L68" s="26" t="str">
        <f>VLOOKUP(A68,'Trips&amp;Operators'!$C$1:$E$10000,3,FALSE)</f>
        <v>MAYBERRY</v>
      </c>
      <c r="M68" s="6">
        <f t="shared" si="16"/>
        <v>2.658564814919373E-2</v>
      </c>
      <c r="N68" s="7">
        <f t="shared" si="2"/>
        <v>38.283333334838971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09:25:32-0600',mode:absolute,to:'2016-07-17 12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4.53E-2</v>
      </c>
      <c r="Z68" s="89">
        <f t="shared" si="23"/>
        <v>23.331199999999999</v>
      </c>
      <c r="AA68" s="89">
        <f t="shared" si="24"/>
        <v>23.285899999999998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0155-17</v>
      </c>
      <c r="AE68" s="75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68" s="75" t="str">
        <f t="shared" si="27"/>
        <v>"C:\Program Files (x86)\AstroGrep\AstroGrep.exe" /spath="C:\Users\stu\Documents\Analysis\2016-02-23 RTDC Observations" /stypes="*4016*20160717*"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507</v>
      </c>
      <c r="B69" s="7">
        <v>4015</v>
      </c>
      <c r="C69" s="26" t="s">
        <v>59</v>
      </c>
      <c r="D69" s="26" t="s">
        <v>207</v>
      </c>
      <c r="E69" s="16">
        <v>42568.464317129627</v>
      </c>
      <c r="F69" s="16">
        <v>42568.465324074074</v>
      </c>
      <c r="G69" s="7">
        <v>1</v>
      </c>
      <c r="H69" s="16" t="s">
        <v>577</v>
      </c>
      <c r="I69" s="16">
        <v>42568.492627314816</v>
      </c>
      <c r="J69" s="7">
        <v>0</v>
      </c>
      <c r="K69" s="26" t="str">
        <f t="shared" si="15"/>
        <v>4015/4016</v>
      </c>
      <c r="L69" s="26" t="str">
        <f>VLOOKUP(A69,'Trips&amp;Operators'!$C$1:$E$10000,3,FALSE)</f>
        <v>MAYBERRY</v>
      </c>
      <c r="M69" s="6">
        <f t="shared" si="16"/>
        <v>2.7303240742185153E-2</v>
      </c>
      <c r="N69" s="7">
        <f t="shared" si="2"/>
        <v>39.31666666874662</v>
      </c>
      <c r="O69" s="7"/>
      <c r="P69" s="7"/>
      <c r="Q69" s="27"/>
      <c r="R69" s="27"/>
      <c r="S69" s="45">
        <f t="shared" si="17"/>
        <v>0.25</v>
      </c>
      <c r="T69" s="69" t="str">
        <f t="shared" si="18"/>
        <v>Southbound</v>
      </c>
      <c r="U69" s="96">
        <f>COUNTIFS(Variables!$M$2:$M$19,IF(T69="NorthBound","&gt;=","&lt;=")&amp;Y69,Variables!$M$2:$M$19,IF(T69="NorthBound","&lt;=","&gt;=")&amp;Z69)</f>
        <v>3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10:08:37-0600',mode:absolute,to:'2016-07-17 12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9" s="74" t="str">
        <f t="shared" si="20"/>
        <v>Y</v>
      </c>
      <c r="X69" s="92">
        <f t="shared" si="21"/>
        <v>1</v>
      </c>
      <c r="Y69" s="89">
        <f t="shared" si="22"/>
        <v>23.299399999999999</v>
      </c>
      <c r="Z69" s="89">
        <f t="shared" si="23"/>
        <v>6.4161000000000001</v>
      </c>
      <c r="AA69" s="89">
        <f t="shared" si="24"/>
        <v>16.883299999999998</v>
      </c>
      <c r="AB69" s="86" t="e">
        <f>VLOOKUP(A69,Enforcements!$C$7:$J$23,8,0)</f>
        <v>#N/A</v>
      </c>
      <c r="AC69" s="82" t="e">
        <f>VLOOKUP(A69,Enforcements!$C$7:$E$23,3,0)</f>
        <v>#N/A</v>
      </c>
      <c r="AD69" s="83" t="str">
        <f t="shared" si="25"/>
        <v>0156-17</v>
      </c>
      <c r="AE69" s="75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69" s="75" t="str">
        <f t="shared" si="27"/>
        <v>"C:\Program Files (x86)\AstroGrep\AstroGrep.exe" /spath="C:\Users\stu\Documents\Analysis\2016-02-23 RTDC Observations" /stypes="*4015*20160717*" /stext=" 17:.+((prompt.+disp)|(slice.+state.+chan)|(ment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497</v>
      </c>
      <c r="B70" s="7">
        <v>4042</v>
      </c>
      <c r="C70" s="26" t="s">
        <v>59</v>
      </c>
      <c r="D70" s="26" t="s">
        <v>268</v>
      </c>
      <c r="E70" s="16">
        <v>42568.439930555556</v>
      </c>
      <c r="F70" s="16">
        <v>42568.440763888888</v>
      </c>
      <c r="G70" s="7">
        <v>1</v>
      </c>
      <c r="H70" s="16" t="s">
        <v>209</v>
      </c>
      <c r="I70" s="16">
        <v>42568.472407407404</v>
      </c>
      <c r="J70" s="7">
        <v>0</v>
      </c>
      <c r="K70" s="26" t="str">
        <f t="shared" si="15"/>
        <v>4041/4042</v>
      </c>
      <c r="L70" s="26" t="str">
        <f>VLOOKUP(A70,'Trips&amp;Operators'!$C$1:$E$10000,3,FALSE)</f>
        <v>YORK</v>
      </c>
      <c r="M70" s="6">
        <f t="shared" si="16"/>
        <v>3.1643518515920732E-2</v>
      </c>
      <c r="N70" s="7">
        <f t="shared" si="2"/>
        <v>45.566666662925854</v>
      </c>
      <c r="O70" s="7"/>
      <c r="P70" s="7"/>
      <c r="Q70" s="27"/>
      <c r="R70" s="27"/>
      <c r="S70" s="45">
        <f t="shared" si="17"/>
        <v>1</v>
      </c>
      <c r="T70" s="69" t="str">
        <f t="shared" si="18"/>
        <v>NorthBound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09:33:30-0600',mode:absolute,to:'2016-07-17 12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4.4900000000000002E-2</v>
      </c>
      <c r="Z70" s="89">
        <f t="shared" si="23"/>
        <v>23.330500000000001</v>
      </c>
      <c r="AA70" s="89">
        <f t="shared" si="24"/>
        <v>23.285600000000002</v>
      </c>
      <c r="AB70" s="86" t="e">
        <f>VLOOKUP(A70,Enforcements!$C$7:$J$23,8,0)</f>
        <v>#N/A</v>
      </c>
      <c r="AC70" s="82" t="e">
        <f>VLOOKUP(A70,Enforcements!$C$7:$E$23,3,0)</f>
        <v>#N/A</v>
      </c>
      <c r="AD70" s="83" t="str">
        <f t="shared" si="25"/>
        <v>0157-17</v>
      </c>
      <c r="AE70" s="75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70" s="75" t="str">
        <f t="shared" si="27"/>
        <v>"C:\Program Files (x86)\AstroGrep\AstroGrep.exe" /spath="C:\Users\stu\Documents\Analysis\2016-02-23 RTDC Observations" /stypes="*4042*20160717*"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500</v>
      </c>
      <c r="B71" s="7">
        <v>4041</v>
      </c>
      <c r="C71" s="26" t="s">
        <v>59</v>
      </c>
      <c r="D71" s="26" t="s">
        <v>225</v>
      </c>
      <c r="E71" s="16">
        <v>42568.474363425928</v>
      </c>
      <c r="F71" s="16">
        <v>42568.475162037037</v>
      </c>
      <c r="G71" s="7">
        <v>1</v>
      </c>
      <c r="H71" s="16" t="s">
        <v>60</v>
      </c>
      <c r="I71" s="16">
        <v>42568.512673611112</v>
      </c>
      <c r="J71" s="7">
        <v>0</v>
      </c>
      <c r="K71" s="26" t="str">
        <f t="shared" si="15"/>
        <v>4041/4042</v>
      </c>
      <c r="L71" s="26" t="str">
        <f>VLOOKUP(A71,'Trips&amp;Operators'!$C$1:$E$10000,3,FALSE)</f>
        <v>YORK</v>
      </c>
      <c r="M71" s="6">
        <f t="shared" si="16"/>
        <v>3.7511574075324461E-2</v>
      </c>
      <c r="N71" s="7">
        <f t="shared" si="2"/>
        <v>54.016666668467224</v>
      </c>
      <c r="O71" s="7"/>
      <c r="P71" s="7"/>
      <c r="Q71" s="27"/>
      <c r="R71" s="27"/>
      <c r="S71" s="45">
        <f t="shared" si="17"/>
        <v>1</v>
      </c>
      <c r="T71" s="69" t="str">
        <f t="shared" si="18"/>
        <v>Southbound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10:23:05-0600',mode:absolute,to:'2016-07-17 13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23.296299999999999</v>
      </c>
      <c r="Z71" s="89">
        <f t="shared" si="23"/>
        <v>1.4500000000000001E-2</v>
      </c>
      <c r="AA71" s="89">
        <f t="shared" si="24"/>
        <v>23.281799999999997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0158-17</v>
      </c>
      <c r="AE71" s="75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71" s="75" t="str">
        <f t="shared" si="27"/>
        <v>"C:\Program Files (x86)\AstroGrep\AstroGrep.exe" /spath="C:\Users\stu\Documents\Analysis\2016-02-23 RTDC Observations" /stypes="*4041*20160717*"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533</v>
      </c>
      <c r="B72" s="7">
        <v>4027</v>
      </c>
      <c r="C72" s="26" t="s">
        <v>59</v>
      </c>
      <c r="D72" s="26" t="s">
        <v>287</v>
      </c>
      <c r="E72" s="16">
        <v>42568.453680555554</v>
      </c>
      <c r="F72" s="16">
        <v>42568.455659722225</v>
      </c>
      <c r="G72" s="7">
        <v>2</v>
      </c>
      <c r="H72" s="16" t="s">
        <v>187</v>
      </c>
      <c r="I72" s="16">
        <v>42568.483055555553</v>
      </c>
      <c r="J72" s="7">
        <v>0</v>
      </c>
      <c r="K72" s="26" t="str">
        <f t="shared" si="15"/>
        <v>4027/4028</v>
      </c>
      <c r="L72" s="26" t="str">
        <f>VLOOKUP(A72,'Trips&amp;Operators'!$C$1:$E$10000,3,FALSE)</f>
        <v>STEWART</v>
      </c>
      <c r="M72" s="6">
        <f t="shared" si="16"/>
        <v>2.7395833327318542E-2</v>
      </c>
      <c r="N72" s="7">
        <f t="shared" si="2"/>
        <v>39.4499999913387</v>
      </c>
      <c r="O72" s="7"/>
      <c r="P72" s="7"/>
      <c r="Q72" s="27"/>
      <c r="R72" s="27"/>
      <c r="S72" s="45">
        <f t="shared" si="17"/>
        <v>1</v>
      </c>
      <c r="T72" s="69" t="str">
        <f t="shared" si="18"/>
        <v>NorthBound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09:53:18-0600',mode:absolute,to:'2016-07-17 12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5.0200000000000002E-2</v>
      </c>
      <c r="Z72" s="89">
        <f t="shared" si="23"/>
        <v>23.331</v>
      </c>
      <c r="AA72" s="89">
        <f t="shared" si="24"/>
        <v>23.280799999999999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0159-17</v>
      </c>
      <c r="AE72" s="75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72" s="75" t="str">
        <f t="shared" si="27"/>
        <v>"C:\Program Files (x86)\AstroGrep\AstroGrep.exe" /spath="C:\Users\stu\Documents\Analysis\2016-02-23 RTDC Observations" /stypes="*4027*20160717*"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426</v>
      </c>
      <c r="B73" s="7">
        <v>4028</v>
      </c>
      <c r="C73" s="26" t="s">
        <v>59</v>
      </c>
      <c r="D73" s="26" t="s">
        <v>221</v>
      </c>
      <c r="E73" s="16">
        <v>42568.493935185186</v>
      </c>
      <c r="F73" s="16">
        <v>42568.495011574072</v>
      </c>
      <c r="G73" s="7">
        <v>1</v>
      </c>
      <c r="H73" s="16" t="s">
        <v>355</v>
      </c>
      <c r="I73" s="16">
        <v>42568.524363425924</v>
      </c>
      <c r="J73" s="7">
        <v>1</v>
      </c>
      <c r="K73" s="26" t="str">
        <f t="shared" si="15"/>
        <v>4027/4028</v>
      </c>
      <c r="L73" s="26" t="str">
        <f>VLOOKUP(A73,'Trips&amp;Operators'!$C$1:$E$10000,3,FALSE)</f>
        <v>STEWART</v>
      </c>
      <c r="M73" s="6">
        <f t="shared" si="16"/>
        <v>2.9351851851970423E-2</v>
      </c>
      <c r="N73" s="7">
        <f t="shared" si="2"/>
        <v>42.266666666837409</v>
      </c>
      <c r="O73" s="7"/>
      <c r="P73" s="7"/>
      <c r="Q73" s="27"/>
      <c r="R73" s="27"/>
      <c r="S73" s="45">
        <f t="shared" si="17"/>
        <v>1</v>
      </c>
      <c r="T73" s="69" t="str">
        <f t="shared" si="18"/>
        <v>Southbound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10:51:16-0600',mode:absolute,to:'2016-07-17 13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23.2989</v>
      </c>
      <c r="Z73" s="89">
        <f t="shared" si="23"/>
        <v>1.6E-2</v>
      </c>
      <c r="AA73" s="89">
        <f t="shared" si="24"/>
        <v>23.282900000000001</v>
      </c>
      <c r="AB73" s="86">
        <f>VLOOKUP(A73,Enforcements!$C$7:$J$23,8,0)</f>
        <v>15167</v>
      </c>
      <c r="AC73" s="82" t="str">
        <f>VLOOKUP(A73,Enforcements!$C$7:$E$23,3,0)</f>
        <v>PERMANENT SPEED RESTRICTION</v>
      </c>
      <c r="AD73" s="83" t="str">
        <f t="shared" si="25"/>
        <v>0160-17</v>
      </c>
      <c r="AE73" s="75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73" s="75" t="str">
        <f t="shared" si="27"/>
        <v>"C:\Program Files (x86)\AstroGrep\AstroGrep.exe" /spath="C:\Users\stu\Documents\Analysis\2016-02-23 RTDC Observations" /stypes="*4028*20160717*"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463</v>
      </c>
      <c r="B74" s="7">
        <v>4007</v>
      </c>
      <c r="C74" s="26" t="s">
        <v>59</v>
      </c>
      <c r="D74" s="26" t="s">
        <v>208</v>
      </c>
      <c r="E74" s="16">
        <v>42568.462824074071</v>
      </c>
      <c r="F74" s="16">
        <v>42568.464467592596</v>
      </c>
      <c r="G74" s="7">
        <v>2</v>
      </c>
      <c r="H74" s="16" t="s">
        <v>578</v>
      </c>
      <c r="I74" s="16">
        <v>42568.472905092596</v>
      </c>
      <c r="J74" s="7">
        <v>0</v>
      </c>
      <c r="K74" s="26" t="str">
        <f t="shared" si="15"/>
        <v>4007/4008</v>
      </c>
      <c r="L74" s="26" t="str">
        <f>VLOOKUP(A74,'Trips&amp;Operators'!$C$1:$E$10000,3,FALSE)</f>
        <v>STORY</v>
      </c>
      <c r="M74" s="6">
        <f t="shared" si="16"/>
        <v>8.4375000005820766E-3</v>
      </c>
      <c r="N74" s="7">
        <f t="shared" si="2"/>
        <v>12.15000000083819</v>
      </c>
      <c r="O74" s="7"/>
      <c r="P74" s="7"/>
      <c r="Q74" s="27"/>
      <c r="R74" s="27"/>
      <c r="S74" s="45">
        <f t="shared" si="17"/>
        <v>0</v>
      </c>
      <c r="T74" s="69" t="str">
        <f t="shared" si="18"/>
        <v>NorthBound</v>
      </c>
      <c r="U74" s="96">
        <f>COUNTIFS(Variables!$M$2:$M$19,IF(T74="NorthBound","&gt;=","&lt;=")&amp;Y74,Variables!$M$2:$M$19,IF(T74="NorthBound","&lt;=","&gt;=")&amp;Z74)</f>
        <v>0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10:06:28-0600',mode:absolute,to:'2016-07-17 12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74" t="str">
        <f t="shared" si="20"/>
        <v>Y</v>
      </c>
      <c r="X74" s="92">
        <f t="shared" si="21"/>
        <v>1</v>
      </c>
      <c r="Y74" s="89">
        <f t="shared" si="22"/>
        <v>4.4400000000000002E-2</v>
      </c>
      <c r="Z74" s="89">
        <f t="shared" si="23"/>
        <v>1.9137</v>
      </c>
      <c r="AA74" s="89">
        <f t="shared" si="24"/>
        <v>1.8693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0161-17</v>
      </c>
      <c r="AE74" s="75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74" s="75" t="str">
        <f t="shared" si="27"/>
        <v>"C:\Program Files (x86)\AstroGrep\AstroGrep.exe" /spath="C:\Users\stu\Documents\Analysis\2016-02-23 RTDC Observations" /stypes="*4007*20160717*"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505</v>
      </c>
      <c r="B75" s="7">
        <v>4008</v>
      </c>
      <c r="C75" s="26" t="s">
        <v>59</v>
      </c>
      <c r="D75" s="26" t="s">
        <v>579</v>
      </c>
      <c r="E75" s="16">
        <v>42568.498043981483</v>
      </c>
      <c r="F75" s="16">
        <v>42568.499641203707</v>
      </c>
      <c r="G75" s="7">
        <v>2</v>
      </c>
      <c r="H75" s="16" t="s">
        <v>125</v>
      </c>
      <c r="I75" s="16">
        <v>42568.537175925929</v>
      </c>
      <c r="J75" s="7">
        <v>0</v>
      </c>
      <c r="K75" s="26" t="str">
        <f t="shared" si="15"/>
        <v>4007/4008</v>
      </c>
      <c r="L75" s="26" t="str">
        <f>VLOOKUP(A75,'Trips&amp;Operators'!$C$1:$E$10000,3,FALSE)</f>
        <v>STORY</v>
      </c>
      <c r="M75" s="6">
        <f t="shared" si="16"/>
        <v>3.7534722221607808E-2</v>
      </c>
      <c r="N75" s="7">
        <f t="shared" si="2"/>
        <v>54.049999999115244</v>
      </c>
      <c r="O75" s="7"/>
      <c r="P75" s="7"/>
      <c r="Q75" s="27"/>
      <c r="R75" s="27"/>
      <c r="S75" s="45">
        <f t="shared" si="17"/>
        <v>1</v>
      </c>
      <c r="T75" s="69" t="str">
        <f t="shared" si="18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10:57:11-0600',mode:absolute,to:'2016-07-17 13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23.304400000000001</v>
      </c>
      <c r="Z75" s="89">
        <f t="shared" si="23"/>
        <v>1.5599999999999999E-2</v>
      </c>
      <c r="AA75" s="89">
        <f t="shared" si="24"/>
        <v>23.288800000000002</v>
      </c>
      <c r="AB75" s="86" t="e">
        <f>VLOOKUP(A75,Enforcements!$C$7:$J$23,8,0)</f>
        <v>#N/A</v>
      </c>
      <c r="AC75" s="82" t="e">
        <f>VLOOKUP(A75,Enforcements!$C$7:$E$23,3,0)</f>
        <v>#N/A</v>
      </c>
      <c r="AD75" s="83" t="str">
        <f t="shared" si="25"/>
        <v>0162-17</v>
      </c>
      <c r="AE75" s="75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75" s="75" t="str">
        <f t="shared" si="27"/>
        <v>"C:\Program Files (x86)\AstroGrep\AstroGrep.exe" /spath="C:\Users\stu\Documents\Analysis\2016-02-23 RTDC Observations" /stypes="*4008*20160717*"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423</v>
      </c>
      <c r="B76" s="7">
        <v>4031</v>
      </c>
      <c r="C76" s="26" t="s">
        <v>59</v>
      </c>
      <c r="D76" s="26" t="s">
        <v>194</v>
      </c>
      <c r="E76" s="16">
        <v>42568.475659722222</v>
      </c>
      <c r="F76" s="16">
        <v>42568.477754629632</v>
      </c>
      <c r="G76" s="7">
        <v>3</v>
      </c>
      <c r="H76" s="16" t="s">
        <v>206</v>
      </c>
      <c r="I76" s="16">
        <v>42568.504282407404</v>
      </c>
      <c r="J76" s="7">
        <v>1</v>
      </c>
      <c r="K76" s="26" t="str">
        <f t="shared" si="15"/>
        <v>4031/4032</v>
      </c>
      <c r="L76" s="26" t="str">
        <f>VLOOKUP(A76,'Trips&amp;Operators'!$C$1:$E$10000,3,FALSE)</f>
        <v>BRUDER</v>
      </c>
      <c r="M76" s="6">
        <f t="shared" si="16"/>
        <v>2.6527777772571426E-2</v>
      </c>
      <c r="N76" s="7">
        <f t="shared" si="2"/>
        <v>38.199999992502853</v>
      </c>
      <c r="O76" s="7"/>
      <c r="P76" s="7"/>
      <c r="Q76" s="27"/>
      <c r="R76" s="27"/>
      <c r="S76" s="45">
        <f t="shared" si="17"/>
        <v>1</v>
      </c>
      <c r="T76" s="69" t="str">
        <f t="shared" si="18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10:24:57-0600',mode:absolute,to:'2016-07-17 13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4.6600000000000003E-2</v>
      </c>
      <c r="Z76" s="89">
        <f t="shared" si="23"/>
        <v>23.331199999999999</v>
      </c>
      <c r="AA76" s="89">
        <f t="shared" si="24"/>
        <v>23.284599999999998</v>
      </c>
      <c r="AB76" s="86">
        <f>VLOOKUP(A76,Enforcements!$C$7:$J$23,8,0)</f>
        <v>4677</v>
      </c>
      <c r="AC76" s="82" t="str">
        <f>VLOOKUP(A76,Enforcements!$C$7:$E$23,3,0)</f>
        <v>PERMANENT SPEED RESTRICTION</v>
      </c>
      <c r="AD76" s="83" t="str">
        <f t="shared" si="25"/>
        <v>0163-17</v>
      </c>
      <c r="AE76" s="75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76" s="75" t="str">
        <f t="shared" si="27"/>
        <v>"C:\Program Files (x86)\AstroGrep\AstroGrep.exe" /spath="C:\Users\stu\Documents\Analysis\2016-02-23 RTDC Observations" /stypes="*4031*20160717*"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536</v>
      </c>
      <c r="B77" s="7">
        <v>4032</v>
      </c>
      <c r="C77" s="26" t="s">
        <v>59</v>
      </c>
      <c r="D77" s="26" t="s">
        <v>201</v>
      </c>
      <c r="E77" s="16">
        <v>42568.515543981484</v>
      </c>
      <c r="F77" s="16">
        <v>42568.516712962963</v>
      </c>
      <c r="G77" s="7">
        <v>1</v>
      </c>
      <c r="H77" s="16" t="s">
        <v>184</v>
      </c>
      <c r="I77" s="16">
        <v>42568.544166666667</v>
      </c>
      <c r="J77" s="7">
        <v>0</v>
      </c>
      <c r="K77" s="26" t="str">
        <f t="shared" si="15"/>
        <v>4031/4032</v>
      </c>
      <c r="L77" s="26" t="str">
        <f>VLOOKUP(A77,'Trips&amp;Operators'!$C$1:$E$10000,3,FALSE)</f>
        <v>BRUDER</v>
      </c>
      <c r="M77" s="6">
        <f t="shared" si="16"/>
        <v>2.7453703703940846E-2</v>
      </c>
      <c r="N77" s="7">
        <f t="shared" ref="N77:N140" si="29">24*60*SUM($M77:$M77)</f>
        <v>39.533333333674818</v>
      </c>
      <c r="O77" s="7"/>
      <c r="P77" s="7"/>
      <c r="Q77" s="27"/>
      <c r="R77" s="27"/>
      <c r="S77" s="45">
        <f t="shared" si="17"/>
        <v>1</v>
      </c>
      <c r="T77" s="69" t="str">
        <f t="shared" si="18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11:22:23-0600',mode:absolute,to:'2016-07-17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23.299299999999999</v>
      </c>
      <c r="Z77" s="89">
        <f t="shared" si="23"/>
        <v>1.4999999999999999E-2</v>
      </c>
      <c r="AA77" s="89">
        <f t="shared" si="24"/>
        <v>23.284299999999998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0164-17</v>
      </c>
      <c r="AE77" s="75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77" s="75" t="str">
        <f t="shared" si="27"/>
        <v>"C:\Program Files (x86)\AstroGrep\AstroGrep.exe" /spath="C:\Users\stu\Documents\Analysis\2016-02-23 RTDC Observations" /stypes="*4032*20160717*"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425</v>
      </c>
      <c r="B78" s="7">
        <v>4014</v>
      </c>
      <c r="C78" s="26" t="s">
        <v>59</v>
      </c>
      <c r="D78" s="26" t="s">
        <v>580</v>
      </c>
      <c r="E78" s="16">
        <v>42568.5075</v>
      </c>
      <c r="F78" s="16">
        <v>42568.508032407408</v>
      </c>
      <c r="G78" s="7">
        <v>0</v>
      </c>
      <c r="H78" s="16" t="s">
        <v>189</v>
      </c>
      <c r="I78" s="16">
        <v>42568.518449074072</v>
      </c>
      <c r="J78" s="7">
        <v>0</v>
      </c>
      <c r="K78" s="26" t="str">
        <f t="shared" si="15"/>
        <v>4013/4014</v>
      </c>
      <c r="L78" s="26" t="str">
        <f>VLOOKUP(A78,'Trips&amp;Operators'!$C$1:$E$10000,3,FALSE)</f>
        <v>RIVERA</v>
      </c>
      <c r="M78" s="6">
        <f t="shared" si="16"/>
        <v>1.0416666664241347E-2</v>
      </c>
      <c r="N78" s="7">
        <f t="shared" si="29"/>
        <v>14.99999999650754</v>
      </c>
      <c r="O78" s="7"/>
      <c r="P78" s="7"/>
      <c r="Q78" s="27"/>
      <c r="R78" s="27"/>
      <c r="S78" s="45">
        <f t="shared" si="17"/>
        <v>0</v>
      </c>
      <c r="T78" s="69" t="str">
        <f t="shared" si="18"/>
        <v>NorthBound</v>
      </c>
      <c r="U78" s="96">
        <f>COUNTIFS(Variables!$M$2:$M$19,IF(T78="NorthBound","&gt;=","&lt;=")&amp;Y78,Variables!$M$2:$M$19,IF(T78="NorthBound","&lt;=","&gt;=")&amp;Z78)</f>
        <v>0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11:10:48-0600',mode:absolute,to:'2016-07-17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74" t="str">
        <f t="shared" si="20"/>
        <v>Y</v>
      </c>
      <c r="X78" s="92">
        <f t="shared" si="21"/>
        <v>1</v>
      </c>
      <c r="Y78" s="89">
        <f t="shared" si="22"/>
        <v>12.825799999999999</v>
      </c>
      <c r="Z78" s="89">
        <f t="shared" si="23"/>
        <v>23.329699999999999</v>
      </c>
      <c r="AA78" s="89">
        <f t="shared" si="24"/>
        <v>10.5039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si="25"/>
        <v>0165-17</v>
      </c>
      <c r="AE78" s="75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78" s="75" t="str">
        <f t="shared" si="27"/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425</v>
      </c>
      <c r="B79" s="7">
        <v>4014</v>
      </c>
      <c r="C79" s="26" t="s">
        <v>59</v>
      </c>
      <c r="D79" s="26" t="s">
        <v>375</v>
      </c>
      <c r="E79" s="16">
        <v>42568.483402777776</v>
      </c>
      <c r="F79" s="16">
        <v>42568.484652777777</v>
      </c>
      <c r="G79" s="7">
        <v>1</v>
      </c>
      <c r="H79" s="16" t="s">
        <v>581</v>
      </c>
      <c r="I79" s="16">
        <v>42568.505127314813</v>
      </c>
      <c r="J79" s="7">
        <v>1</v>
      </c>
      <c r="K79" s="26" t="str">
        <f t="shared" ref="K79:K142" si="30">IF(ISEVEN(B79),(B79-1)&amp;"/"&amp;B79,B79&amp;"/"&amp;(B79+1))</f>
        <v>4013/4014</v>
      </c>
      <c r="L79" s="26" t="str">
        <f>VLOOKUP(A79,'Trips&amp;Operators'!$C$1:$E$10000,3,FALSE)</f>
        <v>RIVERA</v>
      </c>
      <c r="M79" s="6">
        <f t="shared" ref="M79:M142" si="31">I79-F79</f>
        <v>2.0474537035624962E-2</v>
      </c>
      <c r="N79" s="7">
        <f t="shared" si="29"/>
        <v>29.483333331299946</v>
      </c>
      <c r="O79" s="7"/>
      <c r="P79" s="7"/>
      <c r="Q79" s="27"/>
      <c r="R79" s="27"/>
      <c r="S79" s="45">
        <f t="shared" ref="S79:S142" si="32">SUM(U79:U79)/12</f>
        <v>1</v>
      </c>
      <c r="T79" s="69" t="str">
        <f t="shared" ref="T79:T142" si="33">IF(ISEVEN(LEFT(A79,3)),"Southbound","NorthBound")</f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2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https://search-rtdc-monitor-bjffxe2xuh6vdkpspy63sjmuny.us-east-1.es.amazonaws.com/_plugin/kibana/#/discover/Steve-Slow-Train-Analysis-(2080s-and-2083s)?_g=(refreshInterval:(display:Off,section:0,value:0),time:(from:'2016-07-17 10:36:06-0600',mode:absolute,to:'2016-07-17 13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9" s="74" t="str">
        <f t="shared" ref="W79:W142" si="35">IF(AA79&lt;23,"Y","N")</f>
        <v>Y</v>
      </c>
      <c r="X79" s="92">
        <f t="shared" ref="X79:X142" si="36">VALUE(LEFT(A79,3))-VALUE(LEFT(A78,3))</f>
        <v>0</v>
      </c>
      <c r="Y79" s="89">
        <f t="shared" ref="Y79:Y142" si="37">RIGHT(D79,LEN(D79)-4)/10000</f>
        <v>4.8000000000000001E-2</v>
      </c>
      <c r="Z79" s="89">
        <f t="shared" ref="Z79:Z142" si="38">RIGHT(H79,LEN(H79)-4)/10000</f>
        <v>11.035500000000001</v>
      </c>
      <c r="AA79" s="89">
        <f t="shared" ref="AA79:AA142" si="39">ABS(Z79-Y79)</f>
        <v>10.987500000000001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ref="AD79:AD142" si="40">IF(LEN(A79)=6,"0"&amp;A79,A79)</f>
        <v>0165-17</v>
      </c>
      <c r="AE79" s="75" t="str">
        <f t="shared" ref="AE79:AE142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79" s="75" t="str">
        <f t="shared" ref="AF79:AF142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AG79" s="1" t="str">
        <f t="shared" ref="AG79:AG142" si="43">IF(VALUE(LEFT(A79,3))&lt;300,"EC","NWGL")</f>
        <v>EC</v>
      </c>
    </row>
    <row r="80" spans="1:33" x14ac:dyDescent="0.25">
      <c r="A80" s="49" t="s">
        <v>427</v>
      </c>
      <c r="B80" s="7">
        <v>4013</v>
      </c>
      <c r="C80" s="26" t="s">
        <v>59</v>
      </c>
      <c r="D80" s="26" t="s">
        <v>193</v>
      </c>
      <c r="E80" s="16">
        <v>42568.526250000003</v>
      </c>
      <c r="F80" s="16">
        <v>42568.527233796296</v>
      </c>
      <c r="G80" s="7">
        <v>1</v>
      </c>
      <c r="H80" s="16" t="s">
        <v>220</v>
      </c>
      <c r="I80" s="16">
        <v>42568.554166666669</v>
      </c>
      <c r="J80" s="7">
        <v>1</v>
      </c>
      <c r="K80" s="26" t="str">
        <f t="shared" si="30"/>
        <v>4013/4014</v>
      </c>
      <c r="L80" s="26" t="str">
        <f>VLOOKUP(A80,'Trips&amp;Operators'!$C$1:$E$10000,3,FALSE)</f>
        <v>RIVERA</v>
      </c>
      <c r="M80" s="6">
        <f t="shared" si="31"/>
        <v>2.6932870372547768E-2</v>
      </c>
      <c r="N80" s="7">
        <f t="shared" si="29"/>
        <v>38.783333336468786</v>
      </c>
      <c r="O80" s="7"/>
      <c r="P80" s="7"/>
      <c r="Q80" s="27"/>
      <c r="R80" s="27"/>
      <c r="S80" s="45">
        <f t="shared" si="32"/>
        <v>1</v>
      </c>
      <c r="T80" s="69" t="str">
        <f t="shared" si="33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11:37:48-0600',mode:absolute,to:'2016-07-17 14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0" s="74" t="str">
        <f t="shared" si="35"/>
        <v>N</v>
      </c>
      <c r="X80" s="92">
        <f t="shared" si="36"/>
        <v>1</v>
      </c>
      <c r="Y80" s="89">
        <f t="shared" si="37"/>
        <v>23.297999999999998</v>
      </c>
      <c r="Z80" s="89">
        <f t="shared" si="38"/>
        <v>1.41E-2</v>
      </c>
      <c r="AA80" s="89">
        <f t="shared" si="39"/>
        <v>23.283899999999999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0"/>
        <v>0166-17</v>
      </c>
      <c r="AE80" s="75" t="str">
        <f t="shared" si="41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80" s="75" t="str">
        <f t="shared" si="42"/>
        <v>"C:\Program Files (x86)\AstroGrep\AstroGrep.exe" /spath="C:\Users\stu\Documents\Analysis\2016-02-23 RTDC Observations" /stypes="*4013*20160717*" /stext=" 19:.+((prompt.+disp)|(slice.+state.+chan)|(ment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49" t="s">
        <v>547</v>
      </c>
      <c r="B81" s="7">
        <v>4009</v>
      </c>
      <c r="C81" s="26" t="s">
        <v>59</v>
      </c>
      <c r="D81" s="26" t="s">
        <v>150</v>
      </c>
      <c r="E81" s="16">
        <v>42568.493796296294</v>
      </c>
      <c r="F81" s="16">
        <v>42568.49490740741</v>
      </c>
      <c r="G81" s="7">
        <v>1</v>
      </c>
      <c r="H81" s="16" t="s">
        <v>264</v>
      </c>
      <c r="I81" s="16">
        <v>42568.525543981479</v>
      </c>
      <c r="J81" s="7">
        <v>0</v>
      </c>
      <c r="K81" s="26" t="str">
        <f t="shared" si="30"/>
        <v>4009/4010</v>
      </c>
      <c r="L81" s="26" t="str">
        <f>VLOOKUP(A81,'Trips&amp;Operators'!$C$1:$E$10000,3,FALSE)</f>
        <v>REBOLETTI</v>
      </c>
      <c r="M81" s="6">
        <f t="shared" si="31"/>
        <v>3.0636574068921618E-2</v>
      </c>
      <c r="N81" s="7">
        <f t="shared" si="29"/>
        <v>44.11666665924713</v>
      </c>
      <c r="O81" s="7"/>
      <c r="P81" s="7"/>
      <c r="Q81" s="27"/>
      <c r="R81" s="27"/>
      <c r="S81" s="45">
        <f t="shared" si="32"/>
        <v>1</v>
      </c>
      <c r="T81" s="69" t="str">
        <f t="shared" si="33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10:51:04-0600',mode:absolute,to:'2016-07-17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1" s="74" t="str">
        <f t="shared" si="35"/>
        <v>N</v>
      </c>
      <c r="X81" s="92">
        <f t="shared" si="36"/>
        <v>1</v>
      </c>
      <c r="Y81" s="89">
        <f t="shared" si="37"/>
        <v>4.58E-2</v>
      </c>
      <c r="Z81" s="89">
        <f t="shared" si="38"/>
        <v>23.3308</v>
      </c>
      <c r="AA81" s="89">
        <f t="shared" si="39"/>
        <v>23.285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0"/>
        <v>0167-17</v>
      </c>
      <c r="AE81" s="75" t="str">
        <f t="shared" si="41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81" s="75" t="str">
        <f t="shared" si="42"/>
        <v>"C:\Program Files (x86)\AstroGrep\AstroGrep.exe" /spath="C:\Users\stu\Documents\Analysis\2016-02-23 RTDC Observations" /stypes="*4009*20160717*" /stext=" 18:.+((prompt.+disp)|(slice.+state.+chan)|(ment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49" t="s">
        <v>543</v>
      </c>
      <c r="B82" s="7">
        <v>4010</v>
      </c>
      <c r="C82" s="26" t="s">
        <v>59</v>
      </c>
      <c r="D82" s="26" t="s">
        <v>207</v>
      </c>
      <c r="E82" s="16">
        <v>42568.529965277776</v>
      </c>
      <c r="F82" s="16">
        <v>42568.531215277777</v>
      </c>
      <c r="G82" s="7">
        <v>1</v>
      </c>
      <c r="H82" s="16" t="s">
        <v>71</v>
      </c>
      <c r="I82" s="16">
        <v>42568.564606481479</v>
      </c>
      <c r="J82" s="7">
        <v>0</v>
      </c>
      <c r="K82" s="26" t="str">
        <f t="shared" si="30"/>
        <v>4009/4010</v>
      </c>
      <c r="L82" s="26" t="str">
        <f>VLOOKUP(A82,'Trips&amp;Operators'!$C$1:$E$10000,3,FALSE)</f>
        <v>REBOLETTI</v>
      </c>
      <c r="M82" s="6">
        <f t="shared" si="31"/>
        <v>3.3391203702194616E-2</v>
      </c>
      <c r="N82" s="7">
        <f t="shared" si="29"/>
        <v>48.083333331160247</v>
      </c>
      <c r="O82" s="7"/>
      <c r="P82" s="7"/>
      <c r="Q82" s="27"/>
      <c r="R82" s="27"/>
      <c r="S82" s="45">
        <f t="shared" si="32"/>
        <v>1</v>
      </c>
      <c r="T82" s="69" t="str">
        <f t="shared" si="33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11:43:09-0600',mode:absolute,to:'2016-07-17 14:33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2" s="74" t="str">
        <f t="shared" si="35"/>
        <v>N</v>
      </c>
      <c r="X82" s="92">
        <f t="shared" si="36"/>
        <v>1</v>
      </c>
      <c r="Y82" s="89">
        <f t="shared" si="37"/>
        <v>23.299399999999999</v>
      </c>
      <c r="Z82" s="89">
        <f t="shared" si="38"/>
        <v>1.49E-2</v>
      </c>
      <c r="AA82" s="89">
        <f t="shared" si="39"/>
        <v>23.284499999999998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0"/>
        <v>0168-17</v>
      </c>
      <c r="AE82" s="75" t="str">
        <f t="shared" si="41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82" s="75" t="str">
        <f t="shared" si="42"/>
        <v>"C:\Program Files (x86)\AstroGrep\AstroGrep.exe" /spath="C:\Users\stu\Documents\Analysis\2016-02-23 RTDC Observations" /stypes="*4010*20160717*" /stext=" 19:.+((prompt.+disp)|(slice.+state.+chan)|(ment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49" t="s">
        <v>503</v>
      </c>
      <c r="B83" s="7">
        <v>4016</v>
      </c>
      <c r="C83" s="26" t="s">
        <v>59</v>
      </c>
      <c r="D83" s="26" t="s">
        <v>180</v>
      </c>
      <c r="E83" s="16">
        <v>42568.506620370368</v>
      </c>
      <c r="F83" s="16">
        <v>42568.507719907408</v>
      </c>
      <c r="G83" s="7">
        <v>1</v>
      </c>
      <c r="H83" s="16" t="s">
        <v>235</v>
      </c>
      <c r="I83" s="16">
        <v>42568.535752314812</v>
      </c>
      <c r="J83" s="7">
        <v>0</v>
      </c>
      <c r="K83" s="26" t="str">
        <f t="shared" si="30"/>
        <v>4015/4016</v>
      </c>
      <c r="L83" s="26" t="str">
        <f>VLOOKUP(A83,'Trips&amp;Operators'!$C$1:$E$10000,3,FALSE)</f>
        <v>MAYBERRY</v>
      </c>
      <c r="M83" s="6">
        <f t="shared" si="31"/>
        <v>2.8032407404680271E-2</v>
      </c>
      <c r="N83" s="7">
        <f t="shared" si="29"/>
        <v>40.36666666273959</v>
      </c>
      <c r="O83" s="7"/>
      <c r="P83" s="7"/>
      <c r="Q83" s="27"/>
      <c r="R83" s="27"/>
      <c r="S83" s="45">
        <f t="shared" si="32"/>
        <v>1</v>
      </c>
      <c r="T83" s="69" t="str">
        <f t="shared" si="33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11:09:32-0600',mode:absolute,to:'2016-07-17 13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3" s="74" t="str">
        <f t="shared" si="35"/>
        <v>N</v>
      </c>
      <c r="X83" s="92">
        <f t="shared" si="36"/>
        <v>1</v>
      </c>
      <c r="Y83" s="89">
        <f t="shared" si="37"/>
        <v>4.5499999999999999E-2</v>
      </c>
      <c r="Z83" s="89">
        <f t="shared" si="38"/>
        <v>23.328800000000001</v>
      </c>
      <c r="AA83" s="89">
        <f t="shared" si="39"/>
        <v>23.283300000000001</v>
      </c>
      <c r="AB83" s="86" t="e">
        <f>VLOOKUP(A83,Enforcements!$C$7:$J$23,8,0)</f>
        <v>#N/A</v>
      </c>
      <c r="AC83" s="82" t="e">
        <f>VLOOKUP(A83,Enforcements!$C$7:$E$23,3,0)</f>
        <v>#N/A</v>
      </c>
      <c r="AD83" s="83" t="str">
        <f t="shared" si="40"/>
        <v>0169-17</v>
      </c>
      <c r="AE83" s="75" t="str">
        <f t="shared" si="41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83" s="75" t="str">
        <f t="shared" si="42"/>
        <v>"C:\Program Files (x86)\AstroGrep\AstroGrep.exe" /spath="C:\Users\stu\Documents\Analysis\2016-02-23 RTDC Observations" /stypes="*4016*20160717*" /stext=" 18:.+((prompt.+disp)|(slice.+state.+chan)|(ment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49" t="s">
        <v>502</v>
      </c>
      <c r="B84" s="7">
        <v>4015</v>
      </c>
      <c r="C84" s="26" t="s">
        <v>59</v>
      </c>
      <c r="D84" s="26" t="s">
        <v>198</v>
      </c>
      <c r="E84" s="16">
        <v>42568.538402777776</v>
      </c>
      <c r="F84" s="16">
        <v>42568.539641203701</v>
      </c>
      <c r="G84" s="7">
        <v>1</v>
      </c>
      <c r="H84" s="16" t="s">
        <v>125</v>
      </c>
      <c r="I84" s="16">
        <v>42568.57476851852</v>
      </c>
      <c r="J84" s="7">
        <v>0</v>
      </c>
      <c r="K84" s="26" t="str">
        <f t="shared" si="30"/>
        <v>4015/4016</v>
      </c>
      <c r="L84" s="26" t="str">
        <f>VLOOKUP(A84,'Trips&amp;Operators'!$C$1:$E$10000,3,FALSE)</f>
        <v>MAYBERRY</v>
      </c>
      <c r="M84" s="6">
        <f t="shared" si="31"/>
        <v>3.5127314818964805E-2</v>
      </c>
      <c r="N84" s="7">
        <f t="shared" si="29"/>
        <v>50.58333333930932</v>
      </c>
      <c r="O84" s="7"/>
      <c r="P84" s="7"/>
      <c r="Q84" s="27"/>
      <c r="R84" s="27"/>
      <c r="S84" s="45">
        <f t="shared" si="32"/>
        <v>1</v>
      </c>
      <c r="T84" s="69" t="str">
        <f t="shared" si="33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11:55:18-0600',mode:absolute,to:'2016-07-17 14:47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4" s="74" t="str">
        <f t="shared" si="35"/>
        <v>N</v>
      </c>
      <c r="X84" s="92">
        <f t="shared" si="36"/>
        <v>1</v>
      </c>
      <c r="Y84" s="89">
        <f t="shared" si="37"/>
        <v>23.298200000000001</v>
      </c>
      <c r="Z84" s="89">
        <f t="shared" si="38"/>
        <v>1.5599999999999999E-2</v>
      </c>
      <c r="AA84" s="89">
        <f t="shared" si="39"/>
        <v>23.282600000000002</v>
      </c>
      <c r="AB84" s="86" t="e">
        <f>VLOOKUP(A84,Enforcements!$C$7:$J$23,8,0)</f>
        <v>#N/A</v>
      </c>
      <c r="AC84" s="82" t="e">
        <f>VLOOKUP(A84,Enforcements!$C$7:$E$23,3,0)</f>
        <v>#N/A</v>
      </c>
      <c r="AD84" s="83" t="str">
        <f t="shared" si="40"/>
        <v>0170-17</v>
      </c>
      <c r="AE84" s="75" t="str">
        <f t="shared" si="41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84" s="75" t="str">
        <f t="shared" si="42"/>
        <v>"C:\Program Files (x86)\AstroGrep\AstroGrep.exe" /spath="C:\Users\stu\Documents\Analysis\2016-02-23 RTDC Observations" /stypes="*4015*20160717*"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49" t="s">
        <v>545</v>
      </c>
      <c r="B85" s="7">
        <v>4042</v>
      </c>
      <c r="C85" s="26" t="s">
        <v>59</v>
      </c>
      <c r="D85" s="26" t="s">
        <v>268</v>
      </c>
      <c r="E85" s="16">
        <v>42568.516122685185</v>
      </c>
      <c r="F85" s="16">
        <v>42568.520810185182</v>
      </c>
      <c r="G85" s="7">
        <v>6</v>
      </c>
      <c r="H85" s="16" t="s">
        <v>223</v>
      </c>
      <c r="I85" s="16">
        <v>42568.5466087963</v>
      </c>
      <c r="J85" s="7">
        <v>0</v>
      </c>
      <c r="K85" s="26" t="str">
        <f t="shared" si="30"/>
        <v>4041/4042</v>
      </c>
      <c r="L85" s="26" t="str">
        <f>VLOOKUP(A85,'Trips&amp;Operators'!$C$1:$E$10000,3,FALSE)</f>
        <v>KILLION</v>
      </c>
      <c r="M85" s="6">
        <f t="shared" si="31"/>
        <v>2.5798611117352266E-2</v>
      </c>
      <c r="N85" s="7">
        <f t="shared" si="29"/>
        <v>37.150000008987263</v>
      </c>
      <c r="O85" s="7"/>
      <c r="P85" s="7"/>
      <c r="Q85" s="27"/>
      <c r="R85" s="27"/>
      <c r="S85" s="45">
        <f t="shared" si="32"/>
        <v>1</v>
      </c>
      <c r="T85" s="69" t="str">
        <f t="shared" si="33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11:23:13-0600',mode:absolute,to:'2016-07-17 14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74" t="str">
        <f t="shared" si="35"/>
        <v>N</v>
      </c>
      <c r="X85" s="92">
        <f t="shared" si="36"/>
        <v>1</v>
      </c>
      <c r="Y85" s="89">
        <f t="shared" si="37"/>
        <v>4.4900000000000002E-2</v>
      </c>
      <c r="Z85" s="89">
        <f t="shared" si="38"/>
        <v>23.328900000000001</v>
      </c>
      <c r="AA85" s="89">
        <f t="shared" si="39"/>
        <v>23.284000000000002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0"/>
        <v>0171-17</v>
      </c>
      <c r="AE85" s="75" t="str">
        <f t="shared" si="41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85" s="75" t="str">
        <f t="shared" si="42"/>
        <v>"C:\Program Files (x86)\AstroGrep\AstroGrep.exe" /spath="C:\Users\stu\Documents\Analysis\2016-02-23 RTDC Observations" /stypes="*4042*20160717*" /stext=" 19:.+((prompt.+disp)|(slice.+state.+chan)|(ment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49" t="s">
        <v>506</v>
      </c>
      <c r="B86" s="7">
        <v>4041</v>
      </c>
      <c r="C86" s="26" t="s">
        <v>59</v>
      </c>
      <c r="D86" s="26" t="s">
        <v>582</v>
      </c>
      <c r="E86" s="16">
        <v>42568.552488425928</v>
      </c>
      <c r="F86" s="16">
        <v>42568.553842592592</v>
      </c>
      <c r="G86" s="7">
        <v>1</v>
      </c>
      <c r="H86" s="16" t="s">
        <v>184</v>
      </c>
      <c r="I86" s="16">
        <v>42568.585752314815</v>
      </c>
      <c r="J86" s="7">
        <v>0</v>
      </c>
      <c r="K86" s="26" t="str">
        <f t="shared" si="30"/>
        <v>4041/4042</v>
      </c>
      <c r="L86" s="26" t="str">
        <f>VLOOKUP(A86,'Trips&amp;Operators'!$C$1:$E$10000,3,FALSE)</f>
        <v>KILLION</v>
      </c>
      <c r="M86" s="6">
        <f t="shared" si="31"/>
        <v>3.1909722223645076E-2</v>
      </c>
      <c r="N86" s="7">
        <f t="shared" si="29"/>
        <v>45.95000000204891</v>
      </c>
      <c r="O86" s="7"/>
      <c r="P86" s="7"/>
      <c r="Q86" s="27"/>
      <c r="R86" s="27"/>
      <c r="S86" s="45">
        <f t="shared" si="32"/>
        <v>1</v>
      </c>
      <c r="T86" s="69" t="str">
        <f t="shared" si="33"/>
        <v>Southbound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12:15:35-0600',mode:absolute,to:'2016-07-17 15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74" t="str">
        <f t="shared" si="35"/>
        <v>N</v>
      </c>
      <c r="X86" s="92">
        <f t="shared" si="36"/>
        <v>1</v>
      </c>
      <c r="Y86" s="89">
        <f t="shared" si="37"/>
        <v>23.296199999999999</v>
      </c>
      <c r="Z86" s="89">
        <f t="shared" si="38"/>
        <v>1.4999999999999999E-2</v>
      </c>
      <c r="AA86" s="89">
        <f t="shared" si="39"/>
        <v>23.281199999999998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si="40"/>
        <v>0172-17</v>
      </c>
      <c r="AE86" s="75" t="str">
        <f t="shared" si="41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86" s="75" t="str">
        <f t="shared" si="42"/>
        <v>"C:\Program Files (x86)\AstroGrep\AstroGrep.exe" /spath="C:\Users\stu\Documents\Analysis\2016-02-23 RTDC Observations" /stypes="*4041*20160717*"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49" t="s">
        <v>464</v>
      </c>
      <c r="B87" s="7">
        <v>4027</v>
      </c>
      <c r="C87" s="26" t="s">
        <v>59</v>
      </c>
      <c r="D87" s="26" t="s">
        <v>172</v>
      </c>
      <c r="E87" s="16">
        <v>42568.527905092589</v>
      </c>
      <c r="F87" s="16">
        <v>42568.529293981483</v>
      </c>
      <c r="G87" s="7">
        <v>1</v>
      </c>
      <c r="H87" s="16" t="s">
        <v>209</v>
      </c>
      <c r="I87" s="16">
        <v>42568.55672453704</v>
      </c>
      <c r="J87" s="7">
        <v>0</v>
      </c>
      <c r="K87" s="26" t="str">
        <f t="shared" si="30"/>
        <v>4027/4028</v>
      </c>
      <c r="L87" s="26" t="str">
        <f>VLOOKUP(A87,'Trips&amp;Operators'!$C$1:$E$10000,3,FALSE)</f>
        <v>STEWART</v>
      </c>
      <c r="M87" s="6">
        <f t="shared" si="31"/>
        <v>2.7430555557657499E-2</v>
      </c>
      <c r="N87" s="7">
        <f t="shared" si="29"/>
        <v>39.500000003026798</v>
      </c>
      <c r="O87" s="7"/>
      <c r="P87" s="7"/>
      <c r="Q87" s="27"/>
      <c r="R87" s="27"/>
      <c r="S87" s="45">
        <f t="shared" si="32"/>
        <v>1</v>
      </c>
      <c r="T87" s="69" t="str">
        <f t="shared" si="33"/>
        <v>NorthBound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11:40:11-0600',mode:absolute,to:'2016-07-17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7" s="74" t="str">
        <f t="shared" si="35"/>
        <v>N</v>
      </c>
      <c r="X87" s="92">
        <f t="shared" si="36"/>
        <v>1</v>
      </c>
      <c r="Y87" s="89">
        <f t="shared" si="37"/>
        <v>4.53E-2</v>
      </c>
      <c r="Z87" s="89">
        <f t="shared" si="38"/>
        <v>23.330500000000001</v>
      </c>
      <c r="AA87" s="89">
        <f t="shared" si="39"/>
        <v>23.2852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0"/>
        <v>0173-17</v>
      </c>
      <c r="AE87" s="75" t="str">
        <f t="shared" si="41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87" s="75" t="str">
        <f t="shared" si="42"/>
        <v>"C:\Program Files (x86)\AstroGrep\AstroGrep.exe" /spath="C:\Users\stu\Documents\Analysis\2016-02-23 RTDC Observations" /stypes="*4027*20160717*" /stext=" 19:.+((prompt.+disp)|(slice.+state.+chan)|(ment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49" t="s">
        <v>499</v>
      </c>
      <c r="B88" s="7">
        <v>4028</v>
      </c>
      <c r="C88" s="26" t="s">
        <v>59</v>
      </c>
      <c r="D88" s="26" t="s">
        <v>366</v>
      </c>
      <c r="E88" s="16">
        <v>42568.564699074072</v>
      </c>
      <c r="F88" s="16">
        <v>42568.565844907411</v>
      </c>
      <c r="G88" s="7">
        <v>1</v>
      </c>
      <c r="H88" s="16" t="s">
        <v>183</v>
      </c>
      <c r="I88" s="16">
        <v>42568.598796296297</v>
      </c>
      <c r="J88" s="7">
        <v>0</v>
      </c>
      <c r="K88" s="26" t="str">
        <f t="shared" si="30"/>
        <v>4027/4028</v>
      </c>
      <c r="L88" s="26" t="str">
        <f>VLOOKUP(A88,'Trips&amp;Operators'!$C$1:$E$10000,3,FALSE)</f>
        <v>STEWART</v>
      </c>
      <c r="M88" s="6">
        <f t="shared" si="31"/>
        <v>3.2951388886431232E-2</v>
      </c>
      <c r="N88" s="7">
        <f t="shared" si="29"/>
        <v>47.449999996460974</v>
      </c>
      <c r="O88" s="7"/>
      <c r="P88" s="7"/>
      <c r="Q88" s="27"/>
      <c r="R88" s="27"/>
      <c r="S88" s="45">
        <f t="shared" si="32"/>
        <v>1</v>
      </c>
      <c r="T88" s="69" t="str">
        <f t="shared" si="33"/>
        <v>Southbound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12:33:10-0600',mode:absolute,to:'2016-07-17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8" s="74" t="str">
        <f t="shared" si="35"/>
        <v>N</v>
      </c>
      <c r="X88" s="92">
        <f t="shared" si="36"/>
        <v>1</v>
      </c>
      <c r="Y88" s="89">
        <f t="shared" si="37"/>
        <v>23.2973</v>
      </c>
      <c r="Z88" s="89">
        <f t="shared" si="38"/>
        <v>1.54E-2</v>
      </c>
      <c r="AA88" s="89">
        <f t="shared" si="39"/>
        <v>23.2819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0"/>
        <v>0174-17</v>
      </c>
      <c r="AE88" s="75" t="str">
        <f t="shared" si="41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88" s="75" t="str">
        <f t="shared" si="42"/>
        <v>"C:\Program Files (x86)\AstroGrep\AstroGrep.exe" /spath="C:\Users\stu\Documents\Analysis\2016-02-23 RTDC Observations" /stypes="*4028*20160717*"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49" t="s">
        <v>504</v>
      </c>
      <c r="B89" s="7">
        <v>4007</v>
      </c>
      <c r="C89" s="26" t="s">
        <v>59</v>
      </c>
      <c r="D89" s="26" t="s">
        <v>185</v>
      </c>
      <c r="E89" s="16">
        <v>42568.538831018515</v>
      </c>
      <c r="F89" s="16">
        <v>42568.540196759262</v>
      </c>
      <c r="G89" s="7">
        <v>1</v>
      </c>
      <c r="H89" s="16" t="s">
        <v>583</v>
      </c>
      <c r="I89" s="16">
        <v>42568.566701388889</v>
      </c>
      <c r="J89" s="7">
        <v>0</v>
      </c>
      <c r="K89" s="26" t="str">
        <f t="shared" si="30"/>
        <v>4007/4008</v>
      </c>
      <c r="L89" s="26" t="str">
        <f>VLOOKUP(A89,'Trips&amp;Operators'!$C$1:$E$10000,3,FALSE)</f>
        <v>STORY</v>
      </c>
      <c r="M89" s="6">
        <f t="shared" si="31"/>
        <v>2.6504629626288079E-2</v>
      </c>
      <c r="N89" s="7">
        <f t="shared" si="29"/>
        <v>38.166666661854833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11:55:55-0600',mode:absolute,to:'2016-07-17 14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9" s="74" t="str">
        <f t="shared" si="35"/>
        <v>N</v>
      </c>
      <c r="X89" s="92">
        <f t="shared" si="36"/>
        <v>1</v>
      </c>
      <c r="Y89" s="89">
        <f t="shared" si="37"/>
        <v>4.6399999999999997E-2</v>
      </c>
      <c r="Z89" s="89">
        <f t="shared" si="38"/>
        <v>23.334700000000002</v>
      </c>
      <c r="AA89" s="89">
        <f t="shared" si="39"/>
        <v>23.288300000000003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0"/>
        <v>0175-17</v>
      </c>
      <c r="AE89" s="75" t="str">
        <f t="shared" si="41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89" s="75" t="str">
        <f t="shared" si="42"/>
        <v>"C:\Program Files (x86)\AstroGrep\AstroGrep.exe" /spath="C:\Users\stu\Documents\Analysis\2016-02-23 RTDC Observations" /stypes="*4007*20160717*"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49" t="s">
        <v>498</v>
      </c>
      <c r="B90" s="7">
        <v>4008</v>
      </c>
      <c r="C90" s="26" t="s">
        <v>59</v>
      </c>
      <c r="D90" s="26" t="s">
        <v>403</v>
      </c>
      <c r="E90" s="16">
        <v>42568.576041666667</v>
      </c>
      <c r="F90" s="16">
        <v>42568.577789351853</v>
      </c>
      <c r="G90" s="7">
        <v>2</v>
      </c>
      <c r="H90" s="16" t="s">
        <v>584</v>
      </c>
      <c r="I90" s="16">
        <v>42568.597777777781</v>
      </c>
      <c r="J90" s="7">
        <v>0</v>
      </c>
      <c r="K90" s="26" t="str">
        <f t="shared" si="30"/>
        <v>4007/4008</v>
      </c>
      <c r="L90" s="26" t="str">
        <f>VLOOKUP(A90,'Trips&amp;Operators'!$C$1:$E$10000,3,FALSE)</f>
        <v>STORY</v>
      </c>
      <c r="M90" s="6">
        <f t="shared" si="31"/>
        <v>1.9988425927294884E-2</v>
      </c>
      <c r="N90" s="7">
        <f t="shared" si="29"/>
        <v>28.783333335304633</v>
      </c>
      <c r="O90" s="7"/>
      <c r="P90" s="7"/>
      <c r="Q90" s="27"/>
      <c r="R90" s="27"/>
      <c r="S90" s="45">
        <f t="shared" si="32"/>
        <v>0.25</v>
      </c>
      <c r="T90" s="69" t="str">
        <f t="shared" si="33"/>
        <v>Southbound</v>
      </c>
      <c r="U90" s="96">
        <f>COUNTIFS(Variables!$M$2:$M$19,IF(T90="NorthBound","&gt;=","&lt;=")&amp;Y90,Variables!$M$2:$M$19,IF(T90="NorthBound","&lt;=","&gt;=")&amp;Z90)</f>
        <v>3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12:49:30-0600',mode:absolute,to:'2016-07-17 15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0" s="74" t="str">
        <f t="shared" si="35"/>
        <v>Y</v>
      </c>
      <c r="X90" s="92">
        <f t="shared" si="36"/>
        <v>1</v>
      </c>
      <c r="Y90" s="89">
        <f t="shared" si="37"/>
        <v>23.301500000000001</v>
      </c>
      <c r="Z90" s="89">
        <f t="shared" si="38"/>
        <v>6.3844000000000003</v>
      </c>
      <c r="AA90" s="89">
        <f t="shared" si="39"/>
        <v>16.917100000000001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0"/>
        <v>0176-17</v>
      </c>
      <c r="AE90" s="75" t="str">
        <f t="shared" si="41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90" s="75" t="str">
        <f t="shared" si="42"/>
        <v>"C:\Program Files (x86)\AstroGrep\AstroGrep.exe" /spath="C:\Users\stu\Documents\Analysis\2016-02-23 RTDC Observations" /stypes="*4008*20160717*"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49" t="s">
        <v>498</v>
      </c>
      <c r="B91" s="7">
        <v>4008</v>
      </c>
      <c r="C91" s="26" t="s">
        <v>59</v>
      </c>
      <c r="D91" s="26" t="s">
        <v>585</v>
      </c>
      <c r="E91" s="16">
        <v>42568.603298611109</v>
      </c>
      <c r="F91" s="16">
        <v>42568.603958333333</v>
      </c>
      <c r="G91" s="7">
        <v>0</v>
      </c>
      <c r="H91" s="16" t="s">
        <v>195</v>
      </c>
      <c r="I91" s="16">
        <v>42568.61136574074</v>
      </c>
      <c r="J91" s="7">
        <v>0</v>
      </c>
      <c r="K91" s="26" t="str">
        <f t="shared" si="30"/>
        <v>4007/4008</v>
      </c>
      <c r="L91" s="26" t="str">
        <f>VLOOKUP(A91,'Trips&amp;Operators'!$C$1:$E$10000,3,FALSE)</f>
        <v>STORY</v>
      </c>
      <c r="M91" s="6">
        <f t="shared" si="31"/>
        <v>7.4074074072996154E-3</v>
      </c>
      <c r="N91" s="7">
        <f t="shared" si="29"/>
        <v>10.666666666511446</v>
      </c>
      <c r="O91" s="7"/>
      <c r="P91" s="7"/>
      <c r="Q91" s="27"/>
      <c r="R91" s="27"/>
      <c r="S91" s="45">
        <f t="shared" si="32"/>
        <v>0.25</v>
      </c>
      <c r="T91" s="69" t="str">
        <f t="shared" si="33"/>
        <v>Southbound</v>
      </c>
      <c r="U91" s="96">
        <f>COUNTIFS(Variables!$M$2:$M$19,IF(T91="NorthBound","&gt;=","&lt;=")&amp;Y91,Variables!$M$2:$M$19,IF(T91="NorthBound","&lt;=","&gt;=")&amp;Z91)</f>
        <v>3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13:28:45-0600',mode:absolute,to:'2016-07-17 15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1" s="74" t="str">
        <f t="shared" si="35"/>
        <v>Y</v>
      </c>
      <c r="X91" s="92">
        <f t="shared" si="36"/>
        <v>0</v>
      </c>
      <c r="Y91" s="89">
        <f t="shared" si="37"/>
        <v>3.6793999999999998</v>
      </c>
      <c r="Z91" s="89">
        <f t="shared" si="38"/>
        <v>1.47E-2</v>
      </c>
      <c r="AA91" s="89">
        <f t="shared" si="39"/>
        <v>3.6646999999999998</v>
      </c>
      <c r="AB91" s="86" t="e">
        <f>VLOOKUP(A91,Enforcements!$C$7:$J$23,8,0)</f>
        <v>#N/A</v>
      </c>
      <c r="AC91" s="82" t="e">
        <f>VLOOKUP(A91,Enforcements!$C$7:$E$23,3,0)</f>
        <v>#N/A</v>
      </c>
      <c r="AD91" s="83" t="str">
        <f t="shared" si="40"/>
        <v>0176-17</v>
      </c>
      <c r="AE91" s="75" t="str">
        <f t="shared" si="41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91" s="75" t="str">
        <f t="shared" si="42"/>
        <v>"C:\Program Files (x86)\AstroGrep\AstroGrep.exe" /spath="C:\Users\stu\Documents\Analysis\2016-02-23 RTDC Observations" /stypes="*4008*20160717*"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49" t="s">
        <v>501</v>
      </c>
      <c r="B92" s="7">
        <v>4031</v>
      </c>
      <c r="C92" s="26" t="s">
        <v>59</v>
      </c>
      <c r="D92" s="26" t="s">
        <v>205</v>
      </c>
      <c r="E92" s="16">
        <v>42568.54896990741</v>
      </c>
      <c r="F92" s="16">
        <v>42568.549942129626</v>
      </c>
      <c r="G92" s="7">
        <v>1</v>
      </c>
      <c r="H92" s="16" t="s">
        <v>209</v>
      </c>
      <c r="I92" s="16">
        <v>42568.576944444445</v>
      </c>
      <c r="J92" s="7">
        <v>0</v>
      </c>
      <c r="K92" s="26" t="str">
        <f t="shared" si="30"/>
        <v>4031/4032</v>
      </c>
      <c r="L92" s="26" t="str">
        <f>VLOOKUP(A92,'Trips&amp;Operators'!$C$1:$E$10000,3,FALSE)</f>
        <v>BRUDER</v>
      </c>
      <c r="M92" s="6">
        <f t="shared" si="31"/>
        <v>2.7002314818673767E-2</v>
      </c>
      <c r="N92" s="7">
        <f t="shared" si="29"/>
        <v>38.883333338890225</v>
      </c>
      <c r="O92" s="7"/>
      <c r="P92" s="7"/>
      <c r="Q92" s="27"/>
      <c r="R92" s="27"/>
      <c r="S92" s="45">
        <f t="shared" si="32"/>
        <v>1</v>
      </c>
      <c r="T92" s="69" t="str">
        <f t="shared" si="33"/>
        <v>NorthBound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12:10:31-0600',mode:absolute,to:'2016-07-17 14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2" s="74" t="str">
        <f t="shared" si="35"/>
        <v>N</v>
      </c>
      <c r="X92" s="92">
        <f t="shared" si="36"/>
        <v>1</v>
      </c>
      <c r="Y92" s="89">
        <f t="shared" si="37"/>
        <v>4.4699999999999997E-2</v>
      </c>
      <c r="Z92" s="89">
        <f t="shared" si="38"/>
        <v>23.330500000000001</v>
      </c>
      <c r="AA92" s="89">
        <f t="shared" si="39"/>
        <v>23.285800000000002</v>
      </c>
      <c r="AB92" s="86" t="e">
        <f>VLOOKUP(A92,Enforcements!$C$7:$J$23,8,0)</f>
        <v>#N/A</v>
      </c>
      <c r="AC92" s="82" t="e">
        <f>VLOOKUP(A92,Enforcements!$C$7:$E$23,3,0)</f>
        <v>#N/A</v>
      </c>
      <c r="AD92" s="83" t="str">
        <f t="shared" si="40"/>
        <v>0177-17</v>
      </c>
      <c r="AE92" s="75" t="str">
        <f t="shared" si="41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92" s="75" t="str">
        <f t="shared" si="42"/>
        <v>"C:\Program Files (x86)\AstroGrep\AstroGrep.exe" /spath="C:\Users\stu\Documents\Analysis\2016-02-23 RTDC Observations" /stypes="*4031*20160717*" /stext=" 19:.+((prompt.+disp)|(slice.+state.+chan)|(ment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49" t="s">
        <v>508</v>
      </c>
      <c r="B93" s="7">
        <v>4032</v>
      </c>
      <c r="C93" s="26" t="s">
        <v>59</v>
      </c>
      <c r="D93" s="26" t="s">
        <v>231</v>
      </c>
      <c r="E93" s="16">
        <v>42568.587534722225</v>
      </c>
      <c r="F93" s="16">
        <v>42568.588773148149</v>
      </c>
      <c r="G93" s="7">
        <v>1</v>
      </c>
      <c r="H93" s="16" t="s">
        <v>586</v>
      </c>
      <c r="I93" s="16">
        <v>42568.609513888892</v>
      </c>
      <c r="J93" s="7">
        <v>0</v>
      </c>
      <c r="K93" s="26" t="str">
        <f t="shared" si="30"/>
        <v>4031/4032</v>
      </c>
      <c r="L93" s="26" t="str">
        <f>VLOOKUP(A93,'Trips&amp;Operators'!$C$1:$E$10000,3,FALSE)</f>
        <v>BRUDER</v>
      </c>
      <c r="M93" s="6">
        <f t="shared" si="31"/>
        <v>2.0740740743349306E-2</v>
      </c>
      <c r="N93" s="7">
        <f t="shared" si="29"/>
        <v>29.866666670423001</v>
      </c>
      <c r="O93" s="7"/>
      <c r="P93" s="7"/>
      <c r="Q93" s="27"/>
      <c r="R93" s="27"/>
      <c r="S93" s="45">
        <f t="shared" si="32"/>
        <v>0.33333333333333331</v>
      </c>
      <c r="T93" s="69" t="str">
        <f t="shared" si="33"/>
        <v>Southbound</v>
      </c>
      <c r="U93" s="96">
        <f>COUNTIFS(Variables!$M$2:$M$19,IF(T93="NorthBound","&gt;=","&lt;=")&amp;Y93,Variables!$M$2:$M$19,IF(T93="NorthBound","&lt;=","&gt;=")&amp;Z93)</f>
        <v>4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13:06:03-0600',mode:absolute,to:'2016-07-17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3" s="74" t="str">
        <f t="shared" si="35"/>
        <v>Y</v>
      </c>
      <c r="X93" s="92">
        <f t="shared" si="36"/>
        <v>1</v>
      </c>
      <c r="Y93" s="89">
        <f t="shared" si="37"/>
        <v>23.296900000000001</v>
      </c>
      <c r="Z93" s="89">
        <f t="shared" si="38"/>
        <v>6.1848999999999998</v>
      </c>
      <c r="AA93" s="89">
        <f t="shared" si="39"/>
        <v>17.112000000000002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0"/>
        <v>0178-17</v>
      </c>
      <c r="AE93" s="75" t="str">
        <f t="shared" si="41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93" s="75" t="str">
        <f t="shared" si="42"/>
        <v>"C:\Program Files (x86)\AstroGrep\AstroGrep.exe" /spath="C:\Users\stu\Documents\Analysis\2016-02-23 RTDC Observations" /stypes="*4032*20160717*"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49" t="s">
        <v>428</v>
      </c>
      <c r="B94" s="7">
        <v>4014</v>
      </c>
      <c r="C94" s="26" t="s">
        <v>59</v>
      </c>
      <c r="D94" s="26" t="s">
        <v>172</v>
      </c>
      <c r="E94" s="16">
        <v>42568.555879629632</v>
      </c>
      <c r="F94" s="16">
        <v>42568.556875000002</v>
      </c>
      <c r="G94" s="7">
        <v>1</v>
      </c>
      <c r="H94" s="16" t="s">
        <v>223</v>
      </c>
      <c r="I94" s="16">
        <v>42568.587604166663</v>
      </c>
      <c r="J94" s="7">
        <v>2</v>
      </c>
      <c r="K94" s="26" t="str">
        <f t="shared" si="30"/>
        <v>4013/4014</v>
      </c>
      <c r="L94" s="26" t="str">
        <f>VLOOKUP(A94,'Trips&amp;Operators'!$C$1:$E$10000,3,FALSE)</f>
        <v>RIVERA</v>
      </c>
      <c r="M94" s="6">
        <f t="shared" si="31"/>
        <v>3.0729166661330964E-2</v>
      </c>
      <c r="N94" s="7">
        <f t="shared" si="29"/>
        <v>44.249999992316589</v>
      </c>
      <c r="O94" s="7"/>
      <c r="P94" s="7"/>
      <c r="Q94" s="27"/>
      <c r="R94" s="27"/>
      <c r="S94" s="45">
        <f t="shared" si="32"/>
        <v>1</v>
      </c>
      <c r="T94" s="69" t="str">
        <f t="shared" si="33"/>
        <v>NorthBound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74" t="str">
        <f t="shared" si="35"/>
        <v>N</v>
      </c>
      <c r="X94" s="92">
        <f t="shared" si="36"/>
        <v>1</v>
      </c>
      <c r="Y94" s="89">
        <f t="shared" si="37"/>
        <v>4.53E-2</v>
      </c>
      <c r="Z94" s="89">
        <f t="shared" si="38"/>
        <v>23.328900000000001</v>
      </c>
      <c r="AA94" s="89">
        <f t="shared" si="39"/>
        <v>23.2836</v>
      </c>
      <c r="AB94" s="86" t="e">
        <f>VLOOKUP(A94,Enforcements!$C$7:$J$23,8,0)</f>
        <v>#N/A</v>
      </c>
      <c r="AC94" s="82" t="e">
        <f>VLOOKUP(A94,Enforcements!$C$7:$E$23,3,0)</f>
        <v>#N/A</v>
      </c>
      <c r="AD94" s="83" t="str">
        <f t="shared" si="40"/>
        <v>0179-17</v>
      </c>
      <c r="AE94" s="75" t="str">
        <f t="shared" si="41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94" s="75" t="str">
        <f t="shared" si="42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431</v>
      </c>
      <c r="B95" s="7">
        <v>4013</v>
      </c>
      <c r="C95" s="26" t="s">
        <v>59</v>
      </c>
      <c r="D95" s="26" t="s">
        <v>251</v>
      </c>
      <c r="E95" s="16">
        <v>42568.597997685189</v>
      </c>
      <c r="F95" s="16">
        <v>42568.598877314813</v>
      </c>
      <c r="G95" s="7">
        <v>1</v>
      </c>
      <c r="H95" s="16" t="s">
        <v>371</v>
      </c>
      <c r="I95" s="16">
        <v>42568.625254629631</v>
      </c>
      <c r="J95" s="7">
        <v>0</v>
      </c>
      <c r="K95" s="26" t="str">
        <f t="shared" si="30"/>
        <v>4013/4014</v>
      </c>
      <c r="L95" s="26">
        <f>VLOOKUP(A95,'Trips&amp;Operators'!$C$1:$E$10000,3,FALSE)</f>
        <v>0</v>
      </c>
      <c r="M95" s="6">
        <f t="shared" si="31"/>
        <v>2.6377314818091691E-2</v>
      </c>
      <c r="N95" s="7">
        <f t="shared" si="29"/>
        <v>37.983333338052034</v>
      </c>
      <c r="O95" s="7"/>
      <c r="P95" s="7"/>
      <c r="Q95" s="27"/>
      <c r="R95" s="27"/>
      <c r="S95" s="45">
        <f t="shared" si="32"/>
        <v>0.25</v>
      </c>
      <c r="T95" s="69" t="str">
        <f t="shared" si="33"/>
        <v>Southbound</v>
      </c>
      <c r="U95" s="96">
        <f>COUNTIFS(Variables!$M$2:$M$19,IF(T95="NorthBound","&gt;=","&lt;=")&amp;Y95,Variables!$M$2:$M$19,IF(T95="NorthBound","&lt;=","&gt;=")&amp;Z95)</f>
        <v>3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13:21:07-0600',mode:absolute,to:'2016-07-17 16:00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74" t="str">
        <f t="shared" si="35"/>
        <v>Y</v>
      </c>
      <c r="X95" s="92">
        <f t="shared" si="36"/>
        <v>1</v>
      </c>
      <c r="Y95" s="89">
        <f t="shared" si="37"/>
        <v>23.298500000000001</v>
      </c>
      <c r="Z95" s="89">
        <f t="shared" si="38"/>
        <v>6.4166999999999996</v>
      </c>
      <c r="AA95" s="89">
        <f t="shared" si="39"/>
        <v>16.881800000000002</v>
      </c>
      <c r="AB95" s="86">
        <f>VLOOKUP(A95,Enforcements!$C$7:$J$23,8,0)</f>
        <v>109135</v>
      </c>
      <c r="AC95" s="82" t="str">
        <f>VLOOKUP(A95,Enforcements!$C$7:$E$23,3,0)</f>
        <v>GRADE CROSSING</v>
      </c>
      <c r="AD95" s="83" t="str">
        <f t="shared" si="40"/>
        <v>0180-17</v>
      </c>
      <c r="AE95" s="75" t="str">
        <f t="shared" si="41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95" s="75" t="str">
        <f t="shared" si="42"/>
        <v>"C:\Program Files (x86)\AstroGrep\AstroGrep.exe" /spath="C:\Users\stu\Documents\Analysis\2016-02-23 RTDC Observations" /stypes="*4013*20160717*"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431</v>
      </c>
      <c r="B96" s="7">
        <v>4013</v>
      </c>
      <c r="C96" s="26" t="s">
        <v>59</v>
      </c>
      <c r="D96" s="26" t="s">
        <v>408</v>
      </c>
      <c r="E96" s="16">
        <v>42568.630879629629</v>
      </c>
      <c r="F96" s="16">
        <v>42568.631412037037</v>
      </c>
      <c r="G96" s="7">
        <v>0</v>
      </c>
      <c r="H96" s="16" t="s">
        <v>195</v>
      </c>
      <c r="I96" s="16">
        <v>42568.638425925928</v>
      </c>
      <c r="J96" s="7">
        <v>0</v>
      </c>
      <c r="K96" s="26" t="str">
        <f t="shared" si="30"/>
        <v>4013/4014</v>
      </c>
      <c r="L96" s="26">
        <f>VLOOKUP(A96,'Trips&amp;Operators'!$C$1:$E$10000,3,FALSE)</f>
        <v>0</v>
      </c>
      <c r="M96" s="6">
        <f t="shared" si="31"/>
        <v>7.0138888913788833E-3</v>
      </c>
      <c r="N96" s="7">
        <f t="shared" si="29"/>
        <v>10.100000003585592</v>
      </c>
      <c r="O96" s="7"/>
      <c r="P96" s="7"/>
      <c r="Q96" s="27"/>
      <c r="R96" s="27"/>
      <c r="S96" s="45">
        <f t="shared" si="32"/>
        <v>0.25</v>
      </c>
      <c r="T96" s="69" t="str">
        <f t="shared" si="33"/>
        <v>Southbound</v>
      </c>
      <c r="U96" s="96">
        <f>COUNTIFS(Variables!$M$2:$M$19,IF(T96="NorthBound","&gt;=","&lt;=")&amp;Y96,Variables!$M$2:$M$19,IF(T96="NorthBound","&lt;=","&gt;=")&amp;Z96)</f>
        <v>3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14:08:28-0600',mode:absolute,to:'2016-07-17 16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4" t="str">
        <f t="shared" si="35"/>
        <v>Y</v>
      </c>
      <c r="X96" s="92">
        <f t="shared" si="36"/>
        <v>0</v>
      </c>
      <c r="Y96" s="89">
        <f t="shared" si="37"/>
        <v>3.6791</v>
      </c>
      <c r="Z96" s="89">
        <f t="shared" si="38"/>
        <v>1.47E-2</v>
      </c>
      <c r="AA96" s="89">
        <f t="shared" si="39"/>
        <v>3.6644000000000001</v>
      </c>
      <c r="AB96" s="86">
        <f>VLOOKUP(A96,Enforcements!$C$7:$J$23,8,0)</f>
        <v>109135</v>
      </c>
      <c r="AC96" s="82" t="str">
        <f>VLOOKUP(A96,Enforcements!$C$7:$E$23,3,0)</f>
        <v>GRADE CROSSING</v>
      </c>
      <c r="AD96" s="83" t="str">
        <f t="shared" si="40"/>
        <v>0180-17</v>
      </c>
      <c r="AE96" s="75" t="str">
        <f t="shared" si="41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96" s="75" t="str">
        <f t="shared" si="42"/>
        <v>"C:\Program Files (x86)\AstroGrep\AstroGrep.exe" /spath="C:\Users\stu\Documents\Analysis\2016-02-23 RTDC Observations" /stypes="*4013*20160717*" /stext=" 21:.+((prompt.+disp)|(slice.+state.+chan)|(ment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49" t="s">
        <v>429</v>
      </c>
      <c r="B97" s="7">
        <v>4009</v>
      </c>
      <c r="C97" s="26" t="s">
        <v>59</v>
      </c>
      <c r="D97" s="26" t="s">
        <v>268</v>
      </c>
      <c r="E97" s="16">
        <v>42568.567037037035</v>
      </c>
      <c r="F97" s="16">
        <v>42568.568078703705</v>
      </c>
      <c r="G97" s="7">
        <v>1</v>
      </c>
      <c r="H97" s="16" t="s">
        <v>212</v>
      </c>
      <c r="I97" s="16">
        <v>42568.598136574074</v>
      </c>
      <c r="J97" s="7">
        <v>1</v>
      </c>
      <c r="K97" s="26" t="str">
        <f t="shared" si="30"/>
        <v>4009/4010</v>
      </c>
      <c r="L97" s="26" t="str">
        <f>VLOOKUP(A97,'Trips&amp;Operators'!$C$1:$E$10000,3,FALSE)</f>
        <v>REBOLETTI</v>
      </c>
      <c r="M97" s="6">
        <f t="shared" si="31"/>
        <v>3.0057870368182193E-2</v>
      </c>
      <c r="N97" s="7">
        <f t="shared" si="29"/>
        <v>43.283333330182359</v>
      </c>
      <c r="O97" s="7"/>
      <c r="P97" s="7"/>
      <c r="Q97" s="27"/>
      <c r="R97" s="27"/>
      <c r="S97" s="45">
        <f t="shared" si="32"/>
        <v>1</v>
      </c>
      <c r="T97" s="69" t="str">
        <f t="shared" si="33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12:36:32-0600',mode:absolute,to:'2016-07-17 15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7" s="74" t="str">
        <f t="shared" si="35"/>
        <v>N</v>
      </c>
      <c r="X97" s="92">
        <f t="shared" si="36"/>
        <v>1</v>
      </c>
      <c r="Y97" s="89">
        <f t="shared" si="37"/>
        <v>4.4900000000000002E-2</v>
      </c>
      <c r="Z97" s="89">
        <f t="shared" si="38"/>
        <v>23.330100000000002</v>
      </c>
      <c r="AA97" s="89">
        <f t="shared" si="39"/>
        <v>23.285200000000003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0"/>
        <v>0181-17</v>
      </c>
      <c r="AE97" s="75" t="str">
        <f t="shared" si="41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97" s="75" t="str">
        <f t="shared" si="42"/>
        <v>"C:\Program Files (x86)\AstroGrep\AstroGrep.exe" /spath="C:\Users\stu\Documents\Analysis\2016-02-23 RTDC Observations" /stypes="*4009*20160717*" /stext=" 20:.+((prompt.+disp)|(slice.+state.+chan)|(ment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49" t="s">
        <v>537</v>
      </c>
      <c r="B98" s="7">
        <v>4010</v>
      </c>
      <c r="C98" s="26" t="s">
        <v>59</v>
      </c>
      <c r="D98" s="26" t="s">
        <v>368</v>
      </c>
      <c r="E98" s="16">
        <v>42568.606412037036</v>
      </c>
      <c r="F98" s="16">
        <v>42568.607256944444</v>
      </c>
      <c r="G98" s="7">
        <v>1</v>
      </c>
      <c r="H98" s="16" t="s">
        <v>587</v>
      </c>
      <c r="I98" s="16">
        <v>42568.636319444442</v>
      </c>
      <c r="J98" s="7">
        <v>0</v>
      </c>
      <c r="K98" s="26" t="str">
        <f t="shared" si="30"/>
        <v>4009/4010</v>
      </c>
      <c r="L98" s="26" t="str">
        <f>VLOOKUP(A98,'Trips&amp;Operators'!$C$1:$E$10000,3,FALSE)</f>
        <v>REBOLETTI</v>
      </c>
      <c r="M98" s="6">
        <f t="shared" si="31"/>
        <v>2.9062499997962732E-2</v>
      </c>
      <c r="N98" s="7">
        <f t="shared" si="29"/>
        <v>41.849999997066334</v>
      </c>
      <c r="O98" s="7"/>
      <c r="P98" s="7"/>
      <c r="Q98" s="27"/>
      <c r="R98" s="27"/>
      <c r="S98" s="45">
        <f t="shared" si="32"/>
        <v>0.33333333333333331</v>
      </c>
      <c r="T98" s="69" t="str">
        <f t="shared" si="33"/>
        <v>Southbound</v>
      </c>
      <c r="U98" s="96">
        <f>COUNTIFS(Variables!$M$2:$M$19,IF(T98="NorthBound","&gt;=","&lt;=")&amp;Y98,Variables!$M$2:$M$19,IF(T98="NorthBound","&lt;=","&gt;=")&amp;Z98)</f>
        <v>4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13:33:14-0600',mode:absolute,to:'2016-07-17 16:16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8" s="74" t="str">
        <f t="shared" si="35"/>
        <v>Y</v>
      </c>
      <c r="X98" s="92">
        <f t="shared" si="36"/>
        <v>1</v>
      </c>
      <c r="Y98" s="89">
        <f t="shared" si="37"/>
        <v>23.299199999999999</v>
      </c>
      <c r="Z98" s="89">
        <f t="shared" si="38"/>
        <v>6.0274000000000001</v>
      </c>
      <c r="AA98" s="89">
        <f t="shared" si="39"/>
        <v>17.271799999999999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0"/>
        <v>0182-17</v>
      </c>
      <c r="AE98" s="75" t="str">
        <f t="shared" si="41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98" s="75" t="str">
        <f t="shared" si="42"/>
        <v>"C:\Program Files (x86)\AstroGrep\AstroGrep.exe" /spath="C:\Users\stu\Documents\Analysis\2016-02-23 RTDC Observations" /stypes="*4010*20160717*" /stext=" 21:.+((prompt.+disp)|(slice.+state.+chan)|(ment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49" t="s">
        <v>537</v>
      </c>
      <c r="B99" s="7">
        <v>4010</v>
      </c>
      <c r="C99" s="26" t="s">
        <v>59</v>
      </c>
      <c r="D99" s="26" t="s">
        <v>588</v>
      </c>
      <c r="E99" s="16">
        <v>42568.639618055553</v>
      </c>
      <c r="F99" s="16">
        <v>42568.640532407408</v>
      </c>
      <c r="G99" s="7">
        <v>1</v>
      </c>
      <c r="H99" s="16" t="s">
        <v>190</v>
      </c>
      <c r="I99" s="16">
        <v>42568.647233796299</v>
      </c>
      <c r="J99" s="7">
        <v>0</v>
      </c>
      <c r="K99" s="26" t="str">
        <f t="shared" si="30"/>
        <v>4009/4010</v>
      </c>
      <c r="L99" s="26" t="str">
        <f>VLOOKUP(A99,'Trips&amp;Operators'!$C$1:$E$10000,3,FALSE)</f>
        <v>REBOLETTI</v>
      </c>
      <c r="M99" s="6">
        <f t="shared" si="31"/>
        <v>6.701388891087845E-3</v>
      </c>
      <c r="N99" s="7">
        <f t="shared" si="29"/>
        <v>9.6500000031664968</v>
      </c>
      <c r="O99" s="7"/>
      <c r="P99" s="7"/>
      <c r="Q99" s="27"/>
      <c r="R99" s="27"/>
      <c r="S99" s="45">
        <f t="shared" si="32"/>
        <v>0.25</v>
      </c>
      <c r="T99" s="69" t="str">
        <f t="shared" si="33"/>
        <v>Southbound</v>
      </c>
      <c r="U99" s="96">
        <f>COUNTIFS(Variables!$M$2:$M$19,IF(T99="NorthBound","&gt;=","&lt;=")&amp;Y99,Variables!$M$2:$M$19,IF(T99="NorthBound","&lt;=","&gt;=")&amp;Z99)</f>
        <v>3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14:21:03-0600',mode:absolute,to:'2016-07-17 16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74" t="str">
        <f t="shared" si="35"/>
        <v>Y</v>
      </c>
      <c r="X99" s="92">
        <f t="shared" si="36"/>
        <v>0</v>
      </c>
      <c r="Y99" s="89">
        <f t="shared" si="37"/>
        <v>3.6793</v>
      </c>
      <c r="Z99" s="89">
        <f t="shared" si="38"/>
        <v>1.3899999999999999E-2</v>
      </c>
      <c r="AA99" s="89">
        <f t="shared" si="39"/>
        <v>3.6654</v>
      </c>
      <c r="AB99" s="86" t="e">
        <f>VLOOKUP(A99,Enforcements!$C$7:$J$23,8,0)</f>
        <v>#N/A</v>
      </c>
      <c r="AC99" s="82" t="e">
        <f>VLOOKUP(A99,Enforcements!$C$7:$E$23,3,0)</f>
        <v>#N/A</v>
      </c>
      <c r="AD99" s="83" t="str">
        <f t="shared" si="40"/>
        <v>0182-17</v>
      </c>
      <c r="AE99" s="75" t="str">
        <f t="shared" si="41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99" s="75" t="str">
        <f t="shared" si="42"/>
        <v>"C:\Program Files (x86)\AstroGrep\AstroGrep.exe" /spath="C:\Users\stu\Documents\Analysis\2016-02-23 RTDC Observations" /stypes="*4010*20160717*"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49" t="s">
        <v>430</v>
      </c>
      <c r="B100" s="7">
        <v>4016</v>
      </c>
      <c r="C100" s="26" t="s">
        <v>59</v>
      </c>
      <c r="D100" s="26" t="s">
        <v>192</v>
      </c>
      <c r="E100" s="16">
        <v>42568.576296296298</v>
      </c>
      <c r="F100" s="16">
        <v>42568.577719907407</v>
      </c>
      <c r="G100" s="7">
        <v>2</v>
      </c>
      <c r="H100" s="16" t="s">
        <v>230</v>
      </c>
      <c r="I100" s="16">
        <v>42568.611516203702</v>
      </c>
      <c r="J100" s="7">
        <v>1</v>
      </c>
      <c r="K100" s="26" t="str">
        <f t="shared" si="30"/>
        <v>4015/4016</v>
      </c>
      <c r="L100" s="26" t="str">
        <f>VLOOKUP(A100,'Trips&amp;Operators'!$C$1:$E$10000,3,FALSE)</f>
        <v>MAYBERRY</v>
      </c>
      <c r="M100" s="6">
        <f t="shared" si="31"/>
        <v>3.3796296294895001E-2</v>
      </c>
      <c r="N100" s="7">
        <f t="shared" si="29"/>
        <v>48.666666664648801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12:49:52-0600',mode:absolute,to:'2016-07-17 15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74" t="str">
        <f t="shared" si="35"/>
        <v>N</v>
      </c>
      <c r="X100" s="92">
        <f t="shared" si="36"/>
        <v>1</v>
      </c>
      <c r="Y100" s="89">
        <f t="shared" si="37"/>
        <v>4.6199999999999998E-2</v>
      </c>
      <c r="Z100" s="89">
        <f t="shared" si="38"/>
        <v>23.329799999999999</v>
      </c>
      <c r="AA100" s="89">
        <f t="shared" si="39"/>
        <v>23.2836</v>
      </c>
      <c r="AB100" s="86">
        <f>VLOOKUP(A100,Enforcements!$C$7:$J$23,8,0)</f>
        <v>116838</v>
      </c>
      <c r="AC100" s="82" t="str">
        <f>VLOOKUP(A100,Enforcements!$C$7:$E$23,3,0)</f>
        <v>PERMANENT SPEED RESTRICTION</v>
      </c>
      <c r="AD100" s="83" t="str">
        <f t="shared" si="40"/>
        <v>0183-17</v>
      </c>
      <c r="AE100" s="75" t="str">
        <f t="shared" si="41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00" s="75" t="str">
        <f t="shared" si="42"/>
        <v>"C:\Program Files (x86)\AstroGrep\AstroGrep.exe" /spath="C:\Users\stu\Documents\Analysis\2016-02-23 RTDC Observations" /stypes="*4016*20160717*" /stext=" 20:.+((prompt.+disp)|(slice.+state.+chan)|(ment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49" t="s">
        <v>434</v>
      </c>
      <c r="B101" s="7">
        <v>4015</v>
      </c>
      <c r="C101" s="26" t="s">
        <v>59</v>
      </c>
      <c r="D101" s="26" t="s">
        <v>589</v>
      </c>
      <c r="E101" s="16">
        <v>42568.648252314815</v>
      </c>
      <c r="F101" s="16">
        <v>42568.649085648147</v>
      </c>
      <c r="G101" s="7">
        <v>1</v>
      </c>
      <c r="H101" s="16" t="s">
        <v>61</v>
      </c>
      <c r="I101" s="16">
        <v>42568.652974537035</v>
      </c>
      <c r="J101" s="7">
        <v>1</v>
      </c>
      <c r="K101" s="26" t="str">
        <f t="shared" si="30"/>
        <v>4015/4016</v>
      </c>
      <c r="L101" s="26" t="str">
        <f>VLOOKUP(A101,'Trips&amp;Operators'!$C$1:$E$10000,3,FALSE)</f>
        <v>MAYBERRY</v>
      </c>
      <c r="M101" s="6">
        <f t="shared" si="31"/>
        <v>3.8888888884685002E-3</v>
      </c>
      <c r="N101" s="7">
        <f t="shared" si="29"/>
        <v>5.5999999993946403</v>
      </c>
      <c r="O101" s="7"/>
      <c r="P101" s="7"/>
      <c r="Q101" s="27"/>
      <c r="R101" s="27"/>
      <c r="S101" s="45">
        <f t="shared" si="32"/>
        <v>0</v>
      </c>
      <c r="T101" s="69" t="str">
        <f t="shared" si="33"/>
        <v>Southbound</v>
      </c>
      <c r="U101" s="96">
        <f>COUNTIFS(Variables!$M$2:$M$19,IF(T101="NorthBound","&gt;=","&lt;=")&amp;Y101,Variables!$M$2:$M$19,IF(T101="NorthBound","&lt;=","&gt;=")&amp;Z101)</f>
        <v>0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14:33:29-0600',mode:absolute,to:'2016-07-17 16:40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74" t="str">
        <f t="shared" si="35"/>
        <v>Y</v>
      </c>
      <c r="X101" s="92">
        <f t="shared" si="36"/>
        <v>1</v>
      </c>
      <c r="Y101" s="89">
        <f t="shared" si="37"/>
        <v>1.8778999999999999</v>
      </c>
      <c r="Z101" s="89">
        <f t="shared" si="38"/>
        <v>1.52E-2</v>
      </c>
      <c r="AA101" s="89">
        <f t="shared" si="39"/>
        <v>1.8626999999999998</v>
      </c>
      <c r="AB101" s="86" t="e">
        <f>VLOOKUP(A101,Enforcements!$C$7:$J$23,8,0)</f>
        <v>#N/A</v>
      </c>
      <c r="AC101" s="82" t="e">
        <f>VLOOKUP(A101,Enforcements!$C$7:$E$23,3,0)</f>
        <v>#N/A</v>
      </c>
      <c r="AD101" s="83" t="str">
        <f t="shared" si="40"/>
        <v>0184-17</v>
      </c>
      <c r="AE101" s="75" t="str">
        <f t="shared" si="41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01" s="75" t="str">
        <f t="shared" si="42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49" t="s">
        <v>434</v>
      </c>
      <c r="B102" s="7">
        <v>4015</v>
      </c>
      <c r="C102" s="26" t="s">
        <v>59</v>
      </c>
      <c r="D102" s="26" t="s">
        <v>236</v>
      </c>
      <c r="E102" s="16">
        <v>42568.615208333336</v>
      </c>
      <c r="F102" s="16">
        <v>42568.61891203704</v>
      </c>
      <c r="G102" s="7">
        <v>5</v>
      </c>
      <c r="H102" s="16" t="s">
        <v>590</v>
      </c>
      <c r="I102" s="16">
        <v>42568.639872685184</v>
      </c>
      <c r="J102" s="7">
        <v>0</v>
      </c>
      <c r="K102" s="26" t="str">
        <f t="shared" si="30"/>
        <v>4015/4016</v>
      </c>
      <c r="L102" s="26" t="str">
        <f>VLOOKUP(A102,'Trips&amp;Operators'!$C$1:$E$10000,3,FALSE)</f>
        <v>MAYBERRY</v>
      </c>
      <c r="M102" s="6">
        <f t="shared" si="31"/>
        <v>2.0960648143955041E-2</v>
      </c>
      <c r="N102" s="7">
        <f t="shared" si="29"/>
        <v>30.183333327295259</v>
      </c>
      <c r="O102" s="7"/>
      <c r="P102" s="7"/>
      <c r="Q102" s="27"/>
      <c r="R102" s="27"/>
      <c r="S102" s="45">
        <f t="shared" si="32"/>
        <v>0.25</v>
      </c>
      <c r="T102" s="69" t="str">
        <f t="shared" si="33"/>
        <v>Southbound</v>
      </c>
      <c r="U102" s="96">
        <f>COUNTIFS(Variables!$M$2:$M$19,IF(T102="NorthBound","&gt;=","&lt;=")&amp;Y102,Variables!$M$2:$M$19,IF(T102="NorthBound","&lt;=","&gt;=")&amp;Z102)</f>
        <v>3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13:45:54-0600',mode:absolute,to:'2016-07-17 16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2" s="74" t="str">
        <f t="shared" si="35"/>
        <v>Y</v>
      </c>
      <c r="X102" s="92">
        <f t="shared" si="36"/>
        <v>0</v>
      </c>
      <c r="Y102" s="89">
        <f t="shared" si="37"/>
        <v>23.298300000000001</v>
      </c>
      <c r="Z102" s="89">
        <f t="shared" si="38"/>
        <v>6.4150999999999998</v>
      </c>
      <c r="AA102" s="89">
        <f t="shared" si="39"/>
        <v>16.883200000000002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0"/>
        <v>0184-17</v>
      </c>
      <c r="AE102" s="75" t="str">
        <f t="shared" si="41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02" s="75" t="str">
        <f t="shared" si="42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49" t="s">
        <v>510</v>
      </c>
      <c r="B103" s="7">
        <v>4042</v>
      </c>
      <c r="C103" s="26" t="s">
        <v>59</v>
      </c>
      <c r="D103" s="26" t="s">
        <v>252</v>
      </c>
      <c r="E103" s="16">
        <v>42568.587789351855</v>
      </c>
      <c r="F103" s="16">
        <v>42568.588865740741</v>
      </c>
      <c r="G103" s="7">
        <v>1</v>
      </c>
      <c r="H103" s="16" t="s">
        <v>591</v>
      </c>
      <c r="I103" s="16">
        <v>42568.605046296296</v>
      </c>
      <c r="J103" s="7">
        <v>0</v>
      </c>
      <c r="K103" s="26" t="str">
        <f t="shared" si="30"/>
        <v>4041/4042</v>
      </c>
      <c r="L103" s="26" t="str">
        <f>VLOOKUP(A103,'Trips&amp;Operators'!$C$1:$E$10000,3,FALSE)</f>
        <v>KILLION</v>
      </c>
      <c r="M103" s="6">
        <f t="shared" si="31"/>
        <v>1.6180555554456078E-2</v>
      </c>
      <c r="N103" s="7">
        <f t="shared" si="29"/>
        <v>23.299999998416752</v>
      </c>
      <c r="O103" s="7"/>
      <c r="P103" s="7"/>
      <c r="Q103" s="27"/>
      <c r="R103" s="27"/>
      <c r="S103" s="45">
        <f t="shared" si="32"/>
        <v>0.5</v>
      </c>
      <c r="T103" s="69" t="str">
        <f t="shared" si="33"/>
        <v>NorthBound</v>
      </c>
      <c r="U103" s="96">
        <f>COUNTIFS(Variables!$M$2:$M$19,IF(T103="NorthBound","&gt;=","&lt;=")&amp;Y103,Variables!$M$2:$M$19,IF(T103="NorthBound","&lt;=","&gt;=")&amp;Z103)</f>
        <v>6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13:06:25-0600',mode:absolute,to:'2016-07-17 15:31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3" s="74" t="str">
        <f t="shared" si="35"/>
        <v>Y</v>
      </c>
      <c r="X103" s="92">
        <f t="shared" si="36"/>
        <v>1</v>
      </c>
      <c r="Y103" s="89">
        <f t="shared" si="37"/>
        <v>4.3999999999999997E-2</v>
      </c>
      <c r="Z103" s="89">
        <f t="shared" si="38"/>
        <v>5.6452</v>
      </c>
      <c r="AA103" s="89">
        <f t="shared" si="39"/>
        <v>5.6012000000000004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0"/>
        <v>0185-17</v>
      </c>
      <c r="AE103" s="75" t="str">
        <f t="shared" si="41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03" s="75" t="str">
        <f t="shared" si="42"/>
        <v>"C:\Program Files (x86)\AstroGrep\AstroGrep.exe" /spath="C:\Users\stu\Documents\Analysis\2016-02-23 RTDC Observations" /stypes="*4042*20160717*" /stext=" 20:.+((prompt.+disp)|(slice.+state.+chan)|(ment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49" t="s">
        <v>510</v>
      </c>
      <c r="B104" s="7">
        <v>4042</v>
      </c>
      <c r="C104" s="26" t="s">
        <v>59</v>
      </c>
      <c r="D104" s="26" t="s">
        <v>409</v>
      </c>
      <c r="E104" s="16">
        <v>42568.610949074071</v>
      </c>
      <c r="F104" s="16">
        <v>42568.611597222225</v>
      </c>
      <c r="G104" s="7">
        <v>0</v>
      </c>
      <c r="H104" s="16" t="s">
        <v>223</v>
      </c>
      <c r="I104" s="16">
        <v>42568.628136574072</v>
      </c>
      <c r="J104" s="7">
        <v>0</v>
      </c>
      <c r="K104" s="26" t="str">
        <f t="shared" si="30"/>
        <v>4041/4042</v>
      </c>
      <c r="L104" s="26" t="str">
        <f>VLOOKUP(A104,'Trips&amp;Operators'!$C$1:$E$10000,3,FALSE)</f>
        <v>KILLION</v>
      </c>
      <c r="M104" s="6">
        <f t="shared" si="31"/>
        <v>1.653935184731381E-2</v>
      </c>
      <c r="N104" s="7">
        <f t="shared" si="29"/>
        <v>23.816666660131887</v>
      </c>
      <c r="O104" s="7"/>
      <c r="P104" s="7"/>
      <c r="Q104" s="27"/>
      <c r="R104" s="27"/>
      <c r="S104" s="45">
        <f t="shared" si="32"/>
        <v>0.16666666666666666</v>
      </c>
      <c r="T104" s="69" t="str">
        <f t="shared" si="33"/>
        <v>NorthBound</v>
      </c>
      <c r="U104" s="96">
        <f>COUNTIFS(Variables!$M$2:$M$19,IF(T104="NorthBound","&gt;=","&lt;=")&amp;Y104,Variables!$M$2:$M$19,IF(T104="NorthBound","&lt;=","&gt;=")&amp;Z104)</f>
        <v>2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13:39:46-0600',mode:absolute,to:'2016-07-17 16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4" s="74" t="str">
        <f t="shared" si="35"/>
        <v>Y</v>
      </c>
      <c r="X104" s="92">
        <f t="shared" si="36"/>
        <v>0</v>
      </c>
      <c r="Y104" s="89">
        <f t="shared" si="37"/>
        <v>8.6374999999999993</v>
      </c>
      <c r="Z104" s="89">
        <f t="shared" si="38"/>
        <v>23.328900000000001</v>
      </c>
      <c r="AA104" s="89">
        <f t="shared" si="39"/>
        <v>14.691400000000002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si="40"/>
        <v>0185-17</v>
      </c>
      <c r="AE104" s="75" t="str">
        <f t="shared" si="41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04" s="75" t="str">
        <f t="shared" si="42"/>
        <v>"C:\Program Files (x86)\AstroGrep\AstroGrep.exe" /spath="C:\Users\stu\Documents\Analysis\2016-02-23 RTDC Observations" /stypes="*4042*20160717*"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49" t="s">
        <v>433</v>
      </c>
      <c r="B105" s="7">
        <v>4041</v>
      </c>
      <c r="C105" s="26" t="s">
        <v>59</v>
      </c>
      <c r="D105" s="26" t="s">
        <v>198</v>
      </c>
      <c r="E105" s="16">
        <v>42568.629641203705</v>
      </c>
      <c r="F105" s="16">
        <v>42568.630740740744</v>
      </c>
      <c r="G105" s="7">
        <v>1</v>
      </c>
      <c r="H105" s="16" t="s">
        <v>592</v>
      </c>
      <c r="I105" s="16">
        <v>42568.651724537034</v>
      </c>
      <c r="J105" s="7">
        <v>1</v>
      </c>
      <c r="K105" s="26" t="str">
        <f t="shared" si="30"/>
        <v>4041/4042</v>
      </c>
      <c r="L105" s="26" t="str">
        <f>VLOOKUP(A105,'Trips&amp;Operators'!$C$1:$E$10000,3,FALSE)</f>
        <v>KILLION</v>
      </c>
      <c r="M105" s="6">
        <f t="shared" si="31"/>
        <v>2.0983796290238388E-2</v>
      </c>
      <c r="N105" s="7">
        <f t="shared" si="29"/>
        <v>30.216666657943279</v>
      </c>
      <c r="O105" s="7"/>
      <c r="P105" s="7"/>
      <c r="Q105" s="27"/>
      <c r="R105" s="27"/>
      <c r="S105" s="45">
        <f t="shared" si="32"/>
        <v>0.25</v>
      </c>
      <c r="T105" s="69" t="str">
        <f t="shared" si="33"/>
        <v>Southbound</v>
      </c>
      <c r="U105" s="96">
        <f>COUNTIFS(Variables!$M$2:$M$19,IF(T105="NorthBound","&gt;=","&lt;=")&amp;Y105,Variables!$M$2:$M$19,IF(T105="NorthBound","&lt;=","&gt;=")&amp;Z105)</f>
        <v>3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14:06:41-0600',mode:absolute,to:'2016-07-17 16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5" s="74" t="str">
        <f t="shared" si="35"/>
        <v>Y</v>
      </c>
      <c r="X105" s="92">
        <f t="shared" si="36"/>
        <v>1</v>
      </c>
      <c r="Y105" s="89">
        <f t="shared" si="37"/>
        <v>23.298200000000001</v>
      </c>
      <c r="Z105" s="89">
        <f t="shared" si="38"/>
        <v>6.4135</v>
      </c>
      <c r="AA105" s="89">
        <f t="shared" si="39"/>
        <v>16.884700000000002</v>
      </c>
      <c r="AB105" s="86">
        <f>VLOOKUP(A105,Enforcements!$C$7:$J$23,8,0)</f>
        <v>229055</v>
      </c>
      <c r="AC105" s="82" t="str">
        <f>VLOOKUP(A105,Enforcements!$C$7:$E$23,3,0)</f>
        <v>PERMANENT SPEED RESTRICTION</v>
      </c>
      <c r="AD105" s="83" t="str">
        <f t="shared" si="40"/>
        <v>0186-17</v>
      </c>
      <c r="AE105" s="75" t="str">
        <f t="shared" si="41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05" s="75" t="str">
        <f t="shared" si="42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49" t="s">
        <v>433</v>
      </c>
      <c r="B106" s="7">
        <v>4041</v>
      </c>
      <c r="C106" s="26" t="s">
        <v>59</v>
      </c>
      <c r="D106" s="26" t="s">
        <v>593</v>
      </c>
      <c r="E106" s="16">
        <v>42568.65797453704</v>
      </c>
      <c r="F106" s="16">
        <v>42568.658634259256</v>
      </c>
      <c r="G106" s="7">
        <v>0</v>
      </c>
      <c r="H106" s="16" t="s">
        <v>183</v>
      </c>
      <c r="I106" s="16">
        <v>42568.665937500002</v>
      </c>
      <c r="J106" s="7">
        <v>0</v>
      </c>
      <c r="K106" s="26" t="str">
        <f t="shared" si="30"/>
        <v>4041/4042</v>
      </c>
      <c r="L106" s="26" t="str">
        <f>VLOOKUP(A106,'Trips&amp;Operators'!$C$1:$E$10000,3,FALSE)</f>
        <v>KILLION</v>
      </c>
      <c r="M106" s="6">
        <f t="shared" si="31"/>
        <v>7.3032407453865744E-3</v>
      </c>
      <c r="N106" s="7">
        <f t="shared" si="29"/>
        <v>10.516666673356667</v>
      </c>
      <c r="O106" s="7"/>
      <c r="P106" s="7"/>
      <c r="Q106" s="27"/>
      <c r="R106" s="27"/>
      <c r="S106" s="45">
        <f t="shared" si="32"/>
        <v>0.25</v>
      </c>
      <c r="T106" s="69" t="str">
        <f t="shared" si="33"/>
        <v>Southbound</v>
      </c>
      <c r="U106" s="96">
        <f>COUNTIFS(Variables!$M$2:$M$19,IF(T106="NorthBound","&gt;=","&lt;=")&amp;Y106,Variables!$M$2:$M$19,IF(T106="NorthBound","&lt;=","&gt;=")&amp;Z106)</f>
        <v>3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14:47:29-0600',mode:absolute,to:'2016-07-17 16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6" s="74" t="str">
        <f t="shared" si="35"/>
        <v>Y</v>
      </c>
      <c r="X106" s="92">
        <f t="shared" si="36"/>
        <v>0</v>
      </c>
      <c r="Y106" s="89">
        <f t="shared" si="37"/>
        <v>3.6779000000000002</v>
      </c>
      <c r="Z106" s="89">
        <f t="shared" si="38"/>
        <v>1.54E-2</v>
      </c>
      <c r="AA106" s="89">
        <f t="shared" si="39"/>
        <v>3.6625000000000001</v>
      </c>
      <c r="AB106" s="86">
        <f>VLOOKUP(A106,Enforcements!$C$7:$J$23,8,0)</f>
        <v>229055</v>
      </c>
      <c r="AC106" s="82" t="str">
        <f>VLOOKUP(A106,Enforcements!$C$7:$E$23,3,0)</f>
        <v>PERMANENT SPEED RESTRICTION</v>
      </c>
      <c r="AD106" s="83" t="str">
        <f t="shared" si="40"/>
        <v>0186-17</v>
      </c>
      <c r="AE106" s="75" t="str">
        <f t="shared" si="41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06" s="75" t="str">
        <f t="shared" si="42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49" t="s">
        <v>496</v>
      </c>
      <c r="B107" s="7">
        <v>4027</v>
      </c>
      <c r="C107" s="26" t="s">
        <v>59</v>
      </c>
      <c r="D107" s="26" t="s">
        <v>180</v>
      </c>
      <c r="E107" s="16">
        <v>42568.601180555554</v>
      </c>
      <c r="F107" s="16">
        <v>42568.60229166667</v>
      </c>
      <c r="G107" s="7">
        <v>1</v>
      </c>
      <c r="H107" s="16" t="s">
        <v>594</v>
      </c>
      <c r="I107" s="16">
        <v>42568.614155092589</v>
      </c>
      <c r="J107" s="7">
        <v>0</v>
      </c>
      <c r="K107" s="26" t="str">
        <f t="shared" si="30"/>
        <v>4027/4028</v>
      </c>
      <c r="L107" s="26" t="str">
        <f>VLOOKUP(A107,'Trips&amp;Operators'!$C$1:$E$10000,3,FALSE)</f>
        <v>STEWART</v>
      </c>
      <c r="M107" s="6">
        <f t="shared" si="31"/>
        <v>1.1863425919727888E-2</v>
      </c>
      <c r="N107" s="7">
        <f t="shared" si="29"/>
        <v>17.083333324408159</v>
      </c>
      <c r="O107" s="7"/>
      <c r="P107" s="7"/>
      <c r="Q107" s="27"/>
      <c r="R107" s="27"/>
      <c r="S107" s="45">
        <f t="shared" si="32"/>
        <v>0.5</v>
      </c>
      <c r="T107" s="69" t="str">
        <f t="shared" si="33"/>
        <v>NorthBound</v>
      </c>
      <c r="U107" s="96">
        <f>COUNTIFS(Variables!$M$2:$M$19,IF(T107="NorthBound","&gt;=","&lt;=")&amp;Y107,Variables!$M$2:$M$19,IF(T107="NorthBound","&lt;=","&gt;=")&amp;Z107)</f>
        <v>6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13:25:42-0600',mode:absolute,to:'2016-07-17 15:44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7" s="74" t="str">
        <f t="shared" si="35"/>
        <v>Y</v>
      </c>
      <c r="X107" s="92">
        <f t="shared" si="36"/>
        <v>1</v>
      </c>
      <c r="Y107" s="89">
        <f t="shared" si="37"/>
        <v>4.5499999999999999E-2</v>
      </c>
      <c r="Z107" s="89">
        <f t="shared" si="38"/>
        <v>5.3827999999999996</v>
      </c>
      <c r="AA107" s="89">
        <f t="shared" si="39"/>
        <v>5.3372999999999999</v>
      </c>
      <c r="AB107" s="86" t="e">
        <f>VLOOKUP(A107,Enforcements!$C$7:$J$23,8,0)</f>
        <v>#N/A</v>
      </c>
      <c r="AC107" s="82" t="e">
        <f>VLOOKUP(A107,Enforcements!$C$7:$E$23,3,0)</f>
        <v>#N/A</v>
      </c>
      <c r="AD107" s="83" t="str">
        <f t="shared" si="40"/>
        <v>0187-17</v>
      </c>
      <c r="AE107" s="75" t="str">
        <f t="shared" si="41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07" s="75" t="str">
        <f t="shared" si="42"/>
        <v>"C:\Program Files (x86)\AstroGrep\AstroGrep.exe" /spath="C:\Users\stu\Documents\Analysis\2016-02-23 RTDC Observations" /stypes="*4027*20160717*" /stext=" 20:.+((prompt.+disp)|(slice.+state.+chan)|(ment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49" t="s">
        <v>496</v>
      </c>
      <c r="B108" s="7">
        <v>4027</v>
      </c>
      <c r="C108" s="26" t="s">
        <v>59</v>
      </c>
      <c r="D108" s="26" t="s">
        <v>595</v>
      </c>
      <c r="E108" s="16">
        <v>42568.616423611114</v>
      </c>
      <c r="F108" s="16">
        <v>42568.617071759261</v>
      </c>
      <c r="G108" s="7">
        <v>0</v>
      </c>
      <c r="H108" s="16" t="s">
        <v>188</v>
      </c>
      <c r="I108" s="16">
        <v>42568.637060185189</v>
      </c>
      <c r="J108" s="7">
        <v>0</v>
      </c>
      <c r="K108" s="26" t="str">
        <f t="shared" si="30"/>
        <v>4027/4028</v>
      </c>
      <c r="L108" s="26" t="str">
        <f>VLOOKUP(A108,'Trips&amp;Operators'!$C$1:$E$10000,3,FALSE)</f>
        <v>STEWART</v>
      </c>
      <c r="M108" s="6">
        <f t="shared" si="31"/>
        <v>1.9988425927294884E-2</v>
      </c>
      <c r="N108" s="7">
        <f t="shared" si="29"/>
        <v>28.783333335304633</v>
      </c>
      <c r="O108" s="7"/>
      <c r="P108" s="7"/>
      <c r="Q108" s="27"/>
      <c r="R108" s="27"/>
      <c r="S108" s="45">
        <f t="shared" si="32"/>
        <v>0.25</v>
      </c>
      <c r="T108" s="69" t="str">
        <f t="shared" si="33"/>
        <v>NorthBound</v>
      </c>
      <c r="U108" s="96">
        <f>COUNTIFS(Variables!$M$2:$M$19,IF(T108="NorthBound","&gt;=","&lt;=")&amp;Y108,Variables!$M$2:$M$19,IF(T108="NorthBound","&lt;=","&gt;=")&amp;Z108)</f>
        <v>3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13:47:39-0600',mode:absolute,to:'2016-07-17 16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8" s="74" t="str">
        <f t="shared" si="35"/>
        <v>Y</v>
      </c>
      <c r="X108" s="92">
        <f t="shared" si="36"/>
        <v>0</v>
      </c>
      <c r="Y108" s="89">
        <f t="shared" si="37"/>
        <v>6.4702000000000002</v>
      </c>
      <c r="Z108" s="89">
        <f t="shared" si="38"/>
        <v>23.329499999999999</v>
      </c>
      <c r="AA108" s="89">
        <f t="shared" si="39"/>
        <v>16.859299999999998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0"/>
        <v>0187-17</v>
      </c>
      <c r="AE108" s="75" t="str">
        <f t="shared" si="41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08" s="75" t="str">
        <f t="shared" si="42"/>
        <v>"C:\Program Files (x86)\AstroGrep\AstroGrep.exe" /spath="C:\Users\stu\Documents\Analysis\2016-02-23 RTDC Observations" /stypes="*4027*20160717*"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49" t="s">
        <v>468</v>
      </c>
      <c r="B109" s="7">
        <v>4028</v>
      </c>
      <c r="C109" s="26" t="s">
        <v>59</v>
      </c>
      <c r="D109" s="26" t="s">
        <v>198</v>
      </c>
      <c r="E109" s="16">
        <v>42568.640520833331</v>
      </c>
      <c r="F109" s="16">
        <v>42568.641377314816</v>
      </c>
      <c r="G109" s="7">
        <v>1</v>
      </c>
      <c r="H109" s="16" t="s">
        <v>596</v>
      </c>
      <c r="I109" s="16">
        <v>42568.660509259258</v>
      </c>
      <c r="J109" s="7">
        <v>0</v>
      </c>
      <c r="K109" s="26" t="str">
        <f t="shared" si="30"/>
        <v>4027/4028</v>
      </c>
      <c r="L109" s="26" t="str">
        <f>VLOOKUP(A109,'Trips&amp;Operators'!$C$1:$E$10000,3,FALSE)</f>
        <v>STEWART</v>
      </c>
      <c r="M109" s="6">
        <f t="shared" si="31"/>
        <v>1.9131944442051463E-2</v>
      </c>
      <c r="N109" s="7">
        <f t="shared" si="29"/>
        <v>27.549999996554106</v>
      </c>
      <c r="O109" s="7"/>
      <c r="P109" s="7"/>
      <c r="Q109" s="27"/>
      <c r="R109" s="27"/>
      <c r="S109" s="45">
        <f t="shared" si="32"/>
        <v>0.25</v>
      </c>
      <c r="T109" s="69" t="str">
        <f t="shared" si="33"/>
        <v>Southbound</v>
      </c>
      <c r="U109" s="96">
        <f>COUNTIFS(Variables!$M$2:$M$19,IF(T109="NorthBound","&gt;=","&lt;=")&amp;Y109,Variables!$M$2:$M$19,IF(T109="NorthBound","&lt;=","&gt;=")&amp;Z109)</f>
        <v>3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14:22:21-0600',mode:absolute,to:'2016-07-17 16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9" s="74" t="str">
        <f t="shared" si="35"/>
        <v>Y</v>
      </c>
      <c r="X109" s="92">
        <f t="shared" si="36"/>
        <v>1</v>
      </c>
      <c r="Y109" s="89">
        <f t="shared" si="37"/>
        <v>23.298200000000001</v>
      </c>
      <c r="Z109" s="89">
        <f t="shared" si="38"/>
        <v>6.3470000000000004</v>
      </c>
      <c r="AA109" s="89">
        <f t="shared" si="39"/>
        <v>16.9512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0"/>
        <v>0188-17</v>
      </c>
      <c r="AE109" s="75" t="str">
        <f t="shared" si="41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09" s="75" t="str">
        <f t="shared" si="42"/>
        <v>"C:\Program Files (x86)\AstroGrep\AstroGrep.exe" /spath="C:\Users\stu\Documents\Analysis\2016-02-23 RTDC Observations" /stypes="*4028*20160717*" /stext=" 21:.+((prompt.+disp)|(slice.+state.+chan)|(ment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49" t="s">
        <v>468</v>
      </c>
      <c r="B110" s="7">
        <v>4028</v>
      </c>
      <c r="C110" s="26" t="s">
        <v>59</v>
      </c>
      <c r="D110" s="26" t="s">
        <v>408</v>
      </c>
      <c r="E110" s="16">
        <v>42568.664375</v>
      </c>
      <c r="F110" s="16">
        <v>42568.66510416667</v>
      </c>
      <c r="G110" s="7">
        <v>1</v>
      </c>
      <c r="H110" s="16" t="s">
        <v>125</v>
      </c>
      <c r="I110" s="16">
        <v>42568.672106481485</v>
      </c>
      <c r="J110" s="7">
        <v>0</v>
      </c>
      <c r="K110" s="26" t="str">
        <f t="shared" si="30"/>
        <v>4027/4028</v>
      </c>
      <c r="L110" s="26" t="str">
        <f>VLOOKUP(A110,'Trips&amp;Operators'!$C$1:$E$10000,3,FALSE)</f>
        <v>STEWART</v>
      </c>
      <c r="M110" s="6">
        <f t="shared" si="31"/>
        <v>7.0023148145992309E-3</v>
      </c>
      <c r="N110" s="7">
        <f t="shared" si="29"/>
        <v>10.083333333022892</v>
      </c>
      <c r="O110" s="7"/>
      <c r="P110" s="7"/>
      <c r="Q110" s="27"/>
      <c r="R110" s="27"/>
      <c r="S110" s="45">
        <f t="shared" si="32"/>
        <v>0.25</v>
      </c>
      <c r="T110" s="69" t="str">
        <f t="shared" si="33"/>
        <v>Southbound</v>
      </c>
      <c r="U110" s="96">
        <f>COUNTIFS(Variables!$M$2:$M$19,IF(T110="NorthBound","&gt;=","&lt;=")&amp;Y110,Variables!$M$2:$M$19,IF(T110="NorthBound","&lt;=","&gt;=")&amp;Z110)</f>
        <v>3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14:56:42-0600',mode:absolute,to:'2016-07-17 17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0" s="74" t="str">
        <f t="shared" si="35"/>
        <v>Y</v>
      </c>
      <c r="X110" s="92">
        <f t="shared" si="36"/>
        <v>0</v>
      </c>
      <c r="Y110" s="89">
        <f t="shared" si="37"/>
        <v>3.6791</v>
      </c>
      <c r="Z110" s="89">
        <f t="shared" si="38"/>
        <v>1.5599999999999999E-2</v>
      </c>
      <c r="AA110" s="89">
        <f t="shared" si="39"/>
        <v>3.6635</v>
      </c>
      <c r="AB110" s="86" t="e">
        <f>VLOOKUP(A110,Enforcements!$C$7:$J$23,8,0)</f>
        <v>#N/A</v>
      </c>
      <c r="AC110" s="82" t="e">
        <f>VLOOKUP(A110,Enforcements!$C$7:$E$23,3,0)</f>
        <v>#N/A</v>
      </c>
      <c r="AD110" s="83" t="str">
        <f t="shared" si="40"/>
        <v>0188-17</v>
      </c>
      <c r="AE110" s="75" t="str">
        <f t="shared" si="41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10" s="75" t="str">
        <f t="shared" si="42"/>
        <v>"C:\Program Files (x86)\AstroGrep\AstroGrep.exe" /spath="C:\Users\stu\Documents\Analysis\2016-02-23 RTDC Observations" /stypes="*4028*20160717*"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49" t="s">
        <v>432</v>
      </c>
      <c r="B111" s="7">
        <v>4007</v>
      </c>
      <c r="C111" s="26" t="s">
        <v>59</v>
      </c>
      <c r="D111" s="26" t="s">
        <v>367</v>
      </c>
      <c r="E111" s="16">
        <v>42568.612581018519</v>
      </c>
      <c r="F111" s="16">
        <v>42568.613518518519</v>
      </c>
      <c r="G111" s="7">
        <v>1</v>
      </c>
      <c r="H111" s="16" t="s">
        <v>597</v>
      </c>
      <c r="I111" s="16">
        <v>42568.624340277776</v>
      </c>
      <c r="J111" s="7">
        <v>0</v>
      </c>
      <c r="K111" s="26" t="str">
        <f t="shared" si="30"/>
        <v>4007/4008</v>
      </c>
      <c r="L111" s="26" t="str">
        <f>VLOOKUP(A111,'Trips&amp;Operators'!$C$1:$E$10000,3,FALSE)</f>
        <v>STORY</v>
      </c>
      <c r="M111" s="6">
        <f t="shared" si="31"/>
        <v>1.0821759256941732E-2</v>
      </c>
      <c r="N111" s="7">
        <f t="shared" si="29"/>
        <v>15.583333329996094</v>
      </c>
      <c r="O111" s="7"/>
      <c r="P111" s="7"/>
      <c r="Q111" s="27"/>
      <c r="R111" s="27"/>
      <c r="S111" s="45">
        <f t="shared" si="32"/>
        <v>0.5</v>
      </c>
      <c r="T111" s="69" t="str">
        <f t="shared" si="33"/>
        <v>NorthBound</v>
      </c>
      <c r="U111" s="96">
        <f>COUNTIFS(Variables!$M$2:$M$19,IF(T111="NorthBound","&gt;=","&lt;=")&amp;Y111,Variables!$M$2:$M$19,IF(T111="NorthBound","&lt;=","&gt;=")&amp;Z111)</f>
        <v>6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13:42:07-0600',mode:absolute,to:'2016-07-17 15:59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1" s="74" t="str">
        <f t="shared" si="35"/>
        <v>Y</v>
      </c>
      <c r="X111" s="92">
        <f t="shared" si="36"/>
        <v>1</v>
      </c>
      <c r="Y111" s="89">
        <f t="shared" si="37"/>
        <v>4.4600000000000001E-2</v>
      </c>
      <c r="Z111" s="89">
        <f t="shared" si="38"/>
        <v>5.5606</v>
      </c>
      <c r="AA111" s="89">
        <f t="shared" si="39"/>
        <v>5.516</v>
      </c>
      <c r="AB111" s="86">
        <f>VLOOKUP(A111,Enforcements!$C$7:$J$23,8,0)</f>
        <v>63995</v>
      </c>
      <c r="AC111" s="82" t="str">
        <f>VLOOKUP(A111,Enforcements!$C$7:$E$23,3,0)</f>
        <v>SIGNAL</v>
      </c>
      <c r="AD111" s="83" t="str">
        <f t="shared" si="40"/>
        <v>0189-17</v>
      </c>
      <c r="AE111" s="75" t="str">
        <f t="shared" si="41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11" s="75" t="str">
        <f t="shared" si="42"/>
        <v>"C:\Program Files (x86)\AstroGrep\AstroGrep.exe" /spath="C:\Users\stu\Documents\Analysis\2016-02-23 RTDC Observations" /stypes="*4007*20160717*" /stext=" 20:.+((prompt.+disp)|(slice.+state.+chan)|(ment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49" t="s">
        <v>432</v>
      </c>
      <c r="B112" s="7">
        <v>4007</v>
      </c>
      <c r="C112" s="26" t="s">
        <v>59</v>
      </c>
      <c r="D112" s="26" t="s">
        <v>598</v>
      </c>
      <c r="E112" s="16">
        <v>42568.626574074071</v>
      </c>
      <c r="F112" s="16">
        <v>42568.628252314818</v>
      </c>
      <c r="G112" s="7">
        <v>2</v>
      </c>
      <c r="H112" s="16" t="s">
        <v>228</v>
      </c>
      <c r="I112" s="16">
        <v>42568.648356481484</v>
      </c>
      <c r="J112" s="7">
        <v>1</v>
      </c>
      <c r="K112" s="26" t="str">
        <f t="shared" si="30"/>
        <v>4007/4008</v>
      </c>
      <c r="L112" s="26" t="str">
        <f>VLOOKUP(A112,'Trips&amp;Operators'!$C$1:$E$10000,3,FALSE)</f>
        <v>STORY</v>
      </c>
      <c r="M112" s="6">
        <f t="shared" si="31"/>
        <v>2.0104166665987577E-2</v>
      </c>
      <c r="N112" s="7">
        <f t="shared" si="29"/>
        <v>28.949999999022111</v>
      </c>
      <c r="O112" s="7"/>
      <c r="P112" s="7"/>
      <c r="Q112" s="27"/>
      <c r="R112" s="27"/>
      <c r="S112" s="45">
        <f t="shared" si="32"/>
        <v>0.25</v>
      </c>
      <c r="T112" s="69" t="str">
        <f t="shared" si="33"/>
        <v>NorthBound</v>
      </c>
      <c r="U112" s="96">
        <f>COUNTIFS(Variables!$M$2:$M$19,IF(T112="NorthBound","&gt;=","&lt;=")&amp;Y112,Variables!$M$2:$M$19,IF(T112="NorthBound","&lt;=","&gt;=")&amp;Z112)</f>
        <v>3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14:02:16-0600',mode:absolute,to:'2016-07-17 16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2" s="74" t="str">
        <f t="shared" si="35"/>
        <v>Y</v>
      </c>
      <c r="X112" s="92">
        <f t="shared" si="36"/>
        <v>0</v>
      </c>
      <c r="Y112" s="89">
        <f t="shared" si="37"/>
        <v>6.4683999999999999</v>
      </c>
      <c r="Z112" s="89">
        <f t="shared" si="38"/>
        <v>23.3307</v>
      </c>
      <c r="AA112" s="89">
        <f t="shared" si="39"/>
        <v>16.862300000000001</v>
      </c>
      <c r="AB112" s="86">
        <f>VLOOKUP(A112,Enforcements!$C$7:$J$23,8,0)</f>
        <v>63995</v>
      </c>
      <c r="AC112" s="82" t="str">
        <f>VLOOKUP(A112,Enforcements!$C$7:$E$23,3,0)</f>
        <v>SIGNAL</v>
      </c>
      <c r="AD112" s="83" t="str">
        <f t="shared" si="40"/>
        <v>0189-17</v>
      </c>
      <c r="AE112" s="75" t="str">
        <f t="shared" si="41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12" s="75" t="str">
        <f t="shared" si="42"/>
        <v>"C:\Program Files (x86)\AstroGrep\AstroGrep.exe" /spath="C:\Users\stu\Documents\Analysis\2016-02-23 RTDC Observations" /stypes="*4007*20160717*" /stext=" 21:.+((prompt.+disp)|(slice.+state.+chan)|(ment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49" t="s">
        <v>435</v>
      </c>
      <c r="B113" s="7">
        <v>4008</v>
      </c>
      <c r="C113" s="26" t="s">
        <v>59</v>
      </c>
      <c r="D113" s="26" t="s">
        <v>196</v>
      </c>
      <c r="E113" s="16">
        <v>42568.650104166663</v>
      </c>
      <c r="F113" s="16">
        <v>42568.650902777779</v>
      </c>
      <c r="G113" s="7">
        <v>1</v>
      </c>
      <c r="H113" s="16" t="s">
        <v>60</v>
      </c>
      <c r="I113" s="16">
        <v>42568.68445601852</v>
      </c>
      <c r="J113" s="7">
        <v>1</v>
      </c>
      <c r="K113" s="26" t="str">
        <f t="shared" si="30"/>
        <v>4007/4008</v>
      </c>
      <c r="L113" s="26" t="str">
        <f>VLOOKUP(A113,'Trips&amp;Operators'!$C$1:$E$10000,3,FALSE)</f>
        <v>STORY</v>
      </c>
      <c r="M113" s="6">
        <f t="shared" si="31"/>
        <v>3.3553240740729962E-2</v>
      </c>
      <c r="N113" s="7">
        <f t="shared" si="29"/>
        <v>48.316666666651145</v>
      </c>
      <c r="O113" s="7"/>
      <c r="P113" s="7"/>
      <c r="Q113" s="27"/>
      <c r="R113" s="27"/>
      <c r="S113" s="45">
        <f t="shared" si="32"/>
        <v>1</v>
      </c>
      <c r="T113" s="69" t="str">
        <f t="shared" si="33"/>
        <v>Southbound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14:36:09-0600',mode:absolute,to:'2016-07-17 17:25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3" s="74" t="str">
        <f t="shared" si="35"/>
        <v>N</v>
      </c>
      <c r="X113" s="92">
        <f t="shared" si="36"/>
        <v>1</v>
      </c>
      <c r="Y113" s="89">
        <f t="shared" si="37"/>
        <v>23.299800000000001</v>
      </c>
      <c r="Z113" s="89">
        <f t="shared" si="38"/>
        <v>1.4500000000000001E-2</v>
      </c>
      <c r="AA113" s="89">
        <f t="shared" si="39"/>
        <v>23.285299999999999</v>
      </c>
      <c r="AB113" s="86">
        <f>VLOOKUP(A113,Enforcements!$C$7:$J$23,8,0)</f>
        <v>229055</v>
      </c>
      <c r="AC113" s="82" t="str">
        <f>VLOOKUP(A113,Enforcements!$C$7:$E$23,3,0)</f>
        <v>PERMANENT SPEED RESTRICTION</v>
      </c>
      <c r="AD113" s="83" t="str">
        <f t="shared" si="40"/>
        <v>0190-17</v>
      </c>
      <c r="AE113" s="75" t="str">
        <f t="shared" si="41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113" s="75" t="str">
        <f t="shared" si="42"/>
        <v>"C:\Program Files (x86)\AstroGrep\AstroGrep.exe" /spath="C:\Users\stu\Documents\Analysis\2016-02-23 RTDC Observations" /stypes="*4008*20160717*" /stext=" 22:.+((prompt.+disp)|(slice.+state.+chan)|(ment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49" t="s">
        <v>538</v>
      </c>
      <c r="B114" s="7">
        <v>4031</v>
      </c>
      <c r="C114" s="26" t="s">
        <v>59</v>
      </c>
      <c r="D114" s="26" t="s">
        <v>180</v>
      </c>
      <c r="E114" s="16">
        <v>42568.622511574074</v>
      </c>
      <c r="F114" s="16">
        <v>42568.624120370368</v>
      </c>
      <c r="G114" s="7">
        <v>2</v>
      </c>
      <c r="H114" s="16" t="s">
        <v>599</v>
      </c>
      <c r="I114" s="16">
        <v>42568.636203703703</v>
      </c>
      <c r="J114" s="7">
        <v>0</v>
      </c>
      <c r="K114" s="26" t="str">
        <f t="shared" si="30"/>
        <v>4031/4032</v>
      </c>
      <c r="L114" s="26" t="str">
        <f>VLOOKUP(A114,'Trips&amp;Operators'!$C$1:$E$10000,3,FALSE)</f>
        <v>BRUDER</v>
      </c>
      <c r="M114" s="6">
        <f t="shared" si="31"/>
        <v>1.2083333334885538E-2</v>
      </c>
      <c r="N114" s="7">
        <f t="shared" si="29"/>
        <v>17.400000002235174</v>
      </c>
      <c r="O114" s="7"/>
      <c r="P114" s="7"/>
      <c r="Q114" s="27"/>
      <c r="R114" s="27"/>
      <c r="S114" s="45">
        <f t="shared" si="32"/>
        <v>0.5</v>
      </c>
      <c r="T114" s="69" t="str">
        <f t="shared" si="33"/>
        <v>NorthBound</v>
      </c>
      <c r="U114" s="96">
        <f>COUNTIFS(Variables!$M$2:$M$19,IF(T114="NorthBound","&gt;=","&lt;=")&amp;Y114,Variables!$M$2:$M$19,IF(T114="NorthBound","&lt;=","&gt;=")&amp;Z114)</f>
        <v>6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13:56:25-0600',mode:absolute,to:'2016-07-17 16:16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74" t="str">
        <f t="shared" si="35"/>
        <v>Y</v>
      </c>
      <c r="X114" s="92">
        <f t="shared" si="36"/>
        <v>1</v>
      </c>
      <c r="Y114" s="89">
        <f t="shared" si="37"/>
        <v>4.5499999999999999E-2</v>
      </c>
      <c r="Z114" s="89">
        <f t="shared" si="38"/>
        <v>5.6486999999999998</v>
      </c>
      <c r="AA114" s="89">
        <f t="shared" si="39"/>
        <v>5.6032000000000002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0"/>
        <v>0191-17</v>
      </c>
      <c r="AE114" s="75" t="str">
        <f t="shared" si="41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14" s="75" t="str">
        <f t="shared" si="42"/>
        <v>"C:\Program Files (x86)\AstroGrep\AstroGrep.exe" /spath="C:\Users\stu\Documents\Analysis\2016-02-23 RTDC Observations" /stypes="*4031*20160717*" /stext=" 21:.+((prompt.+disp)|(slice.+state.+chan)|(ment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49" t="s">
        <v>538</v>
      </c>
      <c r="B115" s="7">
        <v>4031</v>
      </c>
      <c r="C115" s="26" t="s">
        <v>59</v>
      </c>
      <c r="D115" s="26" t="s">
        <v>600</v>
      </c>
      <c r="E115" s="16">
        <v>42568.637881944444</v>
      </c>
      <c r="F115" s="16">
        <v>42568.638796296298</v>
      </c>
      <c r="G115" s="7">
        <v>1</v>
      </c>
      <c r="H115" s="16" t="s">
        <v>260</v>
      </c>
      <c r="I115" s="16">
        <v>42568.658101851855</v>
      </c>
      <c r="J115" s="7">
        <v>0</v>
      </c>
      <c r="K115" s="26" t="str">
        <f t="shared" si="30"/>
        <v>4031/4032</v>
      </c>
      <c r="L115" s="26" t="str">
        <f>VLOOKUP(A115,'Trips&amp;Operators'!$C$1:$E$10000,3,FALSE)</f>
        <v>BRUDER</v>
      </c>
      <c r="M115" s="6">
        <f t="shared" si="31"/>
        <v>1.9305555557366461E-2</v>
      </c>
      <c r="N115" s="7">
        <f t="shared" si="29"/>
        <v>27.800000002607703</v>
      </c>
      <c r="O115" s="7"/>
      <c r="P115" s="7"/>
      <c r="Q115" s="27"/>
      <c r="R115" s="27"/>
      <c r="S115" s="45">
        <f t="shared" si="32"/>
        <v>0.25</v>
      </c>
      <c r="T115" s="69" t="str">
        <f t="shared" si="33"/>
        <v>NorthBound</v>
      </c>
      <c r="U115" s="96">
        <f>COUNTIFS(Variables!$M$2:$M$19,IF(T115="NorthBound","&gt;=","&lt;=")&amp;Y115,Variables!$M$2:$M$19,IF(T115="NorthBound","&lt;=","&gt;=")&amp;Z115)</f>
        <v>3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14:18:33-0600',mode:absolute,to:'2016-07-17 16:47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5" s="74" t="str">
        <f t="shared" si="35"/>
        <v>Y</v>
      </c>
      <c r="X115" s="92">
        <f t="shared" si="36"/>
        <v>0</v>
      </c>
      <c r="Y115" s="89">
        <f t="shared" si="37"/>
        <v>6.4707999999999997</v>
      </c>
      <c r="Z115" s="89">
        <f t="shared" si="38"/>
        <v>23.326799999999999</v>
      </c>
      <c r="AA115" s="89">
        <f t="shared" si="39"/>
        <v>16.855999999999998</v>
      </c>
      <c r="AB115" s="86" t="e">
        <f>VLOOKUP(A115,Enforcements!$C$7:$J$23,8,0)</f>
        <v>#N/A</v>
      </c>
      <c r="AC115" s="82" t="e">
        <f>VLOOKUP(A115,Enforcements!$C$7:$E$23,3,0)</f>
        <v>#N/A</v>
      </c>
      <c r="AD115" s="83" t="str">
        <f t="shared" si="40"/>
        <v>0191-17</v>
      </c>
      <c r="AE115" s="75" t="str">
        <f t="shared" si="41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15" s="75" t="str">
        <f t="shared" si="42"/>
        <v>"C:\Program Files (x86)\AstroGrep\AstroGrep.exe" /spath="C:\Users\stu\Documents\Analysis\2016-02-23 RTDC Observations" /stypes="*4031*20160717*" /stext=" 21:.+((prompt.+disp)|(slice.+state.+chan)|(ment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49" t="s">
        <v>540</v>
      </c>
      <c r="B116" s="7">
        <v>4032</v>
      </c>
      <c r="C116" s="26" t="s">
        <v>59</v>
      </c>
      <c r="D116" s="26" t="s">
        <v>224</v>
      </c>
      <c r="E116" s="16">
        <v>42568.661087962966</v>
      </c>
      <c r="F116" s="16">
        <v>42568.662430555552</v>
      </c>
      <c r="G116" s="7">
        <v>1</v>
      </c>
      <c r="H116" s="16" t="s">
        <v>184</v>
      </c>
      <c r="I116" s="16">
        <v>42568.692615740743</v>
      </c>
      <c r="J116" s="7">
        <v>0</v>
      </c>
      <c r="K116" s="26" t="str">
        <f t="shared" si="30"/>
        <v>4031/4032</v>
      </c>
      <c r="L116" s="26" t="str">
        <f>VLOOKUP(A116,'Trips&amp;Operators'!$C$1:$E$10000,3,FALSE)</f>
        <v>BRUDER</v>
      </c>
      <c r="M116" s="6">
        <f t="shared" si="31"/>
        <v>3.0185185190930497E-2</v>
      </c>
      <c r="N116" s="7">
        <f t="shared" si="29"/>
        <v>43.466666674939916</v>
      </c>
      <c r="O116" s="7"/>
      <c r="P116" s="7"/>
      <c r="Q116" s="27"/>
      <c r="R116" s="27"/>
      <c r="S116" s="45">
        <f t="shared" si="32"/>
        <v>1</v>
      </c>
      <c r="T116" s="69" t="str">
        <f t="shared" si="33"/>
        <v>Southbound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14:51:58-0600',mode:absolute,to:'2016-07-17 17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6" s="74" t="str">
        <f t="shared" si="35"/>
        <v>N</v>
      </c>
      <c r="X116" s="92">
        <f t="shared" si="36"/>
        <v>1</v>
      </c>
      <c r="Y116" s="89">
        <f t="shared" si="37"/>
        <v>23.296099999999999</v>
      </c>
      <c r="Z116" s="89">
        <f t="shared" si="38"/>
        <v>1.4999999999999999E-2</v>
      </c>
      <c r="AA116" s="89">
        <f t="shared" si="39"/>
        <v>23.281099999999999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0"/>
        <v>0192-17</v>
      </c>
      <c r="AE116" s="75" t="str">
        <f t="shared" si="41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16" s="75" t="str">
        <f t="shared" si="42"/>
        <v>"C:\Program Files (x86)\AstroGrep\AstroGrep.exe" /spath="C:\Users\stu\Documents\Analysis\2016-02-23 RTDC Observations" /stypes="*4032*20160717*" /stext=" 22:.+((prompt.+disp)|(slice.+state.+chan)|(ment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49" t="s">
        <v>466</v>
      </c>
      <c r="B117" s="7">
        <v>4014</v>
      </c>
      <c r="C117" s="26" t="s">
        <v>59</v>
      </c>
      <c r="D117" s="26" t="s">
        <v>114</v>
      </c>
      <c r="E117" s="16">
        <v>42568.640601851854</v>
      </c>
      <c r="F117" s="16">
        <v>42568.64167824074</v>
      </c>
      <c r="G117" s="7">
        <v>1</v>
      </c>
      <c r="H117" s="16" t="s">
        <v>601</v>
      </c>
      <c r="I117" s="16">
        <v>42568.65148148148</v>
      </c>
      <c r="J117" s="7">
        <v>0</v>
      </c>
      <c r="K117" s="26" t="str">
        <f t="shared" si="30"/>
        <v>4013/4014</v>
      </c>
      <c r="L117" s="26" t="str">
        <f>VLOOKUP(A117,'Trips&amp;Operators'!$C$1:$E$10000,3,FALSE)</f>
        <v>RIVERA</v>
      </c>
      <c r="M117" s="6">
        <f t="shared" si="31"/>
        <v>9.8032407404389232E-3</v>
      </c>
      <c r="N117" s="7">
        <f t="shared" si="29"/>
        <v>14.116666666232049</v>
      </c>
      <c r="O117" s="7"/>
      <c r="P117" s="7"/>
      <c r="Q117" s="27"/>
      <c r="R117" s="27"/>
      <c r="S117" s="45">
        <f t="shared" si="32"/>
        <v>0.5</v>
      </c>
      <c r="T117" s="69" t="str">
        <f t="shared" si="33"/>
        <v>NorthBound</v>
      </c>
      <c r="U117" s="96">
        <f>COUNTIFS(Variables!$M$2:$M$19,IF(T117="NorthBound","&gt;=","&lt;=")&amp;Y117,Variables!$M$2:$M$19,IF(T117="NorthBound","&lt;=","&gt;=")&amp;Z117)</f>
        <v>6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14:22:28-0600',mode:absolute,to:'2016-07-17 16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7" s="74" t="str">
        <f t="shared" si="35"/>
        <v>Y</v>
      </c>
      <c r="X117" s="92">
        <f t="shared" si="36"/>
        <v>1</v>
      </c>
      <c r="Y117" s="89">
        <f t="shared" si="37"/>
        <v>4.5100000000000001E-2</v>
      </c>
      <c r="Z117" s="89">
        <f t="shared" si="38"/>
        <v>5.4641999999999999</v>
      </c>
      <c r="AA117" s="89">
        <f t="shared" si="39"/>
        <v>5.4191000000000003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0"/>
        <v>0193-17</v>
      </c>
      <c r="AE117" s="75" t="str">
        <f t="shared" si="41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17" s="75" t="str">
        <f t="shared" si="42"/>
        <v>"C:\Program Files (x86)\AstroGrep\AstroGrep.exe" /spath="C:\Users\stu\Documents\Analysis\2016-02-23 RTDC Observations" /stypes="*4014*20160717*" /stext=" 21:.+((prompt.+disp)|(slice.+state.+chan)|(ment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49" t="s">
        <v>466</v>
      </c>
      <c r="B118" s="7">
        <v>4014</v>
      </c>
      <c r="C118" s="26" t="s">
        <v>59</v>
      </c>
      <c r="D118" s="26" t="s">
        <v>602</v>
      </c>
      <c r="E118" s="16">
        <v>42568.653541666667</v>
      </c>
      <c r="F118" s="16">
        <v>42568.654236111113</v>
      </c>
      <c r="G118" s="7">
        <v>0</v>
      </c>
      <c r="H118" s="16" t="s">
        <v>188</v>
      </c>
      <c r="I118" s="16">
        <v>42568.669768518521</v>
      </c>
      <c r="J118" s="7">
        <v>0</v>
      </c>
      <c r="K118" s="26" t="str">
        <f t="shared" si="30"/>
        <v>4013/4014</v>
      </c>
      <c r="L118" s="26" t="str">
        <f>VLOOKUP(A118,'Trips&amp;Operators'!$C$1:$E$10000,3,FALSE)</f>
        <v>RIVERA</v>
      </c>
      <c r="M118" s="6">
        <f t="shared" si="31"/>
        <v>1.5532407407590654E-2</v>
      </c>
      <c r="N118" s="7">
        <f t="shared" si="29"/>
        <v>22.366666666930541</v>
      </c>
      <c r="O118" s="7"/>
      <c r="P118" s="7"/>
      <c r="Q118" s="27"/>
      <c r="R118" s="27"/>
      <c r="S118" s="45">
        <f t="shared" si="32"/>
        <v>0.25</v>
      </c>
      <c r="T118" s="69" t="str">
        <f t="shared" si="33"/>
        <v>NorthBound</v>
      </c>
      <c r="U118" s="96">
        <f>COUNTIFS(Variables!$M$2:$M$19,IF(T118="NorthBound","&gt;=","&lt;=")&amp;Y118,Variables!$M$2:$M$19,IF(T118="NorthBound","&lt;=","&gt;=")&amp;Z118)</f>
        <v>3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14:41:06-0600',mode:absolute,to:'2016-07-17 17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8" s="74" t="str">
        <f t="shared" si="35"/>
        <v>Y</v>
      </c>
      <c r="X118" s="92">
        <f t="shared" si="36"/>
        <v>0</v>
      </c>
      <c r="Y118" s="89">
        <f t="shared" si="37"/>
        <v>6.4703999999999997</v>
      </c>
      <c r="Z118" s="89">
        <f t="shared" si="38"/>
        <v>23.329499999999999</v>
      </c>
      <c r="AA118" s="89">
        <f t="shared" si="39"/>
        <v>16.859099999999998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0"/>
        <v>0193-17</v>
      </c>
      <c r="AE118" s="75" t="str">
        <f t="shared" si="41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18" s="75" t="str">
        <f t="shared" si="42"/>
        <v>"C:\Program Files (x86)\AstroGrep\AstroGrep.exe" /spath="C:\Users\stu\Documents\Analysis\2016-02-23 RTDC Observations" /stypes="*4014*20160717*" /stext=" 22:.+((prompt.+disp)|(slice.+state.+chan)|(ment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49" t="s">
        <v>437</v>
      </c>
      <c r="B119" s="7">
        <v>4013</v>
      </c>
      <c r="C119" s="26" t="s">
        <v>59</v>
      </c>
      <c r="D119" s="26" t="s">
        <v>204</v>
      </c>
      <c r="E119" s="16">
        <v>42568.672500000001</v>
      </c>
      <c r="F119" s="16">
        <v>42568.673194444447</v>
      </c>
      <c r="G119" s="7">
        <v>0</v>
      </c>
      <c r="H119" s="16" t="s">
        <v>355</v>
      </c>
      <c r="I119" s="16">
        <v>42568.705439814818</v>
      </c>
      <c r="J119" s="7">
        <v>2</v>
      </c>
      <c r="K119" s="26" t="str">
        <f t="shared" si="30"/>
        <v>4013/4014</v>
      </c>
      <c r="L119" s="26" t="str">
        <f>VLOOKUP(A119,'Trips&amp;Operators'!$C$1:$E$10000,3,FALSE)</f>
        <v>RIVERA</v>
      </c>
      <c r="M119" s="6">
        <f t="shared" si="31"/>
        <v>3.2245370370219462E-2</v>
      </c>
      <c r="N119" s="7">
        <f t="shared" si="29"/>
        <v>46.433333333116025</v>
      </c>
      <c r="O119" s="7"/>
      <c r="P119" s="7"/>
      <c r="Q119" s="27"/>
      <c r="R119" s="27"/>
      <c r="S119" s="45">
        <f t="shared" si="32"/>
        <v>1</v>
      </c>
      <c r="T119" s="69" t="str">
        <f t="shared" si="33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15:08:24-0600',mode:absolute,to:'2016-07-17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9" s="74" t="str">
        <f t="shared" si="35"/>
        <v>N</v>
      </c>
      <c r="X119" s="92">
        <f t="shared" si="36"/>
        <v>1</v>
      </c>
      <c r="Y119" s="89">
        <f t="shared" si="37"/>
        <v>23.298999999999999</v>
      </c>
      <c r="Z119" s="89">
        <f t="shared" si="38"/>
        <v>1.6E-2</v>
      </c>
      <c r="AA119" s="89">
        <f t="shared" si="39"/>
        <v>23.283000000000001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0"/>
        <v>0194-17</v>
      </c>
      <c r="AE119" s="75" t="str">
        <f t="shared" si="41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119" s="75" t="str">
        <f t="shared" si="42"/>
        <v>"C:\Program Files (x86)\AstroGrep\AstroGrep.exe" /spath="C:\Users\stu\Documents\Analysis\2016-02-23 RTDC Observations" /stypes="*4013*20160717*" /stext=" 22:.+((prompt.+disp)|(slice.+state.+chan)|(ment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49" t="s">
        <v>436</v>
      </c>
      <c r="B120" s="7">
        <v>4009</v>
      </c>
      <c r="C120" s="26" t="s">
        <v>59</v>
      </c>
      <c r="D120" s="26" t="s">
        <v>70</v>
      </c>
      <c r="E120" s="16">
        <v>42568.648981481485</v>
      </c>
      <c r="F120" s="16">
        <v>42568.650046296294</v>
      </c>
      <c r="G120" s="7">
        <v>1</v>
      </c>
      <c r="H120" s="16" t="s">
        <v>603</v>
      </c>
      <c r="I120" s="16">
        <v>42568.662916666668</v>
      </c>
      <c r="J120" s="7">
        <v>0</v>
      </c>
      <c r="K120" s="26" t="str">
        <f t="shared" si="30"/>
        <v>4009/4010</v>
      </c>
      <c r="L120" s="26" t="str">
        <f>VLOOKUP(A120,'Trips&amp;Operators'!$C$1:$E$10000,3,FALSE)</f>
        <v>REBOLETTI</v>
      </c>
      <c r="M120" s="6">
        <f t="shared" si="31"/>
        <v>1.287037037400296E-2</v>
      </c>
      <c r="N120" s="7">
        <f t="shared" si="29"/>
        <v>18.533333338564262</v>
      </c>
      <c r="O120" s="7"/>
      <c r="P120" s="7"/>
      <c r="Q120" s="27"/>
      <c r="R120" s="27"/>
      <c r="S120" s="45">
        <f t="shared" si="32"/>
        <v>0.5</v>
      </c>
      <c r="T120" s="69" t="str">
        <f t="shared" si="33"/>
        <v>NorthBound</v>
      </c>
      <c r="U120" s="96">
        <f>COUNTIFS(Variables!$M$2:$M$19,IF(T120="NorthBound","&gt;=","&lt;=")&amp;Y120,Variables!$M$2:$M$19,IF(T120="NorthBound","&lt;=","&gt;=")&amp;Z120)</f>
        <v>6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14:34:32-0600',mode:absolute,to:'2016-07-17 16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0" s="74" t="str">
        <f t="shared" si="35"/>
        <v>Y</v>
      </c>
      <c r="X120" s="92">
        <f t="shared" si="36"/>
        <v>1</v>
      </c>
      <c r="Y120" s="89">
        <f t="shared" si="37"/>
        <v>4.5699999999999998E-2</v>
      </c>
      <c r="Z120" s="89">
        <f t="shared" si="38"/>
        <v>5.6360999999999999</v>
      </c>
      <c r="AA120" s="89">
        <f t="shared" si="39"/>
        <v>5.5903999999999998</v>
      </c>
      <c r="AB120" s="86" t="e">
        <f>VLOOKUP(A120,Enforcements!$C$7:$J$23,8,0)</f>
        <v>#N/A</v>
      </c>
      <c r="AC120" s="82" t="e">
        <f>VLOOKUP(A120,Enforcements!$C$7:$E$23,3,0)</f>
        <v>#N/A</v>
      </c>
      <c r="AD120" s="83" t="str">
        <f t="shared" si="40"/>
        <v>0195-17</v>
      </c>
      <c r="AE120" s="75" t="str">
        <f t="shared" si="41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20" s="75" t="str">
        <f t="shared" si="42"/>
        <v>"C:\Program Files (x86)\AstroGrep\AstroGrep.exe" /spath="C:\Users\stu\Documents\Analysis\2016-02-23 RTDC Observations" /stypes="*4009*20160717*" /stext=" 21:.+((prompt.+disp)|(slice.+state.+chan)|(ment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49" t="s">
        <v>436</v>
      </c>
      <c r="B121" s="7">
        <v>4009</v>
      </c>
      <c r="C121" s="26" t="s">
        <v>59</v>
      </c>
      <c r="D121" s="26" t="s">
        <v>604</v>
      </c>
      <c r="E121" s="16">
        <v>42568.665659722225</v>
      </c>
      <c r="F121" s="16">
        <v>42568.666446759256</v>
      </c>
      <c r="G121" s="7">
        <v>1</v>
      </c>
      <c r="H121" s="16" t="s">
        <v>361</v>
      </c>
      <c r="I121" s="16">
        <v>42568.682187500002</v>
      </c>
      <c r="J121" s="7">
        <v>1</v>
      </c>
      <c r="K121" s="26" t="str">
        <f t="shared" si="30"/>
        <v>4009/4010</v>
      </c>
      <c r="L121" s="26" t="str">
        <f>VLOOKUP(A121,'Trips&amp;Operators'!$C$1:$E$10000,3,FALSE)</f>
        <v>REBOLETTI</v>
      </c>
      <c r="M121" s="6">
        <f t="shared" si="31"/>
        <v>1.5740740745968651E-2</v>
      </c>
      <c r="N121" s="7">
        <f t="shared" si="29"/>
        <v>22.666666674194857</v>
      </c>
      <c r="O121" s="7"/>
      <c r="P121" s="7"/>
      <c r="Q121" s="27"/>
      <c r="R121" s="27"/>
      <c r="S121" s="45">
        <f t="shared" si="32"/>
        <v>0.25</v>
      </c>
      <c r="T121" s="69" t="str">
        <f t="shared" si="33"/>
        <v>NorthBound</v>
      </c>
      <c r="U121" s="96">
        <f>COUNTIFS(Variables!$M$2:$M$19,IF(T121="NorthBound","&gt;=","&lt;=")&amp;Y121,Variables!$M$2:$M$19,IF(T121="NorthBound","&lt;=","&gt;=")&amp;Z121)</f>
        <v>3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14:58:33-0600',mode:absolute,to:'2016-07-17 17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1" s="74" t="str">
        <f t="shared" si="35"/>
        <v>Y</v>
      </c>
      <c r="X121" s="92">
        <f t="shared" si="36"/>
        <v>0</v>
      </c>
      <c r="Y121" s="89">
        <f t="shared" si="37"/>
        <v>6.4706000000000001</v>
      </c>
      <c r="Z121" s="89">
        <f t="shared" si="38"/>
        <v>23.331700000000001</v>
      </c>
      <c r="AA121" s="89">
        <f t="shared" si="39"/>
        <v>16.8611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0"/>
        <v>0195-17</v>
      </c>
      <c r="AE121" s="75" t="str">
        <f t="shared" si="41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21" s="75" t="str">
        <f t="shared" si="42"/>
        <v>"C:\Program Files (x86)\AstroGrep\AstroGrep.exe" /spath="C:\Users\stu\Documents\Analysis\2016-02-23 RTDC Observations" /stypes="*4009*20160717*" /stext=" 22:.+((prompt.+disp)|(slice.+state.+chan)|(ment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49" t="s">
        <v>469</v>
      </c>
      <c r="B122" s="7">
        <v>4010</v>
      </c>
      <c r="C122" s="26" t="s">
        <v>59</v>
      </c>
      <c r="D122" s="26" t="s">
        <v>374</v>
      </c>
      <c r="E122" s="16">
        <v>42568.683425925927</v>
      </c>
      <c r="F122" s="16">
        <v>42568.684120370373</v>
      </c>
      <c r="G122" s="7">
        <v>0</v>
      </c>
      <c r="H122" s="16" t="s">
        <v>60</v>
      </c>
      <c r="I122" s="16">
        <v>42568.71199074074</v>
      </c>
      <c r="J122" s="7">
        <v>0</v>
      </c>
      <c r="K122" s="26" t="str">
        <f t="shared" si="30"/>
        <v>4009/4010</v>
      </c>
      <c r="L122" s="26" t="str">
        <f>VLOOKUP(A122,'Trips&amp;Operators'!$C$1:$E$10000,3,FALSE)</f>
        <v>REBOLETTI</v>
      </c>
      <c r="M122" s="6">
        <f t="shared" si="31"/>
        <v>2.7870370366144925E-2</v>
      </c>
      <c r="N122" s="7">
        <f t="shared" si="29"/>
        <v>40.133333327248693</v>
      </c>
      <c r="O122" s="7"/>
      <c r="P122" s="7"/>
      <c r="Q122" s="27"/>
      <c r="R122" s="27"/>
      <c r="S122" s="45">
        <f t="shared" si="32"/>
        <v>1</v>
      </c>
      <c r="T122" s="69" t="str">
        <f t="shared" si="33"/>
        <v>Southbound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15:24:08-0600',mode:absolute,to:'2016-07-17 18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2" s="74" t="str">
        <f t="shared" si="35"/>
        <v>N</v>
      </c>
      <c r="X122" s="92">
        <f t="shared" si="36"/>
        <v>1</v>
      </c>
      <c r="Y122" s="89">
        <f t="shared" si="37"/>
        <v>23.3</v>
      </c>
      <c r="Z122" s="89">
        <f t="shared" si="38"/>
        <v>1.4500000000000001E-2</v>
      </c>
      <c r="AA122" s="89">
        <f t="shared" si="39"/>
        <v>23.285499999999999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0"/>
        <v>0196-17</v>
      </c>
      <c r="AE122" s="75" t="str">
        <f t="shared" si="41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122" s="75" t="str">
        <f t="shared" si="42"/>
        <v>"C:\Program Files (x86)\AstroGrep\AstroGrep.exe" /spath="C:\Users\stu\Documents\Analysis\2016-02-23 RTDC Observations" /stypes="*4010*20160717*"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49" t="s">
        <v>492</v>
      </c>
      <c r="B123" s="7">
        <v>4016</v>
      </c>
      <c r="C123" s="26" t="s">
        <v>59</v>
      </c>
      <c r="D123" s="26" t="s">
        <v>234</v>
      </c>
      <c r="E123" s="16">
        <v>42568.655046296299</v>
      </c>
      <c r="F123" s="16">
        <v>42568.656585648147</v>
      </c>
      <c r="G123" s="7">
        <v>2</v>
      </c>
      <c r="H123" s="16" t="s">
        <v>605</v>
      </c>
      <c r="I123" s="16">
        <v>42568.68476851852</v>
      </c>
      <c r="J123" s="7">
        <v>0</v>
      </c>
      <c r="K123" s="26" t="str">
        <f t="shared" si="30"/>
        <v>4015/4016</v>
      </c>
      <c r="L123" s="26" t="str">
        <f>VLOOKUP(A123,'Trips&amp;Operators'!$C$1:$E$10000,3,FALSE)</f>
        <v>MAYBERRY</v>
      </c>
      <c r="M123" s="6">
        <f t="shared" si="31"/>
        <v>2.8182870373711921E-2</v>
      </c>
      <c r="N123" s="7">
        <f t="shared" si="29"/>
        <v>40.583333338145167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NorthBound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14:43:16-0600',mode:absolute,to:'2016-07-17 17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3" s="74" t="str">
        <f t="shared" si="35"/>
        <v>N</v>
      </c>
      <c r="X123" s="92">
        <f t="shared" si="36"/>
        <v>1</v>
      </c>
      <c r="Y123" s="89">
        <f t="shared" si="37"/>
        <v>4.8599999999999997E-2</v>
      </c>
      <c r="Z123" s="89">
        <f t="shared" si="38"/>
        <v>23.336400000000001</v>
      </c>
      <c r="AA123" s="89">
        <f t="shared" si="39"/>
        <v>23.287800000000001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0"/>
        <v>0197-17</v>
      </c>
      <c r="AE123" s="75" t="str">
        <f t="shared" si="41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23" s="75" t="str">
        <f t="shared" si="42"/>
        <v>"C:\Program Files (x86)\AstroGrep\AstroGrep.exe" /spath="C:\Users\stu\Documents\Analysis\2016-02-23 RTDC Observations" /stypes="*4016*20160717*" /stext=" 22:.+((prompt.+disp)|(slice.+state.+chan)|(ment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49" t="s">
        <v>438</v>
      </c>
      <c r="B124" s="7">
        <v>4015</v>
      </c>
      <c r="C124" s="26" t="s">
        <v>59</v>
      </c>
      <c r="D124" s="26" t="s">
        <v>368</v>
      </c>
      <c r="E124" s="16">
        <v>42568.694236111114</v>
      </c>
      <c r="F124" s="16">
        <v>42568.695324074077</v>
      </c>
      <c r="G124" s="7">
        <v>1</v>
      </c>
      <c r="H124" s="16" t="s">
        <v>61</v>
      </c>
      <c r="I124" s="16">
        <v>42568.725624999999</v>
      </c>
      <c r="J124" s="7">
        <v>3</v>
      </c>
      <c r="K124" s="26" t="str">
        <f t="shared" si="30"/>
        <v>4015/4016</v>
      </c>
      <c r="L124" s="26" t="str">
        <f>VLOOKUP(A124,'Trips&amp;Operators'!$C$1:$E$10000,3,FALSE)</f>
        <v>MAYBERRY</v>
      </c>
      <c r="M124" s="6">
        <f t="shared" si="31"/>
        <v>3.0300925922347233E-2</v>
      </c>
      <c r="N124" s="7">
        <f t="shared" si="29"/>
        <v>43.633333328180015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Southbound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4" s="74" t="str">
        <f t="shared" si="35"/>
        <v>N</v>
      </c>
      <c r="X124" s="92">
        <f t="shared" si="36"/>
        <v>1</v>
      </c>
      <c r="Y124" s="89">
        <f t="shared" si="37"/>
        <v>23.299199999999999</v>
      </c>
      <c r="Z124" s="89">
        <f t="shared" si="38"/>
        <v>1.52E-2</v>
      </c>
      <c r="AA124" s="89">
        <f t="shared" si="39"/>
        <v>23.283999999999999</v>
      </c>
      <c r="AB124" s="86">
        <f>VLOOKUP(A124,Enforcements!$C$7:$J$23,8,0)</f>
        <v>30562</v>
      </c>
      <c r="AC124" s="82" t="str">
        <f>VLOOKUP(A124,Enforcements!$C$7:$E$23,3,0)</f>
        <v>PERMANENT SPEED RESTRICTION</v>
      </c>
      <c r="AD124" s="83" t="str">
        <f t="shared" si="40"/>
        <v>0198-17</v>
      </c>
      <c r="AE124" s="75" t="str">
        <f t="shared" si="41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24" s="75" t="str">
        <f t="shared" si="42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49" t="s">
        <v>541</v>
      </c>
      <c r="B125" s="7">
        <v>4042</v>
      </c>
      <c r="C125" s="26" t="s">
        <v>59</v>
      </c>
      <c r="D125" s="26" t="s">
        <v>66</v>
      </c>
      <c r="E125" s="16">
        <v>42568.667546296296</v>
      </c>
      <c r="F125" s="16">
        <v>42568.668541666666</v>
      </c>
      <c r="G125" s="7">
        <v>1</v>
      </c>
      <c r="H125" s="16" t="s">
        <v>262</v>
      </c>
      <c r="I125" s="16">
        <v>42568.70040509259</v>
      </c>
      <c r="J125" s="7">
        <v>0</v>
      </c>
      <c r="K125" s="26" t="str">
        <f t="shared" si="30"/>
        <v>4041/4042</v>
      </c>
      <c r="L125" s="26" t="str">
        <f>VLOOKUP(A125,'Trips&amp;Operators'!$C$1:$E$10000,3,FALSE)</f>
        <v>KILLION</v>
      </c>
      <c r="M125" s="6">
        <f t="shared" si="31"/>
        <v>3.1863425923802424E-2</v>
      </c>
      <c r="N125" s="7">
        <f t="shared" si="29"/>
        <v>45.883333330275491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NorthBound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15:01:16-0600',mode:absolute,to:'2016-07-17 17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5" s="74" t="str">
        <f t="shared" si="35"/>
        <v>N</v>
      </c>
      <c r="X125" s="92">
        <f t="shared" si="36"/>
        <v>1</v>
      </c>
      <c r="Y125" s="89">
        <f t="shared" si="37"/>
        <v>4.5999999999999999E-2</v>
      </c>
      <c r="Z125" s="89">
        <f t="shared" si="38"/>
        <v>23.327999999999999</v>
      </c>
      <c r="AA125" s="89">
        <f t="shared" si="39"/>
        <v>23.282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0"/>
        <v>0199-17</v>
      </c>
      <c r="AE125" s="75" t="str">
        <f t="shared" si="41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25" s="75" t="str">
        <f t="shared" si="42"/>
        <v>"C:\Program Files (x86)\AstroGrep\AstroGrep.exe" /spath="C:\Users\stu\Documents\Analysis\2016-02-23 RTDC Observations" /stypes="*4042*20160717*" /stext=" 22:.+((prompt.+disp)|(slice.+state.+chan)|(ment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402</v>
      </c>
      <c r="B126" s="7">
        <v>4041</v>
      </c>
      <c r="C126" s="26" t="s">
        <v>59</v>
      </c>
      <c r="D126" s="26" t="s">
        <v>239</v>
      </c>
      <c r="E126" s="16">
        <v>42568.706574074073</v>
      </c>
      <c r="F126" s="16">
        <v>42568.707557870373</v>
      </c>
      <c r="G126" s="7">
        <v>1</v>
      </c>
      <c r="H126" s="16" t="s">
        <v>184</v>
      </c>
      <c r="I126" s="16">
        <v>42568.738935185182</v>
      </c>
      <c r="J126" s="7">
        <v>0</v>
      </c>
      <c r="K126" s="26" t="str">
        <f t="shared" si="30"/>
        <v>4041/4042</v>
      </c>
      <c r="L126" s="26" t="str">
        <f>VLOOKUP(A126,'Trips&amp;Operators'!$C$1:$E$10000,3,FALSE)</f>
        <v>KILLION</v>
      </c>
      <c r="M126" s="6">
        <f t="shared" si="31"/>
        <v>3.1377314808196388E-2</v>
      </c>
      <c r="N126" s="7">
        <f t="shared" si="29"/>
        <v>45.183333323802799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15:57:28-0600',mode:absolute,to:'2016-07-17 18:44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6" s="74" t="str">
        <f t="shared" si="35"/>
        <v>N</v>
      </c>
      <c r="X126" s="92">
        <f t="shared" si="36"/>
        <v>1</v>
      </c>
      <c r="Y126" s="89">
        <f t="shared" si="37"/>
        <v>23.2971</v>
      </c>
      <c r="Z126" s="89">
        <f t="shared" si="38"/>
        <v>1.4999999999999999E-2</v>
      </c>
      <c r="AA126" s="89">
        <f t="shared" si="39"/>
        <v>23.2821</v>
      </c>
      <c r="AB126" s="86" t="e">
        <f>VLOOKUP(A126,Enforcements!$C$7:$J$23,8,0)</f>
        <v>#N/A</v>
      </c>
      <c r="AC126" s="82" t="e">
        <f>VLOOKUP(A126,Enforcements!$C$7:$E$23,3,0)</f>
        <v>#N/A</v>
      </c>
      <c r="AD126" s="83" t="str">
        <f t="shared" si="40"/>
        <v>0200-17</v>
      </c>
      <c r="AE126" s="75" t="str">
        <f t="shared" si="41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26" s="75" t="str">
        <f t="shared" si="42"/>
        <v>"C:\Program Files (x86)\AstroGrep\AstroGrep.exe" /spath="C:\Users\stu\Documents\Analysis\2016-02-23 RTDC Observations" /stypes="*4041*20160717*" /stext=" 23:.+((prompt.+disp)|(slice.+state.+chan)|(ment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49" t="s">
        <v>539</v>
      </c>
      <c r="B127" s="7">
        <v>4027</v>
      </c>
      <c r="C127" s="26" t="s">
        <v>59</v>
      </c>
      <c r="D127" s="26" t="s">
        <v>181</v>
      </c>
      <c r="E127" s="16">
        <v>42568.675324074073</v>
      </c>
      <c r="F127" s="16">
        <v>42568.67633101852</v>
      </c>
      <c r="G127" s="7">
        <v>1</v>
      </c>
      <c r="H127" s="16" t="s">
        <v>139</v>
      </c>
      <c r="I127" s="16">
        <v>42568.705358796295</v>
      </c>
      <c r="J127" s="7">
        <v>0</v>
      </c>
      <c r="K127" s="26" t="str">
        <f t="shared" si="30"/>
        <v>4027/4028</v>
      </c>
      <c r="L127" s="26" t="str">
        <f>VLOOKUP(A127,'Trips&amp;Operators'!$C$1:$E$10000,3,FALSE)</f>
        <v>STEWART</v>
      </c>
      <c r="M127" s="6">
        <f t="shared" si="31"/>
        <v>2.9027777774899732E-2</v>
      </c>
      <c r="N127" s="7">
        <f t="shared" si="29"/>
        <v>41.799999995855615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15:12:28-0600',mode:absolute,to:'2016-07-17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7" s="74" t="str">
        <f t="shared" si="35"/>
        <v>N</v>
      </c>
      <c r="X127" s="92">
        <f t="shared" si="36"/>
        <v>1</v>
      </c>
      <c r="Y127" s="89">
        <f t="shared" si="37"/>
        <v>4.6899999999999997E-2</v>
      </c>
      <c r="Z127" s="89">
        <f t="shared" si="38"/>
        <v>23.330200000000001</v>
      </c>
      <c r="AA127" s="89">
        <f t="shared" si="39"/>
        <v>23.283300000000001</v>
      </c>
      <c r="AB127" s="86" t="e">
        <f>VLOOKUP(A127,Enforcements!$C$7:$J$23,8,0)</f>
        <v>#N/A</v>
      </c>
      <c r="AC127" s="82" t="e">
        <f>VLOOKUP(A127,Enforcements!$C$7:$E$23,3,0)</f>
        <v>#N/A</v>
      </c>
      <c r="AD127" s="83" t="str">
        <f t="shared" si="40"/>
        <v>0201-17</v>
      </c>
      <c r="AE127" s="75" t="str">
        <f t="shared" si="41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27" s="75" t="str">
        <f t="shared" si="42"/>
        <v>"C:\Program Files (x86)\AstroGrep\AstroGrep.exe" /spath="C:\Users\stu\Documents\Analysis\2016-02-23 RTDC Observations" /stypes="*4027*20160717*" /stext=" 22:.+((prompt.+disp)|(slice.+state.+chan)|(ment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49" t="s">
        <v>491</v>
      </c>
      <c r="B128" s="7">
        <v>4028</v>
      </c>
      <c r="C128" s="26" t="s">
        <v>59</v>
      </c>
      <c r="D128" s="26" t="s">
        <v>576</v>
      </c>
      <c r="E128" s="16">
        <v>42568.711701388886</v>
      </c>
      <c r="F128" s="16">
        <v>42568.712638888886</v>
      </c>
      <c r="G128" s="7">
        <v>1</v>
      </c>
      <c r="H128" s="16" t="s">
        <v>125</v>
      </c>
      <c r="I128" s="16">
        <v>42568.742974537039</v>
      </c>
      <c r="J128" s="7">
        <v>0</v>
      </c>
      <c r="K128" s="26" t="str">
        <f t="shared" si="30"/>
        <v>4027/4028</v>
      </c>
      <c r="L128" s="26" t="str">
        <f>VLOOKUP(A128,'Trips&amp;Operators'!$C$1:$E$10000,3,FALSE)</f>
        <v>STEWART</v>
      </c>
      <c r="M128" s="6">
        <f t="shared" si="31"/>
        <v>3.033564815268619E-2</v>
      </c>
      <c r="N128" s="7">
        <f t="shared" si="29"/>
        <v>43.683333339868113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16:04:51-0600',mode:absolute,to:'2016-07-17 18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8" s="74" t="str">
        <f t="shared" si="35"/>
        <v>N</v>
      </c>
      <c r="X128" s="92">
        <f t="shared" si="36"/>
        <v>1</v>
      </c>
      <c r="Y128" s="89">
        <f t="shared" si="37"/>
        <v>23.297000000000001</v>
      </c>
      <c r="Z128" s="89">
        <f t="shared" si="38"/>
        <v>1.5599999999999999E-2</v>
      </c>
      <c r="AA128" s="89">
        <f t="shared" si="39"/>
        <v>23.281400000000001</v>
      </c>
      <c r="AB128" s="86" t="e">
        <f>VLOOKUP(A128,Enforcements!$C$7:$J$23,8,0)</f>
        <v>#N/A</v>
      </c>
      <c r="AC128" s="82" t="e">
        <f>VLOOKUP(A128,Enforcements!$C$7:$E$23,3,0)</f>
        <v>#N/A</v>
      </c>
      <c r="AD128" s="83" t="str">
        <f t="shared" si="40"/>
        <v>0202-17</v>
      </c>
      <c r="AE128" s="75" t="str">
        <f t="shared" si="41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28" s="75" t="str">
        <f t="shared" si="42"/>
        <v>"C:\Program Files (x86)\AstroGrep\AstroGrep.exe" /spath="C:\Users\stu\Documents\Analysis\2016-02-23 RTDC Observations" /stypes="*4028*20160717*" /stext=" 23:.+((prompt.+disp)|(slice.+state.+chan)|(ment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439</v>
      </c>
      <c r="B129" s="7">
        <v>4007</v>
      </c>
      <c r="C129" s="26" t="s">
        <v>59</v>
      </c>
      <c r="D129" s="26" t="s">
        <v>114</v>
      </c>
      <c r="E129" s="16">
        <v>42568.688067129631</v>
      </c>
      <c r="F129" s="16">
        <v>42568.68891203704</v>
      </c>
      <c r="G129" s="7">
        <v>1</v>
      </c>
      <c r="H129" s="16" t="s">
        <v>197</v>
      </c>
      <c r="I129" s="16">
        <v>42568.719143518516</v>
      </c>
      <c r="J129" s="7">
        <v>1</v>
      </c>
      <c r="K129" s="26" t="str">
        <f t="shared" si="30"/>
        <v>4007/4008</v>
      </c>
      <c r="L129" s="26" t="str">
        <f>VLOOKUP(A129,'Trips&amp;Operators'!$C$1:$E$10000,3,FALSE)</f>
        <v>STORY</v>
      </c>
      <c r="M129" s="6">
        <f t="shared" si="31"/>
        <v>3.0231481476221234E-2</v>
      </c>
      <c r="N129" s="7">
        <f t="shared" si="29"/>
        <v>43.533333325758576</v>
      </c>
      <c r="O129" s="7"/>
      <c r="P129" s="7"/>
      <c r="Q129" s="27"/>
      <c r="R129" s="27"/>
      <c r="S129" s="45">
        <f t="shared" si="32"/>
        <v>1</v>
      </c>
      <c r="T129" s="69" t="str">
        <f t="shared" si="33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15:30:49-0600',mode:absolute,to:'2016-07-17 18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9" s="74" t="str">
        <f t="shared" si="35"/>
        <v>N</v>
      </c>
      <c r="X129" s="92">
        <f t="shared" si="36"/>
        <v>1</v>
      </c>
      <c r="Y129" s="89">
        <f t="shared" si="37"/>
        <v>4.5100000000000001E-2</v>
      </c>
      <c r="Z129" s="89">
        <f t="shared" si="38"/>
        <v>23.331399999999999</v>
      </c>
      <c r="AA129" s="89">
        <f t="shared" si="39"/>
        <v>23.286299999999997</v>
      </c>
      <c r="AB129" s="86">
        <f>VLOOKUP(A129,Enforcements!$C$7:$J$23,8,0)</f>
        <v>232080</v>
      </c>
      <c r="AC129" s="82" t="str">
        <f>VLOOKUP(A129,Enforcements!$C$7:$E$23,3,0)</f>
        <v>PERMANENT SPEED RESTRICTION</v>
      </c>
      <c r="AD129" s="83" t="str">
        <f t="shared" si="40"/>
        <v>0203-17</v>
      </c>
      <c r="AE129" s="75" t="str">
        <f t="shared" si="41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29" s="75" t="str">
        <f t="shared" si="42"/>
        <v>"C:\Program Files (x86)\AstroGrep\AstroGrep.exe" /spath="C:\Users\stu\Documents\Analysis\2016-02-23 RTDC Observations" /stypes="*4007*20160717*" /stext=" 23:.+((prompt.+disp)|(slice.+state.+chan)|(ment ac)|(system.+state.+chan)|(\|lc)|(penalty)|(\[timeout))" /e /r /s</v>
      </c>
      <c r="AG129" s="1" t="str">
        <f t="shared" si="43"/>
        <v>EC</v>
      </c>
    </row>
    <row r="130" spans="1:33" s="25" customFormat="1" x14ac:dyDescent="0.25">
      <c r="A130" s="49" t="s">
        <v>443</v>
      </c>
      <c r="B130" s="7">
        <v>4008</v>
      </c>
      <c r="C130" s="26" t="s">
        <v>59</v>
      </c>
      <c r="D130" s="26" t="s">
        <v>193</v>
      </c>
      <c r="E130" s="16">
        <v>42568.725370370368</v>
      </c>
      <c r="F130" s="16">
        <v>42568.726400462961</v>
      </c>
      <c r="G130" s="7">
        <v>1</v>
      </c>
      <c r="H130" s="16" t="s">
        <v>606</v>
      </c>
      <c r="I130" s="16">
        <v>42568.75577546296</v>
      </c>
      <c r="J130" s="7">
        <v>2</v>
      </c>
      <c r="K130" s="26" t="str">
        <f t="shared" si="30"/>
        <v>4007/4008</v>
      </c>
      <c r="L130" s="26" t="str">
        <f>VLOOKUP(A130,'Trips&amp;Operators'!$C$1:$E$10000,3,FALSE)</f>
        <v>STORY</v>
      </c>
      <c r="M130" s="6">
        <f t="shared" si="31"/>
        <v>2.937499999825377E-2</v>
      </c>
      <c r="N130" s="7">
        <f t="shared" si="29"/>
        <v>42.299999997485429</v>
      </c>
      <c r="O130" s="7"/>
      <c r="P130" s="7"/>
      <c r="Q130" s="27"/>
      <c r="R130" s="27"/>
      <c r="S130" s="45">
        <f t="shared" si="32"/>
        <v>1</v>
      </c>
      <c r="T130" s="69" t="str">
        <f t="shared" si="33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0" s="74" t="str">
        <f t="shared" si="35"/>
        <v>N</v>
      </c>
      <c r="X130" s="92">
        <f t="shared" si="36"/>
        <v>1</v>
      </c>
      <c r="Y130" s="89">
        <f t="shared" si="37"/>
        <v>23.297999999999998</v>
      </c>
      <c r="Z130" s="89">
        <f t="shared" si="38"/>
        <v>9.4999999999999998E-3</v>
      </c>
      <c r="AA130" s="89">
        <f t="shared" si="39"/>
        <v>23.288499999999999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0"/>
        <v>0204-17</v>
      </c>
      <c r="AE130" s="75" t="str">
        <f t="shared" si="41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130" s="75" t="str">
        <f t="shared" si="42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440</v>
      </c>
      <c r="B131" s="7">
        <v>4031</v>
      </c>
      <c r="C131" s="26" t="s">
        <v>59</v>
      </c>
      <c r="D131" s="26" t="s">
        <v>208</v>
      </c>
      <c r="E131" s="16">
        <v>42568.69462962963</v>
      </c>
      <c r="F131" s="16">
        <v>42568.695752314816</v>
      </c>
      <c r="G131" s="7">
        <v>1</v>
      </c>
      <c r="H131" s="16" t="s">
        <v>607</v>
      </c>
      <c r="I131" s="16">
        <v>42568.709131944444</v>
      </c>
      <c r="J131" s="7">
        <v>0</v>
      </c>
      <c r="K131" s="26" t="str">
        <f t="shared" si="30"/>
        <v>4031/4032</v>
      </c>
      <c r="L131" s="26" t="str">
        <f>VLOOKUP(A131,'Trips&amp;Operators'!$C$1:$E$10000,3,FALSE)</f>
        <v>BRUDER</v>
      </c>
      <c r="M131" s="6">
        <f t="shared" si="31"/>
        <v>1.3379629628616385E-2</v>
      </c>
      <c r="N131" s="7">
        <f t="shared" si="29"/>
        <v>19.266666665207595</v>
      </c>
      <c r="O131" s="7"/>
      <c r="P131" s="7"/>
      <c r="Q131" s="27"/>
      <c r="R131" s="27"/>
      <c r="S131" s="45">
        <f t="shared" si="32"/>
        <v>0.5</v>
      </c>
      <c r="T131" s="69" t="str">
        <f t="shared" si="33"/>
        <v>NorthBound</v>
      </c>
      <c r="U131" s="96">
        <f>COUNTIFS(Variables!$M$2:$M$19,IF(T131="NorthBound","&gt;=","&lt;=")&amp;Y131,Variables!$M$2:$M$19,IF(T131="NorthBound","&lt;=","&gt;=")&amp;Z131)</f>
        <v>6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15:40:16-0600',mode:absolute,to:'2016-07-17 18:01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1" s="74" t="str">
        <f t="shared" si="35"/>
        <v>Y</v>
      </c>
      <c r="X131" s="92">
        <f t="shared" si="36"/>
        <v>1</v>
      </c>
      <c r="Y131" s="89">
        <f t="shared" si="37"/>
        <v>4.4400000000000002E-2</v>
      </c>
      <c r="Z131" s="89">
        <f t="shared" si="38"/>
        <v>5.6664000000000003</v>
      </c>
      <c r="AA131" s="89">
        <f t="shared" si="39"/>
        <v>5.6219999999999999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0"/>
        <v>0205-17</v>
      </c>
      <c r="AE131" s="75" t="str">
        <f t="shared" si="41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31" s="75" t="str">
        <f t="shared" si="42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x14ac:dyDescent="0.25">
      <c r="A132" s="49" t="s">
        <v>440</v>
      </c>
      <c r="B132" s="7">
        <v>4031</v>
      </c>
      <c r="C132" s="26" t="s">
        <v>59</v>
      </c>
      <c r="D132" s="26" t="s">
        <v>608</v>
      </c>
      <c r="E132" s="16">
        <v>42568.713877314818</v>
      </c>
      <c r="F132" s="16">
        <v>42568.714629629627</v>
      </c>
      <c r="G132" s="7">
        <v>1</v>
      </c>
      <c r="H132" s="16" t="s">
        <v>230</v>
      </c>
      <c r="I132" s="16">
        <v>42568.731076388889</v>
      </c>
      <c r="J132" s="7">
        <v>1</v>
      </c>
      <c r="K132" s="26" t="str">
        <f t="shared" si="30"/>
        <v>4031/4032</v>
      </c>
      <c r="L132" s="26" t="str">
        <f>VLOOKUP(A132,'Trips&amp;Operators'!$C$1:$E$10000,3,FALSE)</f>
        <v>BRUDER</v>
      </c>
      <c r="M132" s="6">
        <f t="shared" si="31"/>
        <v>1.6446759262180422E-2</v>
      </c>
      <c r="N132" s="7">
        <f t="shared" si="29"/>
        <v>23.683333337539807</v>
      </c>
      <c r="O132" s="7"/>
      <c r="P132" s="7"/>
      <c r="Q132" s="27"/>
      <c r="R132" s="27"/>
      <c r="S132" s="45">
        <f t="shared" si="32"/>
        <v>0.25</v>
      </c>
      <c r="T132" s="69" t="str">
        <f t="shared" si="33"/>
        <v>NorthBound</v>
      </c>
      <c r="U132" s="96">
        <f>COUNTIFS(Variables!$M$2:$M$19,IF(T132="NorthBound","&gt;=","&lt;=")&amp;Y132,Variables!$M$2:$M$19,IF(T132="NorthBound","&lt;=","&gt;=")&amp;Z132)</f>
        <v>3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16:07:59-0600',mode:absolute,to:'2016-07-17 18:32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2" s="74" t="str">
        <f t="shared" si="35"/>
        <v>Y</v>
      </c>
      <c r="X132" s="92">
        <f t="shared" si="36"/>
        <v>0</v>
      </c>
      <c r="Y132" s="89">
        <f t="shared" si="37"/>
        <v>6.4698000000000002</v>
      </c>
      <c r="Z132" s="89">
        <f t="shared" si="38"/>
        <v>23.329799999999999</v>
      </c>
      <c r="AA132" s="89">
        <f t="shared" si="39"/>
        <v>16.86</v>
      </c>
      <c r="AB132" s="86" t="e">
        <f>VLOOKUP(A132,Enforcements!$C$7:$J$23,8,0)</f>
        <v>#N/A</v>
      </c>
      <c r="AC132" s="82" t="e">
        <f>VLOOKUP(A132,Enforcements!$C$7:$E$23,3,0)</f>
        <v>#N/A</v>
      </c>
      <c r="AD132" s="83" t="str">
        <f t="shared" si="40"/>
        <v>0205-17</v>
      </c>
      <c r="AE132" s="75" t="str">
        <f t="shared" si="41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32" s="75" t="str">
        <f t="shared" si="42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x14ac:dyDescent="0.25">
      <c r="A133" s="49" t="s">
        <v>442</v>
      </c>
      <c r="B133" s="7">
        <v>4032</v>
      </c>
      <c r="C133" s="26" t="s">
        <v>59</v>
      </c>
      <c r="D133" s="26" t="s">
        <v>186</v>
      </c>
      <c r="E133" s="16">
        <v>42568.734363425923</v>
      </c>
      <c r="F133" s="16">
        <v>42568.735405092593</v>
      </c>
      <c r="G133" s="7">
        <v>1</v>
      </c>
      <c r="H133" s="16" t="s">
        <v>355</v>
      </c>
      <c r="I133" s="16">
        <v>42568.762361111112</v>
      </c>
      <c r="J133" s="7">
        <v>1</v>
      </c>
      <c r="K133" s="26" t="str">
        <f t="shared" si="30"/>
        <v>4031/4032</v>
      </c>
      <c r="L133" s="26" t="str">
        <f>VLOOKUP(A133,'Trips&amp;Operators'!$C$1:$E$10000,3,FALSE)</f>
        <v>BRUDER</v>
      </c>
      <c r="M133" s="6">
        <f t="shared" si="31"/>
        <v>2.6956018518831115E-2</v>
      </c>
      <c r="N133" s="7">
        <f t="shared" si="29"/>
        <v>38.816666667116806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16:37:29-0600',mode:absolute,to:'2016-07-17 19:17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3" s="74" t="str">
        <f t="shared" si="35"/>
        <v>N</v>
      </c>
      <c r="X133" s="92">
        <f t="shared" si="36"/>
        <v>1</v>
      </c>
      <c r="Y133" s="89">
        <f t="shared" si="37"/>
        <v>23.2987</v>
      </c>
      <c r="Z133" s="89">
        <f t="shared" si="38"/>
        <v>1.6E-2</v>
      </c>
      <c r="AA133" s="89">
        <f t="shared" si="39"/>
        <v>23.282700000000002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0"/>
        <v>0206-17</v>
      </c>
      <c r="AE133" s="75" t="str">
        <f t="shared" si="41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33" s="75" t="str">
        <f t="shared" si="42"/>
        <v>"C:\Program Files (x86)\AstroGrep\AstroGrep.exe" /spath="C:\Users\stu\Documents\Analysis\2016-02-23 RTDC Observations" /stypes="*4032*20160718*" /stext=" 00:.+((prompt.+disp)|(slice.+state.+chan)|(ment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x14ac:dyDescent="0.25">
      <c r="A134" s="49" t="s">
        <v>441</v>
      </c>
      <c r="B134" s="7">
        <v>4014</v>
      </c>
      <c r="C134" s="26" t="s">
        <v>59</v>
      </c>
      <c r="D134" s="26" t="s">
        <v>268</v>
      </c>
      <c r="E134" s="16">
        <v>42568.708796296298</v>
      </c>
      <c r="F134" s="16">
        <v>42568.709756944445</v>
      </c>
      <c r="G134" s="7">
        <v>1</v>
      </c>
      <c r="H134" s="16" t="s">
        <v>362</v>
      </c>
      <c r="I134" s="16">
        <v>42568.736030092594</v>
      </c>
      <c r="J134" s="7">
        <v>1</v>
      </c>
      <c r="K134" s="26" t="str">
        <f t="shared" si="30"/>
        <v>4013/4014</v>
      </c>
      <c r="L134" s="26" t="str">
        <f>VLOOKUP(A134,'Trips&amp;Operators'!$C$1:$E$10000,3,FALSE)</f>
        <v>RIVERA</v>
      </c>
      <c r="M134" s="6">
        <f t="shared" si="31"/>
        <v>2.6273148148902692E-2</v>
      </c>
      <c r="N134" s="7">
        <f t="shared" si="29"/>
        <v>37.833333334419876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16:00:40-0600',mode:absolute,to:'2016-07-17 18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74" t="str">
        <f t="shared" si="35"/>
        <v>N</v>
      </c>
      <c r="X134" s="92">
        <f t="shared" si="36"/>
        <v>1</v>
      </c>
      <c r="Y134" s="89">
        <f t="shared" si="37"/>
        <v>4.4900000000000002E-2</v>
      </c>
      <c r="Z134" s="89">
        <f t="shared" si="38"/>
        <v>23.3309</v>
      </c>
      <c r="AA134" s="89">
        <f t="shared" si="39"/>
        <v>23.286000000000001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0"/>
        <v>0207-17</v>
      </c>
      <c r="AE134" s="75" t="str">
        <f t="shared" si="41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34" s="75" t="str">
        <f t="shared" si="42"/>
        <v>"C:\Program Files (x86)\AstroGrep\AstroGrep.exe" /spath="C:\Users\stu\Documents\Analysis\2016-02-23 RTDC Observations" /stypes="*4014*20160717*" /stext=" 23:.+((prompt.+disp)|(slice.+state.+chan)|(ment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x14ac:dyDescent="0.25">
      <c r="A135" s="49" t="s">
        <v>445</v>
      </c>
      <c r="B135" s="7">
        <v>4013</v>
      </c>
      <c r="C135" s="26" t="s">
        <v>59</v>
      </c>
      <c r="D135" s="26" t="s">
        <v>368</v>
      </c>
      <c r="E135" s="16">
        <v>42568.741909722223</v>
      </c>
      <c r="F135" s="16">
        <v>42568.743333333332</v>
      </c>
      <c r="G135" s="7">
        <v>2</v>
      </c>
      <c r="H135" s="16" t="s">
        <v>609</v>
      </c>
      <c r="I135" s="16">
        <v>42568.77412037037</v>
      </c>
      <c r="J135" s="7">
        <v>2</v>
      </c>
      <c r="K135" s="26" t="str">
        <f t="shared" si="30"/>
        <v>4013/4014</v>
      </c>
      <c r="L135" s="26" t="str">
        <f>VLOOKUP(A135,'Trips&amp;Operators'!$C$1:$E$10000,3,FALSE)</f>
        <v>RIVERA</v>
      </c>
      <c r="M135" s="6">
        <f t="shared" si="31"/>
        <v>3.0787037037953269E-2</v>
      </c>
      <c r="N135" s="7">
        <f t="shared" si="29"/>
        <v>44.333333334652707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74" t="str">
        <f t="shared" si="35"/>
        <v>N</v>
      </c>
      <c r="X135" s="92">
        <f t="shared" si="36"/>
        <v>1</v>
      </c>
      <c r="Y135" s="89">
        <f t="shared" si="37"/>
        <v>23.299199999999999</v>
      </c>
      <c r="Z135" s="89">
        <f t="shared" si="38"/>
        <v>1.2699999999999999E-2</v>
      </c>
      <c r="AA135" s="89">
        <f t="shared" si="39"/>
        <v>23.2865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0"/>
        <v>0208-17</v>
      </c>
      <c r="AE135" s="75" t="str">
        <f t="shared" si="41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135" s="75" t="str">
        <f t="shared" si="42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x14ac:dyDescent="0.25">
      <c r="A136" s="49" t="s">
        <v>472</v>
      </c>
      <c r="B136" s="7">
        <v>4009</v>
      </c>
      <c r="C136" s="26" t="s">
        <v>59</v>
      </c>
      <c r="D136" s="26" t="s">
        <v>369</v>
      </c>
      <c r="E136" s="16">
        <v>42568.715092592596</v>
      </c>
      <c r="F136" s="16">
        <v>42568.715925925928</v>
      </c>
      <c r="G136" s="7">
        <v>1</v>
      </c>
      <c r="H136" s="16" t="s">
        <v>361</v>
      </c>
      <c r="I136" s="16">
        <v>42568.744016203702</v>
      </c>
      <c r="J136" s="7">
        <v>0</v>
      </c>
      <c r="K136" s="26" t="str">
        <f t="shared" si="30"/>
        <v>4009/4010</v>
      </c>
      <c r="L136" s="26" t="str">
        <f>VLOOKUP(A136,'Trips&amp;Operators'!$C$1:$E$10000,3,FALSE)</f>
        <v>LEVERE</v>
      </c>
      <c r="M136" s="6">
        <f t="shared" si="31"/>
        <v>2.8090277774026617E-2</v>
      </c>
      <c r="N136" s="7">
        <f t="shared" si="29"/>
        <v>40.449999994598329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16:09:44-0600',mode:absolute,to:'2016-07-17 18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6" s="74" t="str">
        <f t="shared" si="35"/>
        <v>N</v>
      </c>
      <c r="X136" s="92">
        <f t="shared" si="36"/>
        <v>1</v>
      </c>
      <c r="Y136" s="89">
        <f t="shared" si="37"/>
        <v>4.7100000000000003E-2</v>
      </c>
      <c r="Z136" s="89">
        <f t="shared" si="38"/>
        <v>23.331700000000001</v>
      </c>
      <c r="AA136" s="89">
        <f t="shared" si="39"/>
        <v>23.284600000000001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0"/>
        <v>0209-17</v>
      </c>
      <c r="AE136" s="75" t="str">
        <f t="shared" si="41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36" s="75" t="str">
        <f t="shared" si="42"/>
        <v>"C:\Program Files (x86)\AstroGrep\AstroGrep.exe" /spath="C:\Users\stu\Documents\Analysis\2016-02-23 RTDC Observations" /stypes="*4009*20160717*" /stext=" 23:.+((prompt.+disp)|(slice.+state.+chan)|(ment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x14ac:dyDescent="0.25">
      <c r="A137" s="49" t="s">
        <v>487</v>
      </c>
      <c r="B137" s="7">
        <v>4010</v>
      </c>
      <c r="C137" s="26" t="s">
        <v>59</v>
      </c>
      <c r="D137" s="26" t="s">
        <v>256</v>
      </c>
      <c r="E137" s="16">
        <v>42568.750057870369</v>
      </c>
      <c r="F137" s="16">
        <v>42568.751296296294</v>
      </c>
      <c r="G137" s="7">
        <v>1</v>
      </c>
      <c r="H137" s="16" t="s">
        <v>610</v>
      </c>
      <c r="I137" s="16">
        <v>42568.765300925923</v>
      </c>
      <c r="J137" s="7">
        <v>0</v>
      </c>
      <c r="K137" s="26" t="str">
        <f t="shared" si="30"/>
        <v>4009/4010</v>
      </c>
      <c r="L137" s="26" t="str">
        <f>VLOOKUP(A137,'Trips&amp;Operators'!$C$1:$E$10000,3,FALSE)</f>
        <v>LEVERE</v>
      </c>
      <c r="M137" s="6">
        <f t="shared" si="31"/>
        <v>1.4004629629198462E-2</v>
      </c>
      <c r="N137" s="7">
        <f t="shared" si="29"/>
        <v>20.166666666045785</v>
      </c>
      <c r="O137" s="7"/>
      <c r="P137" s="7"/>
      <c r="Q137" s="27"/>
      <c r="R137" s="27"/>
      <c r="S137" s="45">
        <f t="shared" si="32"/>
        <v>0</v>
      </c>
      <c r="T137" s="69" t="str">
        <f t="shared" si="33"/>
        <v>Southbound</v>
      </c>
      <c r="U137" s="96">
        <f>COUNTIFS(Variables!$M$2:$M$19,IF(T137="NorthBound","&gt;=","&lt;=")&amp;Y137,Variables!$M$2:$M$19,IF(T137="NorthBound","&lt;=","&gt;=")&amp;Z137)</f>
        <v>0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17:00:05-0600',mode:absolute,to:'2016-07-17 19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7" s="74" t="str">
        <f t="shared" si="35"/>
        <v>Y</v>
      </c>
      <c r="X137" s="92">
        <f t="shared" si="36"/>
        <v>1</v>
      </c>
      <c r="Y137" s="89">
        <f t="shared" si="37"/>
        <v>23.299099999999999</v>
      </c>
      <c r="Z137" s="89">
        <f t="shared" si="38"/>
        <v>19.555900000000001</v>
      </c>
      <c r="AA137" s="89">
        <f t="shared" si="39"/>
        <v>3.7431999999999981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0"/>
        <v>0210-17</v>
      </c>
      <c r="AE137" s="75" t="str">
        <f t="shared" si="41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137" s="75" t="str">
        <f t="shared" si="42"/>
        <v>"C:\Program Files (x86)\AstroGrep\AstroGrep.exe" /spath="C:\Users\stu\Documents\Analysis\2016-02-23 RTDC Observations" /stypes="*4010*20160718*" /stext=" 00:.+((prompt.+disp)|(slice.+state.+chan)|(ment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x14ac:dyDescent="0.25">
      <c r="A138" s="49" t="s">
        <v>475</v>
      </c>
      <c r="B138" s="7">
        <v>4016</v>
      </c>
      <c r="C138" s="26" t="s">
        <v>59</v>
      </c>
      <c r="D138" s="26" t="s">
        <v>205</v>
      </c>
      <c r="E138" s="16">
        <v>42568.727893518517</v>
      </c>
      <c r="F138" s="16">
        <v>42568.729027777779</v>
      </c>
      <c r="G138" s="7">
        <v>1</v>
      </c>
      <c r="H138" s="16" t="s">
        <v>70</v>
      </c>
      <c r="I138" s="16">
        <v>42568.806006944447</v>
      </c>
      <c r="J138" s="7">
        <v>0</v>
      </c>
      <c r="K138" s="26" t="str">
        <f t="shared" si="30"/>
        <v>4015/4016</v>
      </c>
      <c r="L138" s="26" t="str">
        <f>VLOOKUP(A138,'Trips&amp;Operators'!$C$1:$E$10000,3,FALSE)</f>
        <v>REBOLETTI</v>
      </c>
      <c r="M138" s="6">
        <f t="shared" si="31"/>
        <v>7.6979166668024845E-2</v>
      </c>
      <c r="N138" s="7">
        <f t="shared" si="29"/>
        <v>110.85000000195578</v>
      </c>
      <c r="O138" s="7"/>
      <c r="P138" s="7"/>
      <c r="Q138" s="27"/>
      <c r="R138" s="27"/>
      <c r="S138" s="45">
        <f t="shared" si="32"/>
        <v>0</v>
      </c>
      <c r="T138" s="69" t="str">
        <f t="shared" si="33"/>
        <v>NorthBound</v>
      </c>
      <c r="U138" s="96">
        <f>COUNTIFS(Variables!$M$2:$M$19,IF(T138="NorthBound","&gt;=","&lt;=")&amp;Y138,Variables!$M$2:$M$19,IF(T138="NorthBound","&lt;=","&gt;=")&amp;Z138)</f>
        <v>0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16:28:10-0600',mode:absolute,to:'2016-07-17 20:20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4" t="str">
        <f t="shared" si="35"/>
        <v>Y</v>
      </c>
      <c r="X138" s="92">
        <f t="shared" si="36"/>
        <v>1</v>
      </c>
      <c r="Y138" s="89">
        <f t="shared" si="37"/>
        <v>4.4699999999999997E-2</v>
      </c>
      <c r="Z138" s="89">
        <f t="shared" si="38"/>
        <v>4.5699999999999998E-2</v>
      </c>
      <c r="AA138" s="89">
        <f t="shared" si="39"/>
        <v>1.0000000000000009E-3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0"/>
        <v>0211-17</v>
      </c>
      <c r="AE138" s="75" t="str">
        <f t="shared" si="41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38" s="75" t="str">
        <f t="shared" si="42"/>
        <v>"C:\Program Files (x86)\AstroGrep\AstroGrep.exe" /spath="C:\Users\stu\Documents\Analysis\2016-02-23 RTDC Observations" /stypes="*4016*20160718*" /stext=" 01:.+((prompt.+disp)|(slice.+state.+chan)|(ment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x14ac:dyDescent="0.25">
      <c r="A139" s="49" t="s">
        <v>478</v>
      </c>
      <c r="B139" s="7">
        <v>4015</v>
      </c>
      <c r="C139" s="26" t="s">
        <v>59</v>
      </c>
      <c r="D139" s="26" t="s">
        <v>258</v>
      </c>
      <c r="E139" s="16">
        <v>42568.764594907407</v>
      </c>
      <c r="F139" s="16">
        <v>42568.765787037039</v>
      </c>
      <c r="G139" s="7">
        <v>1</v>
      </c>
      <c r="H139" s="16" t="s">
        <v>190</v>
      </c>
      <c r="I139" s="16">
        <v>42568.801921296297</v>
      </c>
      <c r="J139" s="7">
        <v>0</v>
      </c>
      <c r="K139" s="26" t="str">
        <f t="shared" si="30"/>
        <v>4015/4016</v>
      </c>
      <c r="L139" s="26" t="str">
        <f>VLOOKUP(A139,'Trips&amp;Operators'!$C$1:$E$10000,3,FALSE)</f>
        <v>REBOLETTI</v>
      </c>
      <c r="M139" s="6">
        <f t="shared" si="31"/>
        <v>3.6134259258687962E-2</v>
      </c>
      <c r="N139" s="7">
        <f t="shared" si="29"/>
        <v>52.033333332510665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17:21:01-0600',mode:absolute,to:'2016-07-17 20:14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4" t="str">
        <f t="shared" si="35"/>
        <v>N</v>
      </c>
      <c r="X139" s="92">
        <f t="shared" si="36"/>
        <v>1</v>
      </c>
      <c r="Y139" s="89">
        <f t="shared" si="37"/>
        <v>23.297799999999999</v>
      </c>
      <c r="Z139" s="89">
        <f t="shared" si="38"/>
        <v>1.3899999999999999E-2</v>
      </c>
      <c r="AA139" s="89">
        <f t="shared" si="39"/>
        <v>23.283899999999999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0"/>
        <v>0212-17</v>
      </c>
      <c r="AE139" s="75" t="str">
        <f t="shared" si="41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39" s="75" t="str">
        <f t="shared" si="42"/>
        <v>"C:\Program Files (x86)\AstroGrep\AstroGrep.exe" /spath="C:\Users\stu\Documents\Analysis\2016-02-23 RTDC Observations" /stypes="*4015*20160718*" /stext=" 01:.+((prompt.+disp)|(slice.+state.+chan)|(ment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x14ac:dyDescent="0.25">
      <c r="A140" s="49" t="s">
        <v>401</v>
      </c>
      <c r="B140" s="7">
        <v>4042</v>
      </c>
      <c r="C140" s="26" t="s">
        <v>59</v>
      </c>
      <c r="D140" s="26" t="s">
        <v>192</v>
      </c>
      <c r="E140" s="16">
        <v>42568.740381944444</v>
      </c>
      <c r="F140" s="16">
        <v>42568.742013888892</v>
      </c>
      <c r="G140" s="7">
        <v>2</v>
      </c>
      <c r="H140" s="16" t="s">
        <v>222</v>
      </c>
      <c r="I140" s="16">
        <v>42568.767638888887</v>
      </c>
      <c r="J140" s="7">
        <v>1</v>
      </c>
      <c r="K140" s="26" t="str">
        <f t="shared" si="30"/>
        <v>4041/4042</v>
      </c>
      <c r="L140" s="26" t="str">
        <f>VLOOKUP(A140,'Trips&amp;Operators'!$C$1:$E$10000,3,FALSE)</f>
        <v>COOLAHAN</v>
      </c>
      <c r="M140" s="6">
        <f t="shared" si="31"/>
        <v>2.5624999994761311E-2</v>
      </c>
      <c r="N140" s="7">
        <f t="shared" si="29"/>
        <v>36.899999992456287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16:46:09-0600',mode:absolute,to:'2016-07-17 19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0" s="74" t="str">
        <f t="shared" si="35"/>
        <v>N</v>
      </c>
      <c r="X140" s="92">
        <f t="shared" si="36"/>
        <v>1</v>
      </c>
      <c r="Y140" s="89">
        <f t="shared" si="37"/>
        <v>4.6199999999999998E-2</v>
      </c>
      <c r="Z140" s="89">
        <f t="shared" si="38"/>
        <v>23.330400000000001</v>
      </c>
      <c r="AA140" s="89">
        <f t="shared" si="39"/>
        <v>23.284200000000002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si="40"/>
        <v>0213-17</v>
      </c>
      <c r="AE140" s="75" t="str">
        <f t="shared" si="41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40" s="75" t="str">
        <f t="shared" si="42"/>
        <v>"C:\Program Files (x86)\AstroGrep\AstroGrep.exe" /spath="C:\Users\stu\Documents\Analysis\2016-02-23 RTDC Observations" /stypes="*4042*20160718*" /stext=" 00:.+((prompt.+disp)|(slice.+state.+chan)|(ment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x14ac:dyDescent="0.25">
      <c r="A141" s="49" t="s">
        <v>448</v>
      </c>
      <c r="B141" s="7">
        <v>4041</v>
      </c>
      <c r="C141" s="26" t="s">
        <v>59</v>
      </c>
      <c r="D141" s="26" t="s">
        <v>221</v>
      </c>
      <c r="E141" s="16">
        <v>42568.774282407408</v>
      </c>
      <c r="F141" s="16">
        <v>42568.775648148148</v>
      </c>
      <c r="G141" s="7">
        <v>1</v>
      </c>
      <c r="H141" s="16" t="s">
        <v>611</v>
      </c>
      <c r="I141" s="16">
        <v>42568.806863425925</v>
      </c>
      <c r="J141" s="7">
        <v>1</v>
      </c>
      <c r="K141" s="26" t="str">
        <f t="shared" si="30"/>
        <v>4041/4042</v>
      </c>
      <c r="L141" s="26" t="str">
        <f>VLOOKUP(A141,'Trips&amp;Operators'!$C$1:$E$10000,3,FALSE)</f>
        <v>COOLAHAN</v>
      </c>
      <c r="M141" s="6">
        <f t="shared" si="31"/>
        <v>3.1215277776937E-2</v>
      </c>
      <c r="N141" s="7">
        <f t="shared" ref="N141:N178" si="44">24*60*SUM($M141:$M141)</f>
        <v>44.949999998789281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17:34:58-0600',mode:absolute,to:'2016-07-17 20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1" s="74" t="str">
        <f t="shared" si="35"/>
        <v>N</v>
      </c>
      <c r="X141" s="92">
        <f t="shared" si="36"/>
        <v>1</v>
      </c>
      <c r="Y141" s="89">
        <f t="shared" si="37"/>
        <v>23.2989</v>
      </c>
      <c r="Z141" s="89">
        <f t="shared" si="38"/>
        <v>2.1999999999999999E-2</v>
      </c>
      <c r="AA141" s="89">
        <f t="shared" si="39"/>
        <v>23.276900000000001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40"/>
        <v>0214-17</v>
      </c>
      <c r="AE141" s="75" t="str">
        <f t="shared" si="41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41" s="75" t="str">
        <f t="shared" si="42"/>
        <v>"C:\Program Files (x86)\AstroGrep\AstroGrep.exe" /spath="C:\Users\stu\Documents\Analysis\2016-02-23 RTDC Observations" /stypes="*4041*20160718*" /stext=" 01:.+((prompt.+disp)|(slice.+state.+chan)|(ment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x14ac:dyDescent="0.25">
      <c r="A142" s="49" t="s">
        <v>446</v>
      </c>
      <c r="B142" s="7">
        <v>4027</v>
      </c>
      <c r="C142" s="26" t="s">
        <v>59</v>
      </c>
      <c r="D142" s="26" t="s">
        <v>194</v>
      </c>
      <c r="E142" s="16">
        <v>42568.745023148149</v>
      </c>
      <c r="F142" s="16">
        <v>42568.747233796297</v>
      </c>
      <c r="G142" s="7">
        <v>3</v>
      </c>
      <c r="H142" s="16" t="s">
        <v>250</v>
      </c>
      <c r="I142" s="16">
        <v>42568.782094907408</v>
      </c>
      <c r="J142" s="7">
        <v>1</v>
      </c>
      <c r="K142" s="26" t="str">
        <f t="shared" si="30"/>
        <v>4027/4028</v>
      </c>
      <c r="L142" s="26" t="str">
        <f>VLOOKUP(A142,'Trips&amp;Operators'!$C$1:$E$10000,3,FALSE)</f>
        <v>KILLION</v>
      </c>
      <c r="M142" s="6">
        <f t="shared" si="31"/>
        <v>3.4861111111240461E-2</v>
      </c>
      <c r="N142" s="7">
        <f t="shared" si="44"/>
        <v>50.200000000186265</v>
      </c>
      <c r="O142" s="7"/>
      <c r="P142" s="7"/>
      <c r="Q142" s="27"/>
      <c r="R142" s="27"/>
      <c r="S142" s="45">
        <f t="shared" si="32"/>
        <v>1</v>
      </c>
      <c r="T142" s="69" t="str">
        <f t="shared" si="33"/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https://search-rtdc-monitor-bjffxe2xuh6vdkpspy63sjmuny.us-east-1.es.amazonaws.com/_plugin/kibana/#/discover/Steve-Slow-Train-Analysis-(2080s-and-2083s)?_g=(refreshInterval:(display:Off,section:0,value:0),time:(from:'2016-07-17 16:52:50-0600',mode:absolute,to:'2016-07-17 19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2" s="74" t="str">
        <f t="shared" si="35"/>
        <v>N</v>
      </c>
      <c r="X142" s="92">
        <f t="shared" si="36"/>
        <v>1</v>
      </c>
      <c r="Y142" s="89">
        <f t="shared" si="37"/>
        <v>4.6600000000000003E-2</v>
      </c>
      <c r="Z142" s="89">
        <f t="shared" si="38"/>
        <v>23.294</v>
      </c>
      <c r="AA142" s="89">
        <f t="shared" si="39"/>
        <v>23.247399999999999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si="40"/>
        <v>0215-17</v>
      </c>
      <c r="AE142" s="75" t="str">
        <f t="shared" si="41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42" s="75" t="str">
        <f t="shared" si="42"/>
        <v>"C:\Program Files (x86)\AstroGrep\AstroGrep.exe" /spath="C:\Users\stu\Documents\Analysis\2016-02-23 RTDC Observations" /stypes="*4027*20160718*" /stext=" 00:.+((prompt.+disp)|(slice.+state.+chan)|(ment ac)|(system.+state.+chan)|(\|lc)|(penalty)|(\[timeout))" /e /r /s</v>
      </c>
      <c r="AG142" s="1" t="str">
        <f t="shared" si="43"/>
        <v>EC</v>
      </c>
    </row>
    <row r="143" spans="1:33" s="25" customFormat="1" x14ac:dyDescent="0.25">
      <c r="A143" s="49" t="s">
        <v>481</v>
      </c>
      <c r="B143" s="7">
        <v>4028</v>
      </c>
      <c r="C143" s="26" t="s">
        <v>59</v>
      </c>
      <c r="D143" s="26" t="s">
        <v>557</v>
      </c>
      <c r="E143" s="16">
        <v>42568.78528935185</v>
      </c>
      <c r="F143" s="16">
        <v>42568.786840277775</v>
      </c>
      <c r="G143" s="7">
        <v>2</v>
      </c>
      <c r="H143" s="16" t="s">
        <v>612</v>
      </c>
      <c r="I143" s="16">
        <v>42568.821145833332</v>
      </c>
      <c r="J143" s="7">
        <v>0</v>
      </c>
      <c r="K143" s="26" t="str">
        <f t="shared" ref="K143:K154" si="45">IF(ISEVEN(B143),(B143-1)&amp;"/"&amp;B143,B143&amp;"/"&amp;(B143+1))</f>
        <v>4027/4028</v>
      </c>
      <c r="L143" s="26" t="str">
        <f>VLOOKUP(A143,'Trips&amp;Operators'!$C$1:$E$10000,3,FALSE)</f>
        <v>KILLION</v>
      </c>
      <c r="M143" s="6">
        <f t="shared" ref="M143:M154" si="46">I143-F143</f>
        <v>3.4305555556784384E-2</v>
      </c>
      <c r="N143" s="7">
        <f t="shared" si="44"/>
        <v>49.400000001769513</v>
      </c>
      <c r="O143" s="7"/>
      <c r="P143" s="7"/>
      <c r="Q143" s="27"/>
      <c r="R143" s="27"/>
      <c r="S143" s="45">
        <f t="shared" ref="S143:S154" si="47">SUM(U143:U143)/12</f>
        <v>1</v>
      </c>
      <c r="T143" s="69" t="str">
        <f t="shared" ref="T143:T154" si="48">IF(ISEVEN(LEFT(A143,3)),"Southbound","NorthBound")</f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ref="V143:V154" si="49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https://search-rtdc-monitor-bjffxe2xuh6vdkpspy63sjmuny.us-east-1.es.amazonaws.com/_plugin/kibana/#/discover/Steve-Slow-Train-Analysis-(2080s-and-2083s)?_g=(refreshInterval:(display:Off,section:0,value:0),time:(from:'2016-07-17 17:50:49-0600',mode:absolute,to:'2016-07-17 20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3" s="74" t="str">
        <f t="shared" ref="W143:W154" si="50">IF(AA143&lt;23,"Y","N")</f>
        <v>Y</v>
      </c>
      <c r="X143" s="92">
        <f t="shared" ref="X143:X154" si="51">VALUE(LEFT(A143,3))-VALUE(LEFT(A142,3))</f>
        <v>1</v>
      </c>
      <c r="Y143" s="89">
        <f t="shared" ref="Y143:Y154" si="52">RIGHT(D143,LEN(D143)-4)/10000</f>
        <v>23.2654</v>
      </c>
      <c r="Z143" s="89">
        <f t="shared" ref="Z143:Z154" si="53">RIGHT(H143,LEN(H143)-4)/10000</f>
        <v>0.3004</v>
      </c>
      <c r="AA143" s="89">
        <f t="shared" ref="AA143:AA154" si="54">ABS(Z143-Y143)</f>
        <v>22.965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ref="AD143:AD154" si="55">IF(LEN(A143)=6,"0"&amp;A143,A143)</f>
        <v>0216-17</v>
      </c>
      <c r="AE143" s="75" t="str">
        <f t="shared" ref="AE143:AE154" si="56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43" s="75" t="str">
        <f t="shared" ref="AF143:AF154" si="57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/stypes="*4028*20160718*" /stext=" 01:.+((prompt.+disp)|(slice.+state.+chan)|(ment ac)|(system.+state.+chan)|(\|lc)|(penalty)|(\[timeout))" /e /r /s</v>
      </c>
      <c r="AG143" s="1" t="str">
        <f t="shared" ref="AG143:AG154" si="58">IF(VALUE(LEFT(A143,3))&lt;300,"EC","NWGL")</f>
        <v>EC</v>
      </c>
    </row>
    <row r="144" spans="1:33" s="25" customFormat="1" x14ac:dyDescent="0.25">
      <c r="A144" s="49" t="s">
        <v>444</v>
      </c>
      <c r="B144" s="7">
        <v>4044</v>
      </c>
      <c r="C144" s="26" t="s">
        <v>59</v>
      </c>
      <c r="D144" s="26" t="s">
        <v>613</v>
      </c>
      <c r="E144" s="16">
        <v>42568.75445601852</v>
      </c>
      <c r="F144" s="16">
        <v>42568.755335648151</v>
      </c>
      <c r="G144" s="7">
        <v>1</v>
      </c>
      <c r="H144" s="16" t="s">
        <v>614</v>
      </c>
      <c r="I144" s="16">
        <v>42568.762060185189</v>
      </c>
      <c r="J144" s="7">
        <v>1</v>
      </c>
      <c r="K144" s="26" t="str">
        <f t="shared" si="45"/>
        <v>4043/4044</v>
      </c>
      <c r="L144" s="26" t="str">
        <f>VLOOKUP(A144,'Trips&amp;Operators'!$C$1:$E$10000,3,FALSE)</f>
        <v>NEWELL</v>
      </c>
      <c r="M144" s="6">
        <f t="shared" si="46"/>
        <v>6.7245370373711921E-3</v>
      </c>
      <c r="N144" s="7">
        <f t="shared" si="44"/>
        <v>9.6833333338145167</v>
      </c>
      <c r="O144" s="7"/>
      <c r="P144" s="7"/>
      <c r="Q144" s="27"/>
      <c r="R144" s="27"/>
      <c r="S144" s="45">
        <f t="shared" si="47"/>
        <v>0</v>
      </c>
      <c r="T144" s="69" t="str">
        <f t="shared" si="48"/>
        <v>NorthBound</v>
      </c>
      <c r="U144" s="96">
        <f>COUNTIFS(Variables!$M$2:$M$19,IF(T144="NorthBound","&gt;=","&lt;=")&amp;Y144,Variables!$M$2:$M$19,IF(T144="NorthBound","&lt;=","&gt;=")&amp;Z144)</f>
        <v>0</v>
      </c>
      <c r="V14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4" s="74" t="str">
        <f t="shared" si="50"/>
        <v>Y</v>
      </c>
      <c r="X144" s="92">
        <f t="shared" si="51"/>
        <v>1</v>
      </c>
      <c r="Y144" s="89">
        <f t="shared" si="52"/>
        <v>0.15329999999999999</v>
      </c>
      <c r="Z144" s="89">
        <f t="shared" si="53"/>
        <v>0.1757</v>
      </c>
      <c r="AA144" s="89">
        <f t="shared" si="54"/>
        <v>2.2400000000000003E-2</v>
      </c>
      <c r="AB144" s="86">
        <f>VLOOKUP(A144,Enforcements!$C$7:$J$23,8,0)</f>
        <v>1692</v>
      </c>
      <c r="AC144" s="82" t="str">
        <f>VLOOKUP(A144,Enforcements!$C$7:$E$23,3,0)</f>
        <v>SIGNAL</v>
      </c>
      <c r="AD144" s="83" t="str">
        <f t="shared" si="55"/>
        <v>0217-17</v>
      </c>
      <c r="AE144" s="75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44" s="75" t="str">
        <f t="shared" si="57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x14ac:dyDescent="0.25">
      <c r="A145" s="49" t="s">
        <v>444</v>
      </c>
      <c r="B145" s="7">
        <v>4044</v>
      </c>
      <c r="C145" s="26" t="s">
        <v>59</v>
      </c>
      <c r="D145" s="26" t="s">
        <v>615</v>
      </c>
      <c r="E145" s="16">
        <v>42568.76803240741</v>
      </c>
      <c r="F145" s="16">
        <v>42568.768657407411</v>
      </c>
      <c r="G145" s="7">
        <v>0</v>
      </c>
      <c r="H145" s="16" t="s">
        <v>263</v>
      </c>
      <c r="I145" s="16">
        <v>42568.78869212963</v>
      </c>
      <c r="J145" s="7">
        <v>1</v>
      </c>
      <c r="K145" s="26" t="str">
        <f t="shared" si="45"/>
        <v>4043/4044</v>
      </c>
      <c r="L145" s="26" t="str">
        <f>VLOOKUP(A145,'Trips&amp;Operators'!$C$1:$E$10000,3,FALSE)</f>
        <v>NEWELL</v>
      </c>
      <c r="M145" s="6">
        <f t="shared" si="46"/>
        <v>2.0034722219861578E-2</v>
      </c>
      <c r="N145" s="7">
        <f t="shared" si="44"/>
        <v>28.849999996600673</v>
      </c>
      <c r="O145" s="7"/>
      <c r="P145" s="7"/>
      <c r="Q145" s="27"/>
      <c r="R145" s="27"/>
      <c r="S145" s="45">
        <f t="shared" si="47"/>
        <v>0.75</v>
      </c>
      <c r="T145" s="69" t="str">
        <f t="shared" si="48"/>
        <v>NorthBound</v>
      </c>
      <c r="U145" s="96">
        <f>COUNTIFS(Variables!$M$2:$M$19,IF(T145="NorthBound","&gt;=","&lt;=")&amp;Y145,Variables!$M$2:$M$19,IF(T145="NorthBound","&lt;=","&gt;=")&amp;Z145)</f>
        <v>9</v>
      </c>
      <c r="V14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17:25:58-0600',mode:absolute,to:'2016-07-17 19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5" s="74" t="str">
        <f t="shared" si="50"/>
        <v>Y</v>
      </c>
      <c r="X145" s="92">
        <f t="shared" si="51"/>
        <v>0</v>
      </c>
      <c r="Y145" s="89">
        <f t="shared" si="52"/>
        <v>3.7191000000000001</v>
      </c>
      <c r="Z145" s="89">
        <f t="shared" si="53"/>
        <v>23.331499999999998</v>
      </c>
      <c r="AA145" s="89">
        <f t="shared" si="54"/>
        <v>19.612399999999997</v>
      </c>
      <c r="AB145" s="86">
        <f>VLOOKUP(A145,Enforcements!$C$7:$J$23,8,0)</f>
        <v>1692</v>
      </c>
      <c r="AC145" s="82" t="str">
        <f>VLOOKUP(A145,Enforcements!$C$7:$E$23,3,0)</f>
        <v>SIGNAL</v>
      </c>
      <c r="AD145" s="83" t="str">
        <f t="shared" si="55"/>
        <v>0217-17</v>
      </c>
      <c r="AE145" s="75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45" s="75" t="str">
        <f t="shared" si="57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x14ac:dyDescent="0.25">
      <c r="A146" s="49" t="s">
        <v>447</v>
      </c>
      <c r="B146" s="7">
        <v>4031</v>
      </c>
      <c r="C146" s="26" t="s">
        <v>59</v>
      </c>
      <c r="D146" s="26" t="s">
        <v>205</v>
      </c>
      <c r="E146" s="16">
        <v>42568.767118055555</v>
      </c>
      <c r="F146" s="16">
        <v>42568.768553240741</v>
      </c>
      <c r="G146" s="7">
        <v>2</v>
      </c>
      <c r="H146" s="16" t="s">
        <v>189</v>
      </c>
      <c r="I146" s="16">
        <v>42568.79619212963</v>
      </c>
      <c r="J146" s="7">
        <v>1</v>
      </c>
      <c r="K146" s="26" t="str">
        <f t="shared" si="45"/>
        <v>4031/4032</v>
      </c>
      <c r="L146" s="26" t="str">
        <f>VLOOKUP(A146,'Trips&amp;Operators'!$C$1:$E$10000,3,FALSE)</f>
        <v>CHANDLER</v>
      </c>
      <c r="M146" s="6">
        <f t="shared" si="46"/>
        <v>2.7638888888759539E-2</v>
      </c>
      <c r="N146" s="7">
        <f t="shared" si="44"/>
        <v>39.799999999813735</v>
      </c>
      <c r="O146" s="7"/>
      <c r="P146" s="7"/>
      <c r="Q146" s="27"/>
      <c r="R146" s="27"/>
      <c r="S146" s="45">
        <f t="shared" si="47"/>
        <v>1</v>
      </c>
      <c r="T146" s="69" t="str">
        <f t="shared" si="48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17:24:39-0600',mode:absolute,to:'2016-07-17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74" t="str">
        <f t="shared" si="50"/>
        <v>N</v>
      </c>
      <c r="X146" s="92">
        <f t="shared" si="51"/>
        <v>2</v>
      </c>
      <c r="Y146" s="89">
        <f t="shared" si="52"/>
        <v>4.4699999999999997E-2</v>
      </c>
      <c r="Z146" s="89">
        <f t="shared" si="53"/>
        <v>23.329699999999999</v>
      </c>
      <c r="AA146" s="89">
        <f t="shared" si="54"/>
        <v>23.285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55"/>
        <v>0219-17</v>
      </c>
      <c r="AE146" s="75" t="str">
        <f t="shared" si="5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46" s="75" t="str">
        <f t="shared" si="57"/>
        <v>"C:\Program Files (x86)\AstroGrep\AstroGrep.exe" /spath="C:\Users\stu\Documents\Analysis\2016-02-23 RTDC Observations" /stypes="*4031*20160718*" /stext=" 01:.+((prompt.+disp)|(slice.+state.+chan)|(ment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x14ac:dyDescent="0.25">
      <c r="A147" s="49" t="s">
        <v>449</v>
      </c>
      <c r="B147" s="7">
        <v>4032</v>
      </c>
      <c r="C147" s="26" t="s">
        <v>59</v>
      </c>
      <c r="D147" s="26" t="s">
        <v>191</v>
      </c>
      <c r="E147" s="16">
        <v>42568.806423611109</v>
      </c>
      <c r="F147" s="16">
        <v>42568.80740740741</v>
      </c>
      <c r="G147" s="7">
        <v>1</v>
      </c>
      <c r="H147" s="16" t="s">
        <v>60</v>
      </c>
      <c r="I147" s="16">
        <v>42568.838113425925</v>
      </c>
      <c r="J147" s="7">
        <v>1</v>
      </c>
      <c r="K147" s="26" t="str">
        <f t="shared" si="45"/>
        <v>4031/4032</v>
      </c>
      <c r="L147" s="26" t="str">
        <f>VLOOKUP(A147,'Trips&amp;Operators'!$C$1:$E$10000,3,FALSE)</f>
        <v>CHANDLER</v>
      </c>
      <c r="M147" s="6">
        <f t="shared" si="46"/>
        <v>3.0706018515047617E-2</v>
      </c>
      <c r="N147" s="7">
        <f t="shared" si="44"/>
        <v>44.216666661668569</v>
      </c>
      <c r="O147" s="7"/>
      <c r="P147" s="7"/>
      <c r="Q147" s="27"/>
      <c r="R147" s="27"/>
      <c r="S147" s="45">
        <f t="shared" si="47"/>
        <v>1</v>
      </c>
      <c r="T147" s="69" t="str">
        <f t="shared" si="48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18:21:15-0600',mode:absolute,to:'2016-07-17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74" t="str">
        <f t="shared" si="50"/>
        <v>N</v>
      </c>
      <c r="X147" s="92">
        <f t="shared" si="51"/>
        <v>1</v>
      </c>
      <c r="Y147" s="89">
        <f t="shared" si="52"/>
        <v>23.2986</v>
      </c>
      <c r="Z147" s="89">
        <f t="shared" si="53"/>
        <v>1.4500000000000001E-2</v>
      </c>
      <c r="AA147" s="89">
        <f t="shared" si="54"/>
        <v>23.284099999999999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55"/>
        <v>0220-17</v>
      </c>
      <c r="AE147" s="75" t="str">
        <f t="shared" si="5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47" s="75" t="str">
        <f t="shared" si="57"/>
        <v>"C:\Program Files (x86)\AstroGrep\AstroGrep.exe" /spath="C:\Users\stu\Documents\Analysis\2016-02-23 RTDC Observations" /stypes="*4032*20160718*" /stext=" 02:.+((prompt.+disp)|(slice.+state.+chan)|(ment ac)|(system.+state.+chan)|(\|lc)|(penalty)|(\[timeout))" /e /r /s</v>
      </c>
      <c r="AG147" s="1" t="str">
        <f t="shared" si="58"/>
        <v>EC</v>
      </c>
    </row>
    <row r="148" spans="1:33" s="25" customFormat="1" x14ac:dyDescent="0.25">
      <c r="A148" s="49" t="s">
        <v>450</v>
      </c>
      <c r="B148" s="7">
        <v>4037</v>
      </c>
      <c r="C148" s="26" t="s">
        <v>59</v>
      </c>
      <c r="D148" s="26" t="s">
        <v>233</v>
      </c>
      <c r="E148" s="16">
        <v>42568.833148148151</v>
      </c>
      <c r="F148" s="16">
        <v>42568.83421296296</v>
      </c>
      <c r="G148" s="7">
        <v>1</v>
      </c>
      <c r="H148" s="16" t="s">
        <v>200</v>
      </c>
      <c r="I148" s="16">
        <v>42568.859305555554</v>
      </c>
      <c r="J148" s="7">
        <v>1</v>
      </c>
      <c r="K148" s="26" t="str">
        <f t="shared" si="45"/>
        <v>4037/4038</v>
      </c>
      <c r="L148" s="26" t="str">
        <f>VLOOKUP(A148,'Trips&amp;Operators'!$C$1:$E$10000,3,FALSE)</f>
        <v>ADANE</v>
      </c>
      <c r="M148" s="6">
        <f t="shared" si="46"/>
        <v>2.5092592593864538E-2</v>
      </c>
      <c r="N148" s="7">
        <f t="shared" si="44"/>
        <v>36.133333335164934</v>
      </c>
      <c r="O148" s="7"/>
      <c r="P148" s="7"/>
      <c r="Q148" s="27"/>
      <c r="R148" s="27"/>
      <c r="S148" s="45">
        <f t="shared" si="47"/>
        <v>1</v>
      </c>
      <c r="T148" s="69" t="str">
        <f t="shared" si="48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18:59:44-0600',mode:absolute,to:'2016-07-17 21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8" s="74" t="str">
        <f t="shared" si="50"/>
        <v>N</v>
      </c>
      <c r="X148" s="92">
        <f t="shared" si="51"/>
        <v>2</v>
      </c>
      <c r="Y148" s="89">
        <f t="shared" si="52"/>
        <v>23.298100000000002</v>
      </c>
      <c r="Z148" s="89">
        <f t="shared" si="53"/>
        <v>1.38E-2</v>
      </c>
      <c r="AA148" s="89">
        <f t="shared" si="54"/>
        <v>23.284300000000002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55"/>
        <v>0222-17</v>
      </c>
      <c r="AE148" s="75" t="str">
        <f t="shared" si="56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48" s="75" t="str">
        <f t="shared" si="57"/>
        <v>"C:\Program Files (x86)\AstroGrep\AstroGrep.exe" /spath="C:\Users\stu\Documents\Analysis\2016-02-23 RTDC Observations" /stypes="*4037*20160718*" /stext=" 02:.+((prompt.+disp)|(slice.+state.+chan)|(ment ac)|(system.+state.+chan)|(\|lc)|(penalty)|(\[timeout))" /e /r /s</v>
      </c>
      <c r="AG148" s="1" t="str">
        <f t="shared" si="58"/>
        <v>EC</v>
      </c>
    </row>
    <row r="149" spans="1:33" s="25" customFormat="1" x14ac:dyDescent="0.25">
      <c r="A149" s="49" t="s">
        <v>542</v>
      </c>
      <c r="B149" s="7">
        <v>4042</v>
      </c>
      <c r="C149" s="26" t="s">
        <v>59</v>
      </c>
      <c r="D149" s="26" t="s">
        <v>616</v>
      </c>
      <c r="E149" s="16">
        <v>42568.809282407405</v>
      </c>
      <c r="F149" s="16">
        <v>42568.812696759262</v>
      </c>
      <c r="G149" s="7">
        <v>4</v>
      </c>
      <c r="H149" s="16" t="s">
        <v>222</v>
      </c>
      <c r="I149" s="16">
        <v>42568.838425925926</v>
      </c>
      <c r="J149" s="7">
        <v>0</v>
      </c>
      <c r="K149" s="26" t="str">
        <f t="shared" si="45"/>
        <v>4041/4042</v>
      </c>
      <c r="L149" s="26" t="str">
        <f>VLOOKUP(A149,'Trips&amp;Operators'!$C$1:$E$10000,3,FALSE)</f>
        <v>COOLAHAN</v>
      </c>
      <c r="M149" s="6">
        <f t="shared" si="46"/>
        <v>2.5729166663950309E-2</v>
      </c>
      <c r="N149" s="7">
        <f t="shared" si="44"/>
        <v>37.049999996088445</v>
      </c>
      <c r="O149" s="7"/>
      <c r="P149" s="7"/>
      <c r="Q149" s="27"/>
      <c r="R149" s="27"/>
      <c r="S149" s="45">
        <f t="shared" si="47"/>
        <v>1</v>
      </c>
      <c r="T149" s="69" t="str">
        <f t="shared" si="48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18:25:22-0600',mode:absolute,to:'2016-07-17 21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74" t="str">
        <f t="shared" si="50"/>
        <v>N</v>
      </c>
      <c r="X149" s="92">
        <f t="shared" si="51"/>
        <v>1</v>
      </c>
      <c r="Y149" s="89">
        <f t="shared" si="52"/>
        <v>5.4199999999999998E-2</v>
      </c>
      <c r="Z149" s="89">
        <f t="shared" si="53"/>
        <v>23.330400000000001</v>
      </c>
      <c r="AA149" s="89">
        <f t="shared" si="54"/>
        <v>23.276199999999999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55"/>
        <v>0223-17</v>
      </c>
      <c r="AE149" s="75" t="str">
        <f t="shared" si="5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49" s="75" t="str">
        <f t="shared" si="57"/>
        <v>"C:\Program Files (x86)\AstroGrep\AstroGrep.exe" /spath="C:\Users\stu\Documents\Analysis\2016-02-23 RTDC Observations" /stypes="*4042*20160718*" /stext=" 02:.+((prompt.+disp)|(slice.+state.+chan)|(ment ac)|(system.+state.+chan)|(\|lc)|(penalty)|(\[timeout))" /e /r /s</v>
      </c>
      <c r="AG149" s="1" t="str">
        <f t="shared" si="58"/>
        <v>EC</v>
      </c>
    </row>
    <row r="150" spans="1:33" s="25" customFormat="1" x14ac:dyDescent="0.25">
      <c r="A150" s="49" t="s">
        <v>544</v>
      </c>
      <c r="B150" s="7">
        <v>4041</v>
      </c>
      <c r="C150" s="26" t="s">
        <v>59</v>
      </c>
      <c r="D150" s="26" t="s">
        <v>256</v>
      </c>
      <c r="E150" s="16">
        <v>42568.849108796298</v>
      </c>
      <c r="F150" s="16">
        <v>42568.851840277777</v>
      </c>
      <c r="G150" s="7">
        <v>3</v>
      </c>
      <c r="H150" s="16" t="s">
        <v>200</v>
      </c>
      <c r="I150" s="16">
        <v>42568.877476851849</v>
      </c>
      <c r="J150" s="7">
        <v>0</v>
      </c>
      <c r="K150" s="26" t="str">
        <f t="shared" si="45"/>
        <v>4041/4042</v>
      </c>
      <c r="L150" s="26" t="str">
        <f>VLOOKUP(A150,'Trips&amp;Operators'!$C$1:$E$10000,3,FALSE)</f>
        <v>COOLAHAN</v>
      </c>
      <c r="M150" s="6">
        <f t="shared" si="46"/>
        <v>2.5636574071540963E-2</v>
      </c>
      <c r="N150" s="7">
        <f t="shared" si="44"/>
        <v>36.916666663018987</v>
      </c>
      <c r="O150" s="7"/>
      <c r="P150" s="7"/>
      <c r="Q150" s="27"/>
      <c r="R150" s="27"/>
      <c r="S150" s="45">
        <f t="shared" si="47"/>
        <v>1</v>
      </c>
      <c r="T150" s="69" t="str">
        <f t="shared" si="48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19:22:43-0600',mode:absolute,to:'2016-07-17 22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74" t="str">
        <f t="shared" si="50"/>
        <v>N</v>
      </c>
      <c r="X150" s="92">
        <f t="shared" si="51"/>
        <v>1</v>
      </c>
      <c r="Y150" s="89">
        <f t="shared" si="52"/>
        <v>23.299099999999999</v>
      </c>
      <c r="Z150" s="89">
        <f t="shared" si="53"/>
        <v>1.38E-2</v>
      </c>
      <c r="AA150" s="89">
        <f t="shared" si="54"/>
        <v>23.285299999999999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55"/>
        <v>0224-17</v>
      </c>
      <c r="AE150" s="75" t="str">
        <f t="shared" si="5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50" s="75" t="str">
        <f t="shared" si="57"/>
        <v>"C:\Program Files (x86)\AstroGrep\AstroGrep.exe" /spath="C:\Users\stu\Documents\Analysis\2016-02-23 RTDC Observations" /stypes="*4041*20160718*" /stext=" 03:.+((prompt.+disp)|(slice.+state.+chan)|(ment ac)|(system.+state.+chan)|(\|lc)|(penalty)|(\[timeout))" /e /r /s</v>
      </c>
      <c r="AG150" s="1" t="str">
        <f t="shared" si="58"/>
        <v>EC</v>
      </c>
    </row>
    <row r="151" spans="1:33" s="25" customFormat="1" x14ac:dyDescent="0.25">
      <c r="A151" s="49" t="s">
        <v>451</v>
      </c>
      <c r="B151" s="7">
        <v>4044</v>
      </c>
      <c r="C151" s="26" t="s">
        <v>59</v>
      </c>
      <c r="D151" s="26" t="s">
        <v>150</v>
      </c>
      <c r="E151" s="16">
        <v>42568.83016203704</v>
      </c>
      <c r="F151" s="16">
        <v>42568.831018518518</v>
      </c>
      <c r="G151" s="7">
        <v>1</v>
      </c>
      <c r="H151" s="16" t="s">
        <v>187</v>
      </c>
      <c r="I151" s="16">
        <v>42568.8593287037</v>
      </c>
      <c r="J151" s="7">
        <v>1</v>
      </c>
      <c r="K151" s="26" t="str">
        <f t="shared" si="45"/>
        <v>4043/4044</v>
      </c>
      <c r="L151" s="26" t="str">
        <f>VLOOKUP(A151,'Trips&amp;Operators'!$C$1:$E$10000,3,FALSE)</f>
        <v>NEWELL</v>
      </c>
      <c r="M151" s="6">
        <f t="shared" si="46"/>
        <v>2.8310185181908309E-2</v>
      </c>
      <c r="N151" s="7">
        <f t="shared" si="44"/>
        <v>40.766666661947966</v>
      </c>
      <c r="O151" s="7"/>
      <c r="P151" s="7"/>
      <c r="Q151" s="27"/>
      <c r="R151" s="27"/>
      <c r="S151" s="45">
        <f t="shared" si="47"/>
        <v>1</v>
      </c>
      <c r="T151" s="69" t="str">
        <f t="shared" si="48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18:55:26-0600',mode:absolute,to:'2016-07-17 21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74" t="str">
        <f t="shared" si="50"/>
        <v>N</v>
      </c>
      <c r="X151" s="92">
        <f t="shared" si="51"/>
        <v>1</v>
      </c>
      <c r="Y151" s="89">
        <f t="shared" si="52"/>
        <v>4.58E-2</v>
      </c>
      <c r="Z151" s="89">
        <f t="shared" si="53"/>
        <v>23.331</v>
      </c>
      <c r="AA151" s="89">
        <f t="shared" si="54"/>
        <v>23.2852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55"/>
        <v>0225-17</v>
      </c>
      <c r="AE151" s="75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51" s="75" t="str">
        <f t="shared" si="57"/>
        <v>"C:\Program Files (x86)\AstroGrep\AstroGrep.exe" /spath="C:\Users\stu\Documents\Analysis\2016-02-23 RTDC Observations" /stypes="*4044*20160718*" /stext=" 02:.+((prompt.+disp)|(slice.+state.+chan)|(ment ac)|(system.+state.+chan)|(\|lc)|(penalty)|(\[timeout))" /e /r /s</v>
      </c>
      <c r="AG151" s="1" t="str">
        <f t="shared" si="58"/>
        <v>EC</v>
      </c>
    </row>
    <row r="152" spans="1:33" x14ac:dyDescent="0.25">
      <c r="A152" s="49" t="s">
        <v>452</v>
      </c>
      <c r="B152" s="7">
        <v>4043</v>
      </c>
      <c r="C152" s="26" t="s">
        <v>59</v>
      </c>
      <c r="D152" s="26" t="s">
        <v>617</v>
      </c>
      <c r="E152" s="16">
        <v>42568.864548611113</v>
      </c>
      <c r="F152" s="16">
        <v>42568.868090277778</v>
      </c>
      <c r="G152" s="7">
        <v>5</v>
      </c>
      <c r="H152" s="16" t="s">
        <v>364</v>
      </c>
      <c r="I152" s="16">
        <v>42568.898599537039</v>
      </c>
      <c r="J152" s="7">
        <v>1</v>
      </c>
      <c r="K152" s="26" t="str">
        <f t="shared" si="45"/>
        <v>4043/4044</v>
      </c>
      <c r="L152" s="26" t="str">
        <f>VLOOKUP(A152,'Trips&amp;Operators'!$C$1:$E$10000,3,FALSE)</f>
        <v>NEWELL</v>
      </c>
      <c r="M152" s="6">
        <f t="shared" si="46"/>
        <v>3.050925926072523E-2</v>
      </c>
      <c r="N152" s="7">
        <f t="shared" si="44"/>
        <v>43.933333335444331</v>
      </c>
      <c r="O152" s="7"/>
      <c r="P152" s="7"/>
      <c r="Q152" s="27"/>
      <c r="R152" s="27"/>
      <c r="S152" s="45">
        <f t="shared" si="47"/>
        <v>1</v>
      </c>
      <c r="T152" s="69" t="str">
        <f t="shared" si="48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19:44:57-0600',mode:absolute,to:'2016-07-17 22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74" t="str">
        <f t="shared" si="50"/>
        <v>N</v>
      </c>
      <c r="X152" s="92">
        <f t="shared" si="51"/>
        <v>1</v>
      </c>
      <c r="Y152" s="89">
        <f t="shared" si="52"/>
        <v>23.300799999999999</v>
      </c>
      <c r="Z152" s="89">
        <f t="shared" si="53"/>
        <v>1.6500000000000001E-2</v>
      </c>
      <c r="AA152" s="89">
        <f t="shared" si="54"/>
        <v>23.284299999999998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si="55"/>
        <v>0226-17</v>
      </c>
      <c r="AE152" s="75" t="str">
        <f t="shared" si="56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52" s="75" t="str">
        <f t="shared" si="57"/>
        <v>"C:\Program Files (x86)\AstroGrep\AstroGrep.exe" /spath="C:\Users\stu\Documents\Analysis\2016-02-23 RTDC Observations" /stypes="*4043*20160718*" /stext=" 03:.+((prompt.+disp)|(slice.+state.+chan)|(ment ac)|(system.+state.+chan)|(\|lc)|(penalty)|(\[timeout))" /e /r /s</v>
      </c>
      <c r="AG152" s="1" t="str">
        <f t="shared" si="58"/>
        <v>EC</v>
      </c>
    </row>
    <row r="153" spans="1:33" x14ac:dyDescent="0.25">
      <c r="A153" s="49" t="s">
        <v>546</v>
      </c>
      <c r="B153" s="7">
        <v>4031</v>
      </c>
      <c r="C153" s="26" t="s">
        <v>59</v>
      </c>
      <c r="D153" s="26" t="s">
        <v>358</v>
      </c>
      <c r="E153" s="16">
        <v>42568.854247685187</v>
      </c>
      <c r="F153" s="16">
        <v>42568.855324074073</v>
      </c>
      <c r="G153" s="7">
        <v>1</v>
      </c>
      <c r="H153" s="16" t="s">
        <v>223</v>
      </c>
      <c r="I153" s="16">
        <v>42568.879803240743</v>
      </c>
      <c r="J153" s="7">
        <v>0</v>
      </c>
      <c r="K153" s="26" t="str">
        <f t="shared" si="45"/>
        <v>4031/4032</v>
      </c>
      <c r="L153" s="26" t="str">
        <f>VLOOKUP(A153,'Trips&amp;Operators'!$C$1:$E$10000,3,FALSE)</f>
        <v>CHANDLER</v>
      </c>
      <c r="M153" s="6">
        <f t="shared" si="46"/>
        <v>2.4479166670062114E-2</v>
      </c>
      <c r="N153" s="7">
        <f t="shared" si="44"/>
        <v>35.250000004889444</v>
      </c>
      <c r="O153" s="7"/>
      <c r="P153" s="7"/>
      <c r="Q153" s="27"/>
      <c r="R153" s="27"/>
      <c r="S153" s="45">
        <f t="shared" si="47"/>
        <v>1</v>
      </c>
      <c r="T153" s="69" t="str">
        <f t="shared" si="48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19:30:07-0600',mode:absolute,to:'2016-07-17 22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3" s="74" t="str">
        <f t="shared" si="50"/>
        <v>N</v>
      </c>
      <c r="X153" s="92">
        <f t="shared" si="51"/>
        <v>1</v>
      </c>
      <c r="Y153" s="89">
        <f t="shared" si="52"/>
        <v>4.7300000000000002E-2</v>
      </c>
      <c r="Z153" s="89">
        <f t="shared" si="53"/>
        <v>23.328900000000001</v>
      </c>
      <c r="AA153" s="89">
        <f t="shared" si="54"/>
        <v>23.281600000000001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55"/>
        <v>0227-17</v>
      </c>
      <c r="AE153" s="75" t="str">
        <f t="shared" si="5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53" s="75" t="str">
        <f t="shared" si="57"/>
        <v>"C:\Program Files (x86)\AstroGrep\AstroGrep.exe" /spath="C:\Users\stu\Documents\Analysis\2016-02-23 RTDC Observations" /stypes="*4031*20160718*" /stext=" 03:.+((prompt.+disp)|(slice.+state.+chan)|(ment ac)|(system.+state.+chan)|(\|lc)|(penalty)|(\[timeout))" /e /r /s</v>
      </c>
      <c r="AG153" s="1" t="str">
        <f t="shared" si="58"/>
        <v>EC</v>
      </c>
    </row>
    <row r="154" spans="1:33" x14ac:dyDescent="0.25">
      <c r="A154" s="49" t="s">
        <v>484</v>
      </c>
      <c r="B154" s="7">
        <v>4032</v>
      </c>
      <c r="C154" s="26" t="s">
        <v>59</v>
      </c>
      <c r="D154" s="26" t="s">
        <v>249</v>
      </c>
      <c r="E154" s="16">
        <v>42568.889791666668</v>
      </c>
      <c r="F154" s="16">
        <v>42568.890555555554</v>
      </c>
      <c r="G154" s="7">
        <v>1</v>
      </c>
      <c r="H154" s="16" t="s">
        <v>140</v>
      </c>
      <c r="I154" s="16">
        <v>42568.921111111114</v>
      </c>
      <c r="J154" s="7">
        <v>0</v>
      </c>
      <c r="K154" s="26" t="str">
        <f t="shared" si="45"/>
        <v>4031/4032</v>
      </c>
      <c r="L154" s="26" t="str">
        <f>VLOOKUP(A154,'Trips&amp;Operators'!$C$1:$E$10000,3,FALSE)</f>
        <v>CHANDLER</v>
      </c>
      <c r="M154" s="6">
        <f t="shared" si="46"/>
        <v>3.0555555560567882E-2</v>
      </c>
      <c r="N154" s="7">
        <f t="shared" si="44"/>
        <v>44.00000000721775</v>
      </c>
      <c r="O154" s="7"/>
      <c r="P154" s="7"/>
      <c r="Q154" s="27"/>
      <c r="R154" s="27"/>
      <c r="S154" s="45">
        <f t="shared" si="47"/>
        <v>1</v>
      </c>
      <c r="T154" s="69" t="str">
        <f t="shared" si="48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20:21:18-0600',mode:absolute,to:'2016-07-17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4" s="74" t="str">
        <f t="shared" si="50"/>
        <v>N</v>
      </c>
      <c r="X154" s="92">
        <f t="shared" si="51"/>
        <v>1</v>
      </c>
      <c r="Y154" s="89">
        <f t="shared" si="52"/>
        <v>23.297899999999998</v>
      </c>
      <c r="Z154" s="89">
        <f t="shared" si="53"/>
        <v>1.61E-2</v>
      </c>
      <c r="AA154" s="89">
        <f t="shared" si="54"/>
        <v>23.281799999999997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si="55"/>
        <v>0228-17</v>
      </c>
      <c r="AE154" s="75" t="str">
        <f t="shared" si="5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54" s="75" t="str">
        <f t="shared" si="57"/>
        <v>"C:\Program Files (x86)\AstroGrep\AstroGrep.exe" /spath="C:\Users\stu\Documents\Analysis\2016-02-23 RTDC Observations" /stypes="*4032*20160718*" /stext=" 04:.+((prompt.+disp)|(slice.+state.+chan)|(ment ac)|(system.+state.+chan)|(\|lc)|(penalty)|(\[timeout))" /e /r /s</v>
      </c>
      <c r="AG154" s="1" t="str">
        <f t="shared" si="58"/>
        <v>EC</v>
      </c>
    </row>
    <row r="155" spans="1:33" x14ac:dyDescent="0.25">
      <c r="A155" s="49" t="s">
        <v>534</v>
      </c>
      <c r="B155" s="7">
        <v>4038</v>
      </c>
      <c r="C155" s="26" t="s">
        <v>59</v>
      </c>
      <c r="D155" s="26" t="s">
        <v>192</v>
      </c>
      <c r="E155" s="16">
        <v>42568.866782407407</v>
      </c>
      <c r="F155" s="16">
        <v>42568.86818287037</v>
      </c>
      <c r="G155" s="7">
        <v>2</v>
      </c>
      <c r="H155" s="16" t="s">
        <v>223</v>
      </c>
      <c r="I155" s="16">
        <v>42568.900833333333</v>
      </c>
      <c r="J155" s="7">
        <v>0</v>
      </c>
      <c r="K155" s="26" t="str">
        <f t="shared" ref="K155:K156" si="59">IF(ISEVEN(B155),(B155-1)&amp;"/"&amp;B155,B155&amp;"/"&amp;(B155+1))</f>
        <v>4037/4038</v>
      </c>
      <c r="L155" s="26" t="str">
        <f>VLOOKUP(A155,'Trips&amp;Operators'!$C$1:$E$10000,3,FALSE)</f>
        <v>LEVERE</v>
      </c>
      <c r="M155" s="6">
        <f t="shared" ref="M155:M156" si="60">I155-F155</f>
        <v>3.2650462962919846E-2</v>
      </c>
      <c r="N155" s="7">
        <f t="shared" si="44"/>
        <v>47.016666666604578</v>
      </c>
      <c r="O155" s="7"/>
      <c r="P155" s="7"/>
      <c r="Q155" s="27"/>
      <c r="R155" s="27"/>
      <c r="S155" s="45">
        <f t="shared" ref="S155:S156" si="61">SUM(U155:U155)/12</f>
        <v>1</v>
      </c>
      <c r="T155" s="69" t="str">
        <f t="shared" ref="T155:T156" si="62">IF(ISEVEN(LEFT(A155,3)),"Southbound","NorthBound")</f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ref="V155:V156" si="63">"https://search-rtdc-monitor-bjffxe2xuh6vdkpspy63sjmuny.us-east-1.es.amazonaws.com/_plugin/kibana/#/discover/Steve-Slow-Train-Analysis-(2080s-and-2083s)?_g=(refreshInterval:(display:Off,section:0,value:0),time:(from:'"&amp;TEXT(E155-1/24,"yyyy-MM-DD hh:mm:ss")&amp;"-0600',mode:absolute,to:'"&amp;TEXT(I155+1/24,"yyyy-MM-DD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https://search-rtdc-monitor-bjffxe2xuh6vdkpspy63sjmuny.us-east-1.es.amazonaws.com/_plugin/kibana/#/discover/Steve-Slow-Train-Analysis-(2080s-and-2083s)?_g=(refreshInterval:(display:Off,section:0,value:0),time:(from:'2016-07-17 19:48:10-0600',mode:absolute,to:'2016-07-17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5" s="74" t="str">
        <f t="shared" ref="W155:W156" si="64">IF(AA155&lt;23,"Y","N")</f>
        <v>N</v>
      </c>
      <c r="X155" s="92">
        <f t="shared" ref="X155:X156" si="65">VALUE(LEFT(A155,3))-VALUE(LEFT(A154,3))</f>
        <v>1</v>
      </c>
      <c r="Y155" s="89">
        <f t="shared" ref="Y155:Y156" si="66">RIGHT(D155,LEN(D155)-4)/10000</f>
        <v>4.6199999999999998E-2</v>
      </c>
      <c r="Z155" s="89">
        <f t="shared" ref="Z155:Z156" si="67">RIGHT(H155,LEN(H155)-4)/10000</f>
        <v>23.328900000000001</v>
      </c>
      <c r="AA155" s="89">
        <f t="shared" ref="AA155:AA156" si="68">ABS(Z155-Y155)</f>
        <v>23.282700000000002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ref="AD155:AD156" si="69">IF(LEN(A155)=6,"0"&amp;A155,A155)</f>
        <v>0229-17</v>
      </c>
      <c r="AE155" s="75" t="str">
        <f t="shared" ref="AE155:AE156" si="70">"aws s3 cp "&amp;s3_bucket&amp;"/RTDC"&amp;B155&amp;"/"&amp;TEXT(F155,"YYYY-MM-DD")&amp;"/ "&amp;search_path&amp;"\RTDC"&amp;B155&amp;"\"&amp;TEXT(F155,"YYYY-MM-DD")&amp;" --recursive &amp; """&amp;walkandungz&amp;""" "&amp;search_path&amp;"\RTDC"&amp;B155&amp;"\"&amp;TEXT(F155,"YYYY-MM-DD")
&amp;" &amp; "&amp;"aws s3 cp "&amp;s3_bucket&amp;"/RTDC"&amp;B155&amp;"/"&amp;TEXT(F155+1,"YYYY-MM-DD")&amp;"/ "&amp;search_path&amp;"\RTDC"&amp;B155&amp;"\"&amp;TEXT(F155+1,"YYYY-MM-DD")&amp;" --recursive &amp; """&amp;walkandungz&amp;""" "&amp;search_path&amp;"\RTDC"&amp;B155&amp;"\"&amp;TEXT(F155+1,"YYYY-MM-DD")</f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AF155" s="75" t="str">
        <f t="shared" ref="AF155:AF156" si="71">astrogrep_path&amp;" /spath="&amp;search_path&amp;" /stypes=""*"&amp;B155&amp;"*"&amp;TEXT(I155-utc_offset/24,"YYYYMMDD")&amp;"*"" /stext="" "&amp;TEXT(I155-utc_offset/24,"HH")&amp;search_regexp&amp;""" /e /r /s"</f>
        <v>"C:\Program Files (x86)\AstroGrep\AstroGrep.exe" /spath="C:\Users\stu\Documents\Analysis\2016-02-23 RTDC Observations" /stypes="*4038*20160718*" /stext=" 03:.+((prompt.+disp)|(slice.+state.+chan)|(ment ac)|(system.+state.+chan)|(\|lc)|(penalty)|(\[timeout))" /e /r /s</v>
      </c>
      <c r="AG155" s="1" t="str">
        <f t="shared" ref="AG155:AG156" si="72">IF(VALUE(LEFT(A155,3))&lt;300,"EC","NWGL")</f>
        <v>EC</v>
      </c>
    </row>
    <row r="156" spans="1:33" x14ac:dyDescent="0.25">
      <c r="A156" s="49" t="s">
        <v>453</v>
      </c>
      <c r="B156" s="7">
        <v>4037</v>
      </c>
      <c r="C156" s="26" t="s">
        <v>59</v>
      </c>
      <c r="D156" s="26" t="s">
        <v>576</v>
      </c>
      <c r="E156" s="16">
        <v>42568.90902777778</v>
      </c>
      <c r="F156" s="16">
        <v>42568.909895833334</v>
      </c>
      <c r="G156" s="7">
        <v>1</v>
      </c>
      <c r="H156" s="16" t="s">
        <v>60</v>
      </c>
      <c r="I156" s="16">
        <v>42568.940821759257</v>
      </c>
      <c r="J156" s="7">
        <v>2</v>
      </c>
      <c r="K156" s="26" t="str">
        <f t="shared" si="59"/>
        <v>4037/4038</v>
      </c>
      <c r="L156" s="26" t="str">
        <f>VLOOKUP(A156,'Trips&amp;Operators'!$C$1:$E$10000,3,FALSE)</f>
        <v>LEVERE</v>
      </c>
      <c r="M156" s="6">
        <f t="shared" si="60"/>
        <v>3.0925925922929309E-2</v>
      </c>
      <c r="N156" s="7">
        <f t="shared" si="44"/>
        <v>44.533333329018205</v>
      </c>
      <c r="O156" s="7"/>
      <c r="P156" s="7"/>
      <c r="Q156" s="27"/>
      <c r="R156" s="27"/>
      <c r="S156" s="45">
        <f t="shared" si="61"/>
        <v>1</v>
      </c>
      <c r="T156" s="69" t="str">
        <f t="shared" si="62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6" s="74" t="str">
        <f t="shared" si="64"/>
        <v>N</v>
      </c>
      <c r="X156" s="92">
        <f t="shared" si="65"/>
        <v>1</v>
      </c>
      <c r="Y156" s="89">
        <f t="shared" si="66"/>
        <v>23.297000000000001</v>
      </c>
      <c r="Z156" s="89">
        <f t="shared" si="67"/>
        <v>1.4500000000000001E-2</v>
      </c>
      <c r="AA156" s="89">
        <f t="shared" si="68"/>
        <v>23.282499999999999</v>
      </c>
      <c r="AB156" s="86">
        <f>VLOOKUP(A156,Enforcements!$C$7:$J$23,8,0)</f>
        <v>156300</v>
      </c>
      <c r="AC156" s="82" t="str">
        <f>VLOOKUP(A156,Enforcements!$C$7:$E$23,3,0)</f>
        <v>PERMANENT SPEED RESTRICTION</v>
      </c>
      <c r="AD156" s="83" t="str">
        <f t="shared" si="69"/>
        <v>0230-17</v>
      </c>
      <c r="AE156" s="75" t="str">
        <f t="shared" si="70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56" s="75" t="str">
        <f t="shared" si="71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AG156" s="1" t="str">
        <f t="shared" si="72"/>
        <v>EC</v>
      </c>
    </row>
    <row r="157" spans="1:33" x14ac:dyDescent="0.25">
      <c r="A157" s="49" t="s">
        <v>532</v>
      </c>
      <c r="B157" s="7">
        <v>4042</v>
      </c>
      <c r="C157" s="26" t="s">
        <v>59</v>
      </c>
      <c r="D157" s="26" t="s">
        <v>194</v>
      </c>
      <c r="E157" s="16">
        <v>42568.892696759256</v>
      </c>
      <c r="F157" s="16">
        <v>42568.893657407411</v>
      </c>
      <c r="G157" s="7">
        <v>1</v>
      </c>
      <c r="H157" s="16" t="s">
        <v>139</v>
      </c>
      <c r="I157" s="16">
        <v>42568.921111111114</v>
      </c>
      <c r="J157" s="7">
        <v>0</v>
      </c>
      <c r="K157" s="26" t="str">
        <f t="shared" ref="K157:K178" si="73">IF(ISEVEN(B157),(B157-1)&amp;"/"&amp;B157,B157&amp;"/"&amp;(B157+1))</f>
        <v>4041/4042</v>
      </c>
      <c r="L157" s="26" t="str">
        <f>VLOOKUP(A157,'Trips&amp;Operators'!$C$1:$E$10000,3,FALSE)</f>
        <v>COOLAHAN</v>
      </c>
      <c r="M157" s="6">
        <f t="shared" ref="M157:M178" si="74">I157-F157</f>
        <v>2.7453703703940846E-2</v>
      </c>
      <c r="N157" s="7">
        <f t="shared" si="44"/>
        <v>39.533333333674818</v>
      </c>
      <c r="O157" s="7"/>
      <c r="P157" s="7"/>
      <c r="Q157" s="27"/>
      <c r="R157" s="27"/>
      <c r="S157" s="45">
        <f t="shared" ref="S157:S178" si="75">SUM(U157:U157)/12</f>
        <v>1</v>
      </c>
      <c r="T157" s="69" t="str">
        <f t="shared" ref="T157:T178" si="76">IF(ISEVEN(LEFT(A157,3)),"Southbound","NorthBound")</f>
        <v>NorthBound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ref="V157:V178" si="77">"https://search-rtdc-monitor-bjffxe2xuh6vdkpspy63sjmuny.us-east-1.es.amazonaws.com/_plugin/kibana/#/discover/Steve-Slow-Train-Analysis-(2080s-and-2083s)?_g=(refreshInterval:(display:Off,section:0,value:0),time:(from:'"&amp;TEXT(E157-1/24,"yyyy-MM-DD hh:mm:ss")&amp;"-0600',mode:absolute,to:'"&amp;TEXT(I157+1/24,"yyyy-MM-DD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https://search-rtdc-monitor-bjffxe2xuh6vdkpspy63sjmuny.us-east-1.es.amazonaws.com/_plugin/kibana/#/discover/Steve-Slow-Train-Analysis-(2080s-and-2083s)?_g=(refreshInterval:(display:Off,section:0,value:0),time:(from:'2016-07-17 20:25:29-0600',mode:absolute,to:'2016-07-17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7" s="74" t="str">
        <f t="shared" ref="W157:W178" si="78">IF(AA157&lt;23,"Y","N")</f>
        <v>N</v>
      </c>
      <c r="X157" s="92">
        <f t="shared" ref="X157:X178" si="79">VALUE(LEFT(A157,3))-VALUE(LEFT(A156,3))</f>
        <v>1</v>
      </c>
      <c r="Y157" s="89">
        <f t="shared" ref="Y157:Y178" si="80">RIGHT(D157,LEN(D157)-4)/10000</f>
        <v>4.6600000000000003E-2</v>
      </c>
      <c r="Z157" s="89">
        <f t="shared" ref="Z157:Z178" si="81">RIGHT(H157,LEN(H157)-4)/10000</f>
        <v>23.330200000000001</v>
      </c>
      <c r="AA157" s="89">
        <f t="shared" ref="AA157:AA178" si="82">ABS(Z157-Y157)</f>
        <v>23.2836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ref="AD157:AD178" si="83">IF(LEN(A157)=6,"0"&amp;A157,A157)</f>
        <v>0231-17</v>
      </c>
      <c r="AE157" s="75" t="str">
        <f t="shared" ref="AE157:AE178" si="84"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57" s="75" t="str">
        <f t="shared" ref="AF157:AF178" si="85">astrogrep_path&amp;" /spath="&amp;search_path&amp;" /stypes=""*"&amp;B157&amp;"*"&amp;TEXT(I157-utc_offset/24,"YYYYMMDD")&amp;"*"" /stext="" "&amp;TEXT(I157-utc_offset/24,"HH")&amp;search_regexp&amp;""" /e /r /s"</f>
        <v>"C:\Program Files (x86)\AstroGrep\AstroGrep.exe" /spath="C:\Users\stu\Documents\Analysis\2016-02-23 RTDC Observations" /stypes="*4042*20160718*" /stext=" 04:.+((prompt.+disp)|(slice.+state.+chan)|(ment ac)|(system.+state.+chan)|(\|lc)|(penalty)|(\[timeout))" /e /r /s</v>
      </c>
      <c r="AG157" s="1" t="str">
        <f t="shared" ref="AG157:AG178" si="86">IF(VALUE(LEFT(A157,3))&lt;300,"EC","NWGL")</f>
        <v>EC</v>
      </c>
    </row>
    <row r="158" spans="1:33" x14ac:dyDescent="0.25">
      <c r="A158" s="49" t="s">
        <v>455</v>
      </c>
      <c r="B158" s="7">
        <v>4041</v>
      </c>
      <c r="C158" s="26" t="s">
        <v>59</v>
      </c>
      <c r="D158" s="26" t="s">
        <v>618</v>
      </c>
      <c r="E158" s="16">
        <v>42568.942407407405</v>
      </c>
      <c r="F158" s="16">
        <v>42568.943611111114</v>
      </c>
      <c r="G158" s="7">
        <v>1</v>
      </c>
      <c r="H158" s="16" t="s">
        <v>364</v>
      </c>
      <c r="I158" s="16">
        <v>42568.963564814818</v>
      </c>
      <c r="J158" s="7">
        <v>1</v>
      </c>
      <c r="K158" s="26" t="str">
        <f t="shared" si="73"/>
        <v>4041/4042</v>
      </c>
      <c r="L158" s="26" t="str">
        <f>VLOOKUP(A158,'Trips&amp;Operators'!$C$1:$E$10000,3,FALSE)</f>
        <v>COOLAHAN</v>
      </c>
      <c r="M158" s="6">
        <f t="shared" si="74"/>
        <v>1.9953703704231884E-2</v>
      </c>
      <c r="N158" s="7">
        <f t="shared" si="44"/>
        <v>28.733333334093913</v>
      </c>
      <c r="O158" s="7"/>
      <c r="P158" s="7"/>
      <c r="Q158" s="27"/>
      <c r="R158" s="27"/>
      <c r="S158" s="45">
        <f t="shared" si="75"/>
        <v>1</v>
      </c>
      <c r="T158" s="69" t="str">
        <f t="shared" si="76"/>
        <v>Southbound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21:37:04-0600',mode:absolute,to:'2016-07-18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8" s="74" t="str">
        <f t="shared" si="78"/>
        <v>Y</v>
      </c>
      <c r="X158" s="92">
        <f t="shared" si="79"/>
        <v>1</v>
      </c>
      <c r="Y158" s="89">
        <f t="shared" si="80"/>
        <v>15.398</v>
      </c>
      <c r="Z158" s="89">
        <f t="shared" si="81"/>
        <v>1.6500000000000001E-2</v>
      </c>
      <c r="AA158" s="89">
        <f t="shared" si="82"/>
        <v>15.381499999999999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83"/>
        <v>0232-17</v>
      </c>
      <c r="AE158" s="75" t="str">
        <f t="shared" si="84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58" s="75" t="str">
        <f t="shared" si="85"/>
        <v>"C:\Program Files (x86)\AstroGrep\AstroGrep.exe" /spath="C:\Users\stu\Documents\Analysis\2016-02-23 RTDC Observations" /stypes="*4041*20160718*" /stext=" 05:.+((prompt.+disp)|(slice.+state.+chan)|(ment ac)|(system.+state.+chan)|(\|lc)|(penalty)|(\[timeout))" /e /r /s</v>
      </c>
      <c r="AG158" s="1" t="str">
        <f t="shared" si="86"/>
        <v>EC</v>
      </c>
    </row>
    <row r="159" spans="1:33" x14ac:dyDescent="0.25">
      <c r="A159" s="49" t="s">
        <v>455</v>
      </c>
      <c r="B159" s="7">
        <v>4041</v>
      </c>
      <c r="C159" s="26" t="s">
        <v>59</v>
      </c>
      <c r="D159" s="26" t="s">
        <v>157</v>
      </c>
      <c r="E159" s="16">
        <v>42568.929918981485</v>
      </c>
      <c r="F159" s="16">
        <v>42568.932314814818</v>
      </c>
      <c r="G159" s="7">
        <v>3</v>
      </c>
      <c r="H159" s="16" t="s">
        <v>364</v>
      </c>
      <c r="I159" s="16">
        <v>42568.963564814818</v>
      </c>
      <c r="J159" s="7">
        <v>1</v>
      </c>
      <c r="K159" s="26" t="str">
        <f t="shared" si="73"/>
        <v>4041/4042</v>
      </c>
      <c r="L159" s="26" t="str">
        <f>VLOOKUP(A159,'Trips&amp;Operators'!$C$1:$E$10000,3,FALSE)</f>
        <v>COOLAHAN</v>
      </c>
      <c r="M159" s="6">
        <f t="shared" si="74"/>
        <v>3.125E-2</v>
      </c>
      <c r="N159" s="7">
        <f t="shared" si="44"/>
        <v>45</v>
      </c>
      <c r="O159" s="7"/>
      <c r="P159" s="7"/>
      <c r="Q159" s="27"/>
      <c r="R159" s="27"/>
      <c r="S159" s="45">
        <f t="shared" si="75"/>
        <v>1</v>
      </c>
      <c r="T159" s="69" t="str">
        <f t="shared" si="76"/>
        <v>Southbound</v>
      </c>
      <c r="U159" s="96">
        <f>COUNTIFS(Variables!$M$2:$M$19,IF(T159="NorthBound","&gt;=","&lt;=")&amp;Y159,Variables!$M$2:$M$19,IF(T159="NorthBound","&lt;=","&gt;=")&amp;Z159)</f>
        <v>12</v>
      </c>
      <c r="V159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21:19:05-0600',mode:absolute,to:'2016-07-18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9" s="74" t="str">
        <f t="shared" si="78"/>
        <v>N</v>
      </c>
      <c r="X159" s="92">
        <f t="shared" si="79"/>
        <v>0</v>
      </c>
      <c r="Y159" s="89">
        <f t="shared" si="80"/>
        <v>23.299600000000002</v>
      </c>
      <c r="Z159" s="89">
        <f t="shared" si="81"/>
        <v>1.6500000000000001E-2</v>
      </c>
      <c r="AA159" s="89">
        <f t="shared" si="82"/>
        <v>23.283100000000001</v>
      </c>
      <c r="AB159" s="86" t="e">
        <f>VLOOKUP(A159,Enforcements!$C$7:$J$23,8,0)</f>
        <v>#N/A</v>
      </c>
      <c r="AC159" s="82" t="e">
        <f>VLOOKUP(A159,Enforcements!$C$7:$E$23,3,0)</f>
        <v>#N/A</v>
      </c>
      <c r="AD159" s="83" t="str">
        <f t="shared" si="83"/>
        <v>0232-17</v>
      </c>
      <c r="AE159" s="75" t="str">
        <f t="shared" si="84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59" s="75" t="str">
        <f t="shared" si="85"/>
        <v>"C:\Program Files (x86)\AstroGrep\AstroGrep.exe" /spath="C:\Users\stu\Documents\Analysis\2016-02-23 RTDC Observations" /stypes="*4041*20160718*" /stext=" 05:.+((prompt.+disp)|(slice.+state.+chan)|(ment ac)|(system.+state.+chan)|(\|lc)|(penalty)|(\[timeout))" /e /r /s</v>
      </c>
      <c r="AG159" s="1" t="str">
        <f t="shared" si="86"/>
        <v>EC</v>
      </c>
    </row>
    <row r="160" spans="1:33" x14ac:dyDescent="0.25">
      <c r="A160" s="49" t="s">
        <v>530</v>
      </c>
      <c r="B160" s="7">
        <v>4044</v>
      </c>
      <c r="C160" s="26" t="s">
        <v>59</v>
      </c>
      <c r="D160" s="26" t="s">
        <v>150</v>
      </c>
      <c r="E160" s="16">
        <v>42568.901388888888</v>
      </c>
      <c r="F160" s="16">
        <v>42568.902314814812</v>
      </c>
      <c r="G160" s="7">
        <v>1</v>
      </c>
      <c r="H160" s="16" t="s">
        <v>228</v>
      </c>
      <c r="I160" s="16">
        <v>42568.941342592596</v>
      </c>
      <c r="J160" s="7">
        <v>0</v>
      </c>
      <c r="K160" s="26" t="str">
        <f t="shared" si="73"/>
        <v>4043/4044</v>
      </c>
      <c r="L160" s="26" t="str">
        <f>VLOOKUP(A160,'Trips&amp;Operators'!$C$1:$E$10000,3,FALSE)</f>
        <v>NEWELL</v>
      </c>
      <c r="M160" s="6">
        <f t="shared" si="74"/>
        <v>3.9027777784212958E-2</v>
      </c>
      <c r="N160" s="7">
        <f t="shared" si="44"/>
        <v>56.20000000926666</v>
      </c>
      <c r="O160" s="7"/>
      <c r="P160" s="7"/>
      <c r="Q160" s="27"/>
      <c r="R160" s="27"/>
      <c r="S160" s="45">
        <f t="shared" si="75"/>
        <v>1</v>
      </c>
      <c r="T160" s="69" t="str">
        <f t="shared" si="76"/>
        <v>NorthBound</v>
      </c>
      <c r="U160" s="96">
        <f>COUNTIFS(Variables!$M$2:$M$19,IF(T160="NorthBound","&gt;=","&lt;=")&amp;Y160,Variables!$M$2:$M$19,IF(T160="NorthBound","&lt;=","&gt;=")&amp;Z160)</f>
        <v>12</v>
      </c>
      <c r="V160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20:38:00-0600',mode:absolute,to:'2016-07-17 23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60" s="74" t="str">
        <f t="shared" si="78"/>
        <v>N</v>
      </c>
      <c r="X160" s="92">
        <f t="shared" si="79"/>
        <v>1</v>
      </c>
      <c r="Y160" s="89">
        <f t="shared" si="80"/>
        <v>4.58E-2</v>
      </c>
      <c r="Z160" s="89">
        <f t="shared" si="81"/>
        <v>23.3307</v>
      </c>
      <c r="AA160" s="89">
        <f t="shared" si="82"/>
        <v>23.2849</v>
      </c>
      <c r="AB160" s="86" t="e">
        <f>VLOOKUP(A160,Enforcements!$C$7:$J$23,8,0)</f>
        <v>#N/A</v>
      </c>
      <c r="AC160" s="82" t="e">
        <f>VLOOKUP(A160,Enforcements!$C$7:$E$23,3,0)</f>
        <v>#N/A</v>
      </c>
      <c r="AD160" s="83" t="str">
        <f t="shared" si="83"/>
        <v>0233-17</v>
      </c>
      <c r="AE160" s="75" t="str">
        <f t="shared" si="84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60" s="75" t="str">
        <f t="shared" si="85"/>
        <v>"C:\Program Files (x86)\AstroGrep\AstroGrep.exe" /spath="C:\Users\stu\Documents\Analysis\2016-02-23 RTDC Observations" /stypes="*4044*20160718*" /stext=" 04:.+((prompt.+disp)|(slice.+state.+chan)|(ment ac)|(system.+state.+chan)|(\|lc)|(penalty)|(\[timeout))" /e /r /s</v>
      </c>
      <c r="AG160" s="1" t="str">
        <f t="shared" si="86"/>
        <v>EC</v>
      </c>
    </row>
    <row r="161" spans="1:33" x14ac:dyDescent="0.25">
      <c r="A161" s="49" t="s">
        <v>454</v>
      </c>
      <c r="B161" s="7">
        <v>4043</v>
      </c>
      <c r="C161" s="26" t="s">
        <v>59</v>
      </c>
      <c r="D161" s="26" t="s">
        <v>368</v>
      </c>
      <c r="E161" s="16">
        <v>42568.942870370367</v>
      </c>
      <c r="F161" s="16">
        <v>42568.943784722222</v>
      </c>
      <c r="G161" s="7">
        <v>1</v>
      </c>
      <c r="H161" s="16" t="s">
        <v>619</v>
      </c>
      <c r="I161" s="16">
        <v>42568.963518518518</v>
      </c>
      <c r="J161" s="7">
        <v>2</v>
      </c>
      <c r="K161" s="26" t="str">
        <f t="shared" si="73"/>
        <v>4043/4044</v>
      </c>
      <c r="L161" s="26" t="str">
        <f>VLOOKUP(A161,'Trips&amp;Operators'!$C$1:$E$10000,3,FALSE)</f>
        <v>NEWELL</v>
      </c>
      <c r="M161" s="6">
        <f t="shared" si="74"/>
        <v>1.9733796296350192E-2</v>
      </c>
      <c r="N161" s="7">
        <f t="shared" si="44"/>
        <v>28.416666666744277</v>
      </c>
      <c r="O161" s="7"/>
      <c r="P161" s="7"/>
      <c r="Q161" s="27"/>
      <c r="R161" s="27"/>
      <c r="S161" s="45">
        <f t="shared" si="75"/>
        <v>0</v>
      </c>
      <c r="T161" s="69" t="str">
        <f t="shared" si="76"/>
        <v>Southbound</v>
      </c>
      <c r="U161" s="96">
        <f>COUNTIFS(Variables!$M$2:$M$19,IF(T161="NorthBound","&gt;=","&lt;=")&amp;Y161,Variables!$M$2:$M$19,IF(T161="NorthBound","&lt;=","&gt;=")&amp;Z161)</f>
        <v>0</v>
      </c>
      <c r="V161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1" s="74" t="str">
        <f t="shared" si="78"/>
        <v>Y</v>
      </c>
      <c r="X161" s="92">
        <f t="shared" si="79"/>
        <v>1</v>
      </c>
      <c r="Y161" s="89">
        <f t="shared" si="80"/>
        <v>23.299199999999999</v>
      </c>
      <c r="Z161" s="89">
        <f t="shared" si="81"/>
        <v>16.075500000000002</v>
      </c>
      <c r="AA161" s="89">
        <f t="shared" si="82"/>
        <v>7.2236999999999973</v>
      </c>
      <c r="AB161" s="86" t="e">
        <f>VLOOKUP(A161,Enforcements!$C$7:$J$23,8,0)</f>
        <v>#N/A</v>
      </c>
      <c r="AC161" s="82" t="e">
        <f>VLOOKUP(A161,Enforcements!$C$7:$E$23,3,0)</f>
        <v>#N/A</v>
      </c>
      <c r="AD161" s="83" t="str">
        <f t="shared" si="83"/>
        <v>0234-17</v>
      </c>
      <c r="AE161" s="75" t="str">
        <f t="shared" si="84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61" s="75" t="str">
        <f t="shared" si="85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AG161" s="1" t="str">
        <f t="shared" si="86"/>
        <v>EC</v>
      </c>
    </row>
    <row r="162" spans="1:33" x14ac:dyDescent="0.25">
      <c r="A162" s="49" t="s">
        <v>454</v>
      </c>
      <c r="B162" s="7">
        <v>4043</v>
      </c>
      <c r="C162" s="26" t="s">
        <v>59</v>
      </c>
      <c r="D162" s="26" t="s">
        <v>620</v>
      </c>
      <c r="E162" s="16">
        <v>42568.971655092595</v>
      </c>
      <c r="F162" s="16">
        <v>42568.972303240742</v>
      </c>
      <c r="G162" s="7">
        <v>0</v>
      </c>
      <c r="H162" s="16" t="s">
        <v>621</v>
      </c>
      <c r="I162" s="16">
        <v>42568.973136574074</v>
      </c>
      <c r="J162" s="7">
        <v>0</v>
      </c>
      <c r="K162" s="26" t="str">
        <f t="shared" si="73"/>
        <v>4043/4044</v>
      </c>
      <c r="L162" s="26" t="str">
        <f>VLOOKUP(A162,'Trips&amp;Operators'!$C$1:$E$10000,3,FALSE)</f>
        <v>NEWELL</v>
      </c>
      <c r="M162" s="6">
        <f t="shared" si="74"/>
        <v>8.3333333168411627E-4</v>
      </c>
      <c r="N162" s="7">
        <f t="shared" si="44"/>
        <v>1.1999999976251274</v>
      </c>
      <c r="O162" s="7"/>
      <c r="P162" s="7"/>
      <c r="Q162" s="27"/>
      <c r="R162" s="27"/>
      <c r="S162" s="45">
        <f t="shared" si="75"/>
        <v>0</v>
      </c>
      <c r="T162" s="69" t="str">
        <f t="shared" si="76"/>
        <v>Southbound</v>
      </c>
      <c r="U162" s="96">
        <f>COUNTIFS(Variables!$M$2:$M$19,IF(T162="NorthBound","&gt;=","&lt;=")&amp;Y162,Variables!$M$2:$M$19,IF(T162="NorthBound","&lt;=","&gt;=")&amp;Z162)</f>
        <v>0</v>
      </c>
      <c r="V162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22:19:11-0600',mode:absolute,to:'2016-07-18 00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2" s="74" t="str">
        <f t="shared" si="78"/>
        <v>Y</v>
      </c>
      <c r="X162" s="92">
        <f t="shared" si="79"/>
        <v>0</v>
      </c>
      <c r="Y162" s="89">
        <f t="shared" si="80"/>
        <v>8.6353000000000009</v>
      </c>
      <c r="Z162" s="89">
        <f t="shared" si="81"/>
        <v>8.5328999999999997</v>
      </c>
      <c r="AA162" s="89">
        <f t="shared" si="82"/>
        <v>0.10240000000000116</v>
      </c>
      <c r="AB162" s="86" t="e">
        <f>VLOOKUP(A162,Enforcements!$C$7:$J$23,8,0)</f>
        <v>#N/A</v>
      </c>
      <c r="AC162" s="82" t="e">
        <f>VLOOKUP(A162,Enforcements!$C$7:$E$23,3,0)</f>
        <v>#N/A</v>
      </c>
      <c r="AD162" s="83" t="str">
        <f t="shared" si="83"/>
        <v>0234-17</v>
      </c>
      <c r="AE162" s="75" t="str">
        <f t="shared" si="84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62" s="75" t="str">
        <f t="shared" si="85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AG162" s="1" t="str">
        <f t="shared" si="86"/>
        <v>EC</v>
      </c>
    </row>
    <row r="163" spans="1:33" x14ac:dyDescent="0.25">
      <c r="A163" s="49" t="s">
        <v>549</v>
      </c>
      <c r="B163" s="7">
        <v>4031</v>
      </c>
      <c r="C163" s="26" t="s">
        <v>59</v>
      </c>
      <c r="D163" s="26" t="s">
        <v>194</v>
      </c>
      <c r="E163" s="16">
        <v>42568.935196759259</v>
      </c>
      <c r="F163" s="16">
        <v>42568.936145833337</v>
      </c>
      <c r="G163" s="7">
        <v>1</v>
      </c>
      <c r="H163" s="16" t="s">
        <v>212</v>
      </c>
      <c r="I163" s="16">
        <v>42568.963078703702</v>
      </c>
      <c r="J163" s="7">
        <v>0</v>
      </c>
      <c r="K163" s="26" t="str">
        <f t="shared" si="73"/>
        <v>4031/4032</v>
      </c>
      <c r="L163" s="26" t="str">
        <f>VLOOKUP(A163,'Trips&amp;Operators'!$C$1:$E$10000,3,FALSE)</f>
        <v>CHANDLER</v>
      </c>
      <c r="M163" s="6">
        <f t="shared" si="74"/>
        <v>2.693287036527181E-2</v>
      </c>
      <c r="N163" s="7">
        <f t="shared" si="44"/>
        <v>38.783333325991407</v>
      </c>
      <c r="O163" s="7"/>
      <c r="P163" s="7"/>
      <c r="Q163" s="27"/>
      <c r="R163" s="27"/>
      <c r="S163" s="45">
        <f t="shared" si="75"/>
        <v>1</v>
      </c>
      <c r="T163" s="69" t="str">
        <f t="shared" si="76"/>
        <v>NorthBound</v>
      </c>
      <c r="U163" s="96">
        <f>COUNTIFS(Variables!$M$2:$M$19,IF(T163="NorthBound","&gt;=","&lt;=")&amp;Y163,Variables!$M$2:$M$19,IF(T163="NorthBound","&lt;=","&gt;=")&amp;Z163)</f>
        <v>12</v>
      </c>
      <c r="V163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21:26:41-0600',mode:absolute,to:'2016-07-18 00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3" s="74" t="str">
        <f t="shared" si="78"/>
        <v>N</v>
      </c>
      <c r="X163" s="92">
        <f t="shared" si="79"/>
        <v>1</v>
      </c>
      <c r="Y163" s="89">
        <f t="shared" si="80"/>
        <v>4.6600000000000003E-2</v>
      </c>
      <c r="Z163" s="89">
        <f t="shared" si="81"/>
        <v>23.330100000000002</v>
      </c>
      <c r="AA163" s="89">
        <f t="shared" si="82"/>
        <v>23.2835</v>
      </c>
      <c r="AB163" s="86" t="e">
        <f>VLOOKUP(A163,Enforcements!$C$7:$J$23,8,0)</f>
        <v>#N/A</v>
      </c>
      <c r="AC163" s="82" t="e">
        <f>VLOOKUP(A163,Enforcements!$C$7:$E$23,3,0)</f>
        <v>#N/A</v>
      </c>
      <c r="AD163" s="83" t="str">
        <f t="shared" si="83"/>
        <v>0235-17</v>
      </c>
      <c r="AE163" s="75" t="str">
        <f t="shared" si="84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63" s="75" t="str">
        <f t="shared" si="85"/>
        <v>"C:\Program Files (x86)\AstroGrep\AstroGrep.exe" /spath="C:\Users\stu\Documents\Analysis\2016-02-23 RTDC Observations" /stypes="*4031*20160718*" /stext=" 05:.+((prompt.+disp)|(slice.+state.+chan)|(ment ac)|(system.+state.+chan)|(\|lc)|(penalty)|(\[timeout))" /e /r /s</v>
      </c>
      <c r="AG163" s="1" t="str">
        <f t="shared" si="86"/>
        <v>EC</v>
      </c>
    </row>
    <row r="164" spans="1:33" x14ac:dyDescent="0.25">
      <c r="A164" s="49" t="s">
        <v>456</v>
      </c>
      <c r="B164" s="7">
        <v>4032</v>
      </c>
      <c r="C164" s="26" t="s">
        <v>59</v>
      </c>
      <c r="D164" s="26" t="s">
        <v>258</v>
      </c>
      <c r="E164" s="16">
        <v>42568.972627314812</v>
      </c>
      <c r="F164" s="16">
        <v>42568.973530092589</v>
      </c>
      <c r="G164" s="7">
        <v>1</v>
      </c>
      <c r="H164" s="16" t="s">
        <v>622</v>
      </c>
      <c r="I164" s="16">
        <v>42568.983101851853</v>
      </c>
      <c r="J164" s="7">
        <v>1</v>
      </c>
      <c r="K164" s="26" t="str">
        <f t="shared" si="73"/>
        <v>4031/4032</v>
      </c>
      <c r="L164" s="26" t="str">
        <f>VLOOKUP(A164,'Trips&amp;Operators'!$C$1:$E$10000,3,FALSE)</f>
        <v>CHANDLER</v>
      </c>
      <c r="M164" s="6">
        <f t="shared" si="74"/>
        <v>9.5717592630535364E-3</v>
      </c>
      <c r="N164" s="7">
        <f t="shared" si="44"/>
        <v>13.783333338797092</v>
      </c>
      <c r="O164" s="7"/>
      <c r="P164" s="7"/>
      <c r="Q164" s="27"/>
      <c r="R164" s="27"/>
      <c r="S164" s="45">
        <f t="shared" si="75"/>
        <v>0</v>
      </c>
      <c r="T164" s="69" t="str">
        <f t="shared" si="76"/>
        <v>Southbound</v>
      </c>
      <c r="U164" s="96">
        <f>COUNTIFS(Variables!$M$2:$M$19,IF(T164="NorthBound","&gt;=","&lt;=")&amp;Y164,Variables!$M$2:$M$19,IF(T164="NorthBound","&lt;=","&gt;=")&amp;Z164)</f>
        <v>0</v>
      </c>
      <c r="V164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22:20:35-0600',mode:absolute,to:'2016-07-18 00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4" s="74" t="str">
        <f t="shared" si="78"/>
        <v>Y</v>
      </c>
      <c r="X164" s="92">
        <f t="shared" si="79"/>
        <v>1</v>
      </c>
      <c r="Y164" s="89">
        <f t="shared" si="80"/>
        <v>23.297799999999999</v>
      </c>
      <c r="Z164" s="89">
        <f t="shared" si="81"/>
        <v>16.096</v>
      </c>
      <c r="AA164" s="89">
        <f t="shared" si="82"/>
        <v>7.2017999999999986</v>
      </c>
      <c r="AB164" s="86" t="e">
        <f>VLOOKUP(A164,Enforcements!$C$7:$J$23,8,0)</f>
        <v>#N/A</v>
      </c>
      <c r="AC164" s="82" t="e">
        <f>VLOOKUP(A164,Enforcements!$C$7:$E$23,3,0)</f>
        <v>#N/A</v>
      </c>
      <c r="AD164" s="83" t="str">
        <f t="shared" si="83"/>
        <v>0236-17</v>
      </c>
      <c r="AE164" s="75" t="str">
        <f t="shared" si="84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64" s="75" t="str">
        <f t="shared" si="85"/>
        <v>"C:\Program Files (x86)\AstroGrep\AstroGrep.exe" /spath="C:\Users\stu\Documents\Analysis\2016-02-23 RTDC Observations" /stypes="*4032*20160718*" /stext=" 05:.+((prompt.+disp)|(slice.+state.+chan)|(ment ac)|(system.+state.+chan)|(\|lc)|(penalty)|(\[timeout))" /e /r /s</v>
      </c>
      <c r="AG164" s="1" t="str">
        <f t="shared" si="86"/>
        <v>EC</v>
      </c>
    </row>
    <row r="165" spans="1:33" x14ac:dyDescent="0.25">
      <c r="A165" s="49" t="s">
        <v>456</v>
      </c>
      <c r="B165" s="7">
        <v>4032</v>
      </c>
      <c r="C165" s="26" t="s">
        <v>59</v>
      </c>
      <c r="D165" s="26" t="s">
        <v>623</v>
      </c>
      <c r="E165" s="16">
        <v>42568.991643518515</v>
      </c>
      <c r="F165" s="16">
        <v>42568.992511574077</v>
      </c>
      <c r="G165" s="7">
        <v>1</v>
      </c>
      <c r="H165" s="16" t="s">
        <v>624</v>
      </c>
      <c r="I165" s="16">
        <v>42569.005682870367</v>
      </c>
      <c r="J165" s="7">
        <v>0</v>
      </c>
      <c r="K165" s="26" t="str">
        <f t="shared" si="73"/>
        <v>4031/4032</v>
      </c>
      <c r="L165" s="26" t="str">
        <f>VLOOKUP(A165,'Trips&amp;Operators'!$C$1:$E$10000,3,FALSE)</f>
        <v>CHANDLER</v>
      </c>
      <c r="M165" s="6">
        <f t="shared" si="74"/>
        <v>1.3171296290238388E-2</v>
      </c>
      <c r="N165" s="7">
        <f t="shared" si="44"/>
        <v>18.966666657943279</v>
      </c>
      <c r="O165" s="7"/>
      <c r="P165" s="7"/>
      <c r="Q165" s="27"/>
      <c r="R165" s="27"/>
      <c r="S165" s="45">
        <f t="shared" si="75"/>
        <v>0.83333333333333337</v>
      </c>
      <c r="T165" s="69" t="str">
        <f t="shared" si="76"/>
        <v>Southbound</v>
      </c>
      <c r="U165" s="96">
        <f>COUNTIFS(Variables!$M$2:$M$19,IF(T165="NorthBound","&gt;=","&lt;=")&amp;Y165,Variables!$M$2:$M$19,IF(T165="NorthBound","&lt;=","&gt;=")&amp;Z165)</f>
        <v>10</v>
      </c>
      <c r="V165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22:47:58-0600',mode:absolute,to:'2016-07-18 01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5" s="74" t="str">
        <f t="shared" si="78"/>
        <v>Y</v>
      </c>
      <c r="X165" s="92">
        <f t="shared" si="79"/>
        <v>0</v>
      </c>
      <c r="Y165" s="89">
        <f t="shared" si="80"/>
        <v>8.6351999999999993</v>
      </c>
      <c r="Z165" s="89">
        <f t="shared" si="81"/>
        <v>1.7399999999999999E-2</v>
      </c>
      <c r="AA165" s="89">
        <f t="shared" si="82"/>
        <v>8.617799999999999</v>
      </c>
      <c r="AB165" s="86" t="e">
        <f>VLOOKUP(A165,Enforcements!$C$7:$J$23,8,0)</f>
        <v>#N/A</v>
      </c>
      <c r="AC165" s="82" t="e">
        <f>VLOOKUP(A165,Enforcements!$C$7:$E$23,3,0)</f>
        <v>#N/A</v>
      </c>
      <c r="AD165" s="83" t="str">
        <f t="shared" si="83"/>
        <v>0236-17</v>
      </c>
      <c r="AE165" s="75" t="str">
        <f t="shared" si="84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65" s="75" t="str">
        <f t="shared" si="85"/>
        <v>"C:\Program Files (x86)\AstroGrep\AstroGrep.exe" /spath="C:\Users\stu\Documents\Analysis\2016-02-23 RTDC Observations" /stypes="*4032*20160718*" /stext=" 06:.+((prompt.+disp)|(slice.+state.+chan)|(ment ac)|(system.+state.+chan)|(\|lc)|(penalty)|(\[timeout))" /e /r /s</v>
      </c>
      <c r="AG165" s="1" t="str">
        <f t="shared" si="86"/>
        <v>EC</v>
      </c>
    </row>
    <row r="166" spans="1:33" x14ac:dyDescent="0.25">
      <c r="A166" s="49" t="s">
        <v>457</v>
      </c>
      <c r="B166" s="7">
        <v>4038</v>
      </c>
      <c r="C166" s="26" t="s">
        <v>59</v>
      </c>
      <c r="D166" s="26" t="s">
        <v>181</v>
      </c>
      <c r="E166" s="16">
        <v>42568.947638888887</v>
      </c>
      <c r="F166" s="16">
        <v>42568.948437500003</v>
      </c>
      <c r="G166" s="7">
        <v>1</v>
      </c>
      <c r="H166" s="16" t="s">
        <v>223</v>
      </c>
      <c r="I166" s="16">
        <v>42568.983888888892</v>
      </c>
      <c r="J166" s="7">
        <v>1</v>
      </c>
      <c r="K166" s="26" t="str">
        <f t="shared" si="73"/>
        <v>4037/4038</v>
      </c>
      <c r="L166" s="26" t="str">
        <f>VLOOKUP(A166,'Trips&amp;Operators'!$C$1:$E$10000,3,FALSE)</f>
        <v>LEVERE</v>
      </c>
      <c r="M166" s="6">
        <f t="shared" si="74"/>
        <v>3.5451388888759539E-2</v>
      </c>
      <c r="N166" s="7">
        <f t="shared" si="44"/>
        <v>51.049999999813735</v>
      </c>
      <c r="O166" s="7"/>
      <c r="P166" s="7"/>
      <c r="Q166" s="27"/>
      <c r="R166" s="27"/>
      <c r="S166" s="45">
        <f t="shared" si="75"/>
        <v>1</v>
      </c>
      <c r="T166" s="69" t="str">
        <f t="shared" si="76"/>
        <v>NorthBound</v>
      </c>
      <c r="U166" s="96">
        <f>COUNTIFS(Variables!$M$2:$M$19,IF(T166="NorthBound","&gt;=","&lt;=")&amp;Y166,Variables!$M$2:$M$19,IF(T166="NorthBound","&lt;=","&gt;=")&amp;Z166)</f>
        <v>12</v>
      </c>
      <c r="V166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21:44:36-0600',mode:absolute,to:'2016-07-18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6" s="74" t="str">
        <f t="shared" si="78"/>
        <v>N</v>
      </c>
      <c r="X166" s="92">
        <f t="shared" si="79"/>
        <v>1</v>
      </c>
      <c r="Y166" s="89">
        <f t="shared" si="80"/>
        <v>4.6899999999999997E-2</v>
      </c>
      <c r="Z166" s="89">
        <f t="shared" si="81"/>
        <v>23.328900000000001</v>
      </c>
      <c r="AA166" s="89">
        <f t="shared" si="82"/>
        <v>23.282</v>
      </c>
      <c r="AB166" s="86" t="e">
        <f>VLOOKUP(A166,Enforcements!$C$7:$J$23,8,0)</f>
        <v>#N/A</v>
      </c>
      <c r="AC166" s="82" t="e">
        <f>VLOOKUP(A166,Enforcements!$C$7:$E$23,3,0)</f>
        <v>#N/A</v>
      </c>
      <c r="AD166" s="83" t="str">
        <f t="shared" si="83"/>
        <v>0237-17</v>
      </c>
      <c r="AE166" s="75" t="str">
        <f t="shared" si="84"/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AF166" s="75" t="str">
        <f t="shared" si="85"/>
        <v>"C:\Program Files (x86)\AstroGrep\AstroGrep.exe" /spath="C:\Users\stu\Documents\Analysis\2016-02-23 RTDC Observations" /stypes="*4038*20160718*" /stext=" 05:.+((prompt.+disp)|(slice.+state.+chan)|(ment ac)|(system.+state.+chan)|(\|lc)|(penalty)|(\[timeout))" /e /r /s</v>
      </c>
      <c r="AG166" s="1" t="str">
        <f t="shared" si="86"/>
        <v>EC</v>
      </c>
    </row>
    <row r="167" spans="1:33" x14ac:dyDescent="0.25">
      <c r="A167" s="49" t="s">
        <v>482</v>
      </c>
      <c r="B167" s="7">
        <v>4037</v>
      </c>
      <c r="C167" s="26" t="s">
        <v>59</v>
      </c>
      <c r="D167" s="26" t="s">
        <v>281</v>
      </c>
      <c r="E167" s="16">
        <v>42569.007534722223</v>
      </c>
      <c r="F167" s="16">
        <v>42569.008206018516</v>
      </c>
      <c r="G167" s="7">
        <v>0</v>
      </c>
      <c r="H167" s="16" t="s">
        <v>625</v>
      </c>
      <c r="I167" s="16">
        <v>42569.02648148148</v>
      </c>
      <c r="J167" s="7">
        <v>0</v>
      </c>
      <c r="K167" s="26" t="str">
        <f t="shared" si="73"/>
        <v>4037/4038</v>
      </c>
      <c r="L167" s="26" t="str">
        <f>VLOOKUP(A167,'Trips&amp;Operators'!$C$1:$E$10000,3,FALSE)</f>
        <v>LEVERE</v>
      </c>
      <c r="M167" s="6">
        <f t="shared" si="74"/>
        <v>1.8275462964083999E-2</v>
      </c>
      <c r="N167" s="7">
        <f t="shared" si="44"/>
        <v>26.316666668280959</v>
      </c>
      <c r="O167" s="7"/>
      <c r="P167" s="7"/>
      <c r="Q167" s="27"/>
      <c r="R167" s="27"/>
      <c r="S167" s="45">
        <f t="shared" si="75"/>
        <v>1</v>
      </c>
      <c r="T167" s="69" t="str">
        <f t="shared" si="76"/>
        <v>Southbound</v>
      </c>
      <c r="U167" s="96">
        <f>COUNTIFS(Variables!$M$2:$M$19,IF(T167="NorthBound","&gt;=","&lt;=")&amp;Y167,Variables!$M$2:$M$19,IF(T167="NorthBound","&lt;=","&gt;=")&amp;Z167)</f>
        <v>12</v>
      </c>
      <c r="V167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23:10:51-0600',mode:absolute,to:'2016-07-18 01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7" s="74" t="str">
        <f t="shared" si="78"/>
        <v>Y</v>
      </c>
      <c r="X167" s="92">
        <f t="shared" si="79"/>
        <v>1</v>
      </c>
      <c r="Y167" s="89">
        <f t="shared" si="80"/>
        <v>12.7866</v>
      </c>
      <c r="Z167" s="89">
        <f t="shared" si="81"/>
        <v>5.2200000000000003E-2</v>
      </c>
      <c r="AA167" s="89">
        <f t="shared" si="82"/>
        <v>12.734400000000001</v>
      </c>
      <c r="AB167" s="86" t="e">
        <f>VLOOKUP(A167,Enforcements!$C$7:$J$23,8,0)</f>
        <v>#N/A</v>
      </c>
      <c r="AC167" s="82" t="e">
        <f>VLOOKUP(A167,Enforcements!$C$7:$E$23,3,0)</f>
        <v>#N/A</v>
      </c>
      <c r="AD167" s="83" t="str">
        <f t="shared" si="83"/>
        <v>0238-17</v>
      </c>
      <c r="AE167" s="75" t="str">
        <f t="shared" si="84"/>
        <v>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 &amp; 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</v>
      </c>
      <c r="AF167" s="75" t="str">
        <f t="shared" si="85"/>
        <v>"C:\Program Files (x86)\AstroGrep\AstroGrep.exe" /spath="C:\Users\stu\Documents\Analysis\2016-02-23 RTDC Observations" /stypes="*4037*20160718*" /stext=" 06:.+((prompt.+disp)|(slice.+state.+chan)|(ment ac)|(system.+state.+chan)|(\|lc)|(penalty)|(\[timeout))" /e /r /s</v>
      </c>
      <c r="AG167" s="1" t="str">
        <f t="shared" si="86"/>
        <v>EC</v>
      </c>
    </row>
    <row r="168" spans="1:33" x14ac:dyDescent="0.25">
      <c r="A168" s="49" t="s">
        <v>482</v>
      </c>
      <c r="B168" s="7">
        <v>4037</v>
      </c>
      <c r="C168" s="26" t="s">
        <v>59</v>
      </c>
      <c r="D168" s="26" t="s">
        <v>231</v>
      </c>
      <c r="E168" s="16">
        <v>42568.990972222222</v>
      </c>
      <c r="F168" s="16">
        <v>42568.991932870369</v>
      </c>
      <c r="G168" s="7">
        <v>1</v>
      </c>
      <c r="H168" s="16" t="s">
        <v>68</v>
      </c>
      <c r="I168" s="16">
        <v>42568.997002314813</v>
      </c>
      <c r="J168" s="7">
        <v>0</v>
      </c>
      <c r="K168" s="26" t="str">
        <f t="shared" si="73"/>
        <v>4037/4038</v>
      </c>
      <c r="L168" s="26" t="str">
        <f>VLOOKUP(A168,'Trips&amp;Operators'!$C$1:$E$10000,3,FALSE)</f>
        <v>LEVERE</v>
      </c>
      <c r="M168" s="6">
        <f t="shared" si="74"/>
        <v>5.0694444435066544E-3</v>
      </c>
      <c r="N168" s="7">
        <f t="shared" si="44"/>
        <v>7.2999999986495823</v>
      </c>
      <c r="O168" s="7"/>
      <c r="P168" s="7"/>
      <c r="Q168" s="27"/>
      <c r="R168" s="27"/>
      <c r="S168" s="45">
        <f t="shared" si="75"/>
        <v>0</v>
      </c>
      <c r="T168" s="69" t="str">
        <f t="shared" si="76"/>
        <v>Southbound</v>
      </c>
      <c r="U168" s="96">
        <f>COUNTIFS(Variables!$M$2:$M$19,IF(T168="NorthBound","&gt;=","&lt;=")&amp;Y168,Variables!$M$2:$M$19,IF(T168="NorthBound","&lt;=","&gt;=")&amp;Z168)</f>
        <v>0</v>
      </c>
      <c r="V168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22:47:00-0600',mode:absolute,to:'2016-07-18 00:55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8" s="74" t="str">
        <f t="shared" si="78"/>
        <v>Y</v>
      </c>
      <c r="X168" s="92">
        <f t="shared" si="79"/>
        <v>0</v>
      </c>
      <c r="Y168" s="89">
        <f t="shared" si="80"/>
        <v>23.296900000000001</v>
      </c>
      <c r="Z168" s="89">
        <f t="shared" si="81"/>
        <v>23.297699999999999</v>
      </c>
      <c r="AA168" s="89">
        <f t="shared" si="82"/>
        <v>7.9999999999813554E-4</v>
      </c>
      <c r="AB168" s="86" t="e">
        <f>VLOOKUP(A168,Enforcements!$C$7:$J$23,8,0)</f>
        <v>#N/A</v>
      </c>
      <c r="AC168" s="82" t="e">
        <f>VLOOKUP(A168,Enforcements!$C$7:$E$23,3,0)</f>
        <v>#N/A</v>
      </c>
      <c r="AD168" s="83" t="str">
        <f t="shared" si="83"/>
        <v>0238-17</v>
      </c>
      <c r="AE168" s="75" t="str">
        <f t="shared" si="84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68" s="75" t="str">
        <f t="shared" si="85"/>
        <v>"C:\Program Files (x86)\AstroGrep\AstroGrep.exe" /spath="C:\Users\stu\Documents\Analysis\2016-02-23 RTDC Observations" /stypes="*4037*20160718*" /stext=" 05:.+((prompt.+disp)|(slice.+state.+chan)|(ment ac)|(system.+state.+chan)|(\|lc)|(penalty)|(\[timeout))" /e /r /s</v>
      </c>
      <c r="AG168" s="1" t="str">
        <f t="shared" si="86"/>
        <v>EC</v>
      </c>
    </row>
    <row r="169" spans="1:33" x14ac:dyDescent="0.25">
      <c r="A169" s="49" t="s">
        <v>552</v>
      </c>
      <c r="B169" s="7">
        <v>4042</v>
      </c>
      <c r="C169" s="26" t="s">
        <v>59</v>
      </c>
      <c r="D169" s="26" t="s">
        <v>194</v>
      </c>
      <c r="E169" s="16">
        <v>42568.966643518521</v>
      </c>
      <c r="F169" s="16">
        <v>42568.967870370368</v>
      </c>
      <c r="G169" s="7">
        <v>1</v>
      </c>
      <c r="H169" s="16" t="s">
        <v>285</v>
      </c>
      <c r="I169" s="16">
        <v>42569.004351851851</v>
      </c>
      <c r="J169" s="7">
        <v>0</v>
      </c>
      <c r="K169" s="26" t="str">
        <f t="shared" si="73"/>
        <v>4041/4042</v>
      </c>
      <c r="L169" s="26" t="str">
        <f>VLOOKUP(A169,'Trips&amp;Operators'!$C$1:$E$10000,3,FALSE)</f>
        <v>COOLAHAN</v>
      </c>
      <c r="M169" s="6">
        <f t="shared" si="74"/>
        <v>3.6481481482042E-2</v>
      </c>
      <c r="N169" s="7">
        <f t="shared" si="44"/>
        <v>52.53333333414048</v>
      </c>
      <c r="O169" s="7"/>
      <c r="P169" s="7"/>
      <c r="Q169" s="27"/>
      <c r="R169" s="27"/>
      <c r="S169" s="45">
        <f t="shared" si="75"/>
        <v>1</v>
      </c>
      <c r="T169" s="69" t="str">
        <f t="shared" si="76"/>
        <v>NorthBound</v>
      </c>
      <c r="U169" s="96">
        <f>COUNTIFS(Variables!$M$2:$M$19,IF(T169="NorthBound","&gt;=","&lt;=")&amp;Y169,Variables!$M$2:$M$19,IF(T169="NorthBound","&lt;=","&gt;=")&amp;Z169)</f>
        <v>12</v>
      </c>
      <c r="V169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22:11:58-0600',mode:absolute,to:'2016-07-18 01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9" s="74" t="str">
        <f t="shared" si="78"/>
        <v>N</v>
      </c>
      <c r="X169" s="92">
        <f t="shared" si="79"/>
        <v>1</v>
      </c>
      <c r="Y169" s="89">
        <f t="shared" si="80"/>
        <v>4.6600000000000003E-2</v>
      </c>
      <c r="Z169" s="89">
        <f t="shared" si="81"/>
        <v>23.328600000000002</v>
      </c>
      <c r="AA169" s="89">
        <f t="shared" si="82"/>
        <v>23.282</v>
      </c>
      <c r="AB169" s="86" t="e">
        <f>VLOOKUP(A169,Enforcements!$C$7:$J$23,8,0)</f>
        <v>#N/A</v>
      </c>
      <c r="AC169" s="82" t="e">
        <f>VLOOKUP(A169,Enforcements!$C$7:$E$23,3,0)</f>
        <v>#N/A</v>
      </c>
      <c r="AD169" s="83" t="str">
        <f t="shared" si="83"/>
        <v>0239-17</v>
      </c>
      <c r="AE169" s="75" t="str">
        <f t="shared" si="84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69" s="75" t="str">
        <f t="shared" si="85"/>
        <v>"C:\Program Files (x86)\AstroGrep\AstroGrep.exe" /spath="C:\Users\stu\Documents\Analysis\2016-02-23 RTDC Observations" /stypes="*4042*20160718*" /stext=" 06:.+((prompt.+disp)|(slice.+state.+chan)|(ment ac)|(system.+state.+chan)|(\|lc)|(penalty)|(\[timeout))" /e /r /s</v>
      </c>
      <c r="AG169" s="1" t="str">
        <f t="shared" si="86"/>
        <v>EC</v>
      </c>
    </row>
    <row r="170" spans="1:33" x14ac:dyDescent="0.25">
      <c r="A170" s="49" t="s">
        <v>523</v>
      </c>
      <c r="B170" s="7">
        <v>4041</v>
      </c>
      <c r="C170" s="26" t="s">
        <v>59</v>
      </c>
      <c r="D170" s="26" t="s">
        <v>626</v>
      </c>
      <c r="E170" s="16">
        <v>42569.028321759259</v>
      </c>
      <c r="F170" s="16">
        <v>42569.02888888889</v>
      </c>
      <c r="G170" s="7">
        <v>0</v>
      </c>
      <c r="H170" s="16" t="s">
        <v>282</v>
      </c>
      <c r="I170" s="16">
        <v>42569.044618055559</v>
      </c>
      <c r="J170" s="7">
        <v>0</v>
      </c>
      <c r="K170" s="26" t="str">
        <f t="shared" si="73"/>
        <v>4041/4042</v>
      </c>
      <c r="L170" s="26" t="str">
        <f>VLOOKUP(A170,'Trips&amp;Operators'!$C$1:$E$10000,3,FALSE)</f>
        <v>COOLAHAN</v>
      </c>
      <c r="M170" s="6">
        <f t="shared" si="74"/>
        <v>1.5729166669188999E-2</v>
      </c>
      <c r="N170" s="7">
        <f t="shared" si="44"/>
        <v>22.650000003632158</v>
      </c>
      <c r="O170" s="7"/>
      <c r="P170" s="7"/>
      <c r="Q170" s="27"/>
      <c r="R170" s="27"/>
      <c r="S170" s="45">
        <f t="shared" si="75"/>
        <v>1</v>
      </c>
      <c r="T170" s="69" t="str">
        <f t="shared" si="76"/>
        <v>Southbound</v>
      </c>
      <c r="U170" s="96">
        <f>COUNTIFS(Variables!$M$2:$M$19,IF(T170="NorthBound","&gt;=","&lt;=")&amp;Y170,Variables!$M$2:$M$19,IF(T170="NorthBound","&lt;=","&gt;=")&amp;Z170)</f>
        <v>12</v>
      </c>
      <c r="V170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23:40:47-0600',mode:absolute,to:'2016-07-18 02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70" s="74" t="str">
        <f t="shared" si="78"/>
        <v>Y</v>
      </c>
      <c r="X170" s="92">
        <f t="shared" si="79"/>
        <v>1</v>
      </c>
      <c r="Y170" s="89">
        <f t="shared" si="80"/>
        <v>12.786899999999999</v>
      </c>
      <c r="Z170" s="89">
        <f t="shared" si="81"/>
        <v>1.83E-2</v>
      </c>
      <c r="AA170" s="89">
        <f t="shared" si="82"/>
        <v>12.768599999999999</v>
      </c>
      <c r="AB170" s="86" t="e">
        <f>VLOOKUP(A170,Enforcements!$C$7:$J$23,8,0)</f>
        <v>#N/A</v>
      </c>
      <c r="AC170" s="82" t="e">
        <f>VLOOKUP(A170,Enforcements!$C$7:$E$23,3,0)</f>
        <v>#N/A</v>
      </c>
      <c r="AD170" s="83" t="str">
        <f t="shared" si="83"/>
        <v>0240-17</v>
      </c>
      <c r="AE170" s="75" t="str">
        <f t="shared" si="84"/>
        <v>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 &amp; aws s3 cp s3://rtdc.mdm.uploadarchive/RTDC4041/2016-07-19/ "C:\Users\stu\Documents\Analysis\2016-02-23 RTDC Observations"\RTDC4041\2016-07-19 --recursive &amp; "C:\Users\stu\Documents\GitHub\mrs-test-scripts\Headless Mode &amp; Sideloading\WalkAndUnGZ.bat" "C:\Users\stu\Documents\Analysis\2016-02-23 RTDC Observations"\RTDC4041\2016-07-19</v>
      </c>
      <c r="AF170" s="75" t="str">
        <f t="shared" si="85"/>
        <v>"C:\Program Files (x86)\AstroGrep\AstroGrep.exe" /spath="C:\Users\stu\Documents\Analysis\2016-02-23 RTDC Observations" /stypes="*4041*20160718*" /stext=" 07:.+((prompt.+disp)|(slice.+state.+chan)|(ment ac)|(system.+state.+chan)|(\|lc)|(penalty)|(\[timeout))" /e /r /s</v>
      </c>
      <c r="AG170" s="1" t="str">
        <f t="shared" si="86"/>
        <v>EC</v>
      </c>
    </row>
    <row r="171" spans="1:33" x14ac:dyDescent="0.25">
      <c r="A171" s="49" t="s">
        <v>523</v>
      </c>
      <c r="B171" s="7">
        <v>4041</v>
      </c>
      <c r="C171" s="26" t="s">
        <v>59</v>
      </c>
      <c r="D171" s="26" t="s">
        <v>207</v>
      </c>
      <c r="E171" s="16">
        <v>42569.01425925926</v>
      </c>
      <c r="F171" s="16">
        <v>42569.0153587963</v>
      </c>
      <c r="G171" s="7">
        <v>1</v>
      </c>
      <c r="H171" s="16" t="s">
        <v>627</v>
      </c>
      <c r="I171" s="16">
        <v>42569.022337962961</v>
      </c>
      <c r="J171" s="7">
        <v>0</v>
      </c>
      <c r="K171" s="26" t="str">
        <f t="shared" si="73"/>
        <v>4041/4042</v>
      </c>
      <c r="L171" s="26" t="str">
        <f>VLOOKUP(A171,'Trips&amp;Operators'!$C$1:$E$10000,3,FALSE)</f>
        <v>COOLAHAN</v>
      </c>
      <c r="M171" s="6">
        <f t="shared" si="74"/>
        <v>6.9791666610399261E-3</v>
      </c>
      <c r="N171" s="7">
        <f t="shared" si="44"/>
        <v>10.049999991897494</v>
      </c>
      <c r="O171" s="7"/>
      <c r="P171" s="7"/>
      <c r="Q171" s="27"/>
      <c r="R171" s="27"/>
      <c r="S171" s="45">
        <f t="shared" si="75"/>
        <v>0</v>
      </c>
      <c r="T171" s="69" t="str">
        <f t="shared" si="76"/>
        <v>Southbound</v>
      </c>
      <c r="U171" s="96">
        <f>COUNTIFS(Variables!$M$2:$M$19,IF(T171="NorthBound","&gt;=","&lt;=")&amp;Y171,Variables!$M$2:$M$19,IF(T171="NorthBound","&lt;=","&gt;=")&amp;Z171)</f>
        <v>0</v>
      </c>
      <c r="V171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23:20:32-0600',mode:absolute,to:'2016-07-18 01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71" s="74" t="str">
        <f t="shared" si="78"/>
        <v>Y</v>
      </c>
      <c r="X171" s="92">
        <f t="shared" si="79"/>
        <v>0</v>
      </c>
      <c r="Y171" s="89">
        <f t="shared" si="80"/>
        <v>23.299399999999999</v>
      </c>
      <c r="Z171" s="89">
        <f t="shared" si="81"/>
        <v>19.481100000000001</v>
      </c>
      <c r="AA171" s="89">
        <f t="shared" si="82"/>
        <v>3.8182999999999971</v>
      </c>
      <c r="AB171" s="86" t="e">
        <f>VLOOKUP(A171,Enforcements!$C$7:$J$23,8,0)</f>
        <v>#N/A</v>
      </c>
      <c r="AC171" s="82" t="e">
        <f>VLOOKUP(A171,Enforcements!$C$7:$E$23,3,0)</f>
        <v>#N/A</v>
      </c>
      <c r="AD171" s="83" t="str">
        <f t="shared" si="83"/>
        <v>0240-17</v>
      </c>
      <c r="AE171" s="75" t="str">
        <f t="shared" si="84"/>
        <v>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 &amp; aws s3 cp s3://rtdc.mdm.uploadarchive/RTDC4041/2016-07-19/ "C:\Users\stu\Documents\Analysis\2016-02-23 RTDC Observations"\RTDC4041\2016-07-19 --recursive &amp; "C:\Users\stu\Documents\GitHub\mrs-test-scripts\Headless Mode &amp; Sideloading\WalkAndUnGZ.bat" "C:\Users\stu\Documents\Analysis\2016-02-23 RTDC Observations"\RTDC4041\2016-07-19</v>
      </c>
      <c r="AF171" s="75" t="str">
        <f t="shared" si="85"/>
        <v>"C:\Program Files (x86)\AstroGrep\AstroGrep.exe" /spath="C:\Users\stu\Documents\Analysis\2016-02-23 RTDC Observations" /stypes="*4041*20160718*" /stext=" 06:.+((prompt.+disp)|(slice.+state.+chan)|(ment ac)|(system.+state.+chan)|(\|lc)|(penalty)|(\[timeout))" /e /r /s</v>
      </c>
      <c r="AG171" s="1" t="str">
        <f t="shared" si="86"/>
        <v>EC</v>
      </c>
    </row>
    <row r="172" spans="1:33" x14ac:dyDescent="0.25">
      <c r="A172" s="49" t="s">
        <v>458</v>
      </c>
      <c r="B172" s="7">
        <v>4044</v>
      </c>
      <c r="C172" s="26" t="s">
        <v>59</v>
      </c>
      <c r="D172" s="26" t="s">
        <v>192</v>
      </c>
      <c r="E172" s="16">
        <v>42568.993761574071</v>
      </c>
      <c r="F172" s="16">
        <v>42568.99523148148</v>
      </c>
      <c r="G172" s="7">
        <v>2</v>
      </c>
      <c r="H172" s="16" t="s">
        <v>178</v>
      </c>
      <c r="I172" s="16">
        <v>42569.024664351855</v>
      </c>
      <c r="J172" s="7">
        <v>1</v>
      </c>
      <c r="K172" s="26" t="str">
        <f t="shared" si="73"/>
        <v>4043/4044</v>
      </c>
      <c r="L172" s="26" t="str">
        <f>VLOOKUP(A172,'Trips&amp;Operators'!$C$1:$E$10000,3,FALSE)</f>
        <v>NEWELL</v>
      </c>
      <c r="M172" s="6">
        <f t="shared" si="74"/>
        <v>2.9432870374876074E-2</v>
      </c>
      <c r="N172" s="7">
        <f t="shared" si="44"/>
        <v>42.383333339821547</v>
      </c>
      <c r="O172" s="7"/>
      <c r="P172" s="7"/>
      <c r="Q172" s="27"/>
      <c r="R172" s="27"/>
      <c r="S172" s="45">
        <f t="shared" si="75"/>
        <v>1</v>
      </c>
      <c r="T172" s="69" t="str">
        <f t="shared" si="76"/>
        <v>NorthBound</v>
      </c>
      <c r="U172" s="96">
        <f>COUNTIFS(Variables!$M$2:$M$19,IF(T172="NorthBound","&gt;=","&lt;=")&amp;Y172,Variables!$M$2:$M$19,IF(T172="NorthBound","&lt;=","&gt;=")&amp;Z172)</f>
        <v>12</v>
      </c>
      <c r="V172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22:51:01-0600',mode:absolute,to:'2016-07-18 01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2" s="74" t="str">
        <f t="shared" si="78"/>
        <v>N</v>
      </c>
      <c r="X172" s="92">
        <f t="shared" si="79"/>
        <v>1</v>
      </c>
      <c r="Y172" s="89">
        <f t="shared" si="80"/>
        <v>4.6199999999999998E-2</v>
      </c>
      <c r="Z172" s="89">
        <f t="shared" si="81"/>
        <v>23.329899999999999</v>
      </c>
      <c r="AA172" s="89">
        <f t="shared" si="82"/>
        <v>23.2837</v>
      </c>
      <c r="AB172" s="86" t="e">
        <f>VLOOKUP(A172,Enforcements!$C$7:$J$23,8,0)</f>
        <v>#N/A</v>
      </c>
      <c r="AC172" s="82" t="e">
        <f>VLOOKUP(A172,Enforcements!$C$7:$E$23,3,0)</f>
        <v>#N/A</v>
      </c>
      <c r="AD172" s="83" t="str">
        <f t="shared" si="83"/>
        <v>0241-17</v>
      </c>
      <c r="AE172" s="75" t="str">
        <f t="shared" si="84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72" s="75" t="str">
        <f t="shared" si="85"/>
        <v>"C:\Program Files (x86)\AstroGrep\AstroGrep.exe" /spath="C:\Users\stu\Documents\Analysis\2016-02-23 RTDC Observations" /stypes="*4044*20160718*" /stext=" 06:.+((prompt.+disp)|(slice.+state.+chan)|(ment ac)|(system.+state.+chan)|(\|lc)|(penalty)|(\[timeout))" /e /r /s</v>
      </c>
      <c r="AG172" s="1" t="str">
        <f t="shared" si="86"/>
        <v>EC</v>
      </c>
    </row>
    <row r="173" spans="1:33" x14ac:dyDescent="0.25">
      <c r="A173" s="49" t="s">
        <v>459</v>
      </c>
      <c r="B173" s="7">
        <v>4043</v>
      </c>
      <c r="C173" s="26" t="s">
        <v>59</v>
      </c>
      <c r="D173" s="26" t="s">
        <v>628</v>
      </c>
      <c r="E173" s="16">
        <v>42569.04896990741</v>
      </c>
      <c r="F173" s="16">
        <v>42569.049583333333</v>
      </c>
      <c r="G173" s="7">
        <v>0</v>
      </c>
      <c r="H173" s="16" t="s">
        <v>184</v>
      </c>
      <c r="I173" s="16">
        <v>42569.066168981481</v>
      </c>
      <c r="J173" s="7">
        <v>1</v>
      </c>
      <c r="K173" s="26" t="str">
        <f t="shared" si="73"/>
        <v>4043/4044</v>
      </c>
      <c r="L173" s="26" t="str">
        <f>VLOOKUP(A173,'Trips&amp;Operators'!$C$1:$E$10000,3,FALSE)</f>
        <v>NEWELL</v>
      </c>
      <c r="M173" s="6">
        <f t="shared" si="74"/>
        <v>1.6585648147156462E-2</v>
      </c>
      <c r="N173" s="7">
        <f t="shared" si="44"/>
        <v>23.883333331905305</v>
      </c>
      <c r="O173" s="7"/>
      <c r="P173" s="7"/>
      <c r="Q173" s="27"/>
      <c r="R173" s="27"/>
      <c r="S173" s="45">
        <f t="shared" si="75"/>
        <v>1</v>
      </c>
      <c r="T173" s="69" t="str">
        <f t="shared" si="76"/>
        <v>Southbound</v>
      </c>
      <c r="U173" s="96">
        <f>COUNTIFS(Variables!$M$2:$M$19,IF(T173="NorthBound","&gt;=","&lt;=")&amp;Y173,Variables!$M$2:$M$19,IF(T173="NorthBound","&lt;=","&gt;=")&amp;Z173)</f>
        <v>12</v>
      </c>
      <c r="V173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00:10:31-0600',mode:absolute,to:'2016-07-18 02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3" s="74" t="str">
        <f t="shared" si="78"/>
        <v>Y</v>
      </c>
      <c r="X173" s="92">
        <f t="shared" si="79"/>
        <v>1</v>
      </c>
      <c r="Y173" s="89">
        <f t="shared" si="80"/>
        <v>12.7842</v>
      </c>
      <c r="Z173" s="89">
        <f t="shared" si="81"/>
        <v>1.4999999999999999E-2</v>
      </c>
      <c r="AA173" s="89">
        <f t="shared" si="82"/>
        <v>12.7692</v>
      </c>
      <c r="AB173" s="86" t="e">
        <f>VLOOKUP(A173,Enforcements!$C$7:$J$23,8,0)</f>
        <v>#N/A</v>
      </c>
      <c r="AC173" s="82" t="e">
        <f>VLOOKUP(A173,Enforcements!$C$7:$E$23,3,0)</f>
        <v>#N/A</v>
      </c>
      <c r="AD173" s="83" t="str">
        <f t="shared" si="83"/>
        <v>0242-17</v>
      </c>
      <c r="AE173" s="75" t="str">
        <f t="shared" si="84"/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AF173" s="75" t="str">
        <f t="shared" si="8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AG173" s="1" t="str">
        <f t="shared" si="86"/>
        <v>EC</v>
      </c>
    </row>
    <row r="174" spans="1:33" x14ac:dyDescent="0.25">
      <c r="A174" s="49" t="s">
        <v>459</v>
      </c>
      <c r="B174" s="7">
        <v>4043</v>
      </c>
      <c r="C174" s="26" t="s">
        <v>59</v>
      </c>
      <c r="D174" s="26" t="s">
        <v>193</v>
      </c>
      <c r="E174" s="16">
        <v>42569.030532407407</v>
      </c>
      <c r="F174" s="16">
        <v>42569.031435185185</v>
      </c>
      <c r="G174" s="7">
        <v>1</v>
      </c>
      <c r="H174" s="16" t="s">
        <v>629</v>
      </c>
      <c r="I174" s="16">
        <v>42569.043402777781</v>
      </c>
      <c r="J174" s="7">
        <v>0</v>
      </c>
      <c r="K174" s="26" t="str">
        <f t="shared" si="73"/>
        <v>4043/4044</v>
      </c>
      <c r="L174" s="26" t="str">
        <f>VLOOKUP(A174,'Trips&amp;Operators'!$C$1:$E$10000,3,FALSE)</f>
        <v>NEWELL</v>
      </c>
      <c r="M174" s="6">
        <f t="shared" si="74"/>
        <v>1.1967592596192844E-2</v>
      </c>
      <c r="N174" s="7">
        <f t="shared" si="44"/>
        <v>17.233333338517696</v>
      </c>
      <c r="O174" s="7"/>
      <c r="P174" s="7"/>
      <c r="Q174" s="27"/>
      <c r="R174" s="27"/>
      <c r="S174" s="45">
        <f t="shared" si="75"/>
        <v>0</v>
      </c>
      <c r="T174" s="69" t="str">
        <f t="shared" si="76"/>
        <v>Southbound</v>
      </c>
      <c r="U174" s="96">
        <f>COUNTIFS(Variables!$M$2:$M$19,IF(T174="NorthBound","&gt;=","&lt;=")&amp;Y174,Variables!$M$2:$M$19,IF(T174="NorthBound","&lt;=","&gt;=")&amp;Z174)</f>
        <v>0</v>
      </c>
      <c r="V174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23:43:58-0600',mode:absolute,to:'2016-07-18 02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4" s="74" t="str">
        <f t="shared" si="78"/>
        <v>Y</v>
      </c>
      <c r="X174" s="92">
        <f t="shared" si="79"/>
        <v>0</v>
      </c>
      <c r="Y174" s="89">
        <f t="shared" si="80"/>
        <v>23.297999999999998</v>
      </c>
      <c r="Z174" s="89">
        <f t="shared" si="81"/>
        <v>19.211400000000001</v>
      </c>
      <c r="AA174" s="89">
        <f t="shared" si="82"/>
        <v>4.0865999999999971</v>
      </c>
      <c r="AB174" s="86" t="e">
        <f>VLOOKUP(A174,Enforcements!$C$7:$J$23,8,0)</f>
        <v>#N/A</v>
      </c>
      <c r="AC174" s="82" t="e">
        <f>VLOOKUP(A174,Enforcements!$C$7:$E$23,3,0)</f>
        <v>#N/A</v>
      </c>
      <c r="AD174" s="83" t="str">
        <f t="shared" si="83"/>
        <v>0242-17</v>
      </c>
      <c r="AE174" s="75" t="str">
        <f t="shared" si="84"/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AF174" s="75" t="str">
        <f t="shared" si="8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AG174" s="1" t="str">
        <f t="shared" si="86"/>
        <v>EC</v>
      </c>
    </row>
    <row r="175" spans="1:33" x14ac:dyDescent="0.25">
      <c r="A175" s="49" t="s">
        <v>376</v>
      </c>
      <c r="B175" s="7">
        <v>4031</v>
      </c>
      <c r="C175" s="26" t="s">
        <v>59</v>
      </c>
      <c r="D175" s="26" t="s">
        <v>375</v>
      </c>
      <c r="E175" s="16">
        <v>42569.018460648149</v>
      </c>
      <c r="F175" s="16">
        <v>42569.020520833335</v>
      </c>
      <c r="G175" s="7">
        <v>2</v>
      </c>
      <c r="H175" s="16" t="s">
        <v>271</v>
      </c>
      <c r="I175" s="16">
        <v>42569.045902777776</v>
      </c>
      <c r="J175" s="7">
        <v>1</v>
      </c>
      <c r="K175" s="26" t="str">
        <f t="shared" si="73"/>
        <v>4031/4032</v>
      </c>
      <c r="L175" s="26" t="str">
        <f>VLOOKUP(A175,'Trips&amp;Operators'!$C$1:$E$10000,3,FALSE)</f>
        <v>CHANDLER</v>
      </c>
      <c r="M175" s="6">
        <f t="shared" si="74"/>
        <v>2.5381944440596271E-2</v>
      </c>
      <c r="N175" s="7">
        <f t="shared" si="44"/>
        <v>36.549999994458631</v>
      </c>
      <c r="O175" s="7"/>
      <c r="P175" s="7"/>
      <c r="Q175" s="27"/>
      <c r="R175" s="27"/>
      <c r="S175" s="45">
        <f t="shared" si="75"/>
        <v>1</v>
      </c>
      <c r="T175" s="69" t="str">
        <f t="shared" si="76"/>
        <v>NorthBound</v>
      </c>
      <c r="U175" s="96">
        <f>COUNTIFS(Variables!$M$2:$M$19,IF(T175="NorthBound","&gt;=","&lt;=")&amp;Y175,Variables!$M$2:$M$19,IF(T175="NorthBound","&lt;=","&gt;=")&amp;Z175)</f>
        <v>12</v>
      </c>
      <c r="V175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23:26:35-0600',mode:absolute,to:'2016-07-18 02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5" s="74" t="str">
        <f t="shared" si="78"/>
        <v>N</v>
      </c>
      <c r="X175" s="92">
        <f t="shared" si="79"/>
        <v>1</v>
      </c>
      <c r="Y175" s="89">
        <f t="shared" si="80"/>
        <v>4.8000000000000001E-2</v>
      </c>
      <c r="Z175" s="89">
        <f t="shared" si="81"/>
        <v>23.328199999999999</v>
      </c>
      <c r="AA175" s="89">
        <f t="shared" si="82"/>
        <v>23.280200000000001</v>
      </c>
      <c r="AB175" s="86" t="e">
        <f>VLOOKUP(A175,Enforcements!$C$7:$J$23,8,0)</f>
        <v>#N/A</v>
      </c>
      <c r="AC175" s="82" t="e">
        <f>VLOOKUP(A175,Enforcements!$C$7:$E$23,3,0)</f>
        <v>#N/A</v>
      </c>
      <c r="AD175" s="83" t="str">
        <f t="shared" si="83"/>
        <v>0243-17</v>
      </c>
      <c r="AE175" s="75" t="str">
        <f t="shared" si="84"/>
        <v>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 &amp; 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</v>
      </c>
      <c r="AF175" s="75" t="str">
        <f t="shared" si="85"/>
        <v>"C:\Program Files (x86)\AstroGrep\AstroGrep.exe" /spath="C:\Users\stu\Documents\Analysis\2016-02-23 RTDC Observations" /stypes="*4031*20160718*" /stext=" 07:.+((prompt.+disp)|(slice.+state.+chan)|(ment ac)|(system.+state.+chan)|(\|lc)|(penalty)|(\[timeout))" /e /r /s</v>
      </c>
      <c r="AG175" s="1" t="str">
        <f t="shared" si="86"/>
        <v>EC</v>
      </c>
    </row>
    <row r="176" spans="1:33" x14ac:dyDescent="0.25">
      <c r="A176" s="49" t="s">
        <v>517</v>
      </c>
      <c r="B176" s="7">
        <v>4032</v>
      </c>
      <c r="C176" s="26" t="s">
        <v>59</v>
      </c>
      <c r="D176" s="26" t="s">
        <v>405</v>
      </c>
      <c r="E176" s="16">
        <v>42569.070439814815</v>
      </c>
      <c r="F176" s="16">
        <v>42569.071331018517</v>
      </c>
      <c r="G176" s="7">
        <v>1</v>
      </c>
      <c r="H176" s="16" t="s">
        <v>630</v>
      </c>
      <c r="I176" s="16">
        <v>42569.087291666663</v>
      </c>
      <c r="J176" s="7">
        <v>1</v>
      </c>
      <c r="K176" s="26" t="str">
        <f t="shared" si="73"/>
        <v>4031/4032</v>
      </c>
      <c r="L176" s="26" t="str">
        <f>VLOOKUP(A176,'Trips&amp;Operators'!$C$1:$E$10000,3,FALSE)</f>
        <v>CHANDLER</v>
      </c>
      <c r="M176" s="6">
        <f t="shared" si="74"/>
        <v>1.5960648146574385E-2</v>
      </c>
      <c r="N176" s="7">
        <f t="shared" si="44"/>
        <v>22.983333331067115</v>
      </c>
      <c r="O176" s="7"/>
      <c r="P176" s="7"/>
      <c r="Q176" s="27"/>
      <c r="R176" s="27"/>
      <c r="S176" s="45">
        <f t="shared" si="75"/>
        <v>1</v>
      </c>
      <c r="T176" s="69" t="str">
        <f t="shared" si="76"/>
        <v>Southbound</v>
      </c>
      <c r="U176" s="96">
        <f>COUNTIFS(Variables!$M$2:$M$19,IF(T176="NorthBound","&gt;=","&lt;=")&amp;Y176,Variables!$M$2:$M$19,IF(T176="NorthBound","&lt;=","&gt;=")&amp;Z176)</f>
        <v>12</v>
      </c>
      <c r="V176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00:41:26-0600',mode:absolute,to:'2016-07-18 03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6" s="74" t="str">
        <f t="shared" si="78"/>
        <v>Y</v>
      </c>
      <c r="X176" s="92">
        <f t="shared" si="79"/>
        <v>1</v>
      </c>
      <c r="Y176" s="89">
        <f t="shared" si="80"/>
        <v>12.7849</v>
      </c>
      <c r="Z176" s="89">
        <f t="shared" si="81"/>
        <v>1.72E-2</v>
      </c>
      <c r="AA176" s="89">
        <f t="shared" si="82"/>
        <v>12.7677</v>
      </c>
      <c r="AB176" s="86" t="e">
        <f>VLOOKUP(A176,Enforcements!$C$7:$J$23,8,0)</f>
        <v>#N/A</v>
      </c>
      <c r="AC176" s="82" t="e">
        <f>VLOOKUP(A176,Enforcements!$C$7:$E$23,3,0)</f>
        <v>#N/A</v>
      </c>
      <c r="AD176" s="83" t="str">
        <f t="shared" si="83"/>
        <v>0244-17</v>
      </c>
      <c r="AE176" s="75" t="str">
        <f t="shared" si="84"/>
        <v>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 &amp; aws s3 cp s3://rtdc.mdm.uploadarchive/RTDC4032/2016-07-19/ "C:\Users\stu\Documents\Analysis\2016-02-23 RTDC Observations"\RTDC4032\2016-07-19 --recursive &amp; "C:\Users\stu\Documents\GitHub\mrs-test-scripts\Headless Mode &amp; Sideloading\WalkAndUnGZ.bat" "C:\Users\stu\Documents\Analysis\2016-02-23 RTDC Observations"\RTDC4032\2016-07-19</v>
      </c>
      <c r="AF176" s="75" t="str">
        <f t="shared" si="85"/>
        <v>"C:\Program Files (x86)\AstroGrep\AstroGrep.exe" /spath="C:\Users\stu\Documents\Analysis\2016-02-23 RTDC Observations" /stypes="*4032*20160718*" /stext=" 08:.+((prompt.+disp)|(slice.+state.+chan)|(ment ac)|(system.+state.+chan)|(\|lc)|(penalty)|(\[timeout))" /e /r /s</v>
      </c>
      <c r="AG176" s="1" t="str">
        <f t="shared" si="86"/>
        <v>EC</v>
      </c>
    </row>
    <row r="177" spans="1:33" x14ac:dyDescent="0.25">
      <c r="A177" s="49" t="s">
        <v>517</v>
      </c>
      <c r="B177" s="7">
        <v>4032</v>
      </c>
      <c r="C177" s="26" t="s">
        <v>59</v>
      </c>
      <c r="D177" s="26" t="s">
        <v>68</v>
      </c>
      <c r="E177" s="16">
        <v>42569.055706018517</v>
      </c>
      <c r="F177" s="16">
        <v>42569.056516203702</v>
      </c>
      <c r="G177" s="7">
        <v>1</v>
      </c>
      <c r="H177" s="16" t="s">
        <v>631</v>
      </c>
      <c r="I177" s="16">
        <v>42569.063761574071</v>
      </c>
      <c r="J177" s="7">
        <v>0</v>
      </c>
      <c r="K177" s="26" t="str">
        <f t="shared" si="73"/>
        <v>4031/4032</v>
      </c>
      <c r="L177" s="26" t="str">
        <f>VLOOKUP(A177,'Trips&amp;Operators'!$C$1:$E$10000,3,FALSE)</f>
        <v>CHANDLER</v>
      </c>
      <c r="M177" s="6">
        <f t="shared" si="74"/>
        <v>7.2453703687642701E-3</v>
      </c>
      <c r="N177" s="7">
        <f t="shared" si="44"/>
        <v>10.433333331020549</v>
      </c>
      <c r="O177" s="7"/>
      <c r="P177" s="7"/>
      <c r="Q177" s="27"/>
      <c r="R177" s="27"/>
      <c r="S177" s="45">
        <f t="shared" si="75"/>
        <v>0</v>
      </c>
      <c r="T177" s="69" t="str">
        <f t="shared" si="76"/>
        <v>Southbound</v>
      </c>
      <c r="U177" s="96">
        <f>COUNTIFS(Variables!$M$2:$M$19,IF(T177="NorthBound","&gt;=","&lt;=")&amp;Y177,Variables!$M$2:$M$19,IF(T177="NorthBound","&lt;=","&gt;=")&amp;Z177)</f>
        <v>0</v>
      </c>
      <c r="V177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00:20:13-0600',mode:absolute,to:'2016-07-18 02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7" s="74" t="str">
        <f t="shared" si="78"/>
        <v>Y</v>
      </c>
      <c r="X177" s="92">
        <f t="shared" si="79"/>
        <v>0</v>
      </c>
      <c r="Y177" s="89">
        <f t="shared" si="80"/>
        <v>23.297699999999999</v>
      </c>
      <c r="Z177" s="89">
        <f t="shared" si="81"/>
        <v>19.8934</v>
      </c>
      <c r="AA177" s="89">
        <f t="shared" si="82"/>
        <v>3.4042999999999992</v>
      </c>
      <c r="AB177" s="86" t="e">
        <f>VLOOKUP(A177,Enforcements!$C$7:$J$23,8,0)</f>
        <v>#N/A</v>
      </c>
      <c r="AC177" s="82" t="e">
        <f>VLOOKUP(A177,Enforcements!$C$7:$E$23,3,0)</f>
        <v>#N/A</v>
      </c>
      <c r="AD177" s="83" t="str">
        <f t="shared" si="83"/>
        <v>0244-17</v>
      </c>
      <c r="AE177" s="75" t="str">
        <f t="shared" si="84"/>
        <v>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 &amp; aws s3 cp s3://rtdc.mdm.uploadarchive/RTDC4032/2016-07-19/ "C:\Users\stu\Documents\Analysis\2016-02-23 RTDC Observations"\RTDC4032\2016-07-19 --recursive &amp; "C:\Users\stu\Documents\GitHub\mrs-test-scripts\Headless Mode &amp; Sideloading\WalkAndUnGZ.bat" "C:\Users\stu\Documents\Analysis\2016-02-23 RTDC Observations"\RTDC4032\2016-07-19</v>
      </c>
      <c r="AF177" s="75" t="str">
        <f t="shared" si="85"/>
        <v>"C:\Program Files (x86)\AstroGrep\AstroGrep.exe" /spath="C:\Users\stu\Documents\Analysis\2016-02-23 RTDC Observations" /stypes="*4032*20160718*" /stext=" 07:.+((prompt.+disp)|(slice.+state.+chan)|(ment ac)|(system.+state.+chan)|(\|lc)|(penalty)|(\[timeout))" /e /r /s</v>
      </c>
      <c r="AG177" s="1" t="str">
        <f t="shared" si="86"/>
        <v>EC</v>
      </c>
    </row>
    <row r="178" spans="1:33" x14ac:dyDescent="0.25">
      <c r="A178" s="49" t="s">
        <v>400</v>
      </c>
      <c r="B178" s="7">
        <v>4017</v>
      </c>
      <c r="C178" s="26" t="s">
        <v>59</v>
      </c>
      <c r="D178" s="26" t="s">
        <v>239</v>
      </c>
      <c r="E178" s="16">
        <v>42568.078680555554</v>
      </c>
      <c r="F178" s="16">
        <v>42568.07953703704</v>
      </c>
      <c r="G178" s="7">
        <v>1</v>
      </c>
      <c r="H178" s="16" t="s">
        <v>220</v>
      </c>
      <c r="I178" s="16">
        <v>42568.105833333335</v>
      </c>
      <c r="J178" s="7">
        <v>0</v>
      </c>
      <c r="K178" s="26" t="str">
        <f t="shared" si="73"/>
        <v>4017/4018</v>
      </c>
      <c r="L178" s="26" t="str">
        <f>VLOOKUP(A178,'Trips&amp;Operators'!$C$1:$E$10000,3,FALSE)</f>
        <v>LEVIN</v>
      </c>
      <c r="M178" s="6">
        <f t="shared" si="74"/>
        <v>2.6296296295186039E-2</v>
      </c>
      <c r="N178" s="7">
        <f t="shared" si="44"/>
        <v>37.866666665067896</v>
      </c>
      <c r="O178" s="7"/>
      <c r="P178" s="7"/>
      <c r="Q178" s="27"/>
      <c r="R178" s="27"/>
      <c r="S178" s="45">
        <f t="shared" si="75"/>
        <v>1</v>
      </c>
      <c r="T178" s="69" t="str">
        <f t="shared" si="76"/>
        <v>Southbound</v>
      </c>
      <c r="U178" s="96">
        <f>COUNTIFS(Variables!$M$2:$M$19,IF(T178="NorthBound","&gt;=","&lt;=")&amp;Y178,Variables!$M$2:$M$19,IF(T178="NorthBound","&lt;=","&gt;=")&amp;Z178)</f>
        <v>12</v>
      </c>
      <c r="V178" s="74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00:53:18-0600',mode:absolute,to:'2016-07-17 03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78" s="74" t="str">
        <f t="shared" si="78"/>
        <v>N</v>
      </c>
      <c r="X178" s="92">
        <f t="shared" si="79"/>
        <v>2</v>
      </c>
      <c r="Y178" s="89">
        <f t="shared" si="80"/>
        <v>23.2971</v>
      </c>
      <c r="Z178" s="89">
        <f t="shared" si="81"/>
        <v>1.41E-2</v>
      </c>
      <c r="AA178" s="89">
        <f t="shared" si="82"/>
        <v>23.283000000000001</v>
      </c>
      <c r="AB178" s="86" t="e">
        <f>VLOOKUP(A178,Enforcements!$C$7:$J$23,8,0)</f>
        <v>#N/A</v>
      </c>
      <c r="AC178" s="82" t="e">
        <f>VLOOKUP(A178,Enforcements!$C$7:$E$23,3,0)</f>
        <v>#N/A</v>
      </c>
      <c r="AD178" s="83" t="str">
        <f t="shared" si="83"/>
        <v>0246-16</v>
      </c>
      <c r="AE178" s="75" t="str">
        <f t="shared" si="84"/>
        <v>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 &amp; 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</v>
      </c>
      <c r="AF178" s="75" t="str">
        <f t="shared" si="85"/>
        <v>"C:\Program Files (x86)\AstroGrep\AstroGrep.exe" /spath="C:\Users\stu\Documents\Analysis\2016-02-23 RTDC Observations" /stypes="*4017*20160717*" /stext=" 08:.+((prompt.+disp)|(slice.+state.+chan)|(ment ac)|(system.+state.+chan)|(\|lc)|(penalty)|(\[timeout))" /e /r /s</v>
      </c>
      <c r="AG178" s="1" t="str">
        <f t="shared" si="86"/>
        <v>EC</v>
      </c>
    </row>
  </sheetData>
  <autoFilter ref="A12:AD17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78">
    <cfRule type="expression" dxfId="5" priority="52">
      <formula>$O13&gt;0</formula>
    </cfRule>
  </conditionalFormatting>
  <conditionalFormatting sqref="A13:S178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85" zoomScaleNormal="85" workbookViewId="0"/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108</v>
      </c>
      <c r="L2" s="98"/>
      <c r="M2" s="100">
        <f>COUNTIF($M$7:$M$608,"=Y")</f>
        <v>21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109</v>
      </c>
      <c r="L3" s="99"/>
      <c r="M3" s="101">
        <f>COUNTA($M$7:$M$608)-M2</f>
        <v>39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165</v>
      </c>
      <c r="Q6" s="105" t="s">
        <v>69</v>
      </c>
      <c r="R6" s="106" t="s">
        <v>164</v>
      </c>
      <c r="S6" s="103" t="s">
        <v>158</v>
      </c>
      <c r="T6" s="107" t="s">
        <v>159</v>
      </c>
      <c r="U6" s="69" t="s">
        <v>177</v>
      </c>
      <c r="V6" s="69" t="s">
        <v>202</v>
      </c>
    </row>
    <row r="7" spans="1:22" s="1" customFormat="1" x14ac:dyDescent="0.25">
      <c r="A7" s="48">
        <v>42568.620358796295</v>
      </c>
      <c r="B7" s="65" t="s">
        <v>118</v>
      </c>
      <c r="C7" s="41" t="s">
        <v>431</v>
      </c>
      <c r="D7" s="41" t="s">
        <v>50</v>
      </c>
      <c r="E7" s="65" t="s">
        <v>173</v>
      </c>
      <c r="F7" s="66">
        <v>0</v>
      </c>
      <c r="G7" s="66">
        <v>179</v>
      </c>
      <c r="H7" s="66">
        <v>109673</v>
      </c>
      <c r="I7" s="65" t="s">
        <v>174</v>
      </c>
      <c r="J7" s="66">
        <v>109135</v>
      </c>
      <c r="K7" s="41" t="s">
        <v>54</v>
      </c>
      <c r="L7" s="93">
        <f>VLOOKUP(C7,'Trips&amp;Operators'!$C$1:$E$9999,3,0)</f>
        <v>0</v>
      </c>
      <c r="M7" s="9" t="s">
        <v>106</v>
      </c>
      <c r="N7" s="10"/>
      <c r="O7" s="69"/>
      <c r="P7" s="72" t="str">
        <f>VLOOKUP(C7,'Train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7" s="70" t="str">
        <f>VLOOKUP(C7,'Train Runs'!$A$13:$AE$870,22,0)</f>
        <v>https://search-rtdc-monitor-bjffxe2xuh6vdkpspy63sjmuny.us-east-1.es.amazonaws.com/_plugin/kibana/#/discover/Steve-Slow-Train-Analysis-(2080s-and-2083s)?_g=(refreshInterval:(display:Off,section:0,value:0),time:(from:'2016-07-17 13:21:07-0600',mode:absolute,to:'2016-07-17 16:00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/stypes="*4013*20160717*" /stext=" 20:.+((prompt.+disp)|(slice.+state.+chan)|(ment ac)|(system.+state.+chan)|(\|lc)|(penalty)|(\[timeout))" /e /r /s</v>
      </c>
      <c r="S7" s="9" t="str">
        <f t="shared" ref="S7:S38" si="1">MID(B7,13,4)</f>
        <v>4013</v>
      </c>
      <c r="T7" s="48">
        <f t="shared" ref="T7:T38" si="2">A7+6/24</f>
        <v>42568.870358796295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42568.480949074074</v>
      </c>
      <c r="B8" s="65" t="s">
        <v>76</v>
      </c>
      <c r="C8" s="41" t="s">
        <v>423</v>
      </c>
      <c r="D8" s="41" t="s">
        <v>203</v>
      </c>
      <c r="E8" s="65" t="s">
        <v>57</v>
      </c>
      <c r="F8" s="66">
        <v>200</v>
      </c>
      <c r="G8" s="66">
        <v>250</v>
      </c>
      <c r="H8" s="66">
        <v>5426</v>
      </c>
      <c r="I8" s="65" t="s">
        <v>58</v>
      </c>
      <c r="J8" s="66">
        <v>4677</v>
      </c>
      <c r="K8" s="41" t="s">
        <v>53</v>
      </c>
      <c r="L8" s="93" t="str">
        <f>VLOOKUP(C8,'Trips&amp;Operators'!$C$1:$E$9999,3,0)</f>
        <v>BRUDER</v>
      </c>
      <c r="M8" s="9" t="s">
        <v>107</v>
      </c>
      <c r="N8" s="10"/>
      <c r="O8" s="41"/>
      <c r="P8" s="72" t="str">
        <f>VLOOKUP(C8,'Train Runs'!$A$13:$AE$870,31,0)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8" s="70" t="str">
        <f>VLOOKUP(C8,'Train Runs'!$A$13:$AE$870,22,0)</f>
        <v>https://search-rtdc-monitor-bjffxe2xuh6vdkpspy63sjmuny.us-east-1.es.amazonaws.com/_plugin/kibana/#/discover/Steve-Slow-Train-Analysis-(2080s-and-2083s)?_g=(refreshInterval:(display:Off,section:0,value:0),time:(from:'2016-07-17 10:24:57-0600',mode:absolute,to:'2016-07-17 13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71" t="str">
        <f t="shared" si="0"/>
        <v>"C:\Program Files (x86)\AstroGrep\AstroGrep.exe" /spath="C:\Users\stu\Documents\Analysis\2016-02-23 RTDC Observations" /stypes="*4031*20160717*" /stext=" 17:.+((prompt.+disp)|(slice.+state.+chan)|(ment ac)|(system.+state.+chan)|(\|lc)|(penalty)|(\[timeout))" /e /r /s</v>
      </c>
      <c r="S8" s="9" t="str">
        <f t="shared" si="1"/>
        <v>4031</v>
      </c>
      <c r="T8" s="48">
        <f t="shared" si="2"/>
        <v>42568.730949074074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42568.198564814818</v>
      </c>
      <c r="B9" s="65" t="s">
        <v>175</v>
      </c>
      <c r="C9" s="41" t="s">
        <v>414</v>
      </c>
      <c r="D9" s="41" t="s">
        <v>50</v>
      </c>
      <c r="E9" s="65" t="s">
        <v>57</v>
      </c>
      <c r="F9" s="66">
        <v>200</v>
      </c>
      <c r="G9" s="66">
        <v>292</v>
      </c>
      <c r="H9" s="66">
        <v>6651</v>
      </c>
      <c r="I9" s="65" t="s">
        <v>58</v>
      </c>
      <c r="J9" s="66">
        <v>5457</v>
      </c>
      <c r="K9" s="41" t="s">
        <v>54</v>
      </c>
      <c r="L9" s="93" t="str">
        <f>VLOOKUP(C9,'Trips&amp;Operators'!$C$1:$E$9999,3,0)</f>
        <v>ROCHA</v>
      </c>
      <c r="M9" s="9" t="s">
        <v>107</v>
      </c>
      <c r="N9" s="10"/>
      <c r="O9" s="41"/>
      <c r="P9" s="72" t="str">
        <f>VLOOKUP(C9,'Train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9" s="70" t="str">
        <f>VLOOKUP(C9,'Train Runs'!$A$13:$AE$870,22,0)</f>
        <v>https://search-rtdc-monitor-bjffxe2xuh6vdkpspy63sjmuny.us-east-1.es.amazonaws.com/_plugin/kibana/#/discover/Steve-Slow-Train-Analysis-(2080s-and-2083s)?_g=(refreshInterval:(display:Off,section:0,value:0),time:(from:'2016-07-17 03:09:15-0600',mode:absolute,to:'2016-07-17 05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" s="71" t="str">
        <f t="shared" si="0"/>
        <v>"C:\Program Files (x86)\AstroGrep\AstroGrep.exe" /spath="C:\Users\stu\Documents\Analysis\2016-02-23 RTDC Observations" /stypes="*4015*20160717*" /stext=" 10:.+((prompt.+disp)|(slice.+state.+chan)|(ment ac)|(system.+state.+chan)|(\|lc)|(penalty)|(\[timeout))" /e /r /s</v>
      </c>
      <c r="S9" s="9" t="str">
        <f t="shared" si="1"/>
        <v>4015</v>
      </c>
      <c r="T9" s="48">
        <f t="shared" si="2"/>
        <v>42568.448564814818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42568.520891203705</v>
      </c>
      <c r="B10" s="65" t="s">
        <v>120</v>
      </c>
      <c r="C10" s="41" t="s">
        <v>426</v>
      </c>
      <c r="D10" s="41" t="s">
        <v>50</v>
      </c>
      <c r="E10" s="41" t="s">
        <v>57</v>
      </c>
      <c r="F10" s="66">
        <v>450</v>
      </c>
      <c r="G10" s="66">
        <v>457</v>
      </c>
      <c r="H10" s="66">
        <v>17664</v>
      </c>
      <c r="I10" s="41" t="s">
        <v>58</v>
      </c>
      <c r="J10" s="66">
        <v>15167</v>
      </c>
      <c r="K10" s="41" t="s">
        <v>54</v>
      </c>
      <c r="L10" s="93" t="str">
        <f>VLOOKUP(C10,'Trips&amp;Operators'!$C$1:$E$9999,3,0)</f>
        <v>STEWART</v>
      </c>
      <c r="M10" s="9" t="s">
        <v>107</v>
      </c>
      <c r="N10" s="10"/>
      <c r="O10" s="69"/>
      <c r="P10" s="72" t="str">
        <f>VLOOKUP(C10,'Train Runs'!$A$13:$AE$870,31,0)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10" s="70" t="str">
        <f>VLOOKUP(C10,'Train Runs'!$A$13:$AE$870,22,0)</f>
        <v>https://search-rtdc-monitor-bjffxe2xuh6vdkpspy63sjmuny.us-east-1.es.amazonaws.com/_plugin/kibana/#/discover/Steve-Slow-Train-Analysis-(2080s-and-2083s)?_g=(refreshInterval:(display:Off,section:0,value:0),time:(from:'2016-07-17 10:51:16-0600',mode:absolute,to:'2016-07-17 13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0" s="71" t="str">
        <f t="shared" si="0"/>
        <v>"C:\Program Files (x86)\AstroGrep\AstroGrep.exe" /spath="C:\Users\stu\Documents\Analysis\2016-02-23 RTDC Observations" /stypes="*4028*20160717*" /stext=" 18:.+((prompt.+disp)|(slice.+state.+chan)|(ment ac)|(system.+state.+chan)|(\|lc)|(penalty)|(\[timeout))" /e /r /s</v>
      </c>
      <c r="S10" s="9" t="str">
        <f t="shared" si="1"/>
        <v>4028</v>
      </c>
      <c r="T10" s="48">
        <f t="shared" si="2"/>
        <v>42568.770891203705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42568.277928240743</v>
      </c>
      <c r="B11" s="65" t="s">
        <v>175</v>
      </c>
      <c r="C11" s="41" t="s">
        <v>417</v>
      </c>
      <c r="D11" s="41" t="s">
        <v>50</v>
      </c>
      <c r="E11" s="65" t="s">
        <v>57</v>
      </c>
      <c r="F11" s="66">
        <v>200</v>
      </c>
      <c r="G11" s="66">
        <v>207</v>
      </c>
      <c r="H11" s="66">
        <v>30719</v>
      </c>
      <c r="I11" s="65" t="s">
        <v>58</v>
      </c>
      <c r="J11" s="66">
        <v>30562</v>
      </c>
      <c r="K11" s="41" t="s">
        <v>54</v>
      </c>
      <c r="L11" s="93" t="str">
        <f>VLOOKUP(C11,'Trips&amp;Operators'!$C$1:$E$9999,3,0)</f>
        <v>ROCHA</v>
      </c>
      <c r="M11" s="9" t="s">
        <v>107</v>
      </c>
      <c r="N11" s="10"/>
      <c r="O11" s="41"/>
      <c r="P11" s="72" t="str">
        <f>VLOOKUP(C11,'Train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1" s="70" t="str">
        <f>VLOOKUP(C11,'Train Runs'!$A$13:$AE$870,22,0)</f>
        <v>https://search-rtdc-monitor-bjffxe2xuh6vdkpspy63sjmuny.us-east-1.es.amazonaws.com/_plugin/kibana/#/discover/Steve-Slow-Train-Analysis-(2080s-and-2083s)?_g=(refreshInterval:(display:Off,section:0,value:0),time:(from:'2016-07-17 05:09:49-0600',mode:absolute,to:'2016-07-17 07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1" s="71" t="str">
        <f t="shared" si="0"/>
        <v>"C:\Program Files (x86)\AstroGrep\AstroGrep.exe" /spath="C:\Users\stu\Documents\Analysis\2016-02-23 RTDC Observations" /stypes="*4015*20160717*" /stext=" 12:.+((prompt.+disp)|(slice.+state.+chan)|(ment ac)|(system.+state.+chan)|(\|lc)|(penalty)|(\[timeout))" /e /r /s</v>
      </c>
      <c r="S11" s="9" t="str">
        <f t="shared" si="1"/>
        <v>4015</v>
      </c>
      <c r="T11" s="48">
        <f t="shared" si="2"/>
        <v>42568.527928240743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42568.719189814816</v>
      </c>
      <c r="B12" s="65" t="s">
        <v>175</v>
      </c>
      <c r="C12" s="41" t="s">
        <v>438</v>
      </c>
      <c r="D12" s="41" t="s">
        <v>50</v>
      </c>
      <c r="E12" s="65" t="s">
        <v>57</v>
      </c>
      <c r="F12" s="66">
        <v>200</v>
      </c>
      <c r="G12" s="66">
        <v>403</v>
      </c>
      <c r="H12" s="66">
        <v>32565</v>
      </c>
      <c r="I12" s="65" t="s">
        <v>58</v>
      </c>
      <c r="J12" s="66">
        <v>30562</v>
      </c>
      <c r="K12" s="41" t="s">
        <v>54</v>
      </c>
      <c r="L12" s="93" t="str">
        <f>VLOOKUP(C12,'Trips&amp;Operators'!$C$1:$E$9999,3,0)</f>
        <v>MAYBERRY</v>
      </c>
      <c r="M12" s="9" t="s">
        <v>107</v>
      </c>
      <c r="N12" s="10"/>
      <c r="O12" s="69"/>
      <c r="P12" s="72" t="str">
        <f>VLOOKUP(C12,'Train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2" s="70" t="str">
        <f>VLOOKUP(C12,'Train Runs'!$A$13:$AE$870,22,0)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1" t="str">
        <f t="shared" si="0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S12" s="9" t="str">
        <f t="shared" si="1"/>
        <v>4015</v>
      </c>
      <c r="T12" s="48">
        <f t="shared" si="2"/>
        <v>42568.969189814816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42568.719675925924</v>
      </c>
      <c r="B13" s="65" t="s">
        <v>175</v>
      </c>
      <c r="C13" s="41" t="s">
        <v>438</v>
      </c>
      <c r="D13" s="41" t="s">
        <v>50</v>
      </c>
      <c r="E13" s="65" t="s">
        <v>57</v>
      </c>
      <c r="F13" s="66">
        <v>200</v>
      </c>
      <c r="G13" s="66">
        <v>169</v>
      </c>
      <c r="H13" s="66">
        <v>31060</v>
      </c>
      <c r="I13" s="65" t="s">
        <v>58</v>
      </c>
      <c r="J13" s="66">
        <v>30562</v>
      </c>
      <c r="K13" s="41" t="s">
        <v>54</v>
      </c>
      <c r="L13" s="93" t="str">
        <f>VLOOKUP(C13,'Trips&amp;Operators'!$C$1:$E$9999,3,0)</f>
        <v>MAYBERRY</v>
      </c>
      <c r="M13" s="9" t="s">
        <v>107</v>
      </c>
      <c r="N13" s="10"/>
      <c r="O13" s="41"/>
      <c r="P13" s="72" t="str">
        <f>VLOOKUP(C13,'Train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3" s="70" t="str">
        <f>VLOOKUP(C13,'Train Runs'!$A$13:$AE$870,22,0)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3" s="71" t="str">
        <f t="shared" si="0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S13" s="9" t="str">
        <f t="shared" si="1"/>
        <v>4015</v>
      </c>
      <c r="T13" s="48">
        <f t="shared" si="2"/>
        <v>42568.969675925924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42568.598090277781</v>
      </c>
      <c r="B14" s="65" t="s">
        <v>176</v>
      </c>
      <c r="C14" s="41" t="s">
        <v>430</v>
      </c>
      <c r="D14" s="41" t="s">
        <v>50</v>
      </c>
      <c r="E14" s="65" t="s">
        <v>57</v>
      </c>
      <c r="F14" s="66">
        <v>400</v>
      </c>
      <c r="G14" s="66">
        <v>537</v>
      </c>
      <c r="H14" s="66">
        <v>115753</v>
      </c>
      <c r="I14" s="65" t="s">
        <v>58</v>
      </c>
      <c r="J14" s="66">
        <v>116838</v>
      </c>
      <c r="K14" s="41" t="s">
        <v>53</v>
      </c>
      <c r="L14" s="93" t="str">
        <f>VLOOKUP(C14,'Trips&amp;Operators'!$C$1:$E$9999,3,0)</f>
        <v>MAYBERRY</v>
      </c>
      <c r="M14" s="9" t="s">
        <v>107</v>
      </c>
      <c r="N14" s="10"/>
      <c r="O14" s="69"/>
      <c r="P14" s="72" t="str">
        <f>VLOOKUP(C14,'Train Runs'!$A$13:$AE$870,31,0)</f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Q14" s="70" t="str">
        <f>VLOOKUP(C14,'Train Runs'!$A$13:$AE$870,22,0)</f>
        <v>https://search-rtdc-monitor-bjffxe2xuh6vdkpspy63sjmuny.us-east-1.es.amazonaws.com/_plugin/kibana/#/discover/Steve-Slow-Train-Analysis-(2080s-and-2083s)?_g=(refreshInterval:(display:Off,section:0,value:0),time:(from:'2016-07-17 12:49:52-0600',mode:absolute,to:'2016-07-17 15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4" s="71" t="str">
        <f t="shared" si="0"/>
        <v>"C:\Program Files (x86)\AstroGrep\AstroGrep.exe" /spath="C:\Users\stu\Documents\Analysis\2016-02-23 RTDC Observations" /stypes="*4016*20160717*" /stext=" 20:.+((prompt.+disp)|(slice.+state.+chan)|(ment ac)|(system.+state.+chan)|(\|lc)|(penalty)|(\[timeout))" /e /r /s</v>
      </c>
      <c r="S14" s="9" t="str">
        <f t="shared" si="1"/>
        <v>4016</v>
      </c>
      <c r="T14" s="48">
        <f t="shared" si="2"/>
        <v>42568.848090277781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42568.920856481483</v>
      </c>
      <c r="B15" s="41" t="s">
        <v>121</v>
      </c>
      <c r="C15" s="41" t="s">
        <v>453</v>
      </c>
      <c r="D15" s="41" t="s">
        <v>50</v>
      </c>
      <c r="E15" s="41" t="s">
        <v>57</v>
      </c>
      <c r="F15" s="66">
        <v>450</v>
      </c>
      <c r="G15" s="66">
        <v>522</v>
      </c>
      <c r="H15" s="66">
        <v>158588</v>
      </c>
      <c r="I15" s="41" t="s">
        <v>58</v>
      </c>
      <c r="J15" s="66">
        <v>156300</v>
      </c>
      <c r="K15" s="41" t="s">
        <v>54</v>
      </c>
      <c r="L15" s="93" t="str">
        <f>VLOOKUP(C15,'Trips&amp;Operators'!$C$1:$E$9999,3,0)</f>
        <v>LEVERE</v>
      </c>
      <c r="M15" s="9" t="s">
        <v>107</v>
      </c>
      <c r="N15" s="10"/>
      <c r="O15" s="41"/>
      <c r="P15" s="72" t="str">
        <f>VLOOKUP(C15,'Train Runs'!$A$13:$AE$870,31,0)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15" s="70" t="str">
        <f>VLOOKUP(C15,'Train Runs'!$A$13:$AE$870,22,0)</f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5" s="71" t="str">
        <f t="shared" si="0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S15" s="9" t="str">
        <f t="shared" si="1"/>
        <v>4037</v>
      </c>
      <c r="T15" s="48">
        <f t="shared" si="2"/>
        <v>42569.170856481483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42568.702847222223</v>
      </c>
      <c r="B16" s="41" t="s">
        <v>175</v>
      </c>
      <c r="C16" s="41" t="s">
        <v>438</v>
      </c>
      <c r="D16" s="41" t="s">
        <v>203</v>
      </c>
      <c r="E16" s="41" t="s">
        <v>57</v>
      </c>
      <c r="F16" s="66">
        <v>600</v>
      </c>
      <c r="G16" s="66">
        <v>654</v>
      </c>
      <c r="H16" s="66">
        <v>184252</v>
      </c>
      <c r="I16" s="41" t="s">
        <v>58</v>
      </c>
      <c r="J16" s="66">
        <v>190834</v>
      </c>
      <c r="K16" s="41" t="s">
        <v>54</v>
      </c>
      <c r="L16" s="93" t="str">
        <f>VLOOKUP(C16,'Trips&amp;Operators'!$C$1:$E$9999,3,0)</f>
        <v>MAYBERRY</v>
      </c>
      <c r="M16" s="9" t="s">
        <v>107</v>
      </c>
      <c r="N16" s="10"/>
      <c r="O16" s="41"/>
      <c r="P16" s="72" t="str">
        <f>VLOOKUP(C16,'Train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6" s="70" t="str">
        <f>VLOOKUP(C16,'Train Runs'!$A$13:$AE$870,22,0)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6" s="71" t="str">
        <f t="shared" si="0"/>
        <v>"C:\Program Files (x86)\AstroGrep\AstroGrep.exe" /spath="C:\Users\stu\Documents\Analysis\2016-02-23 RTDC Observations" /stypes="*4015*20160717*" /stext=" 22:.+((prompt.+disp)|(slice.+state.+chan)|(ment ac)|(system.+state.+chan)|(\|lc)|(penalty)|(\[timeout))" /e /r /s</v>
      </c>
      <c r="S16" s="9" t="str">
        <f t="shared" si="1"/>
        <v>4015</v>
      </c>
      <c r="T16" s="48">
        <f t="shared" si="2"/>
        <v>42568.952847222223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42568.634143518517</v>
      </c>
      <c r="B17" s="65" t="s">
        <v>216</v>
      </c>
      <c r="C17" s="41" t="s">
        <v>433</v>
      </c>
      <c r="D17" s="41" t="s">
        <v>50</v>
      </c>
      <c r="E17" s="65" t="s">
        <v>57</v>
      </c>
      <c r="F17" s="66">
        <v>150</v>
      </c>
      <c r="G17" s="66">
        <v>190</v>
      </c>
      <c r="H17" s="66">
        <v>229317</v>
      </c>
      <c r="I17" s="65" t="s">
        <v>58</v>
      </c>
      <c r="J17" s="66">
        <v>229055</v>
      </c>
      <c r="K17" s="41" t="s">
        <v>54</v>
      </c>
      <c r="L17" s="93" t="str">
        <f>VLOOKUP(C17,'Trips&amp;Operators'!$C$1:$E$9999,3,0)</f>
        <v>KILLION</v>
      </c>
      <c r="M17" s="9" t="s">
        <v>107</v>
      </c>
      <c r="N17" s="10"/>
      <c r="O17" s="41"/>
      <c r="P17" s="72" t="str">
        <f>VLOOKUP(C17,'Train Runs'!$A$13:$AE$870,31,0)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17" s="70" t="str">
        <f>VLOOKUP(C17,'Train Runs'!$A$13:$AE$870,22,0)</f>
        <v>https://search-rtdc-monitor-bjffxe2xuh6vdkpspy63sjmuny.us-east-1.es.amazonaws.com/_plugin/kibana/#/discover/Steve-Slow-Train-Analysis-(2080s-and-2083s)?_g=(refreshInterval:(display:Off,section:0,value:0),time:(from:'2016-07-17 14:06:41-0600',mode:absolute,to:'2016-07-17 16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42568.884143518517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42568.654999999999</v>
      </c>
      <c r="B18" s="41" t="s">
        <v>132</v>
      </c>
      <c r="C18" s="41" t="s">
        <v>435</v>
      </c>
      <c r="D18" s="41" t="s">
        <v>50</v>
      </c>
      <c r="E18" s="41" t="s">
        <v>57</v>
      </c>
      <c r="F18" s="66">
        <v>150</v>
      </c>
      <c r="G18" s="66">
        <v>187</v>
      </c>
      <c r="H18" s="66">
        <v>229401</v>
      </c>
      <c r="I18" s="41" t="s">
        <v>58</v>
      </c>
      <c r="J18" s="66">
        <v>229055</v>
      </c>
      <c r="K18" s="41" t="s">
        <v>54</v>
      </c>
      <c r="L18" s="93" t="str">
        <f>VLOOKUP(C18,'Trips&amp;Operators'!$C$1:$E$9999,3,0)</f>
        <v>STORY</v>
      </c>
      <c r="M18" s="9" t="s">
        <v>107</v>
      </c>
      <c r="N18" s="10"/>
      <c r="O18" s="41"/>
      <c r="P18" s="72" t="str">
        <f>VLOOKUP(C18,'Train Runs'!$A$13:$AE$870,31,0)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18" s="70" t="str">
        <f>VLOOKUP(C18,'Train Runs'!$A$13:$AE$870,22,0)</f>
        <v>https://search-rtdc-monitor-bjffxe2xuh6vdkpspy63sjmuny.us-east-1.es.amazonaws.com/_plugin/kibana/#/discover/Steve-Slow-Train-Analysis-(2080s-and-2083s)?_g=(refreshInterval:(display:Off,section:0,value:0),time:(from:'2016-07-17 14:36:09-0600',mode:absolute,to:'2016-07-17 17:25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8" s="71" t="str">
        <f t="shared" si="0"/>
        <v>"C:\Program Files (x86)\AstroGrep\AstroGrep.exe" /spath="C:\Users\stu\Documents\Analysis\2016-02-23 RTDC Observations" /stypes="*4008*20160717*" /stext=" 21:.+((prompt.+disp)|(slice.+state.+chan)|(ment ac)|(system.+state.+chan)|(\|lc)|(penalty)|(\[timeout))" /e /r /s</v>
      </c>
      <c r="S18" s="9" t="str">
        <f t="shared" si="1"/>
        <v>4008</v>
      </c>
      <c r="T18" s="48">
        <f t="shared" si="2"/>
        <v>42568.904999999999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42568.717581018522</v>
      </c>
      <c r="B19" s="65" t="s">
        <v>135</v>
      </c>
      <c r="C19" s="41" t="s">
        <v>439</v>
      </c>
      <c r="D19" s="41" t="s">
        <v>50</v>
      </c>
      <c r="E19" s="65" t="s">
        <v>57</v>
      </c>
      <c r="F19" s="66">
        <v>150</v>
      </c>
      <c r="G19" s="66">
        <v>125</v>
      </c>
      <c r="H19" s="66">
        <v>231650</v>
      </c>
      <c r="I19" s="65" t="s">
        <v>58</v>
      </c>
      <c r="J19" s="66">
        <v>232080</v>
      </c>
      <c r="K19" s="41" t="s">
        <v>53</v>
      </c>
      <c r="L19" s="93" t="str">
        <f>VLOOKUP(C19,'Trips&amp;Operators'!$C$1:$E$9999,3,0)</f>
        <v>STORY</v>
      </c>
      <c r="M19" s="9" t="s">
        <v>106</v>
      </c>
      <c r="N19" s="10"/>
      <c r="O19" s="41"/>
      <c r="P19" s="72" t="str">
        <f>VLOOKUP(C19,'Train Runs'!$A$13:$AE$870,31,0)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19" s="70" t="str">
        <f>VLOOKUP(C19,'Train Runs'!$A$13:$AE$870,22,0)</f>
        <v>https://search-rtdc-monitor-bjffxe2xuh6vdkpspy63sjmuny.us-east-1.es.amazonaws.com/_plugin/kibana/#/discover/Steve-Slow-Train-Analysis-(2080s-and-2083s)?_g=(refreshInterval:(display:Off,section:0,value:0),time:(from:'2016-07-17 15:30:49-0600',mode:absolute,to:'2016-07-17 18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9" s="71" t="str">
        <f t="shared" si="0"/>
        <v>"C:\Program Files (x86)\AstroGrep\AstroGrep.exe" /spath="C:\Users\stu\Documents\Analysis\2016-02-23 RTDC Observations" /stypes="*4007*20160717*" /stext=" 23:.+((prompt.+disp)|(slice.+state.+chan)|(ment ac)|(system.+state.+chan)|(\|lc)|(penalty)|(\[timeout))" /e /r /s</v>
      </c>
      <c r="S19" s="9" t="str">
        <f t="shared" si="1"/>
        <v>4007</v>
      </c>
      <c r="T19" s="48">
        <f t="shared" si="2"/>
        <v>42568.967581018522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42568.761192129627</v>
      </c>
      <c r="B20" s="65" t="s">
        <v>130</v>
      </c>
      <c r="C20" s="41" t="s">
        <v>444</v>
      </c>
      <c r="D20" s="41" t="s">
        <v>203</v>
      </c>
      <c r="E20" s="65" t="s">
        <v>55</v>
      </c>
      <c r="F20" s="66">
        <v>0</v>
      </c>
      <c r="G20" s="66">
        <v>42</v>
      </c>
      <c r="H20" s="66">
        <v>1733</v>
      </c>
      <c r="I20" s="65" t="s">
        <v>56</v>
      </c>
      <c r="J20" s="66">
        <v>1692</v>
      </c>
      <c r="K20" s="41" t="s">
        <v>53</v>
      </c>
      <c r="L20" s="93" t="str">
        <f>VLOOKUP(C20,'Trips&amp;Operators'!$C$1:$E$9999,3,0)</f>
        <v>NEWELL</v>
      </c>
      <c r="M20" s="9" t="s">
        <v>106</v>
      </c>
      <c r="N20" s="10"/>
      <c r="O20" s="41"/>
      <c r="P20" s="72" t="str">
        <f>VLOOKUP(C20,'Train Runs'!$A$13:$AE$870,31,0)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20" s="70" t="str">
        <f>VLOOKUP(C20,'Train Runs'!$A$13:$AE$870,22,0)</f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0" s="71" t="str">
        <f t="shared" si="0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S20" s="9" t="str">
        <f t="shared" si="1"/>
        <v>4044</v>
      </c>
      <c r="T20" s="48">
        <f t="shared" si="2"/>
        <v>42569.011192129627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42568.18341435185</v>
      </c>
      <c r="B21" s="65" t="s">
        <v>135</v>
      </c>
      <c r="C21" s="41" t="s">
        <v>413</v>
      </c>
      <c r="D21" s="41" t="s">
        <v>50</v>
      </c>
      <c r="E21" s="65" t="s">
        <v>55</v>
      </c>
      <c r="F21" s="66">
        <v>0</v>
      </c>
      <c r="G21" s="66">
        <v>279</v>
      </c>
      <c r="H21" s="66">
        <v>36538</v>
      </c>
      <c r="I21" s="65" t="s">
        <v>56</v>
      </c>
      <c r="J21" s="66">
        <v>36645</v>
      </c>
      <c r="K21" s="41" t="s">
        <v>53</v>
      </c>
      <c r="L21" s="93" t="str">
        <f>VLOOKUP(C21,'Trips&amp;Operators'!$C$1:$E$9999,3,0)</f>
        <v>MAELZER</v>
      </c>
      <c r="M21" s="9" t="s">
        <v>106</v>
      </c>
      <c r="N21" s="10"/>
      <c r="O21" s="41"/>
      <c r="P21" s="72" t="str">
        <f>VLOOKUP(C21,'Train Runs'!$A$13:$AE$870,31,0)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1" s="70" t="str">
        <f>VLOOKUP(C21,'Train Runs'!$A$13:$AE$870,22,0)</f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1" s="71" t="str">
        <f t="shared" si="0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S21" s="9" t="str">
        <f t="shared" si="1"/>
        <v>4007</v>
      </c>
      <c r="T21" s="48">
        <f t="shared" si="2"/>
        <v>42568.43341435185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42568.184594907405</v>
      </c>
      <c r="B22" s="65" t="s">
        <v>135</v>
      </c>
      <c r="C22" s="41" t="s">
        <v>413</v>
      </c>
      <c r="D22" s="41" t="s">
        <v>203</v>
      </c>
      <c r="E22" s="65" t="s">
        <v>55</v>
      </c>
      <c r="F22" s="66">
        <v>0</v>
      </c>
      <c r="G22" s="66">
        <v>5</v>
      </c>
      <c r="H22" s="66">
        <v>36897</v>
      </c>
      <c r="I22" s="65" t="s">
        <v>56</v>
      </c>
      <c r="J22" s="66">
        <v>36645</v>
      </c>
      <c r="K22" s="41" t="s">
        <v>53</v>
      </c>
      <c r="L22" s="93" t="str">
        <f>VLOOKUP(C22,'Trips&amp;Operators'!$C$1:$E$9999,3,0)</f>
        <v>MAELZER</v>
      </c>
      <c r="M22" s="9" t="s">
        <v>106</v>
      </c>
      <c r="N22" s="10"/>
      <c r="O22" s="41"/>
      <c r="P22" s="72" t="str">
        <f>VLOOKUP(C22,'Train Runs'!$A$13:$AE$870,31,0)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2" s="70" t="str">
        <f>VLOOKUP(C22,'Train Runs'!$A$13:$AE$870,22,0)</f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2" s="71" t="str">
        <f t="shared" si="0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S22" s="9" t="str">
        <f t="shared" si="1"/>
        <v>4007</v>
      </c>
      <c r="T22" s="48">
        <f t="shared" si="2"/>
        <v>42568.434594907405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42568.628657407404</v>
      </c>
      <c r="B23" s="65" t="s">
        <v>135</v>
      </c>
      <c r="C23" s="41" t="s">
        <v>432</v>
      </c>
      <c r="D23" s="41" t="s">
        <v>203</v>
      </c>
      <c r="E23" s="65" t="s">
        <v>55</v>
      </c>
      <c r="F23" s="66">
        <v>200</v>
      </c>
      <c r="G23" s="66">
        <v>250</v>
      </c>
      <c r="H23" s="66">
        <v>65537</v>
      </c>
      <c r="I23" s="65" t="s">
        <v>56</v>
      </c>
      <c r="J23" s="66">
        <v>63995</v>
      </c>
      <c r="K23" s="41" t="s">
        <v>53</v>
      </c>
      <c r="L23" s="93" t="str">
        <f>VLOOKUP(C23,'Trips&amp;Operators'!$C$1:$E$9999,3,0)</f>
        <v>STORY</v>
      </c>
      <c r="M23" s="9" t="s">
        <v>106</v>
      </c>
      <c r="N23" s="10"/>
      <c r="O23" s="41"/>
      <c r="P23" s="72" t="str">
        <f>VLOOKUP(C23,'Train Runs'!$A$13:$AE$870,31,0)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3" s="70" t="str">
        <f>VLOOKUP(C23,'Train Runs'!$A$13:$AE$870,22,0)</f>
        <v>https://search-rtdc-monitor-bjffxe2xuh6vdkpspy63sjmuny.us-east-1.es.amazonaws.com/_plugin/kibana/#/discover/Steve-Slow-Train-Analysis-(2080s-and-2083s)?_g=(refreshInterval:(display:Off,section:0,value:0),time:(from:'2016-07-17 13:42:07-0600',mode:absolute,to:'2016-07-17 15:59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3" s="71" t="str">
        <f t="shared" si="0"/>
        <v>"C:\Program Files (x86)\AstroGrep\AstroGrep.exe" /spath="C:\Users\stu\Documents\Analysis\2016-02-23 RTDC Observations" /stypes="*4007*20160717*" /stext=" 21:.+((prompt.+disp)|(slice.+state.+chan)|(ment ac)|(system.+state.+chan)|(\|lc)|(penalty)|(\[timeout))" /e /r /s</v>
      </c>
      <c r="S23" s="9" t="str">
        <f t="shared" si="1"/>
        <v>4007</v>
      </c>
      <c r="T23" s="48">
        <f t="shared" si="2"/>
        <v>42568.878657407404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42568.66684027778</v>
      </c>
      <c r="B24" s="41" t="s">
        <v>210</v>
      </c>
      <c r="C24" s="41" t="s">
        <v>436</v>
      </c>
      <c r="D24" s="41" t="s">
        <v>203</v>
      </c>
      <c r="E24" s="41" t="s">
        <v>55</v>
      </c>
      <c r="F24" s="66">
        <v>200</v>
      </c>
      <c r="G24" s="66">
        <v>297</v>
      </c>
      <c r="H24" s="66">
        <v>65423</v>
      </c>
      <c r="I24" s="41" t="s">
        <v>56</v>
      </c>
      <c r="J24" s="66">
        <v>63995</v>
      </c>
      <c r="K24" s="41" t="s">
        <v>53</v>
      </c>
      <c r="L24" s="93" t="str">
        <f>VLOOKUP(C24,'Trips&amp;Operators'!$C$1:$E$9999,3,0)</f>
        <v>REBOLETTI</v>
      </c>
      <c r="M24" s="9" t="s">
        <v>106</v>
      </c>
      <c r="N24" s="10"/>
      <c r="O24" s="41"/>
      <c r="P24" s="72" t="str">
        <f>VLOOKUP(C24,'Train Runs'!$A$13:$AE$870,31,0)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24" s="70" t="str">
        <f>VLOOKUP(C24,'Train Runs'!$A$13:$AE$870,22,0)</f>
        <v>https://search-rtdc-monitor-bjffxe2xuh6vdkpspy63sjmuny.us-east-1.es.amazonaws.com/_plugin/kibana/#/discover/Steve-Slow-Train-Analysis-(2080s-and-2083s)?_g=(refreshInterval:(display:Off,section:0,value:0),time:(from:'2016-07-17 14:34:32-0600',mode:absolute,to:'2016-07-17 16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4" s="71" t="str">
        <f t="shared" si="0"/>
        <v>"C:\Program Files (x86)\AstroGrep\AstroGrep.exe" /spath="C:\Users\stu\Documents\Analysis\2016-02-23 RTDC Observations" /stypes="*4009*20160717*" /stext=" 22:.+((prompt.+disp)|(slice.+state.+chan)|(ment ac)|(system.+state.+chan)|(\|lc)|(penalty)|(\[timeout))" /e /r /s</v>
      </c>
      <c r="S24" s="9" t="str">
        <f t="shared" si="1"/>
        <v>4009</v>
      </c>
      <c r="T24" s="48">
        <f t="shared" si="2"/>
        <v>42568.91684027778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42568.50309027778</v>
      </c>
      <c r="B25" s="65" t="s">
        <v>117</v>
      </c>
      <c r="C25" s="41" t="s">
        <v>425</v>
      </c>
      <c r="D25" s="41" t="s">
        <v>50</v>
      </c>
      <c r="E25" s="65" t="s">
        <v>55</v>
      </c>
      <c r="F25" s="66">
        <v>0</v>
      </c>
      <c r="G25" s="66">
        <v>736</v>
      </c>
      <c r="H25" s="66">
        <v>107055</v>
      </c>
      <c r="I25" s="65" t="s">
        <v>56</v>
      </c>
      <c r="J25" s="66">
        <v>107939</v>
      </c>
      <c r="K25" s="41" t="s">
        <v>53</v>
      </c>
      <c r="L25" s="93" t="str">
        <f>VLOOKUP(C25,'Trips&amp;Operators'!$C$1:$E$9999,3,0)</f>
        <v>RIVERA</v>
      </c>
      <c r="M25" s="9" t="s">
        <v>106</v>
      </c>
      <c r="N25" s="10"/>
      <c r="O25" s="41"/>
      <c r="P25" s="72" t="str">
        <f>VLOOKUP(C25,'Train Runs'!$A$13:$AE$870,31,0)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25" s="70" t="str">
        <f>VLOOKUP(C25,'Train Runs'!$A$13:$AE$870,22,0)</f>
        <v>https://search-rtdc-monitor-bjffxe2xuh6vdkpspy63sjmuny.us-east-1.es.amazonaws.com/_plugin/kibana/#/discover/Steve-Slow-Train-Analysis-(2080s-and-2083s)?_g=(refreshInterval:(display:Off,section:0,value:0),time:(from:'2016-07-17 11:10:48-0600',mode:absolute,to:'2016-07-17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5" s="71" t="str">
        <f t="shared" si="0"/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S25" s="9" t="str">
        <f t="shared" si="1"/>
        <v>4014</v>
      </c>
      <c r="T25" s="48">
        <f t="shared" si="2"/>
        <v>42568.75309027778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42568.686354166668</v>
      </c>
      <c r="B26" s="65" t="s">
        <v>118</v>
      </c>
      <c r="C26" s="41" t="s">
        <v>437</v>
      </c>
      <c r="D26" s="41" t="s">
        <v>50</v>
      </c>
      <c r="E26" s="65" t="s">
        <v>55</v>
      </c>
      <c r="F26" s="66">
        <v>0</v>
      </c>
      <c r="G26" s="66">
        <v>404</v>
      </c>
      <c r="H26" s="66">
        <v>129268</v>
      </c>
      <c r="I26" s="65" t="s">
        <v>56</v>
      </c>
      <c r="J26" s="66">
        <v>127587</v>
      </c>
      <c r="K26" s="41" t="s">
        <v>54</v>
      </c>
      <c r="L26" s="93" t="str">
        <f>VLOOKUP(C26,'Trips&amp;Operators'!$C$1:$E$9999,3,0)</f>
        <v>RIVERA</v>
      </c>
      <c r="M26" s="9" t="s">
        <v>106</v>
      </c>
      <c r="N26" s="10"/>
      <c r="O26" s="41"/>
      <c r="P26" s="72" t="str">
        <f>VLOOKUP(C26,'Train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26" s="70" t="str">
        <f>VLOOKUP(C26,'Train Runs'!$A$13:$AE$870,22,0)</f>
        <v>https://search-rtdc-monitor-bjffxe2xuh6vdkpspy63sjmuny.us-east-1.es.amazonaws.com/_plugin/kibana/#/discover/Steve-Slow-Train-Analysis-(2080s-and-2083s)?_g=(refreshInterval:(display:Off,section:0,value:0),time:(from:'2016-07-17 15:08:24-0600',mode:absolute,to:'2016-07-17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6" s="71" t="str">
        <f t="shared" si="0"/>
        <v>"C:\Program Files (x86)\AstroGrep\AstroGrep.exe" /spath="C:\Users\stu\Documents\Analysis\2016-02-23 RTDC Observations" /stypes="*4013*20160717*" /stext=" 22:.+((prompt.+disp)|(slice.+state.+chan)|(ment ac)|(system.+state.+chan)|(\|lc)|(penalty)|(\[timeout))" /e /r /s</v>
      </c>
      <c r="S26" s="9" t="str">
        <f t="shared" si="1"/>
        <v>4013</v>
      </c>
      <c r="T26" s="48">
        <f t="shared" si="2"/>
        <v>42568.936354166668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42568.590092592596</v>
      </c>
      <c r="B27" s="41" t="s">
        <v>210</v>
      </c>
      <c r="C27" s="41" t="s">
        <v>429</v>
      </c>
      <c r="D27" s="41" t="s">
        <v>50</v>
      </c>
      <c r="E27" s="41" t="s">
        <v>55</v>
      </c>
      <c r="F27" s="66">
        <v>0</v>
      </c>
      <c r="G27" s="66">
        <v>787</v>
      </c>
      <c r="H27" s="66">
        <v>144702</v>
      </c>
      <c r="I27" s="41" t="s">
        <v>56</v>
      </c>
      <c r="J27" s="66">
        <v>149694</v>
      </c>
      <c r="K27" s="41" t="s">
        <v>53</v>
      </c>
      <c r="L27" s="93" t="str">
        <f>VLOOKUP(C27,'Trips&amp;Operators'!$C$1:$E$9999,3,0)</f>
        <v>REBOLETTI</v>
      </c>
      <c r="M27" s="9" t="s">
        <v>106</v>
      </c>
      <c r="N27" s="10"/>
      <c r="O27" s="41"/>
      <c r="P27" s="72" t="str">
        <f>VLOOKUP(C27,'Train Runs'!$A$13:$AE$870,31,0)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27" s="70" t="str">
        <f>VLOOKUP(C27,'Train Runs'!$A$13:$AE$870,22,0)</f>
        <v>https://search-rtdc-monitor-bjffxe2xuh6vdkpspy63sjmuny.us-east-1.es.amazonaws.com/_plugin/kibana/#/discover/Steve-Slow-Train-Analysis-(2080s-and-2083s)?_g=(refreshInterval:(display:Off,section:0,value:0),time:(from:'2016-07-17 12:36:32-0600',mode:absolute,to:'2016-07-17 15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7" s="71" t="str">
        <f t="shared" si="0"/>
        <v>"C:\Program Files (x86)\AstroGrep\AstroGrep.exe" /spath="C:\Users\stu\Documents\Analysis\2016-02-23 RTDC Observations" /stypes="*4009*20160717*" /stext=" 20:.+((prompt.+disp)|(slice.+state.+chan)|(ment ac)|(system.+state.+chan)|(\|lc)|(penalty)|(\[timeout))" /e /r /s</v>
      </c>
      <c r="S27" s="9" t="str">
        <f t="shared" si="1"/>
        <v>4009</v>
      </c>
      <c r="T27" s="48">
        <f t="shared" si="2"/>
        <v>42568.840092592596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42568.788171296299</v>
      </c>
      <c r="B28" s="65" t="s">
        <v>76</v>
      </c>
      <c r="C28" s="41" t="s">
        <v>447</v>
      </c>
      <c r="D28" s="41" t="s">
        <v>50</v>
      </c>
      <c r="E28" s="65" t="s">
        <v>55</v>
      </c>
      <c r="F28" s="66">
        <v>0</v>
      </c>
      <c r="G28" s="66">
        <v>572</v>
      </c>
      <c r="H28" s="66">
        <v>151840</v>
      </c>
      <c r="I28" s="65" t="s">
        <v>56</v>
      </c>
      <c r="J28" s="66">
        <v>155600</v>
      </c>
      <c r="K28" s="41" t="s">
        <v>53</v>
      </c>
      <c r="L28" s="93" t="str">
        <f>VLOOKUP(C28,'Trips&amp;Operators'!$C$1:$E$9999,3,0)</f>
        <v>CHANDLER</v>
      </c>
      <c r="M28" s="9" t="s">
        <v>106</v>
      </c>
      <c r="N28" s="10"/>
      <c r="O28" s="41"/>
      <c r="P28" s="72" t="str">
        <f>VLOOKUP(C28,'Train Runs'!$A$13:$AE$870,31,0)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28" s="70" t="str">
        <f>VLOOKUP(C28,'Train Runs'!$A$13:$AE$870,22,0)</f>
        <v>https://search-rtdc-monitor-bjffxe2xuh6vdkpspy63sjmuny.us-east-1.es.amazonaws.com/_plugin/kibana/#/discover/Steve-Slow-Train-Analysis-(2080s-and-2083s)?_g=(refreshInterval:(display:Off,section:0,value:0),time:(from:'2016-07-17 17:24:39-0600',mode:absolute,to:'2016-07-17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8" s="71" t="str">
        <f t="shared" si="0"/>
        <v>"C:\Program Files (x86)\AstroGrep\AstroGrep.exe" /spath="C:\Users\stu\Documents\Analysis\2016-02-23 RTDC Observations" /stypes="*4031*20160718*" /stext=" 00:.+((prompt.+disp)|(slice.+state.+chan)|(ment ac)|(system.+state.+chan)|(\|lc)|(penalty)|(\[timeout))" /e /r /s</v>
      </c>
      <c r="S28" s="9" t="str">
        <f t="shared" si="1"/>
        <v>4031</v>
      </c>
      <c r="T28" s="48">
        <f t="shared" si="2"/>
        <v>42569.038171296299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42568.816423611112</v>
      </c>
      <c r="B29" s="41" t="s">
        <v>67</v>
      </c>
      <c r="C29" s="41" t="s">
        <v>449</v>
      </c>
      <c r="D29" s="41" t="s">
        <v>50</v>
      </c>
      <c r="E29" s="41" t="s">
        <v>55</v>
      </c>
      <c r="F29" s="66">
        <v>0</v>
      </c>
      <c r="G29" s="66">
        <v>687</v>
      </c>
      <c r="H29" s="66">
        <v>164629</v>
      </c>
      <c r="I29" s="41" t="s">
        <v>56</v>
      </c>
      <c r="J29" s="66">
        <v>162262</v>
      </c>
      <c r="K29" s="41" t="s">
        <v>54</v>
      </c>
      <c r="L29" s="93" t="str">
        <f>VLOOKUP(C29,'Trips&amp;Operators'!$C$1:$E$9999,3,0)</f>
        <v>CHANDLER</v>
      </c>
      <c r="M29" s="9" t="s">
        <v>106</v>
      </c>
      <c r="N29" s="10"/>
      <c r="O29" s="41"/>
      <c r="P29" s="72" t="str">
        <f>VLOOKUP(C29,'Train Runs'!$A$13:$AE$870,31,0)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29" s="70" t="str">
        <f>VLOOKUP(C29,'Train Runs'!$A$13:$AE$870,22,0)</f>
        <v>https://search-rtdc-monitor-bjffxe2xuh6vdkpspy63sjmuny.us-east-1.es.amazonaws.com/_plugin/kibana/#/discover/Steve-Slow-Train-Analysis-(2080s-and-2083s)?_g=(refreshInterval:(display:Off,section:0,value:0),time:(from:'2016-07-17 18:21:15-0600',mode:absolute,to:'2016-07-17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71" t="str">
        <f t="shared" si="0"/>
        <v>"C:\Program Files (x86)\AstroGrep\AstroGrep.exe" /spath="C:\Users\stu\Documents\Analysis\2016-02-23 RTDC Observations" /stypes="*4032*20160718*" /stext=" 01:.+((prompt.+disp)|(slice.+state.+chan)|(ment ac)|(system.+state.+chan)|(\|lc)|(penalty)|(\[timeout))" /e /r /s</v>
      </c>
      <c r="S29" s="9" t="str">
        <f t="shared" si="1"/>
        <v>4032</v>
      </c>
      <c r="T29" s="48">
        <f t="shared" si="2"/>
        <v>42569.066423611112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42568.840011574073</v>
      </c>
      <c r="B30" s="65" t="s">
        <v>121</v>
      </c>
      <c r="C30" s="41" t="s">
        <v>450</v>
      </c>
      <c r="D30" s="41" t="s">
        <v>50</v>
      </c>
      <c r="E30" s="65" t="s">
        <v>55</v>
      </c>
      <c r="F30" s="66">
        <v>0</v>
      </c>
      <c r="G30" s="66">
        <v>704</v>
      </c>
      <c r="H30" s="66">
        <v>164178</v>
      </c>
      <c r="I30" s="65" t="s">
        <v>56</v>
      </c>
      <c r="J30" s="66">
        <v>162262</v>
      </c>
      <c r="K30" s="41" t="s">
        <v>54</v>
      </c>
      <c r="L30" s="93" t="str">
        <f>VLOOKUP(C30,'Trips&amp;Operators'!$C$1:$E$9999,3,0)</f>
        <v>ADANE</v>
      </c>
      <c r="M30" s="9" t="s">
        <v>106</v>
      </c>
      <c r="N30" s="10"/>
      <c r="O30" s="41"/>
      <c r="P30" s="72" t="str">
        <f>VLOOKUP(C30,'Train Runs'!$A$13:$AE$870,31,0)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30" s="70" t="str">
        <f>VLOOKUP(C30,'Train Runs'!$A$13:$AE$870,22,0)</f>
        <v>https://search-rtdc-monitor-bjffxe2xuh6vdkpspy63sjmuny.us-east-1.es.amazonaws.com/_plugin/kibana/#/discover/Steve-Slow-Train-Analysis-(2080s-and-2083s)?_g=(refreshInterval:(display:Off,section:0,value:0),time:(from:'2016-07-17 18:59:44-0600',mode:absolute,to:'2016-07-17 21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0" s="71" t="str">
        <f t="shared" si="0"/>
        <v>"C:\Program Files (x86)\AstroGrep\AstroGrep.exe" /spath="C:\Users\stu\Documents\Analysis\2016-02-23 RTDC Observations" /stypes="*4037*20160718*" /stext=" 02:.+((prompt.+disp)|(slice.+state.+chan)|(ment ac)|(system.+state.+chan)|(\|lc)|(penalty)|(\[timeout))" /e /r /s</v>
      </c>
      <c r="S30" s="9" t="str">
        <f t="shared" si="1"/>
        <v>4037</v>
      </c>
      <c r="T30" s="48">
        <f t="shared" si="2"/>
        <v>42569.090011574073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42568.878483796296</v>
      </c>
      <c r="B31" s="41" t="s">
        <v>133</v>
      </c>
      <c r="C31" s="41" t="s">
        <v>452</v>
      </c>
      <c r="D31" s="41" t="s">
        <v>50</v>
      </c>
      <c r="E31" s="41" t="s">
        <v>55</v>
      </c>
      <c r="F31" s="66">
        <v>0</v>
      </c>
      <c r="G31" s="66">
        <v>717</v>
      </c>
      <c r="H31" s="66">
        <v>164874</v>
      </c>
      <c r="I31" s="41" t="s">
        <v>56</v>
      </c>
      <c r="J31" s="66">
        <v>162262</v>
      </c>
      <c r="K31" s="41" t="s">
        <v>54</v>
      </c>
      <c r="L31" s="93" t="str">
        <f>VLOOKUP(C31,'Trips&amp;Operators'!$C$1:$E$9999,3,0)</f>
        <v>NEWELL</v>
      </c>
      <c r="M31" s="9" t="s">
        <v>106</v>
      </c>
      <c r="N31" s="10"/>
      <c r="O31" s="41"/>
      <c r="P31" s="72" t="str">
        <f>VLOOKUP(C31,'Train Runs'!$A$13:$AE$870,31,0)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1" s="70" t="str">
        <f>VLOOKUP(C31,'Train Runs'!$A$13:$AE$870,22,0)</f>
        <v>https://search-rtdc-monitor-bjffxe2xuh6vdkpspy63sjmuny.us-east-1.es.amazonaws.com/_plugin/kibana/#/discover/Steve-Slow-Train-Analysis-(2080s-and-2083s)?_g=(refreshInterval:(display:Off,section:0,value:0),time:(from:'2016-07-17 19:44:57-0600',mode:absolute,to:'2016-07-17 22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1" s="71" t="str">
        <f t="shared" si="0"/>
        <v>"C:\Program Files (x86)\AstroGrep\AstroGrep.exe" /spath="C:\Users\stu\Documents\Analysis\2016-02-23 RTDC Observations" /stypes="*4043*20160718*" /stext=" 03:.+((prompt.+disp)|(slice.+state.+chan)|(ment ac)|(system.+state.+chan)|(\|lc)|(penalty)|(\[timeout))" /e /r /s</v>
      </c>
      <c r="S31" s="9" t="str">
        <f t="shared" si="1"/>
        <v>4043</v>
      </c>
      <c r="T31" s="48">
        <f t="shared" si="2"/>
        <v>42569.128483796296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48">
        <v>42568.919918981483</v>
      </c>
      <c r="B32" s="65" t="s">
        <v>121</v>
      </c>
      <c r="C32" s="41" t="s">
        <v>453</v>
      </c>
      <c r="D32" s="41" t="s">
        <v>50</v>
      </c>
      <c r="E32" s="65" t="s">
        <v>55</v>
      </c>
      <c r="F32" s="66">
        <v>0</v>
      </c>
      <c r="G32" s="66">
        <v>709</v>
      </c>
      <c r="H32" s="66">
        <v>164764</v>
      </c>
      <c r="I32" s="65" t="s">
        <v>56</v>
      </c>
      <c r="J32" s="66">
        <v>162262</v>
      </c>
      <c r="K32" s="41" t="s">
        <v>54</v>
      </c>
      <c r="L32" s="93" t="str">
        <f>VLOOKUP(C32,'Trips&amp;Operators'!$C$1:$E$9999,3,0)</f>
        <v>LEVERE</v>
      </c>
      <c r="M32" s="9" t="s">
        <v>106</v>
      </c>
      <c r="N32" s="10"/>
      <c r="O32" s="41"/>
      <c r="P32" s="72" t="str">
        <f>VLOOKUP(C32,'Train Runs'!$A$13:$AE$870,31,0)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32" s="70" t="str">
        <f>VLOOKUP(C32,'Train Runs'!$A$13:$AE$870,22,0)</f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2" s="71" t="str">
        <f t="shared" si="0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S32" s="9" t="str">
        <f t="shared" si="1"/>
        <v>4037</v>
      </c>
      <c r="T32" s="48">
        <f t="shared" si="2"/>
        <v>42569.169918981483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42568.963414351849</v>
      </c>
      <c r="B33" s="65" t="s">
        <v>133</v>
      </c>
      <c r="C33" s="41" t="s">
        <v>454</v>
      </c>
      <c r="D33" s="41" t="s">
        <v>50</v>
      </c>
      <c r="E33" s="65" t="s">
        <v>55</v>
      </c>
      <c r="F33" s="66">
        <v>0</v>
      </c>
      <c r="G33" s="66">
        <v>709</v>
      </c>
      <c r="H33" s="66">
        <v>163871</v>
      </c>
      <c r="I33" s="65" t="s">
        <v>56</v>
      </c>
      <c r="J33" s="66">
        <v>162262</v>
      </c>
      <c r="K33" s="41" t="s">
        <v>54</v>
      </c>
      <c r="L33" s="93" t="str">
        <f>VLOOKUP(C33,'Trips&amp;Operators'!$C$1:$E$9999,3,0)</f>
        <v>NEWELL</v>
      </c>
      <c r="M33" s="9" t="s">
        <v>106</v>
      </c>
      <c r="N33" s="10"/>
      <c r="O33" s="41"/>
      <c r="P33" s="72" t="str">
        <f>VLOOKUP(C33,'Train Runs'!$A$13:$AE$870,31,0)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3" s="70" t="str">
        <f>VLOOKUP(C33,'Train Runs'!$A$13:$AE$870,22,0)</f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1" t="str">
        <f t="shared" si="0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S33" s="9" t="str">
        <f t="shared" si="1"/>
        <v>4043</v>
      </c>
      <c r="T33" s="48">
        <f t="shared" si="2"/>
        <v>42569.213414351849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42568.982974537037</v>
      </c>
      <c r="B34" s="65" t="s">
        <v>67</v>
      </c>
      <c r="C34" s="41" t="s">
        <v>456</v>
      </c>
      <c r="D34" s="41" t="s">
        <v>50</v>
      </c>
      <c r="E34" s="65" t="s">
        <v>55</v>
      </c>
      <c r="F34" s="66">
        <v>0</v>
      </c>
      <c r="G34" s="66">
        <v>718</v>
      </c>
      <c r="H34" s="66">
        <v>164530</v>
      </c>
      <c r="I34" s="65" t="s">
        <v>56</v>
      </c>
      <c r="J34" s="66">
        <v>162262</v>
      </c>
      <c r="K34" s="41" t="s">
        <v>54</v>
      </c>
      <c r="L34" s="93" t="str">
        <f>VLOOKUP(C34,'Trips&amp;Operators'!$C$1:$E$9999,3,0)</f>
        <v>CHANDLER</v>
      </c>
      <c r="M34" s="9" t="s">
        <v>106</v>
      </c>
      <c r="N34" s="10"/>
      <c r="O34" s="69"/>
      <c r="P34" s="72" t="str">
        <f>VLOOKUP(C34,'Train Runs'!$A$13:$AE$870,31,0)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34" s="70" t="str">
        <f>VLOOKUP(C34,'Train Runs'!$A$13:$AE$870,22,0)</f>
        <v>https://search-rtdc-monitor-bjffxe2xuh6vdkpspy63sjmuny.us-east-1.es.amazonaws.com/_plugin/kibana/#/discover/Steve-Slow-Train-Analysis-(2080s-and-2083s)?_g=(refreshInterval:(display:Off,section:0,value:0),time:(from:'2016-07-17 22:20:35-0600',mode:absolute,to:'2016-07-18 00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71" t="str">
        <f t="shared" si="0"/>
        <v>"C:\Program Files (x86)\AstroGrep\AstroGrep.exe" /spath="C:\Users\stu\Documents\Analysis\2016-02-23 RTDC Observations" /stypes="*4032*20160718*" /stext=" 05:.+((prompt.+disp)|(slice.+state.+chan)|(ment ac)|(system.+state.+chan)|(\|lc)|(penalty)|(\[timeout))" /e /r /s</v>
      </c>
      <c r="S34" s="9" t="str">
        <f t="shared" si="1"/>
        <v>4032</v>
      </c>
      <c r="T34" s="48">
        <f t="shared" si="2"/>
        <v>42569.232974537037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42568.960150462961</v>
      </c>
      <c r="B35" s="65" t="s">
        <v>133</v>
      </c>
      <c r="C35" s="41" t="s">
        <v>454</v>
      </c>
      <c r="D35" s="41" t="s">
        <v>50</v>
      </c>
      <c r="E35" s="65" t="s">
        <v>55</v>
      </c>
      <c r="F35" s="66">
        <v>0</v>
      </c>
      <c r="G35" s="66">
        <v>745</v>
      </c>
      <c r="H35" s="66">
        <v>202778</v>
      </c>
      <c r="I35" s="65" t="s">
        <v>56</v>
      </c>
      <c r="J35" s="66">
        <v>198256</v>
      </c>
      <c r="K35" s="41" t="s">
        <v>54</v>
      </c>
      <c r="L35" s="93" t="str">
        <f>VLOOKUP(C35,'Trips&amp;Operators'!$C$1:$E$9999,3,0)</f>
        <v>NEWELL</v>
      </c>
      <c r="M35" s="9" t="s">
        <v>106</v>
      </c>
      <c r="N35" s="10"/>
      <c r="O35" s="41"/>
      <c r="P35" s="72" t="str">
        <f>VLOOKUP(C35,'Train Runs'!$A$13:$AE$870,31,0)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5" s="70" t="str">
        <f>VLOOKUP(C35,'Train Runs'!$A$13:$AE$870,22,0)</f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5" s="71" t="str">
        <f t="shared" si="0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S35" s="9" t="str">
        <f t="shared" si="1"/>
        <v>4043</v>
      </c>
      <c r="T35" s="48">
        <f t="shared" si="2"/>
        <v>42569.210150462961</v>
      </c>
      <c r="U35" s="69" t="str">
        <f t="shared" si="3"/>
        <v>EC</v>
      </c>
      <c r="V35" s="69" t="str">
        <f t="shared" si="4"/>
        <v>KEEP</v>
      </c>
    </row>
    <row r="36" spans="1:22" ht="15" customHeight="1" x14ac:dyDescent="0.25">
      <c r="A36" s="48">
        <v>42568.733715277776</v>
      </c>
      <c r="B36" s="65" t="s">
        <v>117</v>
      </c>
      <c r="C36" s="41" t="s">
        <v>441</v>
      </c>
      <c r="D36" s="41" t="s">
        <v>50</v>
      </c>
      <c r="E36" s="65" t="s">
        <v>55</v>
      </c>
      <c r="F36" s="66">
        <v>0</v>
      </c>
      <c r="G36" s="66">
        <v>397</v>
      </c>
      <c r="H36" s="66">
        <v>223107</v>
      </c>
      <c r="I36" s="65" t="s">
        <v>56</v>
      </c>
      <c r="J36" s="66">
        <v>224231</v>
      </c>
      <c r="K36" s="41" t="s">
        <v>53</v>
      </c>
      <c r="L36" s="93" t="str">
        <f>VLOOKUP(C36,'Trips&amp;Operators'!$C$1:$E$9999,3,0)</f>
        <v>RIVERA</v>
      </c>
      <c r="M36" s="9" t="s">
        <v>106</v>
      </c>
      <c r="N36" s="10"/>
      <c r="O36" s="41"/>
      <c r="P36" s="72" t="str">
        <f>VLOOKUP(C36,'Train Runs'!$A$13:$AE$870,31,0)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36" s="70" t="str">
        <f>VLOOKUP(C36,'Train Runs'!$A$13:$AE$870,22,0)</f>
        <v>https://search-rtdc-monitor-bjffxe2xuh6vdkpspy63sjmuny.us-east-1.es.amazonaws.com/_plugin/kibana/#/discover/Steve-Slow-Train-Analysis-(2080s-and-2083s)?_g=(refreshInterval:(display:Off,section:0,value:0),time:(from:'2016-07-17 16:00:40-0600',mode:absolute,to:'2016-07-17 18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36" s="71" t="str">
        <f t="shared" si="0"/>
        <v>"C:\Program Files (x86)\AstroGrep\AstroGrep.exe" /spath="C:\Users\stu\Documents\Analysis\2016-02-23 RTDC Observations" /stypes="*4014*20160717*" /stext=" 23:.+((prompt.+disp)|(slice.+state.+chan)|(ment ac)|(system.+state.+chan)|(\|lc)|(penalty)|(\[timeout))" /e /r /s</v>
      </c>
      <c r="S36" s="9" t="str">
        <f t="shared" si="1"/>
        <v>4014</v>
      </c>
      <c r="T36" s="48">
        <f t="shared" si="2"/>
        <v>42568.983715277776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42568.738541666666</v>
      </c>
      <c r="B37" s="65" t="s">
        <v>67</v>
      </c>
      <c r="C37" s="41" t="s">
        <v>442</v>
      </c>
      <c r="D37" s="41" t="s">
        <v>50</v>
      </c>
      <c r="E37" s="65" t="s">
        <v>55</v>
      </c>
      <c r="F37" s="66">
        <v>0</v>
      </c>
      <c r="G37" s="66">
        <v>354</v>
      </c>
      <c r="H37" s="66">
        <v>226421</v>
      </c>
      <c r="I37" s="65" t="s">
        <v>56</v>
      </c>
      <c r="J37" s="66">
        <v>224244</v>
      </c>
      <c r="K37" s="41" t="s">
        <v>54</v>
      </c>
      <c r="L37" s="93" t="str">
        <f>VLOOKUP(C37,'Trips&amp;Operators'!$C$1:$E$9999,3,0)</f>
        <v>BRUDER</v>
      </c>
      <c r="M37" s="9" t="s">
        <v>106</v>
      </c>
      <c r="N37" s="10"/>
      <c r="O37" s="41"/>
      <c r="P37" s="72" t="str">
        <f>VLOOKUP(C37,'Train Runs'!$A$13:$AE$870,31,0)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37" s="70" t="str">
        <f>VLOOKUP(C37,'Train Runs'!$A$13:$AE$870,22,0)</f>
        <v>https://search-rtdc-monitor-bjffxe2xuh6vdkpspy63sjmuny.us-east-1.es.amazonaws.com/_plugin/kibana/#/discover/Steve-Slow-Train-Analysis-(2080s-and-2083s)?_g=(refreshInterval:(display:Off,section:0,value:0),time:(from:'2016-07-17 16:37:29-0600',mode:absolute,to:'2016-07-17 19:17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7" s="71" t="str">
        <f t="shared" si="0"/>
        <v>"C:\Program Files (x86)\AstroGrep\AstroGrep.exe" /spath="C:\Users\stu\Documents\Analysis\2016-02-23 RTDC Observations" /stypes="*4032*20160717*" /stext=" 23:.+((prompt.+disp)|(slice.+state.+chan)|(ment ac)|(system.+state.+chan)|(\|lc)|(penalty)|(\[timeout))" /e /r /s</v>
      </c>
      <c r="S37" s="9" t="str">
        <f t="shared" si="1"/>
        <v>4032</v>
      </c>
      <c r="T37" s="48">
        <f t="shared" si="2"/>
        <v>42568.988541666666</v>
      </c>
      <c r="U37" s="69" t="str">
        <f t="shared" si="3"/>
        <v>EC</v>
      </c>
      <c r="V37" s="69" t="str">
        <f t="shared" si="4"/>
        <v>KEEP</v>
      </c>
    </row>
    <row r="38" spans="1:22" x14ac:dyDescent="0.25">
      <c r="A38" s="48">
        <v>42568.210636574076</v>
      </c>
      <c r="B38" s="65" t="s">
        <v>120</v>
      </c>
      <c r="C38" s="41" t="s">
        <v>415</v>
      </c>
      <c r="D38" s="41" t="s">
        <v>50</v>
      </c>
      <c r="E38" s="65" t="s">
        <v>104</v>
      </c>
      <c r="F38" s="66">
        <v>0</v>
      </c>
      <c r="G38" s="66">
        <v>730</v>
      </c>
      <c r="H38" s="66">
        <v>71017</v>
      </c>
      <c r="I38" s="65" t="s">
        <v>105</v>
      </c>
      <c r="J38" s="66">
        <v>69363</v>
      </c>
      <c r="K38" s="41" t="s">
        <v>54</v>
      </c>
      <c r="L38" s="93" t="str">
        <f>VLOOKUP(C38,'Trips&amp;Operators'!$C$1:$E$9999,3,0)</f>
        <v>ACKERMAN</v>
      </c>
      <c r="M38" s="9" t="s">
        <v>106</v>
      </c>
      <c r="N38" s="10"/>
      <c r="O38" s="41"/>
      <c r="P38" s="72" t="str">
        <f>VLOOKUP(C38,'Train Runs'!$A$13:$AE$870,31,0)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38" s="70" t="str">
        <f>VLOOKUP(C38,'Train Runs'!$A$13:$AE$870,22,0)</f>
        <v>https://search-rtdc-monitor-bjffxe2xuh6vdkpspy63sjmuny.us-east-1.es.amazonaws.com/_plugin/kibana/#/discover/Steve-Slow-Train-Analysis-(2080s-and-2083s)?_g=(refreshInterval:(display:Off,section:0,value:0),time:(from:'2016-07-17 03:34:51-0600',mode:absolute,to:'2016-07-17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8" s="71" t="str">
        <f t="shared" si="0"/>
        <v>"C:\Program Files (x86)\AstroGrep\AstroGrep.exe" /spath="C:\Users\stu\Documents\Analysis\2016-02-23 RTDC Observations" /stypes="*4028*20160717*" /stext=" 11:.+((prompt.+disp)|(slice.+state.+chan)|(ment ac)|(system.+state.+chan)|(\|lc)|(penalty)|(\[timeout))" /e /r /s</v>
      </c>
      <c r="S38" s="9" t="str">
        <f t="shared" si="1"/>
        <v>4028</v>
      </c>
      <c r="T38" s="48">
        <f t="shared" si="2"/>
        <v>42568.460636574076</v>
      </c>
      <c r="U38" s="69" t="str">
        <f t="shared" si="3"/>
        <v>EC</v>
      </c>
      <c r="V38" s="69" t="str">
        <f t="shared" si="4"/>
        <v>KEEP</v>
      </c>
    </row>
    <row r="39" spans="1:22" ht="15" customHeight="1" x14ac:dyDescent="0.25">
      <c r="A39" s="48">
        <v>42568.262986111113</v>
      </c>
      <c r="B39" s="65" t="s">
        <v>118</v>
      </c>
      <c r="C39" s="41" t="s">
        <v>416</v>
      </c>
      <c r="D39" s="41" t="s">
        <v>50</v>
      </c>
      <c r="E39" s="65" t="s">
        <v>51</v>
      </c>
      <c r="F39" s="66">
        <v>0</v>
      </c>
      <c r="G39" s="66">
        <v>8</v>
      </c>
      <c r="H39" s="66">
        <v>427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MALAVE</v>
      </c>
      <c r="M39" s="9" t="s">
        <v>107</v>
      </c>
      <c r="N39" s="10"/>
      <c r="O39" s="41"/>
      <c r="P39" s="72" t="str">
        <f>VLOOKUP(C39,'Train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39" s="70" t="str">
        <f>VLOOKUP(C39,'Train Runs'!$A$13:$AE$870,22,0)</f>
        <v>https://search-rtdc-monitor-bjffxe2xuh6vdkpspy63sjmuny.us-east-1.es.amazonaws.com/_plugin/kibana/#/discover/Steve-Slow-Train-Analysis-(2080s-and-2083s)?_g=(refreshInterval:(display:Off,section:0,value:0),time:(from:'2016-07-17 04:34:58-0600',mode:absolute,to:'2016-07-17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/stypes="*4013*20160717*" /stext=" 12:.+((prompt.+disp)|(slice.+state.+chan)|(ment ac)|(system.+state.+chan)|(\|lc)|(penalty)|(\[timeout))" /e /r /s</v>
      </c>
      <c r="S39" s="9" t="str">
        <f t="shared" ref="S39:S66" si="6">MID(B39,13,4)</f>
        <v>4013</v>
      </c>
      <c r="T39" s="48">
        <f t="shared" ref="T39:T66" si="7">A39+6/24</f>
        <v>42568.512986111113</v>
      </c>
      <c r="U39" s="69" t="str">
        <f t="shared" ref="U39:U66" si="8">IF(VALUE(LEFT(C39,3))&lt;300,"EC","NWGL")</f>
        <v>EC</v>
      </c>
      <c r="V39" s="69" t="str">
        <f t="shared" ref="V39:V66" si="9">IF(AND(E39="TRACK WARRANT AUTHORITY",G39&lt;10),"OMIT","KEEP")</f>
        <v>OMIT</v>
      </c>
    </row>
    <row r="40" spans="1:22" x14ac:dyDescent="0.25">
      <c r="A40" s="48">
        <v>42568.303969907407</v>
      </c>
      <c r="B40" s="65" t="s">
        <v>120</v>
      </c>
      <c r="C40" s="41" t="s">
        <v>419</v>
      </c>
      <c r="D40" s="41" t="s">
        <v>50</v>
      </c>
      <c r="E40" s="65" t="s">
        <v>51</v>
      </c>
      <c r="F40" s="66">
        <v>0</v>
      </c>
      <c r="G40" s="66">
        <v>53</v>
      </c>
      <c r="H40" s="66">
        <v>129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ACKERMAN</v>
      </c>
      <c r="M40" s="9" t="s">
        <v>107</v>
      </c>
      <c r="N40" s="10"/>
      <c r="O40" s="41"/>
      <c r="P40" s="72" t="str">
        <f>VLOOKUP(C40,'Train Runs'!$A$13:$AE$870,31,0)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40" s="70" t="str">
        <f>VLOOKUP(C40,'Train Runs'!$A$13:$AE$870,22,0)</f>
        <v>https://search-rtdc-monitor-bjffxe2xuh6vdkpspy63sjmuny.us-east-1.es.amazonaws.com/_plugin/kibana/#/discover/Steve-Slow-Train-Analysis-(2080s-and-2083s)?_g=(refreshInterval:(display:Off,section:0,value:0),time:(from:'2016-07-17 05:31:27-0600',mode:absolute,to:'2016-07-17 08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0" s="71" t="str">
        <f t="shared" si="5"/>
        <v>"C:\Program Files (x86)\AstroGrep\AstroGrep.exe" /spath="C:\Users\stu\Documents\Analysis\2016-02-23 RTDC Observations" /stypes="*4028*20160717*" /stext=" 13:.+((prompt.+disp)|(slice.+state.+chan)|(ment ac)|(system.+state.+chan)|(\|lc)|(penalty)|(\[timeout))" /e /r /s</v>
      </c>
      <c r="S40" s="9" t="str">
        <f t="shared" si="6"/>
        <v>4028</v>
      </c>
      <c r="T40" s="48">
        <f t="shared" si="7"/>
        <v>42568.553969907407</v>
      </c>
      <c r="U40" s="69" t="str">
        <f t="shared" si="8"/>
        <v>EC</v>
      </c>
      <c r="V40" s="69" t="str">
        <f t="shared" si="9"/>
        <v>KEEP</v>
      </c>
    </row>
    <row r="41" spans="1:22" ht="15" customHeight="1" x14ac:dyDescent="0.25">
      <c r="A41" s="48">
        <v>42568.356365740743</v>
      </c>
      <c r="B41" s="65" t="s">
        <v>175</v>
      </c>
      <c r="C41" s="41" t="s">
        <v>420</v>
      </c>
      <c r="D41" s="41" t="s">
        <v>50</v>
      </c>
      <c r="E41" s="65" t="s">
        <v>51</v>
      </c>
      <c r="F41" s="66">
        <v>0</v>
      </c>
      <c r="G41" s="66">
        <v>56</v>
      </c>
      <c r="H41" s="66">
        <v>212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STARKS</v>
      </c>
      <c r="M41" s="9" t="s">
        <v>107</v>
      </c>
      <c r="N41" s="10"/>
      <c r="O41" s="41"/>
      <c r="P41" s="72" t="str">
        <f>VLOOKUP(C41,'Train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41" s="70" t="str">
        <f>VLOOKUP(C41,'Train Runs'!$A$13:$AE$870,22,0)</f>
        <v>https://search-rtdc-monitor-bjffxe2xuh6vdkpspy63sjmuny.us-east-1.es.amazonaws.com/_plugin/kibana/#/discover/Steve-Slow-Train-Analysis-(2080s-and-2083s)?_g=(refreshInterval:(display:Off,section:0,value:0),time:(from:'2016-07-17 06:52:50-0600',mode:absolute,to:'2016-07-17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1" s="71" t="str">
        <f t="shared" si="5"/>
        <v>"C:\Program Files (x86)\AstroGrep\AstroGrep.exe" /spath="C:\Users\stu\Documents\Analysis\2016-02-23 RTDC Observations" /stypes="*4015*20160717*" /stext=" 14:.+((prompt.+disp)|(slice.+state.+chan)|(ment ac)|(system.+state.+chan)|(\|lc)|(penalty)|(\[timeout))" /e /r /s</v>
      </c>
      <c r="S41" s="9" t="str">
        <f t="shared" si="6"/>
        <v>4015</v>
      </c>
      <c r="T41" s="48">
        <f t="shared" si="7"/>
        <v>42568.606365740743</v>
      </c>
      <c r="U41" s="69" t="str">
        <f t="shared" si="8"/>
        <v>EC</v>
      </c>
      <c r="V41" s="69" t="str">
        <f t="shared" si="9"/>
        <v>KEEP</v>
      </c>
    </row>
    <row r="42" spans="1:22" x14ac:dyDescent="0.25">
      <c r="A42" s="48">
        <v>42568.377083333333</v>
      </c>
      <c r="B42" s="65" t="s">
        <v>120</v>
      </c>
      <c r="C42" s="41" t="s">
        <v>421</v>
      </c>
      <c r="D42" s="41" t="s">
        <v>50</v>
      </c>
      <c r="E42" s="65" t="s">
        <v>51</v>
      </c>
      <c r="F42" s="66">
        <v>0</v>
      </c>
      <c r="G42" s="66">
        <v>37</v>
      </c>
      <c r="H42" s="66">
        <v>121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ACKERMAN</v>
      </c>
      <c r="M42" s="9" t="s">
        <v>107</v>
      </c>
      <c r="N42" s="10"/>
      <c r="O42" s="41"/>
      <c r="P42" s="72" t="str">
        <f>VLOOKUP(C42,'Train Runs'!$A$13:$AE$870,31,0)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42" s="70" t="str">
        <f>VLOOKUP(C42,'Train Runs'!$A$13:$AE$870,22,0)</f>
        <v>https://search-rtdc-monitor-bjffxe2xuh6vdkpspy63sjmuny.us-east-1.es.amazonaws.com/_plugin/kibana/#/discover/Steve-Slow-Train-Analysis-(2080s-and-2083s)?_g=(refreshInterval:(display:Off,section:0,value:0),time:(from:'2016-07-17 07:16:57-0600',mode:absolute,to:'2016-07-17 10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2" s="71" t="str">
        <f t="shared" si="5"/>
        <v>"C:\Program Files (x86)\AstroGrep\AstroGrep.exe" /spath="C:\Users\stu\Documents\Analysis\2016-02-23 RTDC Observations" /stypes="*4028*20160717*" /stext=" 15:.+((prompt.+disp)|(slice.+state.+chan)|(ment ac)|(system.+state.+chan)|(\|lc)|(penalty)|(\[timeout))" /e /r /s</v>
      </c>
      <c r="S42" s="9" t="str">
        <f t="shared" si="6"/>
        <v>4028</v>
      </c>
      <c r="T42" s="48">
        <f t="shared" si="7"/>
        <v>42568.627083333333</v>
      </c>
      <c r="U42" s="69" t="str">
        <f t="shared" si="8"/>
        <v>EC</v>
      </c>
      <c r="V42" s="69" t="str">
        <f t="shared" si="9"/>
        <v>KEEP</v>
      </c>
    </row>
    <row r="43" spans="1:22" ht="15" customHeight="1" x14ac:dyDescent="0.25">
      <c r="A43" s="48">
        <v>42568.481446759259</v>
      </c>
      <c r="B43" s="41" t="s">
        <v>118</v>
      </c>
      <c r="C43" s="41" t="s">
        <v>424</v>
      </c>
      <c r="D43" s="41" t="s">
        <v>50</v>
      </c>
      <c r="E43" s="41" t="s">
        <v>51</v>
      </c>
      <c r="F43" s="66">
        <v>0</v>
      </c>
      <c r="G43" s="66">
        <v>4</v>
      </c>
      <c r="H43" s="66">
        <v>110</v>
      </c>
      <c r="I43" s="41" t="s">
        <v>52</v>
      </c>
      <c r="J43" s="66">
        <v>1</v>
      </c>
      <c r="K43" s="41" t="s">
        <v>54</v>
      </c>
      <c r="L43" s="93" t="str">
        <f>VLOOKUP(C43,'Trips&amp;Operators'!$C$1:$E$9999,3,0)</f>
        <v>MALAVE</v>
      </c>
      <c r="M43" s="9" t="s">
        <v>107</v>
      </c>
      <c r="N43" s="10"/>
      <c r="O43" s="41"/>
      <c r="P43" s="72" t="str">
        <f>VLOOKUP(C43,'Train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3" s="70" t="str">
        <f>VLOOKUP(C43,'Train Runs'!$A$13:$AE$870,22,0)</f>
        <v>https://search-rtdc-monitor-bjffxe2xuh6vdkpspy63sjmuny.us-east-1.es.amazonaws.com/_plugin/kibana/#/discover/Steve-Slow-Train-Analysis-(2080s-and-2083s)?_g=(refreshInterval:(display:Off,section:0,value:0),time:(from:'2016-07-17 09:53:41-0600',mode:absolute,to:'2016-07-17 12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3" s="71" t="str">
        <f t="shared" si="5"/>
        <v>"C:\Program Files (x86)\AstroGrep\AstroGrep.exe" /spath="C:\Users\stu\Documents\Analysis\2016-02-23 RTDC Observations" /stypes="*4013*20160717*" /stext=" 17:.+((prompt.+disp)|(slice.+state.+chan)|(ment ac)|(system.+state.+chan)|(\|lc)|(penalty)|(\[timeout))" /e /r /s</v>
      </c>
      <c r="S43" s="9" t="str">
        <f t="shared" si="6"/>
        <v>4013</v>
      </c>
      <c r="T43" s="48">
        <f t="shared" si="7"/>
        <v>42568.731446759259</v>
      </c>
      <c r="U43" s="69" t="str">
        <f t="shared" si="8"/>
        <v>EC</v>
      </c>
      <c r="V43" s="69" t="str">
        <f t="shared" si="9"/>
        <v>OMIT</v>
      </c>
    </row>
    <row r="44" spans="1:22" x14ac:dyDescent="0.25">
      <c r="A44" s="48">
        <v>42568.554039351853</v>
      </c>
      <c r="B44" s="65" t="s">
        <v>118</v>
      </c>
      <c r="C44" s="41" t="s">
        <v>427</v>
      </c>
      <c r="D44" s="41" t="s">
        <v>50</v>
      </c>
      <c r="E44" s="65" t="s">
        <v>51</v>
      </c>
      <c r="F44" s="66">
        <v>0</v>
      </c>
      <c r="G44" s="66">
        <v>36</v>
      </c>
      <c r="H44" s="66">
        <v>127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RIVERA</v>
      </c>
      <c r="M44" s="9" t="s">
        <v>107</v>
      </c>
      <c r="N44" s="10"/>
      <c r="O44" s="41"/>
      <c r="P44" s="72" t="str">
        <f>VLOOKUP(C44,'Train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4" s="70" t="str">
        <f>VLOOKUP(C44,'Train Runs'!$A$13:$AE$870,22,0)</f>
        <v>https://search-rtdc-monitor-bjffxe2xuh6vdkpspy63sjmuny.us-east-1.es.amazonaws.com/_plugin/kibana/#/discover/Steve-Slow-Train-Analysis-(2080s-and-2083s)?_g=(refreshInterval:(display:Off,section:0,value:0),time:(from:'2016-07-17 11:37:48-0600',mode:absolute,to:'2016-07-17 14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4" s="71" t="str">
        <f t="shared" si="5"/>
        <v>"C:\Program Files (x86)\AstroGrep\AstroGrep.exe" /spath="C:\Users\stu\Documents\Analysis\2016-02-23 RTDC Observations" /stypes="*4013*20160717*" /stext=" 19:.+((prompt.+disp)|(slice.+state.+chan)|(ment ac)|(system.+state.+chan)|(\|lc)|(penalty)|(\[timeout))" /e /r /s</v>
      </c>
      <c r="S44" s="9" t="str">
        <f t="shared" si="6"/>
        <v>4013</v>
      </c>
      <c r="T44" s="48">
        <f t="shared" si="7"/>
        <v>42568.804039351853</v>
      </c>
      <c r="U44" s="69" t="str">
        <f t="shared" si="8"/>
        <v>EC</v>
      </c>
      <c r="V44" s="69" t="str">
        <f t="shared" si="9"/>
        <v>KEEP</v>
      </c>
    </row>
    <row r="45" spans="1:22" ht="15" customHeight="1" x14ac:dyDescent="0.25">
      <c r="A45" s="108">
        <v>42568.65283564815</v>
      </c>
      <c r="B45" s="65" t="s">
        <v>175</v>
      </c>
      <c r="C45" s="41" t="s">
        <v>434</v>
      </c>
      <c r="D45" s="41" t="s">
        <v>50</v>
      </c>
      <c r="E45" s="41" t="s">
        <v>51</v>
      </c>
      <c r="F45" s="66">
        <v>0</v>
      </c>
      <c r="G45" s="66">
        <v>62</v>
      </c>
      <c r="H45" s="66">
        <v>207</v>
      </c>
      <c r="I45" s="41" t="s">
        <v>52</v>
      </c>
      <c r="J45" s="66">
        <v>1</v>
      </c>
      <c r="K45" s="41" t="s">
        <v>54</v>
      </c>
      <c r="L45" s="93" t="str">
        <f>VLOOKUP(C45,'Trips&amp;Operators'!$C$1:$E$9999,3,0)</f>
        <v>MAYBERRY</v>
      </c>
      <c r="M45" s="9" t="s">
        <v>107</v>
      </c>
      <c r="N45" s="10"/>
      <c r="O45" s="41"/>
      <c r="P45" s="72" t="str">
        <f>VLOOKUP(C45,'Train Runs'!$A$13:$AE$870,31,0)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45" s="70" t="str">
        <f>VLOOKUP(C45,'Train Runs'!$A$13:$AE$870,22,0)</f>
        <v>https://search-rtdc-monitor-bjffxe2xuh6vdkpspy63sjmuny.us-east-1.es.amazonaws.com/_plugin/kibana/#/discover/Steve-Slow-Train-Analysis-(2080s-and-2083s)?_g=(refreshInterval:(display:Off,section:0,value:0),time:(from:'2016-07-17 14:33:29-0600',mode:absolute,to:'2016-07-17 16:40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1" t="str">
        <f t="shared" si="5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S45" s="9" t="str">
        <f t="shared" si="6"/>
        <v>4015</v>
      </c>
      <c r="T45" s="48">
        <f t="shared" si="7"/>
        <v>42568.90283564815</v>
      </c>
      <c r="U45" s="69" t="str">
        <f t="shared" si="8"/>
        <v>EC</v>
      </c>
      <c r="V45" s="69" t="str">
        <f t="shared" si="9"/>
        <v>KEEP</v>
      </c>
    </row>
    <row r="46" spans="1:22" x14ac:dyDescent="0.25">
      <c r="A46" s="48">
        <v>42568.754664351851</v>
      </c>
      <c r="B46" s="65" t="s">
        <v>132</v>
      </c>
      <c r="C46" s="41" t="s">
        <v>443</v>
      </c>
      <c r="D46" s="41" t="s">
        <v>50</v>
      </c>
      <c r="E46" s="65" t="s">
        <v>51</v>
      </c>
      <c r="F46" s="66">
        <v>0</v>
      </c>
      <c r="G46" s="66">
        <v>92</v>
      </c>
      <c r="H46" s="66">
        <v>323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STORY</v>
      </c>
      <c r="M46" s="9" t="s">
        <v>107</v>
      </c>
      <c r="N46" s="10"/>
      <c r="O46" s="41"/>
      <c r="P46" s="72" t="str">
        <f>VLOOKUP(C46,'Train Runs'!$A$13:$AE$870,31,0)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46" s="70" t="str">
        <f>VLOOKUP(C46,'Train Runs'!$A$13:$AE$870,22,0)</f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6" s="71" t="str">
        <f t="shared" si="5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S46" s="9" t="str">
        <f t="shared" si="6"/>
        <v>4008</v>
      </c>
      <c r="T46" s="48">
        <f t="shared" si="7"/>
        <v>42569.004664351851</v>
      </c>
      <c r="U46" s="69" t="str">
        <f t="shared" si="8"/>
        <v>EC</v>
      </c>
      <c r="V46" s="69" t="str">
        <f t="shared" si="9"/>
        <v>KEEP</v>
      </c>
    </row>
    <row r="47" spans="1:22" x14ac:dyDescent="0.25">
      <c r="A47" s="108">
        <v>42568.755300925928</v>
      </c>
      <c r="B47" s="65" t="s">
        <v>132</v>
      </c>
      <c r="C47" s="41" t="s">
        <v>443</v>
      </c>
      <c r="D47" s="41" t="s">
        <v>50</v>
      </c>
      <c r="E47" s="65" t="s">
        <v>51</v>
      </c>
      <c r="F47" s="66">
        <v>0</v>
      </c>
      <c r="G47" s="66">
        <v>21</v>
      </c>
      <c r="H47" s="66">
        <v>82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STORY</v>
      </c>
      <c r="M47" s="9" t="s">
        <v>107</v>
      </c>
      <c r="N47" s="10"/>
      <c r="O47" s="41"/>
      <c r="P47" s="72" t="str">
        <f>VLOOKUP(C47,'Train Runs'!$A$13:$AE$870,31,0)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47" s="70" t="str">
        <f>VLOOKUP(C47,'Train Runs'!$A$13:$AE$870,22,0)</f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7" s="71" t="str">
        <f t="shared" si="5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S47" s="9" t="str">
        <f t="shared" si="6"/>
        <v>4008</v>
      </c>
      <c r="T47" s="48">
        <f t="shared" si="7"/>
        <v>42569.005300925928</v>
      </c>
      <c r="U47" s="69" t="str">
        <f t="shared" si="8"/>
        <v>EC</v>
      </c>
      <c r="V47" s="69" t="str">
        <f t="shared" si="9"/>
        <v>KEEP</v>
      </c>
    </row>
    <row r="48" spans="1:22" ht="15" customHeight="1" x14ac:dyDescent="0.25">
      <c r="A48" s="48">
        <v>42568.773356481484</v>
      </c>
      <c r="B48" s="65" t="s">
        <v>118</v>
      </c>
      <c r="C48" s="41" t="s">
        <v>445</v>
      </c>
      <c r="D48" s="41" t="s">
        <v>50</v>
      </c>
      <c r="E48" s="65" t="s">
        <v>51</v>
      </c>
      <c r="F48" s="66">
        <v>0</v>
      </c>
      <c r="G48" s="66">
        <v>70</v>
      </c>
      <c r="H48" s="66">
        <v>242</v>
      </c>
      <c r="I48" s="65" t="s">
        <v>52</v>
      </c>
      <c r="J48" s="66">
        <v>1</v>
      </c>
      <c r="K48" s="41" t="s">
        <v>54</v>
      </c>
      <c r="L48" s="93" t="str">
        <f>VLOOKUP(C48,'Trips&amp;Operators'!$C$1:$E$9999,3,0)</f>
        <v>RIVERA</v>
      </c>
      <c r="M48" s="9" t="s">
        <v>107</v>
      </c>
      <c r="N48" s="10"/>
      <c r="O48" s="41"/>
      <c r="P48" s="72" t="str">
        <f>VLOOKUP(C48,'Train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8" s="70" t="str">
        <f>VLOOKUP(C48,'Train Runs'!$A$13:$AE$870,22,0)</f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8" s="71" t="str">
        <f t="shared" si="5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S48" s="9" t="str">
        <f t="shared" si="6"/>
        <v>4013</v>
      </c>
      <c r="T48" s="48">
        <f t="shared" si="7"/>
        <v>42569.023356481484</v>
      </c>
      <c r="U48" s="69" t="str">
        <f t="shared" si="8"/>
        <v>EC</v>
      </c>
      <c r="V48" s="69" t="str">
        <f t="shared" si="9"/>
        <v>KEEP</v>
      </c>
    </row>
    <row r="49" spans="1:22" ht="15" customHeight="1" x14ac:dyDescent="0.25">
      <c r="A49" s="48">
        <v>42568.773784722223</v>
      </c>
      <c r="B49" s="65" t="s">
        <v>118</v>
      </c>
      <c r="C49" s="41" t="s">
        <v>445</v>
      </c>
      <c r="D49" s="41" t="s">
        <v>50</v>
      </c>
      <c r="E49" s="65" t="s">
        <v>51</v>
      </c>
      <c r="F49" s="66">
        <v>0</v>
      </c>
      <c r="G49" s="66">
        <v>30</v>
      </c>
      <c r="H49" s="66">
        <v>125</v>
      </c>
      <c r="I49" s="65" t="s">
        <v>52</v>
      </c>
      <c r="J49" s="66">
        <v>1</v>
      </c>
      <c r="K49" s="41" t="s">
        <v>54</v>
      </c>
      <c r="L49" s="93" t="str">
        <f>VLOOKUP(C49,'Trips&amp;Operators'!$C$1:$E$9999,3,0)</f>
        <v>RIVERA</v>
      </c>
      <c r="M49" s="9" t="s">
        <v>107</v>
      </c>
      <c r="N49" s="10"/>
      <c r="O49" s="69"/>
      <c r="P49" s="72" t="str">
        <f>VLOOKUP(C49,'Train Runs'!$A$13:$AE$870,31,0)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9" s="70" t="str">
        <f>VLOOKUP(C49,'Train Runs'!$A$13:$AE$870,22,0)</f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9" s="71" t="str">
        <f t="shared" si="5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S49" s="9" t="str">
        <f t="shared" si="6"/>
        <v>4013</v>
      </c>
      <c r="T49" s="48">
        <f t="shared" si="7"/>
        <v>42569.023784722223</v>
      </c>
      <c r="U49" s="69" t="str">
        <f t="shared" si="8"/>
        <v>EC</v>
      </c>
      <c r="V49" s="69" t="str">
        <f t="shared" si="9"/>
        <v>KEEP</v>
      </c>
    </row>
    <row r="50" spans="1:22" ht="15" customHeight="1" x14ac:dyDescent="0.25">
      <c r="A50" s="48">
        <v>42568.806712962964</v>
      </c>
      <c r="B50" s="65" t="s">
        <v>216</v>
      </c>
      <c r="C50" s="41" t="s">
        <v>448</v>
      </c>
      <c r="D50" s="41" t="s">
        <v>50</v>
      </c>
      <c r="E50" s="65" t="s">
        <v>51</v>
      </c>
      <c r="F50" s="66">
        <v>0</v>
      </c>
      <c r="G50" s="66">
        <v>96</v>
      </c>
      <c r="H50" s="66">
        <v>338</v>
      </c>
      <c r="I50" s="65" t="s">
        <v>52</v>
      </c>
      <c r="J50" s="66">
        <v>1</v>
      </c>
      <c r="K50" s="41" t="s">
        <v>54</v>
      </c>
      <c r="L50" s="93" t="str">
        <f>VLOOKUP(C50,'Trips&amp;Operators'!$C$1:$E$9999,3,0)</f>
        <v>COOLAHAN</v>
      </c>
      <c r="M50" s="9" t="s">
        <v>107</v>
      </c>
      <c r="N50" s="10"/>
      <c r="O50" s="41"/>
      <c r="P50" s="72" t="str">
        <f>VLOOKUP(C50,'Train Runs'!$A$13:$AE$870,31,0)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50" s="70" t="str">
        <f>VLOOKUP(C50,'Train Runs'!$A$13:$AE$870,22,0)</f>
        <v>https://search-rtdc-monitor-bjffxe2xuh6vdkpspy63sjmuny.us-east-1.es.amazonaws.com/_plugin/kibana/#/discover/Steve-Slow-Train-Analysis-(2080s-and-2083s)?_g=(refreshInterval:(display:Off,section:0,value:0),time:(from:'2016-07-17 17:34:58-0600',mode:absolute,to:'2016-07-17 20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0" s="71" t="str">
        <f t="shared" si="5"/>
        <v>"C:\Program Files (x86)\AstroGrep\AstroGrep.exe" /spath="C:\Users\stu\Documents\Analysis\2016-02-23 RTDC Observations" /stypes="*4041*20160718*" /stext=" 01:.+((prompt.+disp)|(slice.+state.+chan)|(ment ac)|(system.+state.+chan)|(\|lc)|(penalty)|(\[timeout))" /e /r /s</v>
      </c>
      <c r="S50" s="9" t="str">
        <f t="shared" si="6"/>
        <v>4041</v>
      </c>
      <c r="T50" s="48">
        <f t="shared" si="7"/>
        <v>42569.056712962964</v>
      </c>
      <c r="U50" s="69" t="str">
        <f t="shared" si="8"/>
        <v>EC</v>
      </c>
      <c r="V50" s="69" t="str">
        <f t="shared" si="9"/>
        <v>KEEP</v>
      </c>
    </row>
    <row r="51" spans="1:22" ht="15" customHeight="1" x14ac:dyDescent="0.25">
      <c r="A51" s="48">
        <v>42568.963402777779</v>
      </c>
      <c r="B51" s="65" t="s">
        <v>216</v>
      </c>
      <c r="C51" s="41" t="s">
        <v>455</v>
      </c>
      <c r="D51" s="41" t="s">
        <v>50</v>
      </c>
      <c r="E51" s="65" t="s">
        <v>51</v>
      </c>
      <c r="F51" s="66">
        <v>0</v>
      </c>
      <c r="G51" s="66">
        <v>54</v>
      </c>
      <c r="H51" s="66">
        <v>185</v>
      </c>
      <c r="I51" s="65" t="s">
        <v>52</v>
      </c>
      <c r="J51" s="66">
        <v>1</v>
      </c>
      <c r="K51" s="41" t="s">
        <v>54</v>
      </c>
      <c r="L51" s="93" t="str">
        <f>VLOOKUP(C51,'Trips&amp;Operators'!$C$1:$E$9999,3,0)</f>
        <v>COOLAHAN</v>
      </c>
      <c r="M51" s="9" t="s">
        <v>107</v>
      </c>
      <c r="N51" s="10"/>
      <c r="O51" s="41"/>
      <c r="P51" s="72" t="str">
        <f>VLOOKUP(C51,'Train Runs'!$A$13:$AE$870,31,0)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51" s="70" t="str">
        <f>VLOOKUP(C51,'Train Runs'!$A$13:$AE$870,22,0)</f>
        <v>https://search-rtdc-monitor-bjffxe2xuh6vdkpspy63sjmuny.us-east-1.es.amazonaws.com/_plugin/kibana/#/discover/Steve-Slow-Train-Analysis-(2080s-and-2083s)?_g=(refreshInterval:(display:Off,section:0,value:0),time:(from:'2016-07-17 21:37:04-0600',mode:absolute,to:'2016-07-18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1" s="71" t="str">
        <f t="shared" si="5"/>
        <v>"C:\Program Files (x86)\AstroGrep\AstroGrep.exe" /spath="C:\Users\stu\Documents\Analysis\2016-02-23 RTDC Observations" /stypes="*4041*20160718*" /stext=" 05:.+((prompt.+disp)|(slice.+state.+chan)|(ment ac)|(system.+state.+chan)|(\|lc)|(penalty)|(\[timeout))" /e /r /s</v>
      </c>
      <c r="S51" s="9" t="str">
        <f t="shared" si="6"/>
        <v>4041</v>
      </c>
      <c r="T51" s="48">
        <f t="shared" si="7"/>
        <v>42569.213402777779</v>
      </c>
      <c r="U51" s="69" t="str">
        <f t="shared" si="8"/>
        <v>EC</v>
      </c>
      <c r="V51" s="69" t="str">
        <f t="shared" si="9"/>
        <v>KEEP</v>
      </c>
    </row>
    <row r="52" spans="1:22" x14ac:dyDescent="0.25">
      <c r="A52" s="48">
        <v>42569.065416666665</v>
      </c>
      <c r="B52" s="65" t="s">
        <v>133</v>
      </c>
      <c r="C52" s="41" t="s">
        <v>459</v>
      </c>
      <c r="D52" s="41" t="s">
        <v>50</v>
      </c>
      <c r="E52" s="65" t="s">
        <v>51</v>
      </c>
      <c r="F52" s="66">
        <v>0</v>
      </c>
      <c r="G52" s="66">
        <v>9</v>
      </c>
      <c r="H52" s="66">
        <v>125</v>
      </c>
      <c r="I52" s="65" t="s">
        <v>52</v>
      </c>
      <c r="J52" s="66">
        <v>1</v>
      </c>
      <c r="K52" s="41" t="s">
        <v>54</v>
      </c>
      <c r="L52" s="93" t="str">
        <f>VLOOKUP(C52,'Trips&amp;Operators'!$C$1:$E$9999,3,0)</f>
        <v>NEWELL</v>
      </c>
      <c r="M52" s="9" t="s">
        <v>107</v>
      </c>
      <c r="N52" s="10"/>
      <c r="O52" s="41"/>
      <c r="P52" s="72" t="str">
        <f>VLOOKUP(C52,'Train Runs'!$A$13:$AE$870,31,0)</f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Q52" s="70" t="str">
        <f>VLOOKUP(C52,'Train Runs'!$A$13:$AE$870,22,0)</f>
        <v>https://search-rtdc-monitor-bjffxe2xuh6vdkpspy63sjmuny.us-east-1.es.amazonaws.com/_plugin/kibana/#/discover/Steve-Slow-Train-Analysis-(2080s-and-2083s)?_g=(refreshInterval:(display:Off,section:0,value:0),time:(from:'2016-07-18 00:10:31-0600',mode:absolute,to:'2016-07-18 02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2" s="71" t="str">
        <f t="shared" si="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S52" s="9" t="str">
        <f t="shared" si="6"/>
        <v>4043</v>
      </c>
      <c r="T52" s="48">
        <f t="shared" si="7"/>
        <v>42569.315416666665</v>
      </c>
      <c r="U52" s="69" t="str">
        <f t="shared" si="8"/>
        <v>EC</v>
      </c>
      <c r="V52" s="69" t="str">
        <f t="shared" si="9"/>
        <v>OMIT</v>
      </c>
    </row>
    <row r="53" spans="1:22" x14ac:dyDescent="0.25">
      <c r="A53" s="48">
        <v>42568.159918981481</v>
      </c>
      <c r="B53" s="65" t="s">
        <v>210</v>
      </c>
      <c r="C53" s="41" t="s">
        <v>411</v>
      </c>
      <c r="D53" s="41" t="s">
        <v>50</v>
      </c>
      <c r="E53" s="65" t="s">
        <v>51</v>
      </c>
      <c r="F53" s="66">
        <v>0</v>
      </c>
      <c r="G53" s="66">
        <v>8</v>
      </c>
      <c r="H53" s="66">
        <v>233326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ROCHA</v>
      </c>
      <c r="M53" s="9" t="s">
        <v>107</v>
      </c>
      <c r="N53" s="10"/>
      <c r="O53" s="41"/>
      <c r="P53" s="72" t="str">
        <f>VLOOKUP(C53,'Train Runs'!$A$13:$AE$870,31,0)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53" s="70" t="str">
        <f>VLOOKUP(C53,'Train Runs'!$A$13:$AE$870,22,0)</f>
        <v>https://search-rtdc-monitor-bjffxe2xuh6vdkpspy63sjmuny.us-east-1.es.amazonaws.com/_plugin/kibana/#/discover/Steve-Slow-Train-Analysis-(2080s-and-2083s)?_g=(refreshInterval:(display:Off,section:0,value:0),time:(from:'2016-07-17 02:13:38-0600',mode:absolute,to:'2016-07-17 04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3" s="71" t="str">
        <f t="shared" si="5"/>
        <v>"C:\Program Files (x86)\AstroGrep\AstroGrep.exe" /spath="C:\Users\stu\Documents\Analysis\2016-02-23 RTDC Observations" /stypes="*4009*20160717*" /stext=" 09:.+((prompt.+disp)|(slice.+state.+chan)|(ment ac)|(system.+state.+chan)|(\|lc)|(penalty)|(\[timeout))" /e /r /s</v>
      </c>
      <c r="S53" s="9" t="str">
        <f t="shared" si="6"/>
        <v>4009</v>
      </c>
      <c r="T53" s="48">
        <f t="shared" si="7"/>
        <v>42568.409918981481</v>
      </c>
      <c r="U53" s="69" t="str">
        <f t="shared" si="8"/>
        <v>EC</v>
      </c>
      <c r="V53" s="69" t="str">
        <f t="shared" si="9"/>
        <v>OMIT</v>
      </c>
    </row>
    <row r="54" spans="1:22" x14ac:dyDescent="0.25">
      <c r="A54" s="48">
        <v>42568.18173611111</v>
      </c>
      <c r="B54" s="65" t="s">
        <v>82</v>
      </c>
      <c r="C54" s="41" t="s">
        <v>412</v>
      </c>
      <c r="D54" s="41" t="s">
        <v>50</v>
      </c>
      <c r="E54" s="65" t="s">
        <v>51</v>
      </c>
      <c r="F54" s="66">
        <v>0</v>
      </c>
      <c r="G54" s="66">
        <v>4</v>
      </c>
      <c r="H54" s="66">
        <v>233229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ACKERMAN</v>
      </c>
      <c r="M54" s="9" t="s">
        <v>107</v>
      </c>
      <c r="N54" s="10"/>
      <c r="O54" s="41"/>
      <c r="P54" s="72" t="str">
        <f>VLOOKUP(C54,'Train Runs'!$A$13:$AE$870,31,0)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Q54" s="70" t="str">
        <f>VLOOKUP(C54,'Train Runs'!$A$13:$AE$870,22,0)</f>
        <v>https://search-rtdc-monitor-bjffxe2xuh6vdkpspy63sjmuny.us-east-1.es.amazonaws.com/_plugin/kibana/#/discover/Steve-Slow-Train-Analysis-(2080s-and-2083s)?_g=(refreshInterval:(display:Off,section:0,value:0),time:(from:'2016-07-17 02:33:16-0600',mode:absolute,to:'2016-07-17 05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4" s="71" t="str">
        <f t="shared" si="5"/>
        <v>"C:\Program Files (x86)\AstroGrep\AstroGrep.exe" /spath="C:\Users\stu\Documents\Analysis\2016-02-23 RTDC Observations" /stypes="*4042*20160717*" /stext=" 10:.+((prompt.+disp)|(slice.+state.+chan)|(ment ac)|(system.+state.+chan)|(\|lc)|(penalty)|(\[timeout))" /e /r /s</v>
      </c>
      <c r="S54" s="9" t="str">
        <f t="shared" si="6"/>
        <v>4042</v>
      </c>
      <c r="T54" s="48">
        <f t="shared" si="7"/>
        <v>42568.43173611111</v>
      </c>
      <c r="U54" s="69" t="str">
        <f t="shared" si="8"/>
        <v>EC</v>
      </c>
      <c r="V54" s="69" t="str">
        <f t="shared" si="9"/>
        <v>OMIT</v>
      </c>
    </row>
    <row r="55" spans="1:22" x14ac:dyDescent="0.25">
      <c r="A55" s="48">
        <v>42568.295694444445</v>
      </c>
      <c r="B55" s="65" t="s">
        <v>117</v>
      </c>
      <c r="C55" s="41" t="s">
        <v>418</v>
      </c>
      <c r="D55" s="41" t="s">
        <v>50</v>
      </c>
      <c r="E55" s="41" t="s">
        <v>51</v>
      </c>
      <c r="F55" s="66">
        <v>0</v>
      </c>
      <c r="G55" s="66">
        <v>4</v>
      </c>
      <c r="H55" s="66">
        <v>233332</v>
      </c>
      <c r="I55" s="41" t="s">
        <v>52</v>
      </c>
      <c r="J55" s="66">
        <v>233491</v>
      </c>
      <c r="K55" s="41" t="s">
        <v>53</v>
      </c>
      <c r="L55" s="93" t="str">
        <f>VLOOKUP(C55,'Trips&amp;Operators'!$C$1:$E$9999,3,0)</f>
        <v>MALAVE</v>
      </c>
      <c r="M55" s="9" t="s">
        <v>107</v>
      </c>
      <c r="N55" s="10"/>
      <c r="O55" s="41"/>
      <c r="P55" s="72" t="str">
        <f>VLOOKUP(C55,'Train Runs'!$A$13:$AE$870,31,0)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5" s="70" t="str">
        <f>VLOOKUP(C55,'Train Runs'!$A$13:$AE$870,22,0)</f>
        <v>https://search-rtdc-monitor-bjffxe2xuh6vdkpspy63sjmuny.us-east-1.es.amazonaws.com/_plugin/kibana/#/discover/Steve-Slow-Train-Analysis-(2080s-and-2083s)?_g=(refreshInterval:(display:Off,section:0,value:0),time:(from:'2016-07-17 05:28:41-0600',mode:absolute,to:'2016-07-17 08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5" s="71" t="str">
        <f t="shared" si="5"/>
        <v>"C:\Program Files (x86)\AstroGrep\AstroGrep.exe" /spath="C:\Users\stu\Documents\Analysis\2016-02-23 RTDC Observations" /stypes="*4014*20160717*" /stext=" 13:.+((prompt.+disp)|(slice.+state.+chan)|(ment ac)|(system.+state.+chan)|(\|lc)|(penalty)|(\[timeout))" /e /r /s</v>
      </c>
      <c r="S55" s="9" t="str">
        <f t="shared" si="6"/>
        <v>4014</v>
      </c>
      <c r="T55" s="48">
        <f t="shared" si="7"/>
        <v>42568.545694444445</v>
      </c>
      <c r="U55" s="69" t="str">
        <f t="shared" si="8"/>
        <v>EC</v>
      </c>
      <c r="V55" s="69" t="str">
        <f t="shared" si="9"/>
        <v>OMIT</v>
      </c>
    </row>
    <row r="56" spans="1:22" x14ac:dyDescent="0.25">
      <c r="A56" s="48">
        <v>42568.388981481483</v>
      </c>
      <c r="B56" s="65" t="s">
        <v>176</v>
      </c>
      <c r="C56" s="41" t="s">
        <v>422</v>
      </c>
      <c r="D56" s="41" t="s">
        <v>50</v>
      </c>
      <c r="E56" s="65" t="s">
        <v>51</v>
      </c>
      <c r="F56" s="66">
        <v>0</v>
      </c>
      <c r="G56" s="66">
        <v>5</v>
      </c>
      <c r="H56" s="66">
        <v>233339</v>
      </c>
      <c r="I56" s="65" t="s">
        <v>52</v>
      </c>
      <c r="J56" s="66">
        <v>233491</v>
      </c>
      <c r="K56" s="41" t="s">
        <v>53</v>
      </c>
      <c r="L56" s="93" t="str">
        <f>VLOOKUP(C56,'Trips&amp;Operators'!$C$1:$E$9999,3,0)</f>
        <v>ROCHA</v>
      </c>
      <c r="M56" s="9" t="s">
        <v>107</v>
      </c>
      <c r="N56" s="10"/>
      <c r="O56" s="41"/>
      <c r="P56" s="72" t="str">
        <f>VLOOKUP(C56,'Train Runs'!$A$13:$AE$870,31,0)</f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Q56" s="70" t="str">
        <f>VLOOKUP(C56,'Train Runs'!$A$13:$AE$870,22,0)</f>
        <v>https://search-rtdc-monitor-bjffxe2xuh6vdkpspy63sjmuny.us-east-1.es.amazonaws.com/_plugin/kibana/#/discover/Steve-Slow-Train-Analysis-(2080s-and-2083s)?_g=(refreshInterval:(display:Off,section:0,value:0),time:(from:'2016-07-17 07:36:21-0600',mode:absolute,to:'2016-07-17 10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6" s="71" t="str">
        <f t="shared" si="5"/>
        <v>"C:\Program Files (x86)\AstroGrep\AstroGrep.exe" /spath="C:\Users\stu\Documents\Analysis\2016-02-23 RTDC Observations" /stypes="*4016*20160717*" /stext=" 15:.+((prompt.+disp)|(slice.+state.+chan)|(ment ac)|(system.+state.+chan)|(\|lc)|(penalty)|(\[timeout))" /e /r /s</v>
      </c>
      <c r="S56" s="9" t="str">
        <f t="shared" si="6"/>
        <v>4016</v>
      </c>
      <c r="T56" s="48">
        <f t="shared" si="7"/>
        <v>42568.638981481483</v>
      </c>
      <c r="U56" s="69" t="str">
        <f t="shared" si="8"/>
        <v>EC</v>
      </c>
      <c r="V56" s="69" t="str">
        <f t="shared" si="9"/>
        <v>OMIT</v>
      </c>
    </row>
    <row r="57" spans="1:22" x14ac:dyDescent="0.25">
      <c r="A57" s="48">
        <v>42568.587013888886</v>
      </c>
      <c r="B57" s="65" t="s">
        <v>117</v>
      </c>
      <c r="C57" s="41" t="s">
        <v>428</v>
      </c>
      <c r="D57" s="41" t="s">
        <v>50</v>
      </c>
      <c r="E57" s="65" t="s">
        <v>51</v>
      </c>
      <c r="F57" s="66">
        <v>0</v>
      </c>
      <c r="G57" s="66">
        <v>92</v>
      </c>
      <c r="H57" s="66">
        <v>233142</v>
      </c>
      <c r="I57" s="65" t="s">
        <v>52</v>
      </c>
      <c r="J57" s="66">
        <v>233491</v>
      </c>
      <c r="K57" s="41" t="s">
        <v>53</v>
      </c>
      <c r="L57" s="93" t="str">
        <f>VLOOKUP(C57,'Trips&amp;Operators'!$C$1:$E$9999,3,0)</f>
        <v>RIVERA</v>
      </c>
      <c r="M57" s="9" t="s">
        <v>107</v>
      </c>
      <c r="N57" s="10"/>
      <c r="O57" s="69"/>
      <c r="P57" s="72" t="str">
        <f>VLOOKUP(C57,'Train Runs'!$A$13:$AE$870,31,0)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7" s="70" t="str">
        <f>VLOOKUP(C57,'Train Runs'!$A$13:$AE$870,22,0)</f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7" s="71" t="str">
        <f t="shared" si="5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S57" s="9" t="str">
        <f t="shared" si="6"/>
        <v>4014</v>
      </c>
      <c r="T57" s="48">
        <f t="shared" si="7"/>
        <v>42568.837013888886</v>
      </c>
      <c r="U57" s="69" t="str">
        <f t="shared" si="8"/>
        <v>EC</v>
      </c>
      <c r="V57" s="69" t="str">
        <f t="shared" si="9"/>
        <v>KEEP</v>
      </c>
    </row>
    <row r="58" spans="1:22" x14ac:dyDescent="0.25">
      <c r="A58" s="48">
        <v>42568.587465277778</v>
      </c>
      <c r="B58" s="65" t="s">
        <v>117</v>
      </c>
      <c r="C58" s="41" t="s">
        <v>428</v>
      </c>
      <c r="D58" s="41" t="s">
        <v>50</v>
      </c>
      <c r="E58" s="65" t="s">
        <v>51</v>
      </c>
      <c r="F58" s="66">
        <v>0</v>
      </c>
      <c r="G58" s="66">
        <v>4</v>
      </c>
      <c r="H58" s="66">
        <v>233331</v>
      </c>
      <c r="I58" s="65" t="s">
        <v>52</v>
      </c>
      <c r="J58" s="66">
        <v>233491</v>
      </c>
      <c r="K58" s="41" t="s">
        <v>53</v>
      </c>
      <c r="L58" s="93" t="str">
        <f>VLOOKUP(C58,'Trips&amp;Operators'!$C$1:$E$9999,3,0)</f>
        <v>RIVERA</v>
      </c>
      <c r="M58" s="9" t="s">
        <v>107</v>
      </c>
      <c r="N58" s="10"/>
      <c r="O58" s="41"/>
      <c r="P58" s="72" t="str">
        <f>VLOOKUP(C58,'Train Runs'!$A$13:$AE$870,31,0)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8" s="70" t="str">
        <f>VLOOKUP(C58,'Train Runs'!$A$13:$AE$870,22,0)</f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8" s="71" t="str">
        <f t="shared" si="5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S58" s="9" t="str">
        <f t="shared" si="6"/>
        <v>4014</v>
      </c>
      <c r="T58" s="48">
        <f t="shared" si="7"/>
        <v>42568.837465277778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42568.73097222222</v>
      </c>
      <c r="B59" s="65" t="s">
        <v>76</v>
      </c>
      <c r="C59" s="41" t="s">
        <v>440</v>
      </c>
      <c r="D59" s="41" t="s">
        <v>50</v>
      </c>
      <c r="E59" s="65" t="s">
        <v>51</v>
      </c>
      <c r="F59" s="66">
        <v>0</v>
      </c>
      <c r="G59" s="66">
        <v>9</v>
      </c>
      <c r="H59" s="66">
        <v>233327</v>
      </c>
      <c r="I59" s="65" t="s">
        <v>52</v>
      </c>
      <c r="J59" s="66">
        <v>233491</v>
      </c>
      <c r="K59" s="41" t="s">
        <v>53</v>
      </c>
      <c r="L59" s="93" t="str">
        <f>VLOOKUP(C59,'Trips&amp;Operators'!$C$1:$E$9999,3,0)</f>
        <v>BRUDER</v>
      </c>
      <c r="M59" s="9" t="s">
        <v>107</v>
      </c>
      <c r="N59" s="10"/>
      <c r="O59" s="69"/>
      <c r="P59" s="72" t="str">
        <f>VLOOKUP(C59,'Train Runs'!$A$13:$AE$870,31,0)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59" s="70" t="str">
        <f>VLOOKUP(C59,'Train Runs'!$A$13:$AE$870,22,0)</f>
        <v>https://search-rtdc-monitor-bjffxe2xuh6vdkpspy63sjmuny.us-east-1.es.amazonaws.com/_plugin/kibana/#/discover/Steve-Slow-Train-Analysis-(2080s-and-2083s)?_g=(refreshInterval:(display:Off,section:0,value:0),time:(from:'2016-07-17 15:40:16-0600',mode:absolute,to:'2016-07-17 18:01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9" s="71" t="str">
        <f t="shared" si="5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S59" s="9" t="str">
        <f t="shared" si="6"/>
        <v>4031</v>
      </c>
      <c r="T59" s="48">
        <f t="shared" si="7"/>
        <v>42568.98097222222</v>
      </c>
      <c r="U59" s="69" t="str">
        <f t="shared" si="8"/>
        <v>EC</v>
      </c>
      <c r="V59" s="69" t="str">
        <f t="shared" si="9"/>
        <v>OMIT</v>
      </c>
    </row>
    <row r="60" spans="1:22" x14ac:dyDescent="0.25">
      <c r="A60" s="48">
        <v>42568.767291666663</v>
      </c>
      <c r="B60" s="65" t="s">
        <v>82</v>
      </c>
      <c r="C60" s="41" t="s">
        <v>401</v>
      </c>
      <c r="D60" s="41" t="s">
        <v>50</v>
      </c>
      <c r="E60" s="65" t="s">
        <v>51</v>
      </c>
      <c r="F60" s="66">
        <v>0</v>
      </c>
      <c r="G60" s="66">
        <v>5</v>
      </c>
      <c r="H60" s="66">
        <v>233340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COOLAHAN</v>
      </c>
      <c r="M60" s="9" t="s">
        <v>107</v>
      </c>
      <c r="N60" s="10"/>
      <c r="O60" s="69"/>
      <c r="P60" s="72" t="str">
        <f>VLOOKUP(C60,'Train Runs'!$A$13:$AE$870,31,0)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Q60" s="70" t="str">
        <f>VLOOKUP(C60,'Train Runs'!$A$13:$AE$870,22,0)</f>
        <v>https://search-rtdc-monitor-bjffxe2xuh6vdkpspy63sjmuny.us-east-1.es.amazonaws.com/_plugin/kibana/#/discover/Steve-Slow-Train-Analysis-(2080s-and-2083s)?_g=(refreshInterval:(display:Off,section:0,value:0),time:(from:'2016-07-17 16:46:09-0600',mode:absolute,to:'2016-07-17 19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0" s="71" t="str">
        <f t="shared" si="5"/>
        <v>"C:\Program Files (x86)\AstroGrep\AstroGrep.exe" /spath="C:\Users\stu\Documents\Analysis\2016-02-23 RTDC Observations" /stypes="*4042*20160718*" /stext=" 00:.+((prompt.+disp)|(slice.+state.+chan)|(ment ac)|(system.+state.+chan)|(\|lc)|(penalty)|(\[timeout))" /e /r /s</v>
      </c>
      <c r="S60" s="9" t="str">
        <f t="shared" si="6"/>
        <v>4042</v>
      </c>
      <c r="T60" s="48">
        <f t="shared" si="7"/>
        <v>42569.017291666663</v>
      </c>
      <c r="U60" s="69" t="str">
        <f t="shared" si="8"/>
        <v>EC</v>
      </c>
      <c r="V60" s="69" t="str">
        <f t="shared" si="9"/>
        <v>OMIT</v>
      </c>
    </row>
    <row r="61" spans="1:22" x14ac:dyDescent="0.25">
      <c r="A61" s="48">
        <v>42568.78162037037</v>
      </c>
      <c r="B61" s="65" t="s">
        <v>124</v>
      </c>
      <c r="C61" s="41" t="s">
        <v>446</v>
      </c>
      <c r="D61" s="41" t="s">
        <v>50</v>
      </c>
      <c r="E61" s="65" t="s">
        <v>51</v>
      </c>
      <c r="F61" s="66">
        <v>0</v>
      </c>
      <c r="G61" s="66">
        <v>5</v>
      </c>
      <c r="H61" s="66">
        <v>232973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KILLION</v>
      </c>
      <c r="M61" s="9" t="s">
        <v>107</v>
      </c>
      <c r="N61" s="10"/>
      <c r="O61" s="41"/>
      <c r="P61" s="72" t="str">
        <f>VLOOKUP(C61,'Train Runs'!$A$13:$AE$870,31,0)</f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Q61" s="70" t="str">
        <f>VLOOKUP(C61,'Train Runs'!$A$13:$AE$870,22,0)</f>
        <v>https://search-rtdc-monitor-bjffxe2xuh6vdkpspy63sjmuny.us-east-1.es.amazonaws.com/_plugin/kibana/#/discover/Steve-Slow-Train-Analysis-(2080s-and-2083s)?_g=(refreshInterval:(display:Off,section:0,value:0),time:(from:'2016-07-17 16:52:50-0600',mode:absolute,to:'2016-07-17 19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61" s="71" t="str">
        <f t="shared" si="5"/>
        <v>"C:\Program Files (x86)\AstroGrep\AstroGrep.exe" /spath="C:\Users\stu\Documents\Analysis\2016-02-23 RTDC Observations" /stypes="*4027*20160718*" /stext=" 00:.+((prompt.+disp)|(slice.+state.+chan)|(ment ac)|(system.+state.+chan)|(\|lc)|(penalty)|(\[timeout))" /e /r /s</v>
      </c>
      <c r="S61" s="9" t="str">
        <f t="shared" si="6"/>
        <v>4027</v>
      </c>
      <c r="T61" s="48">
        <f t="shared" si="7"/>
        <v>42569.03162037037</v>
      </c>
      <c r="U61" s="69" t="str">
        <f t="shared" si="8"/>
        <v>EC</v>
      </c>
      <c r="V61" s="69" t="str">
        <f t="shared" si="9"/>
        <v>OMIT</v>
      </c>
    </row>
    <row r="62" spans="1:22" x14ac:dyDescent="0.25">
      <c r="A62" s="48">
        <v>42568.788587962961</v>
      </c>
      <c r="B62" s="65" t="s">
        <v>130</v>
      </c>
      <c r="C62" s="41" t="s">
        <v>444</v>
      </c>
      <c r="D62" s="41" t="s">
        <v>50</v>
      </c>
      <c r="E62" s="65" t="s">
        <v>51</v>
      </c>
      <c r="F62" s="66">
        <v>0</v>
      </c>
      <c r="G62" s="66">
        <v>9</v>
      </c>
      <c r="H62" s="66">
        <v>233342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NEWELL</v>
      </c>
      <c r="M62" s="9" t="s">
        <v>107</v>
      </c>
      <c r="N62" s="10"/>
      <c r="O62" s="41"/>
      <c r="P62" s="72" t="str">
        <f>VLOOKUP(C62,'Train Runs'!$A$13:$AE$870,31,0)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2" s="70" t="str">
        <f>VLOOKUP(C62,'Train Runs'!$A$13:$AE$870,22,0)</f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2" s="71" t="str">
        <f t="shared" si="5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S62" s="9" t="str">
        <f t="shared" si="6"/>
        <v>4044</v>
      </c>
      <c r="T62" s="48">
        <f t="shared" si="7"/>
        <v>42569.038587962961</v>
      </c>
      <c r="U62" s="69" t="str">
        <f t="shared" si="8"/>
        <v>EC</v>
      </c>
      <c r="V62" s="69" t="str">
        <f t="shared" si="9"/>
        <v>OMIT</v>
      </c>
    </row>
    <row r="63" spans="1:22" x14ac:dyDescent="0.25">
      <c r="A63" s="48">
        <v>42568.859201388892</v>
      </c>
      <c r="B63" s="65" t="s">
        <v>130</v>
      </c>
      <c r="C63" s="41" t="s">
        <v>451</v>
      </c>
      <c r="D63" s="41" t="s">
        <v>50</v>
      </c>
      <c r="E63" s="65" t="s">
        <v>51</v>
      </c>
      <c r="F63" s="66">
        <v>0</v>
      </c>
      <c r="G63" s="66">
        <v>8</v>
      </c>
      <c r="H63" s="66">
        <v>233342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NEWELL</v>
      </c>
      <c r="M63" s="9" t="s">
        <v>107</v>
      </c>
      <c r="N63" s="10"/>
      <c r="O63" s="41"/>
      <c r="P63" s="72" t="str">
        <f>VLOOKUP(C63,'Train Runs'!$A$13:$AE$870,31,0)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3" s="70" t="str">
        <f>VLOOKUP(C63,'Train Runs'!$A$13:$AE$870,22,0)</f>
        <v>https://search-rtdc-monitor-bjffxe2xuh6vdkpspy63sjmuny.us-east-1.es.amazonaws.com/_plugin/kibana/#/discover/Steve-Slow-Train-Analysis-(2080s-and-2083s)?_g=(refreshInterval:(display:Off,section:0,value:0),time:(from:'2016-07-17 18:55:26-0600',mode:absolute,to:'2016-07-17 21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3" s="71" t="str">
        <f t="shared" si="5"/>
        <v>"C:\Program Files (x86)\AstroGrep\AstroGrep.exe" /spath="C:\Users\stu\Documents\Analysis\2016-02-23 RTDC Observations" /stypes="*4044*20160718*" /stext=" 02:.+((prompt.+disp)|(slice.+state.+chan)|(ment ac)|(system.+state.+chan)|(\|lc)|(penalty)|(\[timeout))" /e /r /s</v>
      </c>
      <c r="S63" s="9" t="str">
        <f t="shared" si="6"/>
        <v>4044</v>
      </c>
      <c r="T63" s="48">
        <f t="shared" si="7"/>
        <v>42569.109201388892</v>
      </c>
      <c r="U63" s="69" t="str">
        <f t="shared" si="8"/>
        <v>EC</v>
      </c>
      <c r="V63" s="69" t="str">
        <f t="shared" si="9"/>
        <v>OMIT</v>
      </c>
    </row>
    <row r="64" spans="1:22" x14ac:dyDescent="0.25">
      <c r="A64" s="48">
        <v>42568.983784722222</v>
      </c>
      <c r="B64" s="65" t="s">
        <v>111</v>
      </c>
      <c r="C64" s="41" t="s">
        <v>457</v>
      </c>
      <c r="D64" s="41" t="s">
        <v>50</v>
      </c>
      <c r="E64" s="65" t="s">
        <v>51</v>
      </c>
      <c r="F64" s="66">
        <v>0</v>
      </c>
      <c r="G64" s="66">
        <v>6</v>
      </c>
      <c r="H64" s="66">
        <v>233320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LEVERE</v>
      </c>
      <c r="M64" s="9" t="s">
        <v>107</v>
      </c>
      <c r="N64" s="10"/>
      <c r="O64" s="41"/>
      <c r="P64" s="72" t="str">
        <f>VLOOKUP(C64,'Train Runs'!$A$13:$AE$870,31,0)</f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Q64" s="70" t="str">
        <f>VLOOKUP(C64,'Train Runs'!$A$13:$AE$870,22,0)</f>
        <v>https://search-rtdc-monitor-bjffxe2xuh6vdkpspy63sjmuny.us-east-1.es.amazonaws.com/_plugin/kibana/#/discover/Steve-Slow-Train-Analysis-(2080s-and-2083s)?_g=(refreshInterval:(display:Off,section:0,value:0),time:(from:'2016-07-17 21:44:36-0600',mode:absolute,to:'2016-07-18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64" s="71" t="str">
        <f t="shared" si="5"/>
        <v>"C:\Program Files (x86)\AstroGrep\AstroGrep.exe" /spath="C:\Users\stu\Documents\Analysis\2016-02-23 RTDC Observations" /stypes="*4038*20160718*" /stext=" 05:.+((prompt.+disp)|(slice.+state.+chan)|(ment ac)|(system.+state.+chan)|(\|lc)|(penalty)|(\[timeout))" /e /r /s</v>
      </c>
      <c r="S64" s="9" t="str">
        <f t="shared" si="6"/>
        <v>4038</v>
      </c>
      <c r="T64" s="48">
        <f t="shared" si="7"/>
        <v>42569.233784722222</v>
      </c>
      <c r="U64" s="69" t="str">
        <f t="shared" si="8"/>
        <v>EC</v>
      </c>
      <c r="V64" s="69" t="str">
        <f t="shared" si="9"/>
        <v>OMIT</v>
      </c>
    </row>
    <row r="65" spans="1:22" x14ac:dyDescent="0.25">
      <c r="A65" s="48">
        <v>42569.024560185186</v>
      </c>
      <c r="B65" s="65" t="s">
        <v>130</v>
      </c>
      <c r="C65" s="41" t="s">
        <v>458</v>
      </c>
      <c r="D65" s="41" t="s">
        <v>50</v>
      </c>
      <c r="E65" s="65" t="s">
        <v>51</v>
      </c>
      <c r="F65" s="66">
        <v>0</v>
      </c>
      <c r="G65" s="66">
        <v>6</v>
      </c>
      <c r="H65" s="66">
        <v>233336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NEWELL</v>
      </c>
      <c r="M65" s="9" t="s">
        <v>107</v>
      </c>
      <c r="N65" s="10"/>
      <c r="O65" s="41"/>
      <c r="P65" s="72" t="str">
        <f>VLOOKUP(C65,'Train Runs'!$A$13:$AE$870,31,0)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5" s="70" t="str">
        <f>VLOOKUP(C65,'Train Runs'!$A$13:$AE$870,22,0)</f>
        <v>https://search-rtdc-monitor-bjffxe2xuh6vdkpspy63sjmuny.us-east-1.es.amazonaws.com/_plugin/kibana/#/discover/Steve-Slow-Train-Analysis-(2080s-and-2083s)?_g=(refreshInterval:(display:Off,section:0,value:0),time:(from:'2016-07-17 22:51:01-0600',mode:absolute,to:'2016-07-18 01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5" s="71" t="str">
        <f t="shared" si="5"/>
        <v>"C:\Program Files (x86)\AstroGrep\AstroGrep.exe" /spath="C:\Users\stu\Documents\Analysis\2016-02-23 RTDC Observations" /stypes="*4044*20160718*" /stext=" 06:.+((prompt.+disp)|(slice.+state.+chan)|(ment ac)|(system.+state.+chan)|(\|lc)|(penalty)|(\[timeout))" /e /r /s</v>
      </c>
      <c r="S65" s="9" t="str">
        <f t="shared" si="6"/>
        <v>4044</v>
      </c>
      <c r="T65" s="48">
        <f t="shared" si="7"/>
        <v>42569.274560185186</v>
      </c>
      <c r="U65" s="69" t="str">
        <f t="shared" si="8"/>
        <v>EC</v>
      </c>
      <c r="V65" s="69" t="str">
        <f t="shared" si="9"/>
        <v>OMIT</v>
      </c>
    </row>
    <row r="66" spans="1:22" x14ac:dyDescent="0.25">
      <c r="A66" s="48">
        <v>42569.045717592591</v>
      </c>
      <c r="B66" s="65" t="s">
        <v>76</v>
      </c>
      <c r="C66" s="41" t="s">
        <v>376</v>
      </c>
      <c r="D66" s="41" t="s">
        <v>50</v>
      </c>
      <c r="E66" s="65" t="s">
        <v>51</v>
      </c>
      <c r="F66" s="66">
        <v>0</v>
      </c>
      <c r="G66" s="66">
        <v>3</v>
      </c>
      <c r="H66" s="66">
        <v>233324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CHANDLER</v>
      </c>
      <c r="M66" s="9" t="s">
        <v>107</v>
      </c>
      <c r="N66" s="10"/>
      <c r="O66" s="69"/>
      <c r="P66" s="72" t="str">
        <f>VLOOKUP(C66,'Train Runs'!$A$13:$AE$870,31,0)</f>
        <v>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 &amp; 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</v>
      </c>
      <c r="Q66" s="70" t="str">
        <f>VLOOKUP(C66,'Train Runs'!$A$13:$AE$870,22,0)</f>
        <v>https://search-rtdc-monitor-bjffxe2xuh6vdkpspy63sjmuny.us-east-1.es.amazonaws.com/_plugin/kibana/#/discover/Steve-Slow-Train-Analysis-(2080s-and-2083s)?_g=(refreshInterval:(display:Off,section:0,value:0),time:(from:'2016-07-17 23:26:35-0600',mode:absolute,to:'2016-07-18 02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6" s="71" t="str">
        <f t="shared" si="5"/>
        <v>"C:\Program Files (x86)\AstroGrep\AstroGrep.exe" /spath="C:\Users\stu\Documents\Analysis\2016-02-23 RTDC Observations" /stypes="*4031*20160718*" /stext=" 07:.+((prompt.+disp)|(slice.+state.+chan)|(ment ac)|(system.+state.+chan)|(\|lc)|(penalty)|(\[timeout))" /e /r /s</v>
      </c>
      <c r="S66" s="9" t="str">
        <f t="shared" si="6"/>
        <v>4031</v>
      </c>
      <c r="T66" s="48">
        <f t="shared" si="7"/>
        <v>42569.295717592591</v>
      </c>
      <c r="U66" s="69" t="str">
        <f t="shared" si="8"/>
        <v>EC</v>
      </c>
      <c r="V66" s="69" t="str">
        <f t="shared" si="9"/>
        <v>OMIT</v>
      </c>
    </row>
  </sheetData>
  <autoFilter ref="A6:V66"/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39 L52:N52 A53:L54 A56:L57 A59:L60 A62:L63 A65:L66 L55 L58 L61 L64 A41:N51 L40:N40 M53:N66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2016-07-15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83</v>
      </c>
      <c r="G2" s="39" t="s">
        <v>84</v>
      </c>
    </row>
    <row r="3" spans="1:10" x14ac:dyDescent="0.25">
      <c r="A3" s="41" t="s">
        <v>226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227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217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219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 t="s">
        <v>218</v>
      </c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5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290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291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292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293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460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2016-07-17 00:45:50.457 to 2016-07-18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294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295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296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297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298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299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300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301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302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303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304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305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306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307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308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309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310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311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312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313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314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315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316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317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318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319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320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321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322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323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324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325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326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327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328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329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330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331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332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333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334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335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461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175 hits</v>
      </c>
    </row>
    <row r="59" spans="1:7" x14ac:dyDescent="0.25">
      <c r="A59" s="8" t="s">
        <v>462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2016-07-17 00:45:50.457 - 2016-07-18 03:00:50.457</v>
      </c>
    </row>
    <row r="60" spans="1:7" x14ac:dyDescent="0.25">
      <c r="A60" s="8" t="s">
        <v>336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0.125</v>
      </c>
      <c r="B67" s="25"/>
      <c r="C67" s="25"/>
      <c r="D67" s="25"/>
      <c r="E67" s="25"/>
      <c r="F67" s="25">
        <f t="shared" si="2"/>
        <v>0</v>
      </c>
      <c r="G67" s="8">
        <f t="shared" si="3"/>
        <v>0.125</v>
      </c>
    </row>
    <row r="68" spans="1:7" x14ac:dyDescent="0.25">
      <c r="A68" s="8">
        <v>0.25</v>
      </c>
      <c r="B68" s="25"/>
      <c r="C68" s="25"/>
      <c r="D68" s="25"/>
      <c r="E68" s="25"/>
      <c r="F68" s="25">
        <f t="shared" si="2"/>
        <v>0</v>
      </c>
      <c r="G68" s="8">
        <f t="shared" si="3"/>
        <v>0.25</v>
      </c>
    </row>
    <row r="69" spans="1:7" x14ac:dyDescent="0.25">
      <c r="A69" s="8">
        <v>0.375</v>
      </c>
      <c r="B69" s="25"/>
      <c r="C69" s="25"/>
      <c r="D69" s="25"/>
      <c r="E69" s="25"/>
      <c r="F69" s="25">
        <f t="shared" si="2"/>
        <v>0</v>
      </c>
      <c r="G69" s="8">
        <f t="shared" si="3"/>
        <v>0.375</v>
      </c>
    </row>
    <row r="70" spans="1:7" x14ac:dyDescent="0.25">
      <c r="A70" s="8">
        <v>0.5</v>
      </c>
      <c r="B70" s="25"/>
      <c r="C70" s="25"/>
      <c r="D70" s="25"/>
      <c r="E70" s="25"/>
      <c r="F70" s="25">
        <f t="shared" si="2"/>
        <v>0</v>
      </c>
      <c r="G70" s="8">
        <f t="shared" si="3"/>
        <v>0.5</v>
      </c>
    </row>
    <row r="71" spans="1:7" x14ac:dyDescent="0.25">
      <c r="A71" s="8">
        <v>0.625</v>
      </c>
      <c r="B71" s="25"/>
      <c r="C71" s="25"/>
      <c r="D71" s="25"/>
      <c r="E71" s="25"/>
      <c r="F71" s="25">
        <f t="shared" si="2"/>
        <v>0</v>
      </c>
      <c r="G71" s="8">
        <f t="shared" si="3"/>
        <v>0.625</v>
      </c>
    </row>
    <row r="72" spans="1:7" x14ac:dyDescent="0.25">
      <c r="A72" s="8">
        <v>0.75</v>
      </c>
      <c r="B72" s="25"/>
      <c r="C72" s="25"/>
      <c r="D72" s="25"/>
      <c r="E72" s="25"/>
      <c r="F72" s="25">
        <f t="shared" si="2"/>
        <v>0</v>
      </c>
      <c r="G72" s="8">
        <f t="shared" si="3"/>
        <v>0.75</v>
      </c>
    </row>
    <row r="73" spans="1:7" x14ac:dyDescent="0.25">
      <c r="A73" s="8">
        <v>0.875</v>
      </c>
      <c r="B73" s="25"/>
      <c r="C73" s="25"/>
      <c r="D73" s="25"/>
      <c r="E73" s="25"/>
      <c r="F73" s="25">
        <f t="shared" si="2"/>
        <v>0</v>
      </c>
      <c r="G73" s="8">
        <f t="shared" si="3"/>
        <v>0.875</v>
      </c>
    </row>
    <row r="74" spans="1:7" x14ac:dyDescent="0.25">
      <c r="A74" s="8">
        <v>0</v>
      </c>
      <c r="B74" s="25"/>
      <c r="C74" s="25"/>
      <c r="D74" s="25"/>
      <c r="E74" s="25"/>
      <c r="F74" s="25">
        <f t="shared" si="2"/>
        <v>0</v>
      </c>
      <c r="G74" s="8">
        <f t="shared" si="3"/>
        <v>0</v>
      </c>
    </row>
    <row r="75" spans="1:7" x14ac:dyDescent="0.25">
      <c r="A75" s="8">
        <v>0.125</v>
      </c>
      <c r="B75" s="25"/>
      <c r="C75" s="25"/>
      <c r="D75" s="25"/>
      <c r="E75" s="25"/>
      <c r="F75" s="25">
        <f t="shared" si="2"/>
        <v>0</v>
      </c>
      <c r="G75" s="8">
        <f t="shared" si="3"/>
        <v>0.125</v>
      </c>
    </row>
    <row r="76" spans="1:7" x14ac:dyDescent="0.25">
      <c r="A76" s="8" t="s">
        <v>337</v>
      </c>
      <c r="B76" s="25"/>
      <c r="C76" s="25"/>
      <c r="D76" s="25"/>
      <c r="E76" s="25"/>
      <c r="F76" s="25">
        <f t="shared" si="2"/>
        <v>0</v>
      </c>
      <c r="G76" s="8" t="str">
        <f t="shared" si="3"/>
        <v>Time per 30 minutes</v>
      </c>
    </row>
    <row r="77" spans="1:7" x14ac:dyDescent="0.25">
      <c r="A77" s="8" t="s">
        <v>38</v>
      </c>
      <c r="B77" s="25" t="s">
        <v>338</v>
      </c>
      <c r="C77" s="25" t="s">
        <v>339</v>
      </c>
      <c r="D77" s="25" t="s">
        <v>340</v>
      </c>
      <c r="E77" s="25" t="s">
        <v>341</v>
      </c>
      <c r="F77" s="25" t="str">
        <f t="shared" si="2"/>
        <v xml:space="preserve">Source  </v>
      </c>
      <c r="G77" s="8" t="str">
        <f t="shared" si="3"/>
        <v xml:space="preserve">Time </v>
      </c>
    </row>
    <row r="78" spans="1:7" x14ac:dyDescent="0.25">
      <c r="A78" s="8">
        <v>42568.133414351854</v>
      </c>
      <c r="B78" s="25" t="s">
        <v>210</v>
      </c>
      <c r="C78" s="25" t="s">
        <v>411</v>
      </c>
      <c r="D78" s="25">
        <v>900000</v>
      </c>
      <c r="E78" s="25" t="s">
        <v>126</v>
      </c>
      <c r="F78" s="25" t="str">
        <f t="shared" si="2"/>
        <v>rtdc.l.rtdc.4009:itc</v>
      </c>
      <c r="G78" s="8">
        <f t="shared" si="3"/>
        <v>42568.133414351854</v>
      </c>
    </row>
    <row r="79" spans="1:7" x14ac:dyDescent="0.25">
      <c r="A79" s="8">
        <v>42568.463888888888</v>
      </c>
      <c r="B79" s="25" t="s">
        <v>135</v>
      </c>
      <c r="C79" s="25" t="s">
        <v>463</v>
      </c>
      <c r="D79" s="25">
        <v>1740000</v>
      </c>
      <c r="E79" s="25" t="s">
        <v>382</v>
      </c>
      <c r="F79" s="25" t="str">
        <f t="shared" si="2"/>
        <v>rtdc.l.rtdc.4007:itc</v>
      </c>
      <c r="G79" s="8">
        <f t="shared" si="3"/>
        <v>42568.463888888888</v>
      </c>
    </row>
    <row r="80" spans="1:7" x14ac:dyDescent="0.25">
      <c r="A80" s="8">
        <v>42568.494571759256</v>
      </c>
      <c r="B80" s="25" t="s">
        <v>120</v>
      </c>
      <c r="C80" s="25" t="s">
        <v>426</v>
      </c>
      <c r="D80" s="25">
        <v>880000</v>
      </c>
      <c r="E80" s="25" t="s">
        <v>377</v>
      </c>
      <c r="F80" s="25" t="str">
        <f t="shared" si="2"/>
        <v>rtdc.l.rtdc.4028:itc</v>
      </c>
      <c r="G80" s="8">
        <f t="shared" si="3"/>
        <v>42568.494571759256</v>
      </c>
    </row>
    <row r="81" spans="1:7" x14ac:dyDescent="0.25">
      <c r="A81" s="8">
        <v>42568.528460648151</v>
      </c>
      <c r="B81" s="25" t="s">
        <v>124</v>
      </c>
      <c r="C81" s="25" t="s">
        <v>464</v>
      </c>
      <c r="D81" s="25">
        <v>880000</v>
      </c>
      <c r="E81" s="25" t="s">
        <v>377</v>
      </c>
      <c r="F81" s="25" t="str">
        <f t="shared" si="2"/>
        <v>rtdc.l.rtdc.4027:itc</v>
      </c>
      <c r="G81" s="8">
        <f t="shared" si="3"/>
        <v>42568.528460648151</v>
      </c>
    </row>
    <row r="82" spans="1:7" x14ac:dyDescent="0.25">
      <c r="A82" s="8">
        <v>42568.404224537036</v>
      </c>
      <c r="B82" s="25" t="s">
        <v>76</v>
      </c>
      <c r="C82" s="25" t="s">
        <v>465</v>
      </c>
      <c r="D82" s="25">
        <v>1360000</v>
      </c>
      <c r="E82" s="25" t="s">
        <v>199</v>
      </c>
      <c r="F82" s="25" t="str">
        <f t="shared" si="2"/>
        <v>rtdc.l.rtdc.4031:itc</v>
      </c>
      <c r="G82" s="8">
        <f t="shared" si="3"/>
        <v>42568.404224537036</v>
      </c>
    </row>
    <row r="83" spans="1:7" x14ac:dyDescent="0.25">
      <c r="A83" s="8">
        <v>42568.630196759259</v>
      </c>
      <c r="B83" s="25" t="s">
        <v>216</v>
      </c>
      <c r="C83" s="25" t="s">
        <v>433</v>
      </c>
      <c r="D83" s="25">
        <v>2030000</v>
      </c>
      <c r="E83" s="25" t="s">
        <v>151</v>
      </c>
      <c r="F83" s="25" t="str">
        <f t="shared" si="2"/>
        <v>rtdc.l.rtdc.4041:itc</v>
      </c>
      <c r="G83" s="8">
        <f t="shared" si="3"/>
        <v>42568.630196759259</v>
      </c>
    </row>
    <row r="84" spans="1:7" x14ac:dyDescent="0.25">
      <c r="A84" s="8">
        <v>42568.653715277775</v>
      </c>
      <c r="B84" s="25" t="s">
        <v>117</v>
      </c>
      <c r="C84" s="25" t="s">
        <v>466</v>
      </c>
      <c r="D84" s="25">
        <v>1470000</v>
      </c>
      <c r="E84" s="25" t="s">
        <v>467</v>
      </c>
      <c r="F84" s="25" t="str">
        <f t="shared" si="2"/>
        <v>rtdc.l.rtdc.4014:itc</v>
      </c>
      <c r="G84" s="8">
        <f t="shared" si="3"/>
        <v>42568.653715277775</v>
      </c>
    </row>
    <row r="85" spans="1:7" x14ac:dyDescent="0.25">
      <c r="A85" s="8">
        <v>42568.664560185185</v>
      </c>
      <c r="B85" s="25" t="s">
        <v>120</v>
      </c>
      <c r="C85" s="25" t="s">
        <v>468</v>
      </c>
      <c r="D85" s="25">
        <v>880000</v>
      </c>
      <c r="E85" s="25" t="s">
        <v>377</v>
      </c>
      <c r="F85" s="25" t="str">
        <f t="shared" si="2"/>
        <v>rtdc.l.rtdc.4028:itc</v>
      </c>
      <c r="G85" s="8">
        <f t="shared" si="3"/>
        <v>42568.664560185185</v>
      </c>
    </row>
    <row r="86" spans="1:7" x14ac:dyDescent="0.25">
      <c r="A86" s="8">
        <v>42568.68377314815</v>
      </c>
      <c r="B86" s="25" t="s">
        <v>211</v>
      </c>
      <c r="C86" s="25" t="s">
        <v>469</v>
      </c>
      <c r="D86" s="25">
        <v>1750000</v>
      </c>
      <c r="E86" s="25" t="s">
        <v>343</v>
      </c>
      <c r="F86" s="25" t="str">
        <f t="shared" si="2"/>
        <v>rtdc.l.rtdc.4010:itc</v>
      </c>
      <c r="G86" s="8">
        <f t="shared" si="3"/>
        <v>42568.68377314815</v>
      </c>
    </row>
    <row r="87" spans="1:7" x14ac:dyDescent="0.25">
      <c r="A87" s="8">
        <v>42568.688506944447</v>
      </c>
      <c r="B87" s="25" t="s">
        <v>135</v>
      </c>
      <c r="C87" s="25" t="s">
        <v>439</v>
      </c>
      <c r="D87" s="25">
        <v>1740000</v>
      </c>
      <c r="E87" s="25" t="s">
        <v>382</v>
      </c>
      <c r="F87" s="25" t="str">
        <f t="shared" si="2"/>
        <v>rtdc.l.rtdc.4007:itc</v>
      </c>
      <c r="G87" s="8">
        <f t="shared" si="3"/>
        <v>42568.688506944447</v>
      </c>
    </row>
    <row r="88" spans="1:7" x14ac:dyDescent="0.25">
      <c r="A88" s="8">
        <v>42568.387662037036</v>
      </c>
      <c r="B88" s="25" t="s">
        <v>211</v>
      </c>
      <c r="C88" s="25" t="s">
        <v>470</v>
      </c>
      <c r="D88" s="25">
        <v>1460000</v>
      </c>
      <c r="E88" s="25" t="s">
        <v>112</v>
      </c>
      <c r="F88" s="25" t="str">
        <f t="shared" si="2"/>
        <v>rtdc.l.rtdc.4010:itc</v>
      </c>
      <c r="G88" s="8">
        <f t="shared" si="3"/>
        <v>42568.387662037036</v>
      </c>
    </row>
    <row r="89" spans="1:7" x14ac:dyDescent="0.25">
      <c r="A89" s="8">
        <v>42568.695092592592</v>
      </c>
      <c r="B89" s="25" t="s">
        <v>76</v>
      </c>
      <c r="C89" s="25" t="s">
        <v>440</v>
      </c>
      <c r="D89" s="25">
        <v>1770000</v>
      </c>
      <c r="E89" s="25" t="s">
        <v>380</v>
      </c>
      <c r="F89" s="25" t="str">
        <f t="shared" si="2"/>
        <v>rtdc.l.rtdc.4031:itc</v>
      </c>
      <c r="G89" s="8">
        <f t="shared" si="3"/>
        <v>42568.695092592592</v>
      </c>
    </row>
    <row r="90" spans="1:7" x14ac:dyDescent="0.25">
      <c r="A90" s="8">
        <v>42568.343113425923</v>
      </c>
      <c r="B90" s="25" t="s">
        <v>117</v>
      </c>
      <c r="C90" s="25" t="s">
        <v>471</v>
      </c>
      <c r="D90" s="25">
        <v>1310000</v>
      </c>
      <c r="E90" s="25" t="s">
        <v>113</v>
      </c>
      <c r="F90" s="25" t="str">
        <f t="shared" si="2"/>
        <v>rtdc.l.rtdc.4014:itc</v>
      </c>
      <c r="G90" s="8">
        <f t="shared" si="3"/>
        <v>42568.343113425923</v>
      </c>
    </row>
    <row r="91" spans="1:7" x14ac:dyDescent="0.25">
      <c r="A91" s="8">
        <v>42568.715567129628</v>
      </c>
      <c r="B91" s="25" t="s">
        <v>210</v>
      </c>
      <c r="C91" s="25" t="s">
        <v>472</v>
      </c>
      <c r="D91" s="25">
        <v>1180000</v>
      </c>
      <c r="E91" s="25" t="s">
        <v>473</v>
      </c>
      <c r="F91" s="25" t="str">
        <f t="shared" si="2"/>
        <v>rtdc.l.rtdc.4009:itc</v>
      </c>
      <c r="G91" s="8">
        <f t="shared" si="3"/>
        <v>42568.715567129628</v>
      </c>
    </row>
    <row r="92" spans="1:7" x14ac:dyDescent="0.25">
      <c r="A92" s="8">
        <v>42568.316990740743</v>
      </c>
      <c r="B92" s="25" t="s">
        <v>135</v>
      </c>
      <c r="C92" s="25" t="s">
        <v>474</v>
      </c>
      <c r="D92" s="25">
        <v>2010000</v>
      </c>
      <c r="E92" s="25" t="s">
        <v>155</v>
      </c>
      <c r="F92" s="25" t="str">
        <f t="shared" si="2"/>
        <v>rtdc.l.rtdc.4007:itc</v>
      </c>
      <c r="G92" s="8">
        <f t="shared" si="3"/>
        <v>42568.316990740743</v>
      </c>
    </row>
    <row r="93" spans="1:7" x14ac:dyDescent="0.25">
      <c r="A93" s="8">
        <v>42568.728449074071</v>
      </c>
      <c r="B93" s="25" t="s">
        <v>176</v>
      </c>
      <c r="C93" s="25" t="s">
        <v>475</v>
      </c>
      <c r="D93" s="25">
        <v>1750000</v>
      </c>
      <c r="E93" s="25" t="s">
        <v>343</v>
      </c>
      <c r="F93" s="25" t="str">
        <f t="shared" si="2"/>
        <v>rtdc.l.rtdc.4016:itc</v>
      </c>
      <c r="G93" s="8">
        <f t="shared" si="3"/>
        <v>42568.728449074071</v>
      </c>
    </row>
    <row r="94" spans="1:7" x14ac:dyDescent="0.25">
      <c r="A94" s="8">
        <v>42568.308622685188</v>
      </c>
      <c r="B94" s="25" t="s">
        <v>118</v>
      </c>
      <c r="C94" s="25" t="s">
        <v>476</v>
      </c>
      <c r="D94" s="25">
        <v>1310000</v>
      </c>
      <c r="E94" s="25" t="s">
        <v>113</v>
      </c>
      <c r="F94" s="25" t="str">
        <f t="shared" si="2"/>
        <v>rtdc.l.rtdc.4013:itc</v>
      </c>
      <c r="G94" s="8">
        <f t="shared" si="3"/>
        <v>42568.308622685188</v>
      </c>
    </row>
    <row r="95" spans="1:7" x14ac:dyDescent="0.25">
      <c r="A95" s="8">
        <v>42568.742962962962</v>
      </c>
      <c r="B95" s="25" t="s">
        <v>118</v>
      </c>
      <c r="C95" s="25" t="s">
        <v>445</v>
      </c>
      <c r="D95" s="25">
        <v>1470000</v>
      </c>
      <c r="E95" s="25" t="s">
        <v>467</v>
      </c>
      <c r="F95" s="25" t="str">
        <f t="shared" si="2"/>
        <v>rtdc.l.rtdc.4013:itc</v>
      </c>
      <c r="G95" s="8">
        <f t="shared" si="3"/>
        <v>42568.742962962962</v>
      </c>
    </row>
    <row r="96" spans="1:7" x14ac:dyDescent="0.25">
      <c r="A96" s="8">
        <v>42568.306643518517</v>
      </c>
      <c r="B96" s="25" t="s">
        <v>124</v>
      </c>
      <c r="C96" s="25" t="s">
        <v>477</v>
      </c>
      <c r="D96" s="25">
        <v>1260000</v>
      </c>
      <c r="E96" s="25" t="s">
        <v>383</v>
      </c>
      <c r="F96" s="25" t="str">
        <f t="shared" si="2"/>
        <v>rtdc.l.rtdc.4027:itc</v>
      </c>
      <c r="G96" s="8">
        <f t="shared" si="3"/>
        <v>42568.306643518517</v>
      </c>
    </row>
    <row r="97" spans="1:7" x14ac:dyDescent="0.25">
      <c r="A97" s="8">
        <v>42568.745763888888</v>
      </c>
      <c r="B97" s="25" t="s">
        <v>124</v>
      </c>
      <c r="C97" s="25" t="s">
        <v>446</v>
      </c>
      <c r="D97" s="25">
        <v>2030000</v>
      </c>
      <c r="E97" s="25" t="s">
        <v>151</v>
      </c>
      <c r="F97" s="25" t="str">
        <f t="shared" si="2"/>
        <v>rtdc.l.rtdc.4027:itc</v>
      </c>
      <c r="G97" s="8">
        <f t="shared" si="3"/>
        <v>42568.745763888888</v>
      </c>
    </row>
    <row r="98" spans="1:7" x14ac:dyDescent="0.25">
      <c r="A98" s="8">
        <v>42568.270243055558</v>
      </c>
      <c r="B98" s="25" t="s">
        <v>117</v>
      </c>
      <c r="C98" s="25" t="s">
        <v>418</v>
      </c>
      <c r="D98" s="25">
        <v>1310000</v>
      </c>
      <c r="E98" s="25" t="s">
        <v>113</v>
      </c>
      <c r="F98" s="25" t="str">
        <f t="shared" si="2"/>
        <v>rtdc.l.rtdc.4014:itc</v>
      </c>
      <c r="G98" s="8">
        <f t="shared" si="3"/>
        <v>42568.270243055558</v>
      </c>
    </row>
    <row r="99" spans="1:7" x14ac:dyDescent="0.25">
      <c r="A99" s="8">
        <v>42568.765347222223</v>
      </c>
      <c r="B99" s="25" t="s">
        <v>175</v>
      </c>
      <c r="C99" s="25" t="s">
        <v>478</v>
      </c>
      <c r="D99" s="25">
        <v>1750000</v>
      </c>
      <c r="E99" s="25" t="s">
        <v>343</v>
      </c>
      <c r="F99" s="25" t="str">
        <f t="shared" si="2"/>
        <v>rtdc.l.rtdc.4015:itc</v>
      </c>
      <c r="G99" s="8">
        <f t="shared" si="3"/>
        <v>42568.765347222223</v>
      </c>
    </row>
    <row r="100" spans="1:7" x14ac:dyDescent="0.25">
      <c r="A100" s="8">
        <v>42568.258263888885</v>
      </c>
      <c r="B100" s="25" t="s">
        <v>76</v>
      </c>
      <c r="C100" s="25" t="s">
        <v>479</v>
      </c>
      <c r="D100" s="25">
        <v>1360000</v>
      </c>
      <c r="E100" s="25" t="s">
        <v>199</v>
      </c>
      <c r="F100" s="25" t="str">
        <f t="shared" si="2"/>
        <v>rtdc.l.rtdc.4031:itc</v>
      </c>
      <c r="G100" s="8">
        <f t="shared" si="3"/>
        <v>42568.258263888885</v>
      </c>
    </row>
    <row r="101" spans="1:7" x14ac:dyDescent="0.25">
      <c r="A101" s="8">
        <v>42568.768194444441</v>
      </c>
      <c r="B101" s="25" t="s">
        <v>130</v>
      </c>
      <c r="C101" s="25" t="s">
        <v>444</v>
      </c>
      <c r="D101" s="25">
        <v>1810000</v>
      </c>
      <c r="E101" s="25" t="s">
        <v>144</v>
      </c>
      <c r="F101" s="25" t="str">
        <f t="shared" si="2"/>
        <v>rtdc.l.rtdc.4044:itc</v>
      </c>
      <c r="G101" s="8">
        <f t="shared" si="3"/>
        <v>42568.768194444441</v>
      </c>
    </row>
    <row r="102" spans="1:7" x14ac:dyDescent="0.25">
      <c r="A102" s="8">
        <v>42568.225289351853</v>
      </c>
      <c r="B102" s="25" t="s">
        <v>82</v>
      </c>
      <c r="C102" s="25" t="s">
        <v>480</v>
      </c>
      <c r="D102" s="25">
        <v>1830000</v>
      </c>
      <c r="E102" s="25" t="s">
        <v>128</v>
      </c>
      <c r="F102" s="25" t="str">
        <f t="shared" si="2"/>
        <v>rtdc.l.rtdc.4042:itc</v>
      </c>
      <c r="G102" s="8">
        <f t="shared" si="3"/>
        <v>42568.225289351853</v>
      </c>
    </row>
    <row r="103" spans="1:7" x14ac:dyDescent="0.25">
      <c r="A103" s="8">
        <v>42568.78601851852</v>
      </c>
      <c r="B103" s="25" t="s">
        <v>120</v>
      </c>
      <c r="C103" s="25" t="s">
        <v>481</v>
      </c>
      <c r="D103" s="25">
        <v>2030000</v>
      </c>
      <c r="E103" s="25" t="s">
        <v>151</v>
      </c>
      <c r="F103" s="25" t="str">
        <f t="shared" si="2"/>
        <v>rtdc.l.rtdc.4028:itc</v>
      </c>
      <c r="G103" s="8">
        <f t="shared" si="3"/>
        <v>42568.78601851852</v>
      </c>
    </row>
    <row r="104" spans="1:7" x14ac:dyDescent="0.25">
      <c r="A104" s="8">
        <v>42568.03597222222</v>
      </c>
      <c r="B104" s="25" t="s">
        <v>116</v>
      </c>
      <c r="C104" s="25" t="s">
        <v>384</v>
      </c>
      <c r="D104" s="25">
        <v>1800000</v>
      </c>
      <c r="E104" s="25" t="s">
        <v>378</v>
      </c>
      <c r="F104" s="25" t="str">
        <f t="shared" si="2"/>
        <v>rtdc.l.rtdc.4026:itc</v>
      </c>
      <c r="G104" s="8">
        <f t="shared" si="3"/>
        <v>42568.03597222222</v>
      </c>
    </row>
    <row r="105" spans="1:7" x14ac:dyDescent="0.25">
      <c r="A105" s="8">
        <v>42568.832326388889</v>
      </c>
      <c r="B105" s="25" t="s">
        <v>121</v>
      </c>
      <c r="C105" s="25" t="s">
        <v>450</v>
      </c>
      <c r="D105" s="25">
        <v>1820000</v>
      </c>
      <c r="E105" s="25" t="s">
        <v>103</v>
      </c>
      <c r="F105" s="25" t="str">
        <f t="shared" si="2"/>
        <v>rtdc.l.rtdc.4037:itc</v>
      </c>
      <c r="G105" s="8">
        <f t="shared" si="3"/>
        <v>42568.832326388889</v>
      </c>
    </row>
    <row r="106" spans="1:7" x14ac:dyDescent="0.25">
      <c r="A106" s="8">
        <v>42568.9921412037</v>
      </c>
      <c r="B106" s="25" t="s">
        <v>67</v>
      </c>
      <c r="C106" s="25" t="s">
        <v>456</v>
      </c>
      <c r="D106" s="25">
        <v>1800000</v>
      </c>
      <c r="E106" s="25" t="s">
        <v>378</v>
      </c>
      <c r="F106" s="25" t="str">
        <f t="shared" si="2"/>
        <v>rtdc.l.rtdc.4032:itc</v>
      </c>
      <c r="G106" s="8">
        <f t="shared" si="3"/>
        <v>42568.9921412037</v>
      </c>
    </row>
    <row r="107" spans="1:7" x14ac:dyDescent="0.25">
      <c r="A107" s="8">
        <v>42568.94798611111</v>
      </c>
      <c r="B107" s="25" t="s">
        <v>111</v>
      </c>
      <c r="C107" s="25" t="s">
        <v>457</v>
      </c>
      <c r="D107" s="25">
        <v>1180000</v>
      </c>
      <c r="E107" s="25" t="s">
        <v>473</v>
      </c>
      <c r="F107" s="25" t="str">
        <f t="shared" si="2"/>
        <v>rtdc.l.rtdc.4038:itc</v>
      </c>
      <c r="G107" s="8">
        <f t="shared" si="3"/>
        <v>42568.94798611111</v>
      </c>
    </row>
    <row r="108" spans="1:7" x14ac:dyDescent="0.25">
      <c r="A108" s="8">
        <v>42568.97184027778</v>
      </c>
      <c r="B108" s="25" t="s">
        <v>133</v>
      </c>
      <c r="C108" s="25" t="s">
        <v>454</v>
      </c>
      <c r="D108" s="25">
        <v>1810000</v>
      </c>
      <c r="E108" s="25" t="s">
        <v>144</v>
      </c>
      <c r="F108" s="25" t="str">
        <f t="shared" si="2"/>
        <v>rtdc.l.rtdc.4043:itc</v>
      </c>
      <c r="G108" s="8">
        <f t="shared" si="3"/>
        <v>42568.97184027778</v>
      </c>
    </row>
    <row r="109" spans="1:7" x14ac:dyDescent="0.25">
      <c r="A109" s="8">
        <v>42569.007708333331</v>
      </c>
      <c r="B109" s="25" t="s">
        <v>121</v>
      </c>
      <c r="C109" s="25" t="s">
        <v>482</v>
      </c>
      <c r="D109" s="25">
        <v>1180000</v>
      </c>
      <c r="E109" s="25" t="s">
        <v>473</v>
      </c>
      <c r="F109" s="25" t="str">
        <f t="shared" si="2"/>
        <v>rtdc.l.rtdc.4037:itc</v>
      </c>
      <c r="G109" s="8">
        <f t="shared" si="3"/>
        <v>42569.007708333331</v>
      </c>
    </row>
    <row r="110" spans="1:7" x14ac:dyDescent="0.25">
      <c r="A110" s="8">
        <v>42568.942939814813</v>
      </c>
      <c r="B110" s="25" t="s">
        <v>216</v>
      </c>
      <c r="C110" s="25" t="s">
        <v>455</v>
      </c>
      <c r="D110" s="25">
        <v>1290000</v>
      </c>
      <c r="E110" s="25" t="s">
        <v>483</v>
      </c>
      <c r="F110" s="25" t="str">
        <f t="shared" si="2"/>
        <v>rtdc.l.rtdc.4041:itc</v>
      </c>
      <c r="G110" s="8">
        <f t="shared" si="3"/>
        <v>42568.942939814813</v>
      </c>
    </row>
    <row r="111" spans="1:7" x14ac:dyDescent="0.25">
      <c r="A111" s="8">
        <v>42568.051828703705</v>
      </c>
      <c r="B111" s="25" t="s">
        <v>72</v>
      </c>
      <c r="C111" s="25" t="s">
        <v>390</v>
      </c>
      <c r="D111" s="25">
        <v>1480000</v>
      </c>
      <c r="E111" s="25" t="s">
        <v>115</v>
      </c>
      <c r="F111" s="25" t="str">
        <f t="shared" si="2"/>
        <v>rtdc.l.rtdc.4019:itc</v>
      </c>
      <c r="G111" s="8">
        <f t="shared" si="3"/>
        <v>42568.051828703705</v>
      </c>
    </row>
    <row r="112" spans="1:7" x14ac:dyDescent="0.25">
      <c r="A112" s="8">
        <v>42568.930497685185</v>
      </c>
      <c r="B112" s="25" t="s">
        <v>216</v>
      </c>
      <c r="C112" s="25" t="s">
        <v>455</v>
      </c>
      <c r="D112" s="25">
        <v>1290000</v>
      </c>
      <c r="E112" s="25" t="s">
        <v>483</v>
      </c>
      <c r="F112" s="25" t="str">
        <f t="shared" si="2"/>
        <v>rtdc.l.rtdc.4041:itc</v>
      </c>
      <c r="G112" s="8">
        <f t="shared" si="3"/>
        <v>42568.930497685185</v>
      </c>
    </row>
    <row r="113" spans="1:7" x14ac:dyDescent="0.25">
      <c r="A113" s="8">
        <v>42568.173541666663</v>
      </c>
      <c r="B113" s="25" t="s">
        <v>175</v>
      </c>
      <c r="C113" s="25" t="s">
        <v>414</v>
      </c>
      <c r="D113" s="25">
        <v>900000</v>
      </c>
      <c r="E113" s="25" t="s">
        <v>126</v>
      </c>
      <c r="F113" s="25" t="str">
        <f t="shared" si="2"/>
        <v>rtdc.l.rtdc.4015:itc</v>
      </c>
      <c r="G113" s="8">
        <f t="shared" si="3"/>
        <v>42568.173541666663</v>
      </c>
    </row>
    <row r="114" spans="1:7" x14ac:dyDescent="0.25">
      <c r="A114" s="8">
        <v>42568.890162037038</v>
      </c>
      <c r="B114" s="25" t="s">
        <v>67</v>
      </c>
      <c r="C114" s="25" t="s">
        <v>484</v>
      </c>
      <c r="D114" s="25">
        <v>1800000</v>
      </c>
      <c r="E114" s="25" t="s">
        <v>378</v>
      </c>
      <c r="F114" s="25" t="str">
        <f t="shared" si="2"/>
        <v>rtdc.l.rtdc.4032:itc</v>
      </c>
      <c r="G114" s="8">
        <f t="shared" si="3"/>
        <v>42568.890162037038</v>
      </c>
    </row>
    <row r="115" spans="1:7" x14ac:dyDescent="0.25">
      <c r="A115" s="8">
        <v>42568.196446759262</v>
      </c>
      <c r="B115" s="25" t="s">
        <v>117</v>
      </c>
      <c r="C115" s="25" t="s">
        <v>485</v>
      </c>
      <c r="D115" s="25">
        <v>1310000</v>
      </c>
      <c r="E115" s="25" t="s">
        <v>113</v>
      </c>
      <c r="F115" s="25" t="str">
        <f t="shared" si="2"/>
        <v>rtdc.l.rtdc.4014:itc</v>
      </c>
      <c r="G115" s="8">
        <f t="shared" si="3"/>
        <v>42568.196446759262</v>
      </c>
    </row>
    <row r="116" spans="1:7" x14ac:dyDescent="0.25">
      <c r="A116" s="8">
        <v>42568.77516203704</v>
      </c>
      <c r="B116" s="25" t="s">
        <v>216</v>
      </c>
      <c r="C116" s="25" t="s">
        <v>448</v>
      </c>
      <c r="D116" s="25">
        <v>1290000</v>
      </c>
      <c r="E116" s="25" t="s">
        <v>483</v>
      </c>
      <c r="F116" s="25" t="str">
        <f t="shared" si="2"/>
        <v>rtdc.l.rtdc.4041:itc</v>
      </c>
      <c r="G116" s="8">
        <f t="shared" si="3"/>
        <v>42568.77516203704</v>
      </c>
    </row>
    <row r="117" spans="1:7" x14ac:dyDescent="0.25">
      <c r="A117" s="8">
        <v>42568.215474537035</v>
      </c>
      <c r="B117" s="25" t="s">
        <v>67</v>
      </c>
      <c r="C117" s="25" t="s">
        <v>486</v>
      </c>
      <c r="D117" s="25">
        <v>1360000</v>
      </c>
      <c r="E117" s="25" t="s">
        <v>199</v>
      </c>
      <c r="F117" s="25" t="str">
        <f t="shared" si="2"/>
        <v>rtdc.l.rtdc.4032:itc</v>
      </c>
      <c r="G117" s="8">
        <f t="shared" si="3"/>
        <v>42568.215474537035</v>
      </c>
    </row>
    <row r="118" spans="1:7" x14ac:dyDescent="0.25">
      <c r="A118" s="8">
        <v>42568.750740740739</v>
      </c>
      <c r="B118" s="25" t="s">
        <v>211</v>
      </c>
      <c r="C118" s="25" t="s">
        <v>487</v>
      </c>
      <c r="D118" s="25">
        <v>1180000</v>
      </c>
      <c r="E118" s="25" t="s">
        <v>473</v>
      </c>
      <c r="F118" s="25" t="str">
        <f t="shared" si="2"/>
        <v>rtdc.l.rtdc.4010:itc</v>
      </c>
      <c r="G118" s="8">
        <f t="shared" si="3"/>
        <v>42568.750740740739</v>
      </c>
    </row>
    <row r="119" spans="1:7" x14ac:dyDescent="0.25">
      <c r="A119" s="8">
        <v>42568.234178240738</v>
      </c>
      <c r="B119" s="25" t="s">
        <v>124</v>
      </c>
      <c r="C119" s="25" t="s">
        <v>488</v>
      </c>
      <c r="D119" s="25">
        <v>1260000</v>
      </c>
      <c r="E119" s="25" t="s">
        <v>383</v>
      </c>
      <c r="F119" s="25" t="str">
        <f t="shared" si="2"/>
        <v>rtdc.l.rtdc.4027:itc</v>
      </c>
      <c r="G119" s="8">
        <f t="shared" si="3"/>
        <v>42568.234178240738</v>
      </c>
    </row>
    <row r="120" spans="1:7" x14ac:dyDescent="0.25">
      <c r="A120" s="8">
        <v>42568.725821759261</v>
      </c>
      <c r="B120" s="25" t="s">
        <v>132</v>
      </c>
      <c r="C120" s="25" t="s">
        <v>443</v>
      </c>
      <c r="D120" s="25">
        <v>1740000</v>
      </c>
      <c r="E120" s="25" t="s">
        <v>382</v>
      </c>
      <c r="F120" s="25" t="str">
        <f t="shared" si="2"/>
        <v>rtdc.l.rtdc.4008:itc</v>
      </c>
      <c r="G120" s="8">
        <f t="shared" si="3"/>
        <v>42568.725821759261</v>
      </c>
    </row>
    <row r="121" spans="1:7" x14ac:dyDescent="0.25">
      <c r="A121" s="8">
        <v>42568.240983796299</v>
      </c>
      <c r="B121" s="25" t="s">
        <v>211</v>
      </c>
      <c r="C121" s="25" t="s">
        <v>489</v>
      </c>
      <c r="D121" s="25">
        <v>1460000</v>
      </c>
      <c r="E121" s="25" t="s">
        <v>112</v>
      </c>
      <c r="F121" s="25" t="str">
        <f t="shared" si="2"/>
        <v>rtdc.l.rtdc.4010:itc</v>
      </c>
      <c r="G121" s="8">
        <f t="shared" si="3"/>
        <v>42568.240983796299</v>
      </c>
    </row>
    <row r="122" spans="1:7" x14ac:dyDescent="0.25">
      <c r="A122" s="8">
        <v>42568.714201388888</v>
      </c>
      <c r="B122" s="33" t="s">
        <v>76</v>
      </c>
      <c r="C122" s="25" t="s">
        <v>440</v>
      </c>
      <c r="D122" s="25">
        <v>1770000</v>
      </c>
      <c r="E122" s="25" t="s">
        <v>380</v>
      </c>
      <c r="F122" s="25" t="str">
        <f t="shared" si="2"/>
        <v>rtdc.l.rtdc.4031:itc</v>
      </c>
      <c r="G122" s="8">
        <f t="shared" si="3"/>
        <v>42568.714201388888</v>
      </c>
    </row>
    <row r="123" spans="1:7" x14ac:dyDescent="0.25">
      <c r="A123" s="8">
        <v>42568.257303240738</v>
      </c>
      <c r="B123" s="25" t="s">
        <v>216</v>
      </c>
      <c r="C123" s="25" t="s">
        <v>490</v>
      </c>
      <c r="D123" s="25">
        <v>1830000</v>
      </c>
      <c r="E123" s="25" t="s">
        <v>128</v>
      </c>
      <c r="F123" s="25" t="str">
        <f t="shared" si="2"/>
        <v>rtdc.l.rtdc.4041:itc</v>
      </c>
      <c r="G123" s="8">
        <f t="shared" si="3"/>
        <v>42568.257303240738</v>
      </c>
    </row>
    <row r="124" spans="1:7" x14ac:dyDescent="0.25">
      <c r="A124" s="8">
        <v>42568.712141203701</v>
      </c>
      <c r="B124" s="25" t="s">
        <v>120</v>
      </c>
      <c r="C124" s="25" t="s">
        <v>491</v>
      </c>
      <c r="D124" s="25">
        <v>880000</v>
      </c>
      <c r="E124" s="25" t="s">
        <v>377</v>
      </c>
      <c r="F124" s="25" t="str">
        <f t="shared" si="2"/>
        <v>rtdc.l.rtdc.4028:itc</v>
      </c>
      <c r="G124" s="8">
        <f t="shared" si="3"/>
        <v>42568.712141203701</v>
      </c>
    </row>
    <row r="125" spans="1:7" x14ac:dyDescent="0.25">
      <c r="A125" s="8">
        <v>42568.257106481484</v>
      </c>
      <c r="B125" s="25" t="s">
        <v>175</v>
      </c>
      <c r="C125" s="25" t="s">
        <v>417</v>
      </c>
      <c r="D125" s="25">
        <v>900000</v>
      </c>
      <c r="E125" s="25" t="s">
        <v>126</v>
      </c>
      <c r="F125" s="25" t="str">
        <f t="shared" si="2"/>
        <v>rtdc.l.rtdc.4015:itc</v>
      </c>
      <c r="G125" s="8">
        <f t="shared" si="3"/>
        <v>42568.257106481484</v>
      </c>
    </row>
    <row r="126" spans="1:7" x14ac:dyDescent="0.25">
      <c r="A126" s="8">
        <v>42568.6559837963</v>
      </c>
      <c r="B126" s="25" t="s">
        <v>176</v>
      </c>
      <c r="C126" s="25" t="s">
        <v>492</v>
      </c>
      <c r="D126" s="25">
        <v>1520000</v>
      </c>
      <c r="E126" s="25" t="s">
        <v>387</v>
      </c>
      <c r="F126" s="25" t="str">
        <f t="shared" si="2"/>
        <v>rtdc.l.rtdc.4016:itc</v>
      </c>
      <c r="G126" s="8">
        <f t="shared" si="3"/>
        <v>42568.6559837963</v>
      </c>
    </row>
    <row r="127" spans="1:7" x14ac:dyDescent="0.25">
      <c r="A127" s="8">
        <v>42568.288738425923</v>
      </c>
      <c r="B127" s="25" t="s">
        <v>176</v>
      </c>
      <c r="C127" s="25" t="s">
        <v>493</v>
      </c>
      <c r="D127" s="25">
        <v>1110000</v>
      </c>
      <c r="E127" s="25" t="s">
        <v>153</v>
      </c>
      <c r="F127" s="25" t="str">
        <f t="shared" si="2"/>
        <v>rtdc.l.rtdc.4016:itc</v>
      </c>
      <c r="G127" s="8">
        <f t="shared" si="3"/>
        <v>42568.288738425923</v>
      </c>
    </row>
    <row r="128" spans="1:7" x14ac:dyDescent="0.25">
      <c r="A128" s="8">
        <v>42568.650555555556</v>
      </c>
      <c r="B128" s="25" t="s">
        <v>132</v>
      </c>
      <c r="C128" s="25" t="s">
        <v>435</v>
      </c>
      <c r="D128" s="25">
        <v>1740000</v>
      </c>
      <c r="E128" s="25" t="s">
        <v>382</v>
      </c>
      <c r="F128" s="25" t="str">
        <f t="shared" si="2"/>
        <v>rtdc.l.rtdc.4008:itc</v>
      </c>
      <c r="G128" s="8">
        <f t="shared" si="3"/>
        <v>42568.650555555556</v>
      </c>
    </row>
    <row r="129" spans="1:7" x14ac:dyDescent="0.25">
      <c r="A129" s="8">
        <v>42568.347708333335</v>
      </c>
      <c r="B129" s="25" t="s">
        <v>210</v>
      </c>
      <c r="C129" s="25" t="s">
        <v>494</v>
      </c>
      <c r="D129" s="25">
        <v>1460000</v>
      </c>
      <c r="E129" s="25" t="s">
        <v>112</v>
      </c>
      <c r="F129" s="25" t="str">
        <f t="shared" si="2"/>
        <v>rtdc.l.rtdc.4009:itc</v>
      </c>
      <c r="G129" s="8">
        <f t="shared" si="3"/>
        <v>42568.347708333335</v>
      </c>
    </row>
    <row r="130" spans="1:7" x14ac:dyDescent="0.25">
      <c r="A130" s="8">
        <v>42568.64099537037</v>
      </c>
      <c r="B130" s="25" t="s">
        <v>120</v>
      </c>
      <c r="C130" s="25" t="s">
        <v>468</v>
      </c>
      <c r="D130" s="25">
        <v>880000</v>
      </c>
      <c r="E130" s="25" t="s">
        <v>377</v>
      </c>
      <c r="F130" s="25" t="str">
        <f t="shared" ref="F130:F193" si="4">B130</f>
        <v>rtdc.l.rtdc.4028:itc</v>
      </c>
      <c r="G130" s="8">
        <f t="shared" ref="G130:G193" si="5">A130</f>
        <v>42568.64099537037</v>
      </c>
    </row>
    <row r="131" spans="1:7" x14ac:dyDescent="0.25">
      <c r="A131" s="8">
        <v>42568.358969907407</v>
      </c>
      <c r="B131" s="25" t="s">
        <v>176</v>
      </c>
      <c r="C131" s="25" t="s">
        <v>422</v>
      </c>
      <c r="D131" s="25">
        <v>900000</v>
      </c>
      <c r="E131" s="25" t="s">
        <v>126</v>
      </c>
      <c r="F131" s="25" t="str">
        <f t="shared" si="4"/>
        <v>rtdc.l.rtdc.4016:itc</v>
      </c>
      <c r="G131" s="8">
        <f t="shared" si="5"/>
        <v>42568.358969907407</v>
      </c>
    </row>
    <row r="132" spans="1:7" x14ac:dyDescent="0.25">
      <c r="A132" s="8">
        <v>42568.631053240744</v>
      </c>
      <c r="B132" s="25" t="s">
        <v>118</v>
      </c>
      <c r="C132" s="25" t="s">
        <v>431</v>
      </c>
      <c r="D132" s="25"/>
      <c r="E132" s="25"/>
      <c r="F132" s="25" t="str">
        <f t="shared" si="4"/>
        <v>rtdc.l.rtdc.4013:itc</v>
      </c>
      <c r="G132" s="8">
        <f t="shared" si="5"/>
        <v>42568.631053240744</v>
      </c>
    </row>
    <row r="133" spans="1:7" x14ac:dyDescent="0.25">
      <c r="A133" s="8">
        <v>42568.435011574074</v>
      </c>
      <c r="B133" s="25" t="s">
        <v>176</v>
      </c>
      <c r="C133" s="25" t="s">
        <v>495</v>
      </c>
      <c r="D133" s="25">
        <v>1520000</v>
      </c>
      <c r="E133" s="25" t="s">
        <v>387</v>
      </c>
      <c r="F133" s="25" t="str">
        <f t="shared" si="4"/>
        <v>rtdc.l.rtdc.4016:itc</v>
      </c>
      <c r="G133" s="8">
        <f t="shared" si="5"/>
        <v>42568.435011574074</v>
      </c>
    </row>
    <row r="134" spans="1:7" x14ac:dyDescent="0.25">
      <c r="A134" s="8">
        <v>42568.616597222222</v>
      </c>
      <c r="B134" s="25" t="s">
        <v>124</v>
      </c>
      <c r="C134" s="25" t="s">
        <v>496</v>
      </c>
      <c r="D134" s="25">
        <v>880000</v>
      </c>
      <c r="E134" s="25" t="s">
        <v>377</v>
      </c>
      <c r="F134" s="25" t="str">
        <f t="shared" si="4"/>
        <v>rtdc.l.rtdc.4027:itc</v>
      </c>
      <c r="G134" s="8">
        <f t="shared" si="5"/>
        <v>42568.616597222222</v>
      </c>
    </row>
    <row r="135" spans="1:7" x14ac:dyDescent="0.25">
      <c r="A135" s="8">
        <v>42568.440208333333</v>
      </c>
      <c r="B135" s="25" t="s">
        <v>82</v>
      </c>
      <c r="C135" s="25" t="s">
        <v>497</v>
      </c>
      <c r="D135" s="25">
        <v>1830000</v>
      </c>
      <c r="E135" s="25" t="s">
        <v>128</v>
      </c>
      <c r="F135" s="25" t="str">
        <f t="shared" si="4"/>
        <v>rtdc.l.rtdc.4042:itc</v>
      </c>
      <c r="G135" s="8">
        <f t="shared" si="5"/>
        <v>42568.440208333333</v>
      </c>
    </row>
    <row r="136" spans="1:7" x14ac:dyDescent="0.25">
      <c r="A136" s="8">
        <v>42568.576388888891</v>
      </c>
      <c r="B136" s="25" t="s">
        <v>132</v>
      </c>
      <c r="C136" s="25" t="s">
        <v>498</v>
      </c>
      <c r="D136" s="25">
        <v>1740000</v>
      </c>
      <c r="E136" s="25" t="s">
        <v>382</v>
      </c>
      <c r="F136" s="25" t="str">
        <f t="shared" si="4"/>
        <v>rtdc.l.rtdc.4008:itc</v>
      </c>
      <c r="G136" s="8">
        <f t="shared" si="5"/>
        <v>42568.576388888891</v>
      </c>
    </row>
    <row r="137" spans="1:7" x14ac:dyDescent="0.25">
      <c r="A137" s="8">
        <v>42568.454212962963</v>
      </c>
      <c r="B137" s="25" t="s">
        <v>118</v>
      </c>
      <c r="C137" s="25" t="s">
        <v>424</v>
      </c>
      <c r="D137" s="25">
        <v>1310000</v>
      </c>
      <c r="E137" s="25" t="s">
        <v>113</v>
      </c>
      <c r="F137" s="25" t="str">
        <f t="shared" si="4"/>
        <v>rtdc.l.rtdc.4013:itc</v>
      </c>
      <c r="G137" s="8">
        <f t="shared" si="5"/>
        <v>42568.454212962963</v>
      </c>
    </row>
    <row r="138" spans="1:7" x14ac:dyDescent="0.25">
      <c r="A138" s="8">
        <v>42568.565416666665</v>
      </c>
      <c r="B138" s="25" t="s">
        <v>120</v>
      </c>
      <c r="C138" s="25" t="s">
        <v>499</v>
      </c>
      <c r="D138" s="25">
        <v>880000</v>
      </c>
      <c r="E138" s="25" t="s">
        <v>377</v>
      </c>
      <c r="F138" s="25" t="str">
        <f t="shared" si="4"/>
        <v>rtdc.l.rtdc.4028:itc</v>
      </c>
      <c r="G138" s="8">
        <f t="shared" si="5"/>
        <v>42568.565416666665</v>
      </c>
    </row>
    <row r="139" spans="1:7" x14ac:dyDescent="0.25">
      <c r="A139" s="8">
        <v>42568.474687499998</v>
      </c>
      <c r="B139" s="25" t="s">
        <v>216</v>
      </c>
      <c r="C139" s="25" t="s">
        <v>500</v>
      </c>
      <c r="D139" s="25">
        <v>1830000</v>
      </c>
      <c r="E139" s="25" t="s">
        <v>128</v>
      </c>
      <c r="F139" s="25" t="str">
        <f t="shared" si="4"/>
        <v>rtdc.l.rtdc.4041:itc</v>
      </c>
      <c r="G139" s="8">
        <f t="shared" si="5"/>
        <v>42568.474687499998</v>
      </c>
    </row>
    <row r="140" spans="1:7" x14ac:dyDescent="0.25">
      <c r="A140" s="8">
        <v>42568.556238425925</v>
      </c>
      <c r="B140" s="25" t="s">
        <v>117</v>
      </c>
      <c r="C140" s="25" t="s">
        <v>428</v>
      </c>
      <c r="D140" s="25">
        <v>1470000</v>
      </c>
      <c r="E140" s="25" t="s">
        <v>467</v>
      </c>
      <c r="F140" s="25" t="str">
        <f t="shared" si="4"/>
        <v>rtdc.l.rtdc.4014:itc</v>
      </c>
      <c r="G140" s="8">
        <f t="shared" si="5"/>
        <v>42568.556238425925</v>
      </c>
    </row>
    <row r="141" spans="1:7" x14ac:dyDescent="0.25">
      <c r="A141" s="8">
        <v>42568.484074074076</v>
      </c>
      <c r="B141" s="25" t="s">
        <v>117</v>
      </c>
      <c r="C141" s="25" t="s">
        <v>425</v>
      </c>
      <c r="D141" s="25">
        <v>1470000</v>
      </c>
      <c r="E141" s="25" t="s">
        <v>467</v>
      </c>
      <c r="F141" s="25" t="str">
        <f t="shared" si="4"/>
        <v>rtdc.l.rtdc.4014:itc</v>
      </c>
      <c r="G141" s="8">
        <f t="shared" si="5"/>
        <v>42568.484074074076</v>
      </c>
    </row>
    <row r="142" spans="1:7" x14ac:dyDescent="0.25">
      <c r="A142" s="8">
        <v>42568.549328703702</v>
      </c>
      <c r="B142" s="25" t="s">
        <v>76</v>
      </c>
      <c r="C142" s="25" t="s">
        <v>501</v>
      </c>
      <c r="D142" s="25">
        <v>1770000</v>
      </c>
      <c r="E142" s="25" t="s">
        <v>380</v>
      </c>
      <c r="F142" s="25" t="str">
        <f t="shared" si="4"/>
        <v>rtdc.l.rtdc.4031:itc</v>
      </c>
      <c r="G142" s="8">
        <f t="shared" si="5"/>
        <v>42568.549328703702</v>
      </c>
    </row>
    <row r="143" spans="1:7" x14ac:dyDescent="0.25">
      <c r="A143" s="8">
        <v>42568.526817129627</v>
      </c>
      <c r="B143" s="25" t="s">
        <v>118</v>
      </c>
      <c r="C143" s="25" t="s">
        <v>427</v>
      </c>
      <c r="D143" s="25">
        <v>1470000</v>
      </c>
      <c r="E143" s="25" t="s">
        <v>467</v>
      </c>
      <c r="F143" s="25" t="str">
        <f t="shared" si="4"/>
        <v>rtdc.l.rtdc.4013:itc</v>
      </c>
      <c r="G143" s="8">
        <f t="shared" si="5"/>
        <v>42568.526817129627</v>
      </c>
    </row>
    <row r="144" spans="1:7" x14ac:dyDescent="0.25">
      <c r="A144" s="8">
        <v>42568.507719907408</v>
      </c>
      <c r="B144" s="25" t="s">
        <v>117</v>
      </c>
      <c r="C144" s="25" t="s">
        <v>425</v>
      </c>
      <c r="D144" s="25">
        <v>1470000</v>
      </c>
      <c r="E144" s="25" t="s">
        <v>467</v>
      </c>
      <c r="F144" s="25" t="str">
        <f t="shared" si="4"/>
        <v>rtdc.l.rtdc.4014:itc</v>
      </c>
      <c r="G144" s="8">
        <f t="shared" si="5"/>
        <v>42568.507719907408</v>
      </c>
    </row>
    <row r="145" spans="1:7" x14ac:dyDescent="0.25">
      <c r="A145" s="8">
        <v>42568.539155092592</v>
      </c>
      <c r="B145" s="25" t="s">
        <v>175</v>
      </c>
      <c r="C145" s="25" t="s">
        <v>502</v>
      </c>
      <c r="D145" s="25">
        <v>1520000</v>
      </c>
      <c r="E145" s="25" t="s">
        <v>387</v>
      </c>
      <c r="F145" s="25" t="str">
        <f t="shared" si="4"/>
        <v>rtdc.l.rtdc.4015:itc</v>
      </c>
      <c r="G145" s="8">
        <f t="shared" si="5"/>
        <v>42568.539155092592</v>
      </c>
    </row>
    <row r="146" spans="1:7" x14ac:dyDescent="0.25">
      <c r="A146" s="8">
        <v>42568.507141203707</v>
      </c>
      <c r="B146" s="25" t="s">
        <v>176</v>
      </c>
      <c r="C146" s="25" t="s">
        <v>503</v>
      </c>
      <c r="D146" s="25">
        <v>1520000</v>
      </c>
      <c r="E146" s="25" t="s">
        <v>387</v>
      </c>
      <c r="F146" s="25" t="str">
        <f t="shared" si="4"/>
        <v>rtdc.l.rtdc.4016:itc</v>
      </c>
      <c r="G146" s="8">
        <f t="shared" si="5"/>
        <v>42568.507141203707</v>
      </c>
    </row>
    <row r="147" spans="1:7" x14ac:dyDescent="0.25">
      <c r="A147" s="8">
        <v>42568.539548611108</v>
      </c>
      <c r="B147" s="25" t="s">
        <v>135</v>
      </c>
      <c r="C147" s="25" t="s">
        <v>504</v>
      </c>
      <c r="D147" s="25">
        <v>1740000</v>
      </c>
      <c r="E147" s="25" t="s">
        <v>382</v>
      </c>
      <c r="F147" s="25" t="str">
        <f t="shared" si="4"/>
        <v>rtdc.l.rtdc.4007:itc</v>
      </c>
      <c r="G147" s="8">
        <f t="shared" si="5"/>
        <v>42568.539548611108</v>
      </c>
    </row>
    <row r="148" spans="1:7" x14ac:dyDescent="0.25">
      <c r="A148" s="8">
        <v>42568.498993055553</v>
      </c>
      <c r="B148" s="25" t="s">
        <v>132</v>
      </c>
      <c r="C148" s="25" t="s">
        <v>505</v>
      </c>
      <c r="D148" s="25">
        <v>1740000</v>
      </c>
      <c r="E148" s="25" t="s">
        <v>382</v>
      </c>
      <c r="F148" s="25" t="str">
        <f t="shared" si="4"/>
        <v>rtdc.l.rtdc.4008:itc</v>
      </c>
      <c r="G148" s="8">
        <f t="shared" si="5"/>
        <v>42568.498993055553</v>
      </c>
    </row>
    <row r="149" spans="1:7" x14ac:dyDescent="0.25">
      <c r="A149" s="8">
        <v>42568.553495370368</v>
      </c>
      <c r="B149" s="25" t="s">
        <v>216</v>
      </c>
      <c r="C149" s="25" t="s">
        <v>506</v>
      </c>
      <c r="D149" s="25">
        <v>2030000</v>
      </c>
      <c r="E149" s="25" t="s">
        <v>151</v>
      </c>
      <c r="F149" s="25" t="str">
        <f t="shared" si="4"/>
        <v>rtdc.l.rtdc.4041:itc</v>
      </c>
      <c r="G149" s="8">
        <f t="shared" si="5"/>
        <v>42568.553495370368</v>
      </c>
    </row>
    <row r="150" spans="1:7" x14ac:dyDescent="0.25">
      <c r="A150" s="8">
        <v>42568.464930555558</v>
      </c>
      <c r="B150" s="25" t="s">
        <v>175</v>
      </c>
      <c r="C150" s="25" t="s">
        <v>507</v>
      </c>
      <c r="D150" s="25">
        <v>1520000</v>
      </c>
      <c r="E150" s="25" t="s">
        <v>387</v>
      </c>
      <c r="F150" s="25" t="str">
        <f t="shared" si="4"/>
        <v>rtdc.l.rtdc.4015:itc</v>
      </c>
      <c r="G150" s="8">
        <f t="shared" si="5"/>
        <v>42568.464930555558</v>
      </c>
    </row>
    <row r="151" spans="1:7" x14ac:dyDescent="0.25">
      <c r="A151" s="8">
        <v>42568.588136574072</v>
      </c>
      <c r="B151" s="25" t="s">
        <v>67</v>
      </c>
      <c r="C151" s="25" t="s">
        <v>508</v>
      </c>
      <c r="D151" s="25">
        <v>1770000</v>
      </c>
      <c r="E151" s="25" t="s">
        <v>380</v>
      </c>
      <c r="F151" s="25" t="str">
        <f t="shared" si="4"/>
        <v>rtdc.l.rtdc.4032:itc</v>
      </c>
      <c r="G151" s="8">
        <f t="shared" si="5"/>
        <v>42568.588136574072</v>
      </c>
    </row>
    <row r="152" spans="1:7" x14ac:dyDescent="0.25">
      <c r="A152" s="8">
        <v>42568.40079861111</v>
      </c>
      <c r="B152" s="25" t="s">
        <v>216</v>
      </c>
      <c r="C152" s="25" t="s">
        <v>509</v>
      </c>
      <c r="D152" s="25">
        <v>1830000</v>
      </c>
      <c r="E152" s="25" t="s">
        <v>128</v>
      </c>
      <c r="F152" s="25" t="str">
        <f t="shared" si="4"/>
        <v>rtdc.l.rtdc.4041:itc</v>
      </c>
      <c r="G152" s="8">
        <f t="shared" si="5"/>
        <v>42568.40079861111</v>
      </c>
    </row>
    <row r="153" spans="1:7" x14ac:dyDescent="0.25">
      <c r="A153" s="8">
        <v>42568.588287037041</v>
      </c>
      <c r="B153" s="25" t="s">
        <v>82</v>
      </c>
      <c r="C153" s="25" t="s">
        <v>510</v>
      </c>
      <c r="D153" s="25">
        <v>2030000</v>
      </c>
      <c r="E153" s="25" t="s">
        <v>151</v>
      </c>
      <c r="F153" s="25" t="str">
        <f t="shared" si="4"/>
        <v>rtdc.l.rtdc.4042:itc</v>
      </c>
      <c r="G153" s="8">
        <f t="shared" si="5"/>
        <v>42568.588287037041</v>
      </c>
    </row>
    <row r="154" spans="1:7" x14ac:dyDescent="0.25">
      <c r="A154" s="8">
        <v>42568.390196759261</v>
      </c>
      <c r="B154" s="25" t="s">
        <v>135</v>
      </c>
      <c r="C154" s="25" t="s">
        <v>511</v>
      </c>
      <c r="D154" s="25">
        <v>2010000</v>
      </c>
      <c r="E154" s="25" t="s">
        <v>155</v>
      </c>
      <c r="F154" s="25" t="str">
        <f t="shared" si="4"/>
        <v>rtdc.l.rtdc.4007:itc</v>
      </c>
      <c r="G154" s="8">
        <f t="shared" si="5"/>
        <v>42568.390196759261</v>
      </c>
    </row>
    <row r="155" spans="1:7" x14ac:dyDescent="0.25">
      <c r="A155" s="8">
        <v>42568.598402777781</v>
      </c>
      <c r="B155" s="25" t="s">
        <v>118</v>
      </c>
      <c r="C155" s="25" t="s">
        <v>431</v>
      </c>
      <c r="D155" s="25">
        <v>1470000</v>
      </c>
      <c r="E155" s="25" t="s">
        <v>467</v>
      </c>
      <c r="F155" s="25" t="str">
        <f t="shared" si="4"/>
        <v>rtdc.l.rtdc.4013:itc</v>
      </c>
      <c r="G155" s="8">
        <f t="shared" si="5"/>
        <v>42568.598402777781</v>
      </c>
    </row>
    <row r="156" spans="1:7" x14ac:dyDescent="0.25">
      <c r="A156" s="8">
        <v>42568.36010416667</v>
      </c>
      <c r="B156" s="25" t="s">
        <v>67</v>
      </c>
      <c r="C156" s="25" t="s">
        <v>512</v>
      </c>
      <c r="D156" s="25">
        <v>1360000</v>
      </c>
      <c r="E156" s="25" t="s">
        <v>199</v>
      </c>
      <c r="F156" s="25" t="str">
        <f t="shared" si="4"/>
        <v>rtdc.l.rtdc.4032:itc</v>
      </c>
      <c r="G156" s="8">
        <f t="shared" si="5"/>
        <v>42568.36010416667</v>
      </c>
    </row>
    <row r="157" spans="1:7" x14ac:dyDescent="0.25">
      <c r="A157" s="8">
        <v>42568.603634259256</v>
      </c>
      <c r="B157" s="25" t="s">
        <v>132</v>
      </c>
      <c r="C157" s="25" t="s">
        <v>498</v>
      </c>
      <c r="D157" s="25">
        <v>1740000</v>
      </c>
      <c r="E157" s="25" t="s">
        <v>382</v>
      </c>
      <c r="F157" s="25" t="str">
        <f t="shared" si="4"/>
        <v>rtdc.l.rtdc.4008:itc</v>
      </c>
      <c r="G157" s="8">
        <f t="shared" si="5"/>
        <v>42568.603634259256</v>
      </c>
    </row>
    <row r="158" spans="1:7" x14ac:dyDescent="0.25">
      <c r="A158" s="8">
        <v>42568.356215277781</v>
      </c>
      <c r="B158" s="25" t="s">
        <v>132</v>
      </c>
      <c r="C158" s="25" t="s">
        <v>513</v>
      </c>
      <c r="D158" s="25">
        <v>2010000</v>
      </c>
      <c r="E158" s="25" t="s">
        <v>155</v>
      </c>
      <c r="F158" s="25" t="str">
        <f t="shared" si="4"/>
        <v>rtdc.l.rtdc.4008:itc</v>
      </c>
      <c r="G158" s="8">
        <f t="shared" si="5"/>
        <v>42568.356215277781</v>
      </c>
    </row>
    <row r="159" spans="1:7" x14ac:dyDescent="0.25">
      <c r="A159" s="8">
        <v>42568.616643518515</v>
      </c>
      <c r="B159" s="25" t="s">
        <v>175</v>
      </c>
      <c r="C159" s="25" t="s">
        <v>434</v>
      </c>
      <c r="D159" s="25">
        <v>1520000</v>
      </c>
      <c r="E159" s="25" t="s">
        <v>387</v>
      </c>
      <c r="F159" s="25" t="str">
        <f t="shared" si="4"/>
        <v>rtdc.l.rtdc.4015:itc</v>
      </c>
      <c r="G159" s="8">
        <f t="shared" si="5"/>
        <v>42568.616643518515</v>
      </c>
    </row>
    <row r="160" spans="1:7" x14ac:dyDescent="0.25">
      <c r="A160" s="8">
        <v>42568.345497685186</v>
      </c>
      <c r="B160" s="25" t="s">
        <v>120</v>
      </c>
      <c r="C160" s="25" t="s">
        <v>421</v>
      </c>
      <c r="D160" s="25">
        <v>1260000</v>
      </c>
      <c r="E160" s="25" t="s">
        <v>383</v>
      </c>
      <c r="F160" s="25" t="str">
        <f t="shared" si="4"/>
        <v>rtdc.l.rtdc.4028:itc</v>
      </c>
      <c r="G160" s="8">
        <f t="shared" si="5"/>
        <v>42568.345497685186</v>
      </c>
    </row>
    <row r="161" spans="1:7" x14ac:dyDescent="0.25">
      <c r="A161" s="8">
        <v>42568.709201388891</v>
      </c>
      <c r="B161" s="25" t="s">
        <v>117</v>
      </c>
      <c r="C161" s="25" t="s">
        <v>441</v>
      </c>
      <c r="D161" s="25">
        <v>1470000</v>
      </c>
      <c r="E161" s="25" t="s">
        <v>467</v>
      </c>
      <c r="F161" s="25" t="str">
        <f t="shared" si="4"/>
        <v>rtdc.l.rtdc.4014:itc</v>
      </c>
      <c r="G161" s="8">
        <f t="shared" si="5"/>
        <v>42568.709201388891</v>
      </c>
    </row>
    <row r="162" spans="1:7" x14ac:dyDescent="0.25">
      <c r="A162" s="8">
        <v>42568.329074074078</v>
      </c>
      <c r="B162" s="25" t="s">
        <v>175</v>
      </c>
      <c r="C162" s="25" t="s">
        <v>420</v>
      </c>
      <c r="D162" s="25">
        <v>1110000</v>
      </c>
      <c r="E162" s="25" t="s">
        <v>153</v>
      </c>
      <c r="F162" s="25" t="str">
        <f t="shared" si="4"/>
        <v>rtdc.l.rtdc.4015:itc</v>
      </c>
      <c r="G162" s="8">
        <f t="shared" si="5"/>
        <v>42568.329074074078</v>
      </c>
    </row>
    <row r="163" spans="1:7" x14ac:dyDescent="0.25">
      <c r="A163" s="8">
        <v>42568.752951388888</v>
      </c>
      <c r="B163" s="25" t="s">
        <v>130</v>
      </c>
      <c r="C163" s="25" t="s">
        <v>444</v>
      </c>
      <c r="D163" s="25">
        <v>1810000</v>
      </c>
      <c r="E163" s="25" t="s">
        <v>144</v>
      </c>
      <c r="F163" s="25" t="str">
        <f t="shared" si="4"/>
        <v>rtdc.l.rtdc.4044:itc</v>
      </c>
      <c r="G163" s="8">
        <f t="shared" si="5"/>
        <v>42568.752951388888</v>
      </c>
    </row>
    <row r="164" spans="1:7" x14ac:dyDescent="0.25">
      <c r="A164" s="8">
        <v>42568.286898148152</v>
      </c>
      <c r="B164" s="25" t="s">
        <v>67</v>
      </c>
      <c r="C164" s="25" t="s">
        <v>514</v>
      </c>
      <c r="D164" s="25">
        <v>1360000</v>
      </c>
      <c r="E164" s="25" t="s">
        <v>199</v>
      </c>
      <c r="F164" s="25" t="str">
        <f t="shared" si="4"/>
        <v>rtdc.l.rtdc.4032:itc</v>
      </c>
      <c r="G164" s="8">
        <f t="shared" si="5"/>
        <v>42568.286898148152</v>
      </c>
    </row>
    <row r="165" spans="1:7" x14ac:dyDescent="0.25">
      <c r="A165" s="8">
        <v>42568.754803240743</v>
      </c>
      <c r="B165" s="25" t="s">
        <v>130</v>
      </c>
      <c r="C165" s="25" t="s">
        <v>444</v>
      </c>
      <c r="D165" s="25">
        <v>1810000</v>
      </c>
      <c r="E165" s="25" t="s">
        <v>144</v>
      </c>
      <c r="F165" s="25" t="str">
        <f t="shared" si="4"/>
        <v>rtdc.l.rtdc.4044:itc</v>
      </c>
      <c r="G165" s="8">
        <f t="shared" si="5"/>
        <v>42568.754803240743</v>
      </c>
    </row>
    <row r="166" spans="1:7" x14ac:dyDescent="0.25">
      <c r="A166" s="8">
        <v>42568.286168981482</v>
      </c>
      <c r="B166" s="25" t="s">
        <v>132</v>
      </c>
      <c r="C166" s="25" t="s">
        <v>515</v>
      </c>
      <c r="D166" s="25">
        <v>2010000</v>
      </c>
      <c r="E166" s="25" t="s">
        <v>155</v>
      </c>
      <c r="F166" s="25" t="str">
        <f t="shared" si="4"/>
        <v>rtdc.l.rtdc.4008:itc</v>
      </c>
      <c r="G166" s="8">
        <f t="shared" si="5"/>
        <v>42568.286168981482</v>
      </c>
    </row>
    <row r="167" spans="1:7" x14ac:dyDescent="0.25">
      <c r="A167" s="8">
        <v>42568.806921296295</v>
      </c>
      <c r="B167" s="25" t="s">
        <v>67</v>
      </c>
      <c r="C167" s="25" t="s">
        <v>449</v>
      </c>
      <c r="D167" s="25">
        <v>1800000</v>
      </c>
      <c r="E167" s="25" t="s">
        <v>378</v>
      </c>
      <c r="F167" s="25" t="str">
        <f t="shared" si="4"/>
        <v>rtdc.l.rtdc.4032:itc</v>
      </c>
      <c r="G167" s="8">
        <f t="shared" si="5"/>
        <v>42568.806921296295</v>
      </c>
    </row>
    <row r="168" spans="1:7" x14ac:dyDescent="0.25">
      <c r="A168" s="8">
        <v>42568.272314814814</v>
      </c>
      <c r="B168" s="25" t="s">
        <v>120</v>
      </c>
      <c r="C168" s="25" t="s">
        <v>419</v>
      </c>
      <c r="D168" s="25">
        <v>1260000</v>
      </c>
      <c r="E168" s="25" t="s">
        <v>383</v>
      </c>
      <c r="F168" s="25" t="str">
        <f t="shared" si="4"/>
        <v>rtdc.l.rtdc.4028:itc</v>
      </c>
      <c r="G168" s="8">
        <f t="shared" si="5"/>
        <v>42568.272314814814</v>
      </c>
    </row>
    <row r="169" spans="1:7" x14ac:dyDescent="0.25">
      <c r="A169" s="8">
        <v>42568.833634259259</v>
      </c>
      <c r="B169" s="25" t="s">
        <v>121</v>
      </c>
      <c r="C169" s="25" t="s">
        <v>450</v>
      </c>
      <c r="D169" s="25">
        <v>1820000</v>
      </c>
      <c r="E169" s="25" t="s">
        <v>103</v>
      </c>
      <c r="F169" s="25" t="str">
        <f t="shared" si="4"/>
        <v>rtdc.l.rtdc.4037:itc</v>
      </c>
      <c r="G169" s="8">
        <f t="shared" si="5"/>
        <v>42568.833634259259</v>
      </c>
    </row>
    <row r="170" spans="1:7" x14ac:dyDescent="0.25">
      <c r="A170" s="8">
        <v>42568.24796296296</v>
      </c>
      <c r="B170" s="25" t="s">
        <v>135</v>
      </c>
      <c r="C170" s="25" t="s">
        <v>516</v>
      </c>
      <c r="D170" s="25">
        <v>2010000</v>
      </c>
      <c r="E170" s="25" t="s">
        <v>155</v>
      </c>
      <c r="F170" s="25" t="str">
        <f t="shared" si="4"/>
        <v>rtdc.l.rtdc.4007:itc</v>
      </c>
      <c r="G170" s="8">
        <f t="shared" si="5"/>
        <v>42568.24796296296</v>
      </c>
    </row>
    <row r="171" spans="1:7" x14ac:dyDescent="0.25">
      <c r="A171" s="8">
        <v>42569.056041666663</v>
      </c>
      <c r="B171" s="25" t="s">
        <v>67</v>
      </c>
      <c r="C171" s="25" t="s">
        <v>517</v>
      </c>
      <c r="D171" s="25">
        <v>1800000</v>
      </c>
      <c r="E171" s="25" t="s">
        <v>378</v>
      </c>
      <c r="F171" s="25" t="str">
        <f t="shared" si="4"/>
        <v>rtdc.l.rtdc.4032:itc</v>
      </c>
      <c r="G171" s="8">
        <f t="shared" si="5"/>
        <v>42569.056041666663</v>
      </c>
    </row>
    <row r="172" spans="1:7" x14ac:dyDescent="0.25">
      <c r="A172" s="8">
        <v>42568.191481481481</v>
      </c>
      <c r="B172" s="25" t="s">
        <v>120</v>
      </c>
      <c r="C172" s="25" t="s">
        <v>415</v>
      </c>
      <c r="D172" s="25">
        <v>1260000</v>
      </c>
      <c r="E172" s="25" t="s">
        <v>383</v>
      </c>
      <c r="F172" s="25" t="str">
        <f t="shared" si="4"/>
        <v>rtdc.l.rtdc.4028:itc</v>
      </c>
      <c r="G172" s="8">
        <f t="shared" si="5"/>
        <v>42568.191481481481</v>
      </c>
    </row>
    <row r="173" spans="1:7" x14ac:dyDescent="0.25">
      <c r="A173" s="8">
        <v>42568.079062500001</v>
      </c>
      <c r="B173" s="25" t="s">
        <v>75</v>
      </c>
      <c r="C173" s="25" t="s">
        <v>400</v>
      </c>
      <c r="D173" s="25">
        <v>1300000</v>
      </c>
      <c r="E173" s="25" t="s">
        <v>246</v>
      </c>
      <c r="F173" s="25" t="str">
        <f t="shared" si="4"/>
        <v>rtdc.l.rtdc.4017:itc</v>
      </c>
      <c r="G173" s="8">
        <f t="shared" si="5"/>
        <v>42568.079062500001</v>
      </c>
    </row>
    <row r="174" spans="1:7" x14ac:dyDescent="0.25">
      <c r="A174" s="8">
        <v>42568.188287037039</v>
      </c>
      <c r="B174" s="25" t="s">
        <v>135</v>
      </c>
      <c r="C174" s="25" t="s">
        <v>413</v>
      </c>
      <c r="D174" s="25">
        <v>2010000</v>
      </c>
      <c r="E174" s="25" t="s">
        <v>155</v>
      </c>
      <c r="F174" s="25" t="str">
        <f t="shared" si="4"/>
        <v>rtdc.l.rtdc.4007:itc</v>
      </c>
      <c r="G174" s="8">
        <f t="shared" si="5"/>
        <v>42568.188287037039</v>
      </c>
    </row>
    <row r="175" spans="1:7" x14ac:dyDescent="0.25">
      <c r="A175" s="8">
        <v>42568.21775462963</v>
      </c>
      <c r="B175" s="25" t="s">
        <v>176</v>
      </c>
      <c r="C175" s="25" t="s">
        <v>518</v>
      </c>
      <c r="D175" s="25">
        <v>900000</v>
      </c>
      <c r="E175" s="25" t="s">
        <v>126</v>
      </c>
      <c r="F175" s="25" t="str">
        <f t="shared" si="4"/>
        <v>rtdc.l.rtdc.4016:itc</v>
      </c>
      <c r="G175" s="8">
        <f t="shared" si="5"/>
        <v>42568.21775462963</v>
      </c>
    </row>
    <row r="176" spans="1:7" x14ac:dyDescent="0.25">
      <c r="A176" s="8">
        <v>42568.180023148147</v>
      </c>
      <c r="B176" s="25" t="s">
        <v>76</v>
      </c>
      <c r="C176" s="25" t="s">
        <v>519</v>
      </c>
      <c r="D176" s="25">
        <v>1360000</v>
      </c>
      <c r="E176" s="25" t="s">
        <v>199</v>
      </c>
      <c r="F176" s="25" t="str">
        <f t="shared" si="4"/>
        <v>rtdc.l.rtdc.4031:itc</v>
      </c>
      <c r="G176" s="8">
        <f t="shared" si="5"/>
        <v>42568.180023148147</v>
      </c>
    </row>
    <row r="177" spans="1:7" x14ac:dyDescent="0.25">
      <c r="A177" s="8">
        <v>42568.233101851853</v>
      </c>
      <c r="B177" s="25" t="s">
        <v>118</v>
      </c>
      <c r="C177" s="25" t="s">
        <v>416</v>
      </c>
      <c r="D177" s="25">
        <v>1310000</v>
      </c>
      <c r="E177" s="25" t="s">
        <v>113</v>
      </c>
      <c r="F177" s="25" t="str">
        <f t="shared" si="4"/>
        <v>rtdc.l.rtdc.4013:itc</v>
      </c>
      <c r="G177" s="8">
        <f t="shared" si="5"/>
        <v>42568.233101851853</v>
      </c>
    </row>
    <row r="178" spans="1:7" x14ac:dyDescent="0.25">
      <c r="A178" s="8">
        <v>42568.14880787037</v>
      </c>
      <c r="B178" s="25" t="s">
        <v>82</v>
      </c>
      <c r="C178" s="25" t="s">
        <v>412</v>
      </c>
      <c r="D178" s="25">
        <v>1260000</v>
      </c>
      <c r="E178" s="25" t="s">
        <v>383</v>
      </c>
      <c r="F178" s="25" t="str">
        <f t="shared" si="4"/>
        <v>rtdc.l.rtdc.4042:itc</v>
      </c>
      <c r="G178" s="8">
        <f t="shared" si="5"/>
        <v>42568.14880787037</v>
      </c>
    </row>
    <row r="179" spans="1:7" x14ac:dyDescent="0.25">
      <c r="A179" s="8">
        <v>42568.27516203704</v>
      </c>
      <c r="B179" s="25" t="s">
        <v>210</v>
      </c>
      <c r="C179" s="25" t="s">
        <v>520</v>
      </c>
      <c r="D179" s="25">
        <v>1460000</v>
      </c>
      <c r="E179" s="25" t="s">
        <v>112</v>
      </c>
      <c r="F179" s="25" t="str">
        <f t="shared" si="4"/>
        <v>rtdc.l.rtdc.4009:itc</v>
      </c>
      <c r="G179" s="8">
        <f t="shared" si="5"/>
        <v>42568.27516203704</v>
      </c>
    </row>
    <row r="180" spans="1:7" x14ac:dyDescent="0.25">
      <c r="A180" s="8">
        <v>42568.134895833333</v>
      </c>
      <c r="B180" s="25" t="s">
        <v>210</v>
      </c>
      <c r="C180" s="25" t="s">
        <v>411</v>
      </c>
      <c r="D180" s="25">
        <v>900000</v>
      </c>
      <c r="E180" s="25" t="s">
        <v>126</v>
      </c>
      <c r="F180" s="25" t="str">
        <f t="shared" si="4"/>
        <v>rtdc.l.rtdc.4009:itc</v>
      </c>
      <c r="G180" s="8">
        <f t="shared" si="5"/>
        <v>42568.134895833333</v>
      </c>
    </row>
    <row r="181" spans="1:7" x14ac:dyDescent="0.25">
      <c r="A181" s="8">
        <v>42568.294340277775</v>
      </c>
      <c r="B181" s="25" t="s">
        <v>82</v>
      </c>
      <c r="C181" s="25" t="s">
        <v>521</v>
      </c>
      <c r="D181" s="25">
        <v>1830000</v>
      </c>
      <c r="E181" s="25" t="s">
        <v>128</v>
      </c>
      <c r="F181" s="25" t="str">
        <f t="shared" si="4"/>
        <v>rtdc.l.rtdc.4042:itc</v>
      </c>
      <c r="G181" s="8">
        <f t="shared" si="5"/>
        <v>42568.294340277775</v>
      </c>
    </row>
    <row r="182" spans="1:7" x14ac:dyDescent="0.25">
      <c r="A182" s="8">
        <v>42569.031030092592</v>
      </c>
      <c r="B182" s="25" t="s">
        <v>133</v>
      </c>
      <c r="C182" s="25" t="s">
        <v>459</v>
      </c>
      <c r="D182" s="25">
        <v>1810000</v>
      </c>
      <c r="E182" s="25" t="s">
        <v>144</v>
      </c>
      <c r="F182" s="25" t="str">
        <f t="shared" si="4"/>
        <v>rtdc.l.rtdc.4043:itc</v>
      </c>
      <c r="G182" s="8">
        <f t="shared" si="5"/>
        <v>42569.031030092592</v>
      </c>
    </row>
    <row r="183" spans="1:7" x14ac:dyDescent="0.25">
      <c r="A183" s="8">
        <v>42568.313692129632</v>
      </c>
      <c r="B183" s="25" t="s">
        <v>211</v>
      </c>
      <c r="C183" s="25" t="s">
        <v>522</v>
      </c>
      <c r="D183" s="25">
        <v>1460000</v>
      </c>
      <c r="E183" s="25" t="s">
        <v>112</v>
      </c>
      <c r="F183" s="25" t="str">
        <f t="shared" si="4"/>
        <v>rtdc.l.rtdc.4010:itc</v>
      </c>
      <c r="G183" s="8">
        <f t="shared" si="5"/>
        <v>42568.313692129632</v>
      </c>
    </row>
    <row r="184" spans="1:7" x14ac:dyDescent="0.25">
      <c r="A184" s="8">
        <v>42569.028495370374</v>
      </c>
      <c r="B184" s="25" t="s">
        <v>216</v>
      </c>
      <c r="C184" s="25" t="s">
        <v>523</v>
      </c>
      <c r="D184" s="25">
        <v>1290000</v>
      </c>
      <c r="E184" s="25" t="s">
        <v>483</v>
      </c>
      <c r="F184" s="25" t="str">
        <f t="shared" si="4"/>
        <v>rtdc.l.rtdc.4041:itc</v>
      </c>
      <c r="G184" s="8">
        <f t="shared" si="5"/>
        <v>42569.028495370374</v>
      </c>
    </row>
    <row r="185" spans="1:7" x14ac:dyDescent="0.25">
      <c r="A185" s="8">
        <v>42568.367210648146</v>
      </c>
      <c r="B185" s="25" t="s">
        <v>82</v>
      </c>
      <c r="C185" s="25" t="s">
        <v>524</v>
      </c>
      <c r="D185" s="25">
        <v>1830000</v>
      </c>
      <c r="E185" s="25" t="s">
        <v>128</v>
      </c>
      <c r="F185" s="25" t="str">
        <f t="shared" si="4"/>
        <v>rtdc.l.rtdc.4042:itc</v>
      </c>
      <c r="G185" s="8">
        <f t="shared" si="5"/>
        <v>42568.367210648146</v>
      </c>
    </row>
    <row r="186" spans="1:7" x14ac:dyDescent="0.25">
      <c r="A186" s="8">
        <v>42569.014699074076</v>
      </c>
      <c r="B186" s="25" t="s">
        <v>216</v>
      </c>
      <c r="C186" s="25" t="s">
        <v>523</v>
      </c>
      <c r="D186" s="25">
        <v>1290000</v>
      </c>
      <c r="E186" s="25" t="s">
        <v>483</v>
      </c>
      <c r="F186" s="25" t="str">
        <f t="shared" si="4"/>
        <v>rtdc.l.rtdc.4041:itc</v>
      </c>
      <c r="G186" s="8">
        <f t="shared" si="5"/>
        <v>42569.014699074076</v>
      </c>
    </row>
    <row r="187" spans="1:7" x14ac:dyDescent="0.25">
      <c r="A187" s="8">
        <v>42568.380289351851</v>
      </c>
      <c r="B187" s="25" t="s">
        <v>124</v>
      </c>
      <c r="C187" s="25" t="s">
        <v>525</v>
      </c>
      <c r="D187" s="25">
        <v>1260000</v>
      </c>
      <c r="E187" s="25" t="s">
        <v>383</v>
      </c>
      <c r="F187" s="25" t="str">
        <f t="shared" si="4"/>
        <v>rtdc.l.rtdc.4027:itc</v>
      </c>
      <c r="G187" s="8">
        <f t="shared" si="5"/>
        <v>42568.380289351851</v>
      </c>
    </row>
    <row r="188" spans="1:7" x14ac:dyDescent="0.25">
      <c r="A188" s="8">
        <v>42568.99417824074</v>
      </c>
      <c r="B188" s="25" t="s">
        <v>130</v>
      </c>
      <c r="C188" s="25" t="s">
        <v>458</v>
      </c>
      <c r="D188" s="25">
        <v>1810000</v>
      </c>
      <c r="E188" s="25" t="s">
        <v>144</v>
      </c>
      <c r="F188" s="25" t="str">
        <f t="shared" si="4"/>
        <v>rtdc.l.rtdc.4044:itc</v>
      </c>
      <c r="G188" s="8">
        <f t="shared" si="5"/>
        <v>42568.99417824074</v>
      </c>
    </row>
    <row r="189" spans="1:7" x14ac:dyDescent="0.25">
      <c r="A189" s="8">
        <v>42568.381377314814</v>
      </c>
      <c r="B189" s="25" t="s">
        <v>118</v>
      </c>
      <c r="C189" s="25" t="s">
        <v>526</v>
      </c>
      <c r="D189" s="25">
        <v>1310000</v>
      </c>
      <c r="E189" s="25" t="s">
        <v>113</v>
      </c>
      <c r="F189" s="25" t="str">
        <f t="shared" si="4"/>
        <v>rtdc.l.rtdc.4013:itc</v>
      </c>
      <c r="G189" s="8">
        <f t="shared" si="5"/>
        <v>42568.381377314814</v>
      </c>
    </row>
    <row r="190" spans="1:7" x14ac:dyDescent="0.25">
      <c r="A190" s="8">
        <v>42568.991342592592</v>
      </c>
      <c r="B190" s="25" t="s">
        <v>121</v>
      </c>
      <c r="C190" s="25" t="s">
        <v>482</v>
      </c>
      <c r="D190" s="25">
        <v>1180000</v>
      </c>
      <c r="E190" s="25" t="s">
        <v>473</v>
      </c>
      <c r="F190" s="25" t="str">
        <f t="shared" si="4"/>
        <v>rtdc.l.rtdc.4037:itc</v>
      </c>
      <c r="G190" s="8">
        <f t="shared" si="5"/>
        <v>42568.991342592592</v>
      </c>
    </row>
    <row r="191" spans="1:7" x14ac:dyDescent="0.25">
      <c r="A191" s="8">
        <v>42568.396817129629</v>
      </c>
      <c r="B191" s="25" t="s">
        <v>175</v>
      </c>
      <c r="C191" s="25" t="s">
        <v>527</v>
      </c>
      <c r="D191" s="25">
        <v>900000</v>
      </c>
      <c r="E191" s="25" t="s">
        <v>126</v>
      </c>
      <c r="F191" s="25" t="str">
        <f t="shared" si="4"/>
        <v>rtdc.l.rtdc.4015:itc</v>
      </c>
      <c r="G191" s="8">
        <f t="shared" si="5"/>
        <v>42568.396817129629</v>
      </c>
    </row>
    <row r="192" spans="1:7" x14ac:dyDescent="0.25">
      <c r="A192" s="8">
        <v>42568.973032407404</v>
      </c>
      <c r="B192" s="25" t="s">
        <v>67</v>
      </c>
      <c r="C192" s="25" t="s">
        <v>456</v>
      </c>
      <c r="D192" s="25">
        <v>1800000</v>
      </c>
      <c r="E192" s="25" t="s">
        <v>378</v>
      </c>
      <c r="F192" s="25" t="str">
        <f t="shared" si="4"/>
        <v>rtdc.l.rtdc.4032:itc</v>
      </c>
      <c r="G192" s="8">
        <f t="shared" si="5"/>
        <v>42568.973032407404</v>
      </c>
    </row>
    <row r="193" spans="1:7" x14ac:dyDescent="0.25">
      <c r="A193" s="8">
        <v>42568.415706018517</v>
      </c>
      <c r="B193" s="25" t="s">
        <v>117</v>
      </c>
      <c r="C193" s="25" t="s">
        <v>528</v>
      </c>
      <c r="D193" s="25">
        <v>1310000</v>
      </c>
      <c r="E193" s="25" t="s">
        <v>113</v>
      </c>
      <c r="F193" s="25" t="str">
        <f t="shared" si="4"/>
        <v>rtdc.l.rtdc.4014:itc</v>
      </c>
      <c r="G193" s="8">
        <f t="shared" si="5"/>
        <v>42568.415706018517</v>
      </c>
    </row>
    <row r="194" spans="1:7" x14ac:dyDescent="0.25">
      <c r="A194" s="8">
        <v>42568.909328703703</v>
      </c>
      <c r="B194" s="25" t="s">
        <v>121</v>
      </c>
      <c r="C194" s="25" t="s">
        <v>453</v>
      </c>
      <c r="D194" s="25">
        <v>1180000</v>
      </c>
      <c r="E194" s="25" t="s">
        <v>473</v>
      </c>
      <c r="F194" s="25" t="str">
        <f t="shared" ref="F194:F235" si="6">B194</f>
        <v>rtdc.l.rtdc.4037:itc</v>
      </c>
      <c r="G194" s="8">
        <f t="shared" ref="G194:G235" si="7">A194</f>
        <v>42568.909328703703</v>
      </c>
    </row>
    <row r="195" spans="1:7" x14ac:dyDescent="0.25">
      <c r="A195" s="8">
        <v>42568.422094907408</v>
      </c>
      <c r="B195" s="25" t="s">
        <v>210</v>
      </c>
      <c r="C195" s="25" t="s">
        <v>529</v>
      </c>
      <c r="D195" s="25">
        <v>1460000</v>
      </c>
      <c r="E195" s="25" t="s">
        <v>112</v>
      </c>
      <c r="F195" s="25" t="str">
        <f t="shared" si="6"/>
        <v>rtdc.l.rtdc.4009:itc</v>
      </c>
      <c r="G195" s="8">
        <f t="shared" si="7"/>
        <v>42568.422094907408</v>
      </c>
    </row>
    <row r="196" spans="1:7" x14ac:dyDescent="0.25">
      <c r="A196" s="8">
        <v>42568.901701388888</v>
      </c>
      <c r="B196" s="25" t="s">
        <v>130</v>
      </c>
      <c r="C196" s="25" t="s">
        <v>530</v>
      </c>
      <c r="D196" s="25">
        <v>1810000</v>
      </c>
      <c r="E196" s="25" t="s">
        <v>144</v>
      </c>
      <c r="F196" s="25" t="str">
        <f t="shared" si="6"/>
        <v>rtdc.l.rtdc.4044:itc</v>
      </c>
      <c r="G196" s="8">
        <f t="shared" si="7"/>
        <v>42568.901701388888</v>
      </c>
    </row>
    <row r="197" spans="1:7" x14ac:dyDescent="0.25">
      <c r="A197" s="8">
        <v>42568.432939814818</v>
      </c>
      <c r="B197" s="25" t="s">
        <v>67</v>
      </c>
      <c r="C197" s="25" t="s">
        <v>531</v>
      </c>
      <c r="D197" s="25">
        <v>1360000</v>
      </c>
      <c r="E197" s="25" t="s">
        <v>199</v>
      </c>
      <c r="F197" s="25" t="str">
        <f t="shared" si="6"/>
        <v>rtdc.l.rtdc.4032:itc</v>
      </c>
      <c r="G197" s="8">
        <f t="shared" si="7"/>
        <v>42568.432939814818</v>
      </c>
    </row>
    <row r="198" spans="1:7" x14ac:dyDescent="0.25">
      <c r="A198" s="8">
        <v>42568.893113425926</v>
      </c>
      <c r="B198" s="25" t="s">
        <v>82</v>
      </c>
      <c r="C198" s="25" t="s">
        <v>532</v>
      </c>
      <c r="D198" s="25">
        <v>1290000</v>
      </c>
      <c r="E198" s="25" t="s">
        <v>483</v>
      </c>
      <c r="F198" s="25" t="str">
        <f t="shared" si="6"/>
        <v>rtdc.l.rtdc.4042:itc</v>
      </c>
      <c r="G198" s="8">
        <f t="shared" si="7"/>
        <v>42568.893113425926</v>
      </c>
    </row>
    <row r="199" spans="1:7" x14ac:dyDescent="0.25">
      <c r="A199" s="8">
        <v>42568.454282407409</v>
      </c>
      <c r="B199" s="25" t="s">
        <v>124</v>
      </c>
      <c r="C199" s="25" t="s">
        <v>533</v>
      </c>
      <c r="D199" s="25">
        <v>880000</v>
      </c>
      <c r="E199" s="25" t="s">
        <v>377</v>
      </c>
      <c r="F199" s="25" t="str">
        <f t="shared" si="6"/>
        <v>rtdc.l.rtdc.4027:itc</v>
      </c>
      <c r="G199" s="8">
        <f t="shared" si="7"/>
        <v>42568.454282407409</v>
      </c>
    </row>
    <row r="200" spans="1:7" x14ac:dyDescent="0.25">
      <c r="A200" s="8">
        <v>42568.867719907408</v>
      </c>
      <c r="B200" s="25" t="s">
        <v>111</v>
      </c>
      <c r="C200" s="25" t="s">
        <v>534</v>
      </c>
      <c r="D200" s="25">
        <v>1180000</v>
      </c>
      <c r="E200" s="25" t="s">
        <v>473</v>
      </c>
      <c r="F200" s="25" t="str">
        <f t="shared" si="6"/>
        <v>rtdc.l.rtdc.4038:itc</v>
      </c>
      <c r="G200" s="8">
        <f t="shared" si="7"/>
        <v>42568.867719907408</v>
      </c>
    </row>
    <row r="201" spans="1:7" x14ac:dyDescent="0.25">
      <c r="A201" s="8">
        <v>42568.457962962966</v>
      </c>
      <c r="B201" s="25" t="s">
        <v>211</v>
      </c>
      <c r="C201" s="25" t="s">
        <v>535</v>
      </c>
      <c r="D201" s="25">
        <v>1460000</v>
      </c>
      <c r="E201" s="25" t="s">
        <v>112</v>
      </c>
      <c r="F201" s="25" t="str">
        <f t="shared" si="6"/>
        <v>rtdc.l.rtdc.4010:itc</v>
      </c>
      <c r="G201" s="8">
        <f t="shared" si="7"/>
        <v>42568.457962962966</v>
      </c>
    </row>
    <row r="202" spans="1:7" x14ac:dyDescent="0.25">
      <c r="A202" s="34">
        <v>42568.865185185183</v>
      </c>
      <c r="B202" s="25" t="s">
        <v>133</v>
      </c>
      <c r="C202" s="25" t="s">
        <v>452</v>
      </c>
      <c r="D202" s="25">
        <v>1810000</v>
      </c>
      <c r="E202" s="25" t="s">
        <v>144</v>
      </c>
      <c r="F202" s="25" t="str">
        <f t="shared" si="6"/>
        <v>rtdc.l.rtdc.4043:itc</v>
      </c>
      <c r="G202" s="8">
        <f t="shared" si="7"/>
        <v>42568.865185185183</v>
      </c>
    </row>
    <row r="203" spans="1:7" x14ac:dyDescent="0.25">
      <c r="A203" s="8">
        <v>42568.516122685185</v>
      </c>
      <c r="B203" s="25" t="s">
        <v>67</v>
      </c>
      <c r="C203" s="25" t="s">
        <v>536</v>
      </c>
      <c r="D203" s="25">
        <v>1770000</v>
      </c>
      <c r="E203" s="25" t="s">
        <v>380</v>
      </c>
      <c r="F203" s="25" t="str">
        <f t="shared" si="6"/>
        <v>rtdc.l.rtdc.4032:itc</v>
      </c>
      <c r="G203" s="8">
        <f t="shared" si="7"/>
        <v>42568.516122685185</v>
      </c>
    </row>
    <row r="204" spans="1:7" x14ac:dyDescent="0.25">
      <c r="A204" s="8">
        <v>42568.830659722225</v>
      </c>
      <c r="B204" s="25" t="s">
        <v>130</v>
      </c>
      <c r="C204" s="25" t="s">
        <v>451</v>
      </c>
      <c r="D204" s="25">
        <v>1810000</v>
      </c>
      <c r="E204" s="25" t="s">
        <v>144</v>
      </c>
      <c r="F204" s="25" t="str">
        <f t="shared" si="6"/>
        <v>rtdc.l.rtdc.4044:itc</v>
      </c>
      <c r="G204" s="8">
        <f t="shared" si="7"/>
        <v>42568.830659722225</v>
      </c>
    </row>
    <row r="205" spans="1:7" x14ac:dyDescent="0.25">
      <c r="A205" s="8">
        <v>42568.567499999997</v>
      </c>
      <c r="B205" s="25" t="s">
        <v>210</v>
      </c>
      <c r="C205" s="25" t="s">
        <v>429</v>
      </c>
      <c r="D205" s="25">
        <v>1750000</v>
      </c>
      <c r="E205" s="25" t="s">
        <v>343</v>
      </c>
      <c r="F205" s="25" t="str">
        <f t="shared" si="6"/>
        <v>rtdc.l.rtdc.4009:itc</v>
      </c>
      <c r="G205" s="8">
        <f t="shared" si="7"/>
        <v>42568.567499999997</v>
      </c>
    </row>
    <row r="206" spans="1:7" x14ac:dyDescent="0.25">
      <c r="A206" s="8">
        <v>42568.767962962964</v>
      </c>
      <c r="B206" s="25" t="s">
        <v>76</v>
      </c>
      <c r="C206" s="25" t="s">
        <v>447</v>
      </c>
      <c r="D206" s="25">
        <v>1800000</v>
      </c>
      <c r="E206" s="25" t="s">
        <v>378</v>
      </c>
      <c r="F206" s="25" t="str">
        <f t="shared" si="6"/>
        <v>rtdc.l.rtdc.4031:itc</v>
      </c>
      <c r="G206" s="8">
        <f t="shared" si="7"/>
        <v>42568.767962962964</v>
      </c>
    </row>
    <row r="207" spans="1:7" x14ac:dyDescent="0.25">
      <c r="A207" s="8">
        <v>42568.606840277775</v>
      </c>
      <c r="B207" s="25" t="s">
        <v>211</v>
      </c>
      <c r="C207" s="25" t="s">
        <v>537</v>
      </c>
      <c r="D207" s="25">
        <v>1750000</v>
      </c>
      <c r="E207" s="25" t="s">
        <v>343</v>
      </c>
      <c r="F207" s="25" t="str">
        <f t="shared" si="6"/>
        <v>rtdc.l.rtdc.4010:itc</v>
      </c>
      <c r="G207" s="8">
        <f t="shared" si="7"/>
        <v>42568.606840277775</v>
      </c>
    </row>
    <row r="208" spans="1:7" x14ac:dyDescent="0.25">
      <c r="A208" s="8">
        <v>42568.741574074076</v>
      </c>
      <c r="B208" s="25" t="s">
        <v>82</v>
      </c>
      <c r="C208" s="25" t="s">
        <v>401</v>
      </c>
      <c r="D208" s="25">
        <v>1290000</v>
      </c>
      <c r="E208" s="25" t="s">
        <v>483</v>
      </c>
      <c r="F208" s="25" t="str">
        <f t="shared" si="6"/>
        <v>rtdc.l.rtdc.4042:itc</v>
      </c>
      <c r="G208" s="8">
        <f t="shared" si="7"/>
        <v>42568.741574074076</v>
      </c>
    </row>
    <row r="209" spans="1:7" x14ac:dyDescent="0.25">
      <c r="A209" s="8">
        <v>42568.611134259256</v>
      </c>
      <c r="B209" s="25" t="s">
        <v>82</v>
      </c>
      <c r="C209" s="25" t="s">
        <v>510</v>
      </c>
      <c r="D209" s="25">
        <v>2030000</v>
      </c>
      <c r="E209" s="25" t="s">
        <v>151</v>
      </c>
      <c r="F209" s="25" t="str">
        <f t="shared" si="6"/>
        <v>rtdc.l.rtdc.4042:itc</v>
      </c>
      <c r="G209" s="8">
        <f t="shared" si="7"/>
        <v>42568.611134259256</v>
      </c>
    </row>
    <row r="210" spans="1:7" x14ac:dyDescent="0.25">
      <c r="A210" s="8">
        <v>42568.734814814816</v>
      </c>
      <c r="B210" s="25" t="s">
        <v>67</v>
      </c>
      <c r="C210" s="25" t="s">
        <v>442</v>
      </c>
      <c r="D210" s="25">
        <v>1770000</v>
      </c>
      <c r="E210" s="25" t="s">
        <v>380</v>
      </c>
      <c r="F210" s="25" t="str">
        <f t="shared" si="6"/>
        <v>rtdc.l.rtdc.4032:itc</v>
      </c>
      <c r="G210" s="8">
        <f t="shared" si="7"/>
        <v>42568.734814814816</v>
      </c>
    </row>
    <row r="211" spans="1:7" x14ac:dyDescent="0.25">
      <c r="A211" s="8">
        <v>42568.627013888887</v>
      </c>
      <c r="B211" s="25" t="s">
        <v>135</v>
      </c>
      <c r="C211" s="25" t="s">
        <v>432</v>
      </c>
      <c r="D211" s="25">
        <v>1740000</v>
      </c>
      <c r="E211" s="25" t="s">
        <v>382</v>
      </c>
      <c r="F211" s="25" t="str">
        <f t="shared" si="6"/>
        <v>rtdc.l.rtdc.4007:itc</v>
      </c>
      <c r="G211" s="8">
        <f t="shared" si="7"/>
        <v>42568.627013888887</v>
      </c>
    </row>
    <row r="212" spans="1:7" x14ac:dyDescent="0.25">
      <c r="A212" s="8">
        <v>42568.706921296296</v>
      </c>
      <c r="B212" s="25" t="s">
        <v>216</v>
      </c>
      <c r="C212" s="25" t="s">
        <v>402</v>
      </c>
      <c r="D212" s="25">
        <v>2030000</v>
      </c>
      <c r="E212" s="25" t="s">
        <v>151</v>
      </c>
      <c r="F212" s="25" t="str">
        <f t="shared" si="6"/>
        <v>rtdc.l.rtdc.4041:itc</v>
      </c>
      <c r="G212" s="8">
        <f t="shared" si="7"/>
        <v>42568.706921296296</v>
      </c>
    </row>
    <row r="213" spans="1:7" x14ac:dyDescent="0.25">
      <c r="A213" s="8">
        <v>42568.638368055559</v>
      </c>
      <c r="B213" s="25" t="s">
        <v>76</v>
      </c>
      <c r="C213" s="25" t="s">
        <v>538</v>
      </c>
      <c r="D213" s="25">
        <v>1770000</v>
      </c>
      <c r="E213" s="25" t="s">
        <v>380</v>
      </c>
      <c r="F213" s="25" t="str">
        <f t="shared" si="6"/>
        <v>rtdc.l.rtdc.4031:itc</v>
      </c>
      <c r="G213" s="8">
        <f t="shared" si="7"/>
        <v>42568.638368055559</v>
      </c>
    </row>
    <row r="214" spans="1:7" x14ac:dyDescent="0.25">
      <c r="A214" s="8">
        <v>42568.694733796299</v>
      </c>
      <c r="B214" s="25" t="s">
        <v>175</v>
      </c>
      <c r="C214" s="25" t="s">
        <v>438</v>
      </c>
      <c r="D214" s="25">
        <v>1520000</v>
      </c>
      <c r="E214" s="25" t="s">
        <v>387</v>
      </c>
      <c r="F214" s="25" t="str">
        <f t="shared" si="6"/>
        <v>rtdc.l.rtdc.4015:itc</v>
      </c>
      <c r="G214" s="8">
        <f t="shared" si="7"/>
        <v>42568.694733796299</v>
      </c>
    </row>
    <row r="215" spans="1:7" x14ac:dyDescent="0.25">
      <c r="A215" s="8">
        <v>42568.640046296299</v>
      </c>
      <c r="B215" s="25" t="s">
        <v>211</v>
      </c>
      <c r="C215" s="25" t="s">
        <v>537</v>
      </c>
      <c r="D215" s="25">
        <v>1750000</v>
      </c>
      <c r="E215" s="25" t="s">
        <v>343</v>
      </c>
      <c r="F215" s="25" t="str">
        <f t="shared" si="6"/>
        <v>rtdc.l.rtdc.4010:itc</v>
      </c>
      <c r="G215" s="8">
        <f t="shared" si="7"/>
        <v>42568.640046296299</v>
      </c>
    </row>
    <row r="216" spans="1:7" x14ac:dyDescent="0.25">
      <c r="A216" s="8">
        <v>42568.675706018519</v>
      </c>
      <c r="B216" s="25" t="s">
        <v>124</v>
      </c>
      <c r="C216" s="25" t="s">
        <v>539</v>
      </c>
      <c r="D216" s="25">
        <v>880000</v>
      </c>
      <c r="E216" s="25" t="s">
        <v>377</v>
      </c>
      <c r="F216" s="25" t="str">
        <f t="shared" si="6"/>
        <v>rtdc.l.rtdc.4027:itc</v>
      </c>
      <c r="G216" s="8">
        <f t="shared" si="7"/>
        <v>42568.675706018519</v>
      </c>
    </row>
    <row r="217" spans="1:7" x14ac:dyDescent="0.25">
      <c r="A217" s="8">
        <v>42568.649363425924</v>
      </c>
      <c r="B217" s="25" t="s">
        <v>210</v>
      </c>
      <c r="C217" s="25" t="s">
        <v>436</v>
      </c>
      <c r="D217" s="25">
        <v>1750000</v>
      </c>
      <c r="E217" s="25" t="s">
        <v>343</v>
      </c>
      <c r="F217" s="25" t="str">
        <f t="shared" si="6"/>
        <v>rtdc.l.rtdc.4009:itc</v>
      </c>
      <c r="G217" s="8">
        <f t="shared" si="7"/>
        <v>42568.649363425924</v>
      </c>
    </row>
    <row r="218" spans="1:7" x14ac:dyDescent="0.25">
      <c r="A218" s="8">
        <v>42568.672824074078</v>
      </c>
      <c r="B218" s="25" t="s">
        <v>118</v>
      </c>
      <c r="C218" s="25" t="s">
        <v>437</v>
      </c>
      <c r="D218" s="25">
        <v>1470000</v>
      </c>
      <c r="E218" s="25" t="s">
        <v>467</v>
      </c>
      <c r="F218" s="25" t="str">
        <f t="shared" si="6"/>
        <v>rtdc.l.rtdc.4013:itc</v>
      </c>
      <c r="G218" s="8">
        <f t="shared" si="7"/>
        <v>42568.672824074078</v>
      </c>
    </row>
    <row r="219" spans="1:7" x14ac:dyDescent="0.25">
      <c r="A219" s="8">
        <v>42568.658229166664</v>
      </c>
      <c r="B219" s="25" t="s">
        <v>216</v>
      </c>
      <c r="C219" s="25" t="s">
        <v>433</v>
      </c>
      <c r="D219" s="25">
        <v>2030000</v>
      </c>
      <c r="E219" s="25" t="s">
        <v>151</v>
      </c>
      <c r="F219" s="25" t="str">
        <f t="shared" si="6"/>
        <v>rtdc.l.rtdc.4041:itc</v>
      </c>
      <c r="G219" s="8">
        <f t="shared" si="7"/>
        <v>42568.658229166664</v>
      </c>
    </row>
    <row r="220" spans="1:7" x14ac:dyDescent="0.25">
      <c r="A220" s="8">
        <v>42568.648553240739</v>
      </c>
      <c r="B220" s="25" t="s">
        <v>175</v>
      </c>
      <c r="C220" s="25" t="s">
        <v>434</v>
      </c>
      <c r="D220" s="25">
        <v>1520000</v>
      </c>
      <c r="E220" s="25" t="s">
        <v>387</v>
      </c>
      <c r="F220" s="25" t="str">
        <f t="shared" si="6"/>
        <v>rtdc.l.rtdc.4015:itc</v>
      </c>
      <c r="G220" s="8">
        <f t="shared" si="7"/>
        <v>42568.648553240739</v>
      </c>
    </row>
    <row r="221" spans="1:7" x14ac:dyDescent="0.25">
      <c r="A221" s="8">
        <v>42568.66165509259</v>
      </c>
      <c r="B221" s="25" t="s">
        <v>67</v>
      </c>
      <c r="C221" s="25" t="s">
        <v>540</v>
      </c>
      <c r="D221" s="25">
        <v>1770000</v>
      </c>
      <c r="E221" s="25" t="s">
        <v>380</v>
      </c>
      <c r="F221" s="25" t="str">
        <f t="shared" si="6"/>
        <v>rtdc.l.rtdc.4032:itc</v>
      </c>
      <c r="G221" s="8">
        <f t="shared" si="7"/>
        <v>42568.66165509259</v>
      </c>
    </row>
    <row r="222" spans="1:7" x14ac:dyDescent="0.25">
      <c r="A222" s="8">
        <v>42568.641006944446</v>
      </c>
      <c r="B222" s="25" t="s">
        <v>117</v>
      </c>
      <c r="C222" s="25" t="s">
        <v>466</v>
      </c>
      <c r="D222" s="25">
        <v>1470000</v>
      </c>
      <c r="E222" s="25" t="s">
        <v>467</v>
      </c>
      <c r="F222" s="25" t="str">
        <f t="shared" si="6"/>
        <v>rtdc.l.rtdc.4014:itc</v>
      </c>
      <c r="G222" s="8">
        <f t="shared" si="7"/>
        <v>42568.641006944446</v>
      </c>
    </row>
    <row r="223" spans="1:7" x14ac:dyDescent="0.25">
      <c r="A223" s="8">
        <v>42568.665960648148</v>
      </c>
      <c r="B223" s="25" t="s">
        <v>210</v>
      </c>
      <c r="C223" s="25" t="s">
        <v>436</v>
      </c>
      <c r="D223" s="25">
        <v>1750000</v>
      </c>
      <c r="E223" s="25" t="s">
        <v>343</v>
      </c>
      <c r="F223" s="25" t="str">
        <f t="shared" si="6"/>
        <v>rtdc.l.rtdc.4009:itc</v>
      </c>
      <c r="G223" s="8">
        <f t="shared" si="7"/>
        <v>42568.665960648148</v>
      </c>
    </row>
    <row r="224" spans="1:7" x14ac:dyDescent="0.25">
      <c r="A224" s="8">
        <v>42568.623518518521</v>
      </c>
      <c r="B224" t="s">
        <v>76</v>
      </c>
      <c r="C224" t="s">
        <v>538</v>
      </c>
      <c r="D224">
        <v>1770000</v>
      </c>
      <c r="E224" t="s">
        <v>380</v>
      </c>
      <c r="F224" s="25" t="str">
        <f t="shared" si="6"/>
        <v>rtdc.l.rtdc.4031:itc</v>
      </c>
      <c r="G224" s="8">
        <f t="shared" si="7"/>
        <v>42568.623518518521</v>
      </c>
    </row>
    <row r="225" spans="1:7" x14ac:dyDescent="0.25">
      <c r="A225" s="8">
        <v>42568.667939814812</v>
      </c>
      <c r="B225" t="s">
        <v>82</v>
      </c>
      <c r="C225" t="s">
        <v>541</v>
      </c>
      <c r="D225">
        <v>2030000</v>
      </c>
      <c r="E225" t="s">
        <v>151</v>
      </c>
      <c r="F225" s="25" t="str">
        <f t="shared" si="6"/>
        <v>rtdc.l.rtdc.4042:itc</v>
      </c>
      <c r="G225" s="8">
        <f t="shared" si="7"/>
        <v>42568.667939814812</v>
      </c>
    </row>
    <row r="226" spans="1:7" x14ac:dyDescent="0.25">
      <c r="A226" s="8">
        <v>42568.612939814811</v>
      </c>
      <c r="B226" t="s">
        <v>135</v>
      </c>
      <c r="C226" t="s">
        <v>432</v>
      </c>
      <c r="D226">
        <v>1740000</v>
      </c>
      <c r="E226" t="s">
        <v>382</v>
      </c>
      <c r="F226" s="25" t="str">
        <f t="shared" si="6"/>
        <v>rtdc.l.rtdc.4007:itc</v>
      </c>
      <c r="G226" s="8">
        <f t="shared" si="7"/>
        <v>42568.612939814811</v>
      </c>
    </row>
    <row r="227" spans="1:7" x14ac:dyDescent="0.25">
      <c r="A227" s="8">
        <v>42568.810023148151</v>
      </c>
      <c r="B227" t="s">
        <v>82</v>
      </c>
      <c r="C227" t="s">
        <v>542</v>
      </c>
      <c r="D227">
        <v>1290000</v>
      </c>
      <c r="E227" t="s">
        <v>483</v>
      </c>
      <c r="F227" s="25" t="str">
        <f t="shared" si="6"/>
        <v>rtdc.l.rtdc.4042:itc</v>
      </c>
      <c r="G227" s="8">
        <f t="shared" si="7"/>
        <v>42568.810023148151</v>
      </c>
    </row>
    <row r="228" spans="1:7" x14ac:dyDescent="0.25">
      <c r="A228" s="8">
        <v>42568.577118055553</v>
      </c>
      <c r="B228" t="s">
        <v>176</v>
      </c>
      <c r="C228" t="s">
        <v>430</v>
      </c>
      <c r="D228">
        <v>1520000</v>
      </c>
      <c r="E228" t="s">
        <v>387</v>
      </c>
      <c r="F228" s="25" t="str">
        <f t="shared" si="6"/>
        <v>rtdc.l.rtdc.4016:itc</v>
      </c>
      <c r="G228" s="8">
        <f t="shared" si="7"/>
        <v>42568.577118055553</v>
      </c>
    </row>
    <row r="229" spans="1:7" x14ac:dyDescent="0.25">
      <c r="A229" s="8">
        <v>42568.829236111109</v>
      </c>
      <c r="B229" t="s">
        <v>130</v>
      </c>
      <c r="C229" t="s">
        <v>451</v>
      </c>
      <c r="D229">
        <v>1810000</v>
      </c>
      <c r="E229" t="s">
        <v>144</v>
      </c>
      <c r="F229" s="25" t="str">
        <f t="shared" si="6"/>
        <v>rtdc.l.rtdc.4044:itc</v>
      </c>
      <c r="G229" s="8">
        <f t="shared" si="7"/>
        <v>42568.829236111109</v>
      </c>
    </row>
    <row r="230" spans="1:7" x14ac:dyDescent="0.25">
      <c r="A230" s="8">
        <v>42568.530682870369</v>
      </c>
      <c r="B230" t="s">
        <v>211</v>
      </c>
      <c r="C230" t="s">
        <v>543</v>
      </c>
      <c r="D230">
        <v>1750000</v>
      </c>
      <c r="E230" t="s">
        <v>343</v>
      </c>
      <c r="F230" s="25" t="str">
        <f t="shared" si="6"/>
        <v>rtdc.l.rtdc.4010:itc</v>
      </c>
      <c r="G230" s="8">
        <f t="shared" si="7"/>
        <v>42568.530682870369</v>
      </c>
    </row>
    <row r="231" spans="1:7" x14ac:dyDescent="0.25">
      <c r="A231" s="8">
        <v>42568.849409722221</v>
      </c>
      <c r="B231" t="s">
        <v>216</v>
      </c>
      <c r="C231" t="s">
        <v>544</v>
      </c>
      <c r="D231">
        <v>1290000</v>
      </c>
      <c r="E231" t="s">
        <v>483</v>
      </c>
      <c r="F231" s="25" t="str">
        <f t="shared" si="6"/>
        <v>rtdc.l.rtdc.4041:itc</v>
      </c>
      <c r="G231" s="8">
        <f t="shared" si="7"/>
        <v>42568.849409722221</v>
      </c>
    </row>
    <row r="232" spans="1:7" x14ac:dyDescent="0.25">
      <c r="A232" s="8">
        <v>42568.51666666667</v>
      </c>
      <c r="B232" t="s">
        <v>82</v>
      </c>
      <c r="C232" t="s">
        <v>545</v>
      </c>
      <c r="D232">
        <v>2030000</v>
      </c>
      <c r="E232" t="s">
        <v>151</v>
      </c>
      <c r="F232" s="25" t="str">
        <f t="shared" si="6"/>
        <v>rtdc.l.rtdc.4042:itc</v>
      </c>
      <c r="G232" s="8">
        <f t="shared" si="7"/>
        <v>42568.51666666667</v>
      </c>
    </row>
    <row r="233" spans="1:7" x14ac:dyDescent="0.25">
      <c r="A233" s="8">
        <v>42568.854826388888</v>
      </c>
      <c r="B233" t="s">
        <v>76</v>
      </c>
      <c r="C233" t="s">
        <v>546</v>
      </c>
      <c r="D233">
        <v>1800000</v>
      </c>
      <c r="E233" t="s">
        <v>378</v>
      </c>
      <c r="F233" s="25" t="str">
        <f t="shared" si="6"/>
        <v>rtdc.l.rtdc.4031:itc</v>
      </c>
      <c r="G233" s="8">
        <f t="shared" si="7"/>
        <v>42568.854826388888</v>
      </c>
    </row>
    <row r="234" spans="1:7" x14ac:dyDescent="0.25">
      <c r="A234" s="8">
        <v>42568.494340277779</v>
      </c>
      <c r="B234" t="s">
        <v>210</v>
      </c>
      <c r="C234" t="s">
        <v>547</v>
      </c>
      <c r="D234">
        <v>1750000</v>
      </c>
      <c r="E234" t="s">
        <v>343</v>
      </c>
      <c r="F234" s="25" t="str">
        <f t="shared" si="6"/>
        <v>rtdc.l.rtdc.4009:itc</v>
      </c>
      <c r="G234" s="8">
        <f t="shared" si="7"/>
        <v>42568.494340277779</v>
      </c>
    </row>
    <row r="235" spans="1:7" x14ac:dyDescent="0.25">
      <c r="A235" s="8">
        <v>42568.90053240741</v>
      </c>
      <c r="B235" t="s">
        <v>130</v>
      </c>
      <c r="C235" t="s">
        <v>530</v>
      </c>
      <c r="D235">
        <v>1810000</v>
      </c>
      <c r="E235" t="s">
        <v>144</v>
      </c>
      <c r="F235" s="25" t="str">
        <f t="shared" si="6"/>
        <v>rtdc.l.rtdc.4044:itc</v>
      </c>
      <c r="G235" s="8">
        <f t="shared" si="7"/>
        <v>42568.90053240741</v>
      </c>
    </row>
    <row r="236" spans="1:7" x14ac:dyDescent="0.25">
      <c r="A236" s="8">
        <v>42568.476574074077</v>
      </c>
      <c r="B236" t="s">
        <v>76</v>
      </c>
      <c r="C236" t="s">
        <v>423</v>
      </c>
      <c r="D236">
        <v>1770000</v>
      </c>
      <c r="E236" t="s">
        <v>380</v>
      </c>
      <c r="F236" s="25" t="str">
        <f t="shared" ref="F236:F265" si="8">B236</f>
        <v>rtdc.l.rtdc.4031:itc</v>
      </c>
      <c r="G236" s="8">
        <f t="shared" ref="G236:G265" si="9">A236</f>
        <v>42568.476574074077</v>
      </c>
    </row>
    <row r="237" spans="1:7" x14ac:dyDescent="0.25">
      <c r="A237" s="8">
        <v>42568.908125000002</v>
      </c>
      <c r="B237" t="s">
        <v>121</v>
      </c>
      <c r="C237" t="s">
        <v>453</v>
      </c>
      <c r="D237">
        <v>1180000</v>
      </c>
      <c r="E237" t="s">
        <v>473</v>
      </c>
      <c r="F237" s="25" t="str">
        <f t="shared" si="8"/>
        <v>rtdc.l.rtdc.4037:itc</v>
      </c>
      <c r="G237" s="8">
        <f t="shared" si="9"/>
        <v>42568.908125000002</v>
      </c>
    </row>
    <row r="238" spans="1:7" x14ac:dyDescent="0.25">
      <c r="A238" s="8">
        <v>42568.424328703702</v>
      </c>
      <c r="B238" t="s">
        <v>132</v>
      </c>
      <c r="C238" t="s">
        <v>548</v>
      </c>
      <c r="D238">
        <v>2010000</v>
      </c>
      <c r="E238" t="s">
        <v>155</v>
      </c>
      <c r="F238" s="25" t="str">
        <f t="shared" si="8"/>
        <v>rtdc.l.rtdc.4008:itc</v>
      </c>
      <c r="G238" s="8">
        <f t="shared" si="9"/>
        <v>42568.424328703702</v>
      </c>
    </row>
    <row r="239" spans="1:7" x14ac:dyDescent="0.25">
      <c r="A239" s="8">
        <v>42568.935567129629</v>
      </c>
      <c r="B239" t="s">
        <v>76</v>
      </c>
      <c r="C239" t="s">
        <v>549</v>
      </c>
      <c r="D239">
        <v>1800000</v>
      </c>
      <c r="E239" t="s">
        <v>378</v>
      </c>
      <c r="F239" s="25" t="str">
        <f t="shared" si="8"/>
        <v>rtdc.l.rtdc.4031:itc</v>
      </c>
      <c r="G239" s="8">
        <f t="shared" si="9"/>
        <v>42568.935567129629</v>
      </c>
    </row>
    <row r="240" spans="1:7" x14ac:dyDescent="0.25">
      <c r="A240" s="8">
        <v>42568.419328703705</v>
      </c>
      <c r="B240" t="s">
        <v>120</v>
      </c>
      <c r="C240" t="s">
        <v>550</v>
      </c>
      <c r="D240">
        <v>1260000</v>
      </c>
      <c r="E240" t="s">
        <v>383</v>
      </c>
      <c r="F240" s="25" t="str">
        <f t="shared" si="8"/>
        <v>rtdc.l.rtdc.4028:itc</v>
      </c>
      <c r="G240" s="8">
        <f t="shared" si="9"/>
        <v>42568.419328703705</v>
      </c>
    </row>
    <row r="241" spans="1:7" x14ac:dyDescent="0.25">
      <c r="A241" s="8">
        <v>42568.943252314813</v>
      </c>
      <c r="B241" t="s">
        <v>133</v>
      </c>
      <c r="C241" t="s">
        <v>454</v>
      </c>
      <c r="D241">
        <v>1810000</v>
      </c>
      <c r="E241" t="s">
        <v>144</v>
      </c>
      <c r="F241" s="25" t="str">
        <f t="shared" si="8"/>
        <v>rtdc.l.rtdc.4043:itc</v>
      </c>
      <c r="G241" s="8">
        <f t="shared" si="9"/>
        <v>42568.943252314813</v>
      </c>
    </row>
    <row r="242" spans="1:7" x14ac:dyDescent="0.25">
      <c r="A242" s="8">
        <v>42568.330937500003</v>
      </c>
      <c r="B242" t="s">
        <v>76</v>
      </c>
      <c r="C242" t="s">
        <v>551</v>
      </c>
      <c r="D242">
        <v>1360000</v>
      </c>
      <c r="E242" t="s">
        <v>199</v>
      </c>
      <c r="F242" s="25" t="str">
        <f t="shared" si="8"/>
        <v>rtdc.l.rtdc.4031:itc</v>
      </c>
      <c r="G242" s="8">
        <f t="shared" si="9"/>
        <v>42568.330937500003</v>
      </c>
    </row>
    <row r="243" spans="1:7" x14ac:dyDescent="0.25">
      <c r="A243" s="8">
        <v>42568.967280092591</v>
      </c>
      <c r="B243" t="s">
        <v>82</v>
      </c>
      <c r="C243" t="s">
        <v>552</v>
      </c>
      <c r="D243">
        <v>1290000</v>
      </c>
      <c r="E243" t="s">
        <v>483</v>
      </c>
      <c r="F243" s="25" t="str">
        <f t="shared" si="8"/>
        <v>rtdc.l.rtdc.4042:itc</v>
      </c>
      <c r="G243" s="8">
        <f t="shared" si="9"/>
        <v>42568.967280092591</v>
      </c>
    </row>
    <row r="244" spans="1:7" x14ac:dyDescent="0.25">
      <c r="A244" s="8">
        <v>42568.327615740738</v>
      </c>
      <c r="B244" t="s">
        <v>216</v>
      </c>
      <c r="C244" t="s">
        <v>553</v>
      </c>
      <c r="D244">
        <v>1830000</v>
      </c>
      <c r="E244" t="s">
        <v>128</v>
      </c>
      <c r="F244" s="25" t="str">
        <f t="shared" si="8"/>
        <v>rtdc.l.rtdc.4041:itc</v>
      </c>
      <c r="G244" s="8">
        <f t="shared" si="9"/>
        <v>42568.327615740738</v>
      </c>
    </row>
    <row r="245" spans="1:7" x14ac:dyDescent="0.25">
      <c r="A245" s="8">
        <v>42568.992881944447</v>
      </c>
      <c r="B245" t="s">
        <v>130</v>
      </c>
      <c r="C245" t="s">
        <v>458</v>
      </c>
      <c r="D245">
        <v>1810000</v>
      </c>
      <c r="E245" t="s">
        <v>144</v>
      </c>
      <c r="F245" s="25" t="str">
        <f t="shared" si="8"/>
        <v>rtdc.l.rtdc.4044:itc</v>
      </c>
      <c r="G245" s="8">
        <f t="shared" si="9"/>
        <v>42568.992881944447</v>
      </c>
    </row>
    <row r="246" spans="1:7" x14ac:dyDescent="0.25">
      <c r="A246" s="8">
        <v>42568.214768518519</v>
      </c>
      <c r="B246" t="s">
        <v>133</v>
      </c>
      <c r="C246" t="s">
        <v>554</v>
      </c>
      <c r="D246">
        <v>2010000</v>
      </c>
      <c r="E246" t="s">
        <v>155</v>
      </c>
      <c r="F246" s="25" t="str">
        <f t="shared" si="8"/>
        <v>rtdc.l.rtdc.4043:itc</v>
      </c>
      <c r="G246" s="8">
        <f t="shared" si="9"/>
        <v>42568.214768518519</v>
      </c>
    </row>
    <row r="247" spans="1:7" x14ac:dyDescent="0.25">
      <c r="A247" s="8">
        <v>42569.018958333334</v>
      </c>
      <c r="B247" t="s">
        <v>76</v>
      </c>
      <c r="C247" t="s">
        <v>376</v>
      </c>
      <c r="D247">
        <v>1800000</v>
      </c>
      <c r="E247" t="s">
        <v>378</v>
      </c>
      <c r="F247" s="25" t="str">
        <f t="shared" si="8"/>
        <v>rtdc.l.rtdc.4031:itc</v>
      </c>
      <c r="G247" s="8">
        <f t="shared" si="9"/>
        <v>42569.018958333334</v>
      </c>
    </row>
    <row r="248" spans="1:7" x14ac:dyDescent="0.25">
      <c r="A248" s="8">
        <v>42568.205706018518</v>
      </c>
      <c r="B248" t="s">
        <v>210</v>
      </c>
      <c r="C248" t="s">
        <v>555</v>
      </c>
      <c r="D248">
        <v>1460000</v>
      </c>
      <c r="E248" t="s">
        <v>112</v>
      </c>
      <c r="F248" s="25" t="str">
        <f t="shared" si="8"/>
        <v>rtdc.l.rtdc.4009:itc</v>
      </c>
      <c r="G248" s="8">
        <f t="shared" si="9"/>
        <v>42568.205706018518</v>
      </c>
    </row>
    <row r="249" spans="1:7" x14ac:dyDescent="0.25">
      <c r="A249" s="8">
        <v>42569.049143518518</v>
      </c>
      <c r="B249" t="s">
        <v>133</v>
      </c>
      <c r="C249" t="s">
        <v>459</v>
      </c>
      <c r="D249">
        <v>1810000</v>
      </c>
      <c r="E249" t="s">
        <v>144</v>
      </c>
      <c r="F249" s="25" t="str">
        <f t="shared" si="8"/>
        <v>rtdc.l.rtdc.4043:itc</v>
      </c>
      <c r="G249" s="8">
        <f t="shared" si="9"/>
        <v>42569.049143518518</v>
      </c>
    </row>
    <row r="250" spans="1:7" x14ac:dyDescent="0.25">
      <c r="A250" s="8">
        <v>42568.170717592591</v>
      </c>
      <c r="B250" t="s">
        <v>135</v>
      </c>
      <c r="C250" t="s">
        <v>413</v>
      </c>
      <c r="D250">
        <v>2010000</v>
      </c>
      <c r="E250" t="s">
        <v>155</v>
      </c>
      <c r="F250" s="25" t="str">
        <f t="shared" si="8"/>
        <v>rtdc.l.rtdc.4007:itc</v>
      </c>
      <c r="G250" s="8">
        <f t="shared" si="9"/>
        <v>42568.170717592591</v>
      </c>
    </row>
    <row r="251" spans="1:7" x14ac:dyDescent="0.25">
      <c r="A251" s="8">
        <v>42569.070821759262</v>
      </c>
      <c r="B251" t="s">
        <v>67</v>
      </c>
      <c r="C251" t="s">
        <v>517</v>
      </c>
      <c r="D251">
        <v>1800000</v>
      </c>
      <c r="E251" t="s">
        <v>378</v>
      </c>
      <c r="F251" s="25" t="str">
        <f t="shared" si="8"/>
        <v>rtdc.l.rtdc.4032:itc</v>
      </c>
      <c r="G251" s="8">
        <f t="shared" si="9"/>
        <v>42569.070821759262</v>
      </c>
    </row>
    <row r="252" spans="1:7" x14ac:dyDescent="0.25">
      <c r="A252" s="8">
        <v>42568.601736111108</v>
      </c>
      <c r="B252" t="s">
        <v>124</v>
      </c>
      <c r="C252" t="s">
        <v>496</v>
      </c>
      <c r="D252">
        <v>880000</v>
      </c>
      <c r="E252" t="s">
        <v>377</v>
      </c>
      <c r="F252" s="25" t="str">
        <f t="shared" si="8"/>
        <v>rtdc.l.rtdc.4027:itc</v>
      </c>
      <c r="G252" s="8">
        <f t="shared" si="9"/>
        <v>42568.601736111108</v>
      </c>
    </row>
    <row r="253" spans="1:7" x14ac:dyDescent="0.25">
      <c r="F253" s="25">
        <f t="shared" si="8"/>
        <v>0</v>
      </c>
      <c r="G253" s="8">
        <f t="shared" si="9"/>
        <v>0</v>
      </c>
    </row>
    <row r="254" spans="1:7" x14ac:dyDescent="0.25">
      <c r="A254" s="8">
        <v>42567.294629629629</v>
      </c>
      <c r="B254" t="s">
        <v>137</v>
      </c>
      <c r="C254" t="s">
        <v>388</v>
      </c>
      <c r="D254">
        <v>1830000</v>
      </c>
      <c r="E254" t="s">
        <v>128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381</v>
      </c>
      <c r="D255">
        <v>1800000</v>
      </c>
      <c r="E255" t="s">
        <v>378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394</v>
      </c>
      <c r="D256">
        <v>1360000</v>
      </c>
      <c r="E256" t="s">
        <v>199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143</v>
      </c>
      <c r="C257" t="s">
        <v>379</v>
      </c>
      <c r="D257">
        <v>1770000</v>
      </c>
      <c r="E257" t="s">
        <v>380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82</v>
      </c>
      <c r="C258" t="s">
        <v>395</v>
      </c>
      <c r="D258">
        <v>1190000</v>
      </c>
      <c r="E258" t="s">
        <v>214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393</v>
      </c>
      <c r="D259">
        <v>1300000</v>
      </c>
      <c r="E259" t="s">
        <v>246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385</v>
      </c>
      <c r="D260">
        <v>1260000</v>
      </c>
      <c r="E260" t="s">
        <v>383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392</v>
      </c>
      <c r="D261">
        <v>1480000</v>
      </c>
      <c r="E261" t="s">
        <v>115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396</v>
      </c>
      <c r="D262">
        <v>1360000</v>
      </c>
      <c r="E262" t="s">
        <v>199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397</v>
      </c>
      <c r="D263">
        <v>1300000</v>
      </c>
      <c r="E263" t="s">
        <v>246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398</v>
      </c>
      <c r="D264">
        <v>1360000</v>
      </c>
      <c r="E264" t="s">
        <v>199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389</v>
      </c>
      <c r="D265">
        <v>1300000</v>
      </c>
      <c r="E265" t="s">
        <v>246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117</v>
      </c>
      <c r="C266" t="s">
        <v>399</v>
      </c>
      <c r="D266">
        <v>1100000</v>
      </c>
      <c r="E266" t="s">
        <v>386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400</v>
      </c>
      <c r="D267">
        <v>1300000</v>
      </c>
      <c r="E267" t="s">
        <v>246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119</v>
      </c>
      <c r="C268" t="s">
        <v>391</v>
      </c>
      <c r="D268">
        <v>1800000</v>
      </c>
      <c r="E268" t="s">
        <v>378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116</v>
      </c>
      <c r="C270" t="s">
        <v>280</v>
      </c>
      <c r="D270">
        <v>1480000</v>
      </c>
      <c r="E270" t="s">
        <v>115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130</v>
      </c>
      <c r="C271" t="s">
        <v>269</v>
      </c>
      <c r="D271">
        <v>2020000</v>
      </c>
      <c r="E271" t="s">
        <v>215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137</v>
      </c>
      <c r="C272" t="s">
        <v>278</v>
      </c>
      <c r="D272">
        <v>1300000</v>
      </c>
      <c r="E272" t="s">
        <v>246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119</v>
      </c>
      <c r="C273" t="s">
        <v>273</v>
      </c>
      <c r="D273">
        <v>1460000</v>
      </c>
      <c r="E273" t="s">
        <v>112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276</v>
      </c>
      <c r="D274">
        <v>2010000</v>
      </c>
      <c r="E274" t="s">
        <v>155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345</v>
      </c>
      <c r="D275">
        <v>1810000</v>
      </c>
      <c r="E275" t="s">
        <v>144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116</v>
      </c>
      <c r="C276" t="s">
        <v>274</v>
      </c>
      <c r="D276">
        <v>1460000</v>
      </c>
      <c r="E276" t="s">
        <v>112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347</v>
      </c>
      <c r="D277">
        <v>1810000</v>
      </c>
      <c r="E277" t="s">
        <v>144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143</v>
      </c>
      <c r="C278" t="s">
        <v>272</v>
      </c>
      <c r="D278">
        <v>1750000</v>
      </c>
      <c r="E278" t="s">
        <v>343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133</v>
      </c>
      <c r="C279" t="s">
        <v>270</v>
      </c>
      <c r="D279">
        <v>2020000</v>
      </c>
      <c r="E279" t="s">
        <v>215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267</v>
      </c>
      <c r="D280">
        <v>1540000</v>
      </c>
      <c r="E280" t="s">
        <v>131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275</v>
      </c>
      <c r="D281">
        <v>2010000</v>
      </c>
      <c r="E281" t="s">
        <v>155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116</v>
      </c>
      <c r="C282" t="s">
        <v>266</v>
      </c>
      <c r="D282">
        <v>1460000</v>
      </c>
      <c r="E282" t="s">
        <v>112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130</v>
      </c>
      <c r="C283" t="s">
        <v>277</v>
      </c>
      <c r="D283">
        <v>2000000</v>
      </c>
      <c r="E283" t="s">
        <v>152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121</v>
      </c>
      <c r="C284" t="s">
        <v>265</v>
      </c>
      <c r="D284">
        <v>1750000</v>
      </c>
      <c r="E284" t="s">
        <v>343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143</v>
      </c>
      <c r="C285" t="s">
        <v>279</v>
      </c>
      <c r="D285">
        <v>1300000</v>
      </c>
      <c r="E285" t="s">
        <v>246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344</v>
      </c>
      <c r="D286">
        <v>1190000</v>
      </c>
      <c r="E286" t="s">
        <v>214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283</v>
      </c>
      <c r="D287">
        <v>2010000</v>
      </c>
      <c r="E287" t="s">
        <v>155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257</v>
      </c>
      <c r="D288">
        <v>1810000</v>
      </c>
      <c r="E288" t="s">
        <v>144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137</v>
      </c>
      <c r="C289" t="s">
        <v>284</v>
      </c>
      <c r="D289">
        <v>1300000</v>
      </c>
      <c r="E289" t="s">
        <v>246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82</v>
      </c>
      <c r="C290" t="s">
        <v>261</v>
      </c>
      <c r="D290">
        <v>2000000</v>
      </c>
      <c r="E290" t="s">
        <v>152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137</v>
      </c>
      <c r="C291" t="s">
        <v>284</v>
      </c>
      <c r="D291">
        <v>1300000</v>
      </c>
      <c r="E291" t="s">
        <v>246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259</v>
      </c>
      <c r="D292">
        <v>1820000</v>
      </c>
      <c r="E292" t="s">
        <v>103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137</v>
      </c>
      <c r="C293" t="s">
        <v>288</v>
      </c>
      <c r="D293">
        <v>1300000</v>
      </c>
      <c r="E293" t="s">
        <v>246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133</v>
      </c>
      <c r="C294" t="s">
        <v>255</v>
      </c>
      <c r="D294">
        <v>2020000</v>
      </c>
      <c r="E294" t="s">
        <v>215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143</v>
      </c>
      <c r="C295" t="s">
        <v>289</v>
      </c>
      <c r="D295">
        <v>1300000</v>
      </c>
      <c r="E295" t="s">
        <v>246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130</v>
      </c>
      <c r="C296" t="s">
        <v>253</v>
      </c>
      <c r="D296">
        <v>1090000</v>
      </c>
      <c r="E296" t="s">
        <v>127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121</v>
      </c>
      <c r="C297" t="s">
        <v>348</v>
      </c>
      <c r="D297">
        <v>1240000</v>
      </c>
      <c r="E297" t="s">
        <v>134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247</v>
      </c>
      <c r="D298">
        <v>1310000</v>
      </c>
      <c r="E298" t="s">
        <v>113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123</v>
      </c>
      <c r="C299" t="s">
        <v>346</v>
      </c>
      <c r="D299">
        <v>1340000</v>
      </c>
      <c r="E299" t="s">
        <v>129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248</v>
      </c>
      <c r="D300">
        <v>1110000</v>
      </c>
      <c r="E300" t="s">
        <v>153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349</v>
      </c>
      <c r="D301">
        <v>1990000</v>
      </c>
      <c r="E301" t="s">
        <v>156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118</v>
      </c>
      <c r="C302" t="s">
        <v>245</v>
      </c>
      <c r="D302">
        <v>2040000</v>
      </c>
      <c r="E302" t="s">
        <v>154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350</v>
      </c>
      <c r="D303">
        <v>1310000</v>
      </c>
      <c r="E303" t="s">
        <v>113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118</v>
      </c>
      <c r="C304" t="s">
        <v>244</v>
      </c>
      <c r="D304">
        <v>2040000</v>
      </c>
      <c r="E304" t="s">
        <v>154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351</v>
      </c>
      <c r="D305">
        <v>1990000</v>
      </c>
      <c r="E305" t="s">
        <v>156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135</v>
      </c>
      <c r="C306" t="s">
        <v>243</v>
      </c>
      <c r="D306">
        <v>1300000</v>
      </c>
      <c r="E306" t="s">
        <v>246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124</v>
      </c>
      <c r="C307" t="s">
        <v>352</v>
      </c>
      <c r="D307">
        <v>1310000</v>
      </c>
      <c r="E307" t="s">
        <v>113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122</v>
      </c>
      <c r="C308" t="s">
        <v>242</v>
      </c>
      <c r="D308">
        <v>2030000</v>
      </c>
      <c r="E308" t="s">
        <v>151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132</v>
      </c>
      <c r="C309" t="s">
        <v>342</v>
      </c>
      <c r="D309">
        <v>1340000</v>
      </c>
      <c r="E309" t="s">
        <v>129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132</v>
      </c>
      <c r="C310" t="s">
        <v>240</v>
      </c>
      <c r="D310">
        <v>1300000</v>
      </c>
      <c r="E310" t="s">
        <v>246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175</v>
      </c>
      <c r="C311" t="s">
        <v>353</v>
      </c>
      <c r="D311">
        <v>1190000</v>
      </c>
      <c r="E311" t="s">
        <v>214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176</v>
      </c>
      <c r="C312" t="s">
        <v>241</v>
      </c>
      <c r="D312">
        <v>1480000</v>
      </c>
      <c r="E312" t="s">
        <v>115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124</v>
      </c>
      <c r="C313" t="s">
        <v>354</v>
      </c>
      <c r="D313">
        <v>1310000</v>
      </c>
      <c r="E313" t="s">
        <v>113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283</v>
      </c>
      <c r="D314">
        <v>2010000</v>
      </c>
      <c r="E314" t="s">
        <v>155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146</v>
      </c>
      <c r="D316">
        <v>1540000</v>
      </c>
      <c r="E316" t="s">
        <v>131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120</v>
      </c>
      <c r="C317" t="s">
        <v>141</v>
      </c>
      <c r="D317">
        <v>1780000</v>
      </c>
      <c r="E317" t="s">
        <v>136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143</v>
      </c>
      <c r="C318" t="s">
        <v>148</v>
      </c>
      <c r="D318">
        <v>1810000</v>
      </c>
      <c r="E318" t="s">
        <v>144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118</v>
      </c>
      <c r="C319" t="s">
        <v>142</v>
      </c>
      <c r="D319">
        <v>1240000</v>
      </c>
      <c r="E319" t="s">
        <v>134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124</v>
      </c>
      <c r="C320" t="s">
        <v>147</v>
      </c>
      <c r="D320">
        <v>1460000</v>
      </c>
      <c r="E320" t="s">
        <v>112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149</v>
      </c>
      <c r="D321">
        <v>890000</v>
      </c>
      <c r="E321" t="s">
        <v>145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88</v>
      </c>
      <c r="K1" s="42" t="s">
        <v>89</v>
      </c>
      <c r="L1" s="42" t="s">
        <v>90</v>
      </c>
    </row>
    <row r="2" spans="1:13" ht="15.75" thickBot="1" x14ac:dyDescent="0.3">
      <c r="A2" s="15">
        <v>42566</v>
      </c>
      <c r="B2" s="4"/>
      <c r="C2" s="102">
        <v>50</v>
      </c>
      <c r="F2" t="s">
        <v>62</v>
      </c>
      <c r="J2" s="42" t="s">
        <v>88</v>
      </c>
      <c r="K2" s="42" t="s">
        <v>89</v>
      </c>
      <c r="L2" s="42" t="s">
        <v>90</v>
      </c>
    </row>
    <row r="3" spans="1:13" x14ac:dyDescent="0.25">
      <c r="F3" t="s">
        <v>63</v>
      </c>
      <c r="J3" s="43" t="s">
        <v>91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92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93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94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95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96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97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98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99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100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101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102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160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161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162</v>
      </c>
      <c r="M20" s="94" t="s">
        <v>163</v>
      </c>
    </row>
    <row r="21" spans="10:13" x14ac:dyDescent="0.25">
      <c r="J21" s="25" t="s">
        <v>166</v>
      </c>
      <c r="K21" s="25" t="s">
        <v>167</v>
      </c>
      <c r="M21" s="94" t="s">
        <v>167</v>
      </c>
    </row>
    <row r="22" spans="10:13" x14ac:dyDescent="0.25">
      <c r="J22" s="25" t="s">
        <v>168</v>
      </c>
      <c r="K22" s="25" t="s">
        <v>169</v>
      </c>
      <c r="M22" s="94" t="s">
        <v>169</v>
      </c>
    </row>
    <row r="23" spans="10:13" x14ac:dyDescent="0.25">
      <c r="J23" s="39" t="s">
        <v>171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2016-07-18T13:07:15Z</dcterms:modified>
</cp:coreProperties>
</file>