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Enforcements!$A$6:$N$78</definedName>
    <definedName name="_xlnm._FilterDatabase" localSheetId="2" hidden="1">'Missing Trips'!$A$2:$G$2</definedName>
    <definedName name="_xlnm._FilterDatabase" localSheetId="0" hidden="1">'Train Runs'!$A$12:$AC$166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4" i="1" l="1"/>
  <c r="X155" i="1"/>
  <c r="X156" i="1"/>
  <c r="X157" i="1"/>
  <c r="X158" i="1"/>
  <c r="T103" i="1"/>
  <c r="V103" i="1"/>
  <c r="X103" i="1"/>
  <c r="Y103" i="1"/>
  <c r="Z103" i="1"/>
  <c r="AA103" i="1" s="1"/>
  <c r="W103" i="1" s="1"/>
  <c r="AB103" i="1"/>
  <c r="AC103" i="1"/>
  <c r="T155" i="1"/>
  <c r="V155" i="1"/>
  <c r="Y155" i="1"/>
  <c r="Z155" i="1"/>
  <c r="AB155" i="1"/>
  <c r="AC155" i="1"/>
  <c r="K103" i="1"/>
  <c r="L103" i="1"/>
  <c r="M103" i="1"/>
  <c r="P103" i="1" s="1"/>
  <c r="K155" i="1"/>
  <c r="L155" i="1"/>
  <c r="M155" i="1"/>
  <c r="P155" i="1" s="1"/>
  <c r="AA155" i="1" l="1"/>
  <c r="W155" i="1" s="1"/>
  <c r="U155" i="1"/>
  <c r="S155" i="1" s="1"/>
  <c r="U103" i="1"/>
  <c r="S103" i="1" s="1"/>
  <c r="X150" i="1"/>
  <c r="X149" i="1"/>
  <c r="X148" i="1"/>
  <c r="X147" i="1"/>
  <c r="X146" i="1"/>
  <c r="X145" i="1"/>
  <c r="K156" i="1"/>
  <c r="L156" i="1"/>
  <c r="M156" i="1"/>
  <c r="N156" i="1" s="1"/>
  <c r="T156" i="1"/>
  <c r="V156" i="1"/>
  <c r="Y156" i="1"/>
  <c r="Z156" i="1"/>
  <c r="AB156" i="1"/>
  <c r="AC156" i="1"/>
  <c r="K154" i="1"/>
  <c r="L154" i="1"/>
  <c r="M154" i="1"/>
  <c r="N154" i="1" s="1"/>
  <c r="T154" i="1"/>
  <c r="V154" i="1"/>
  <c r="Y154" i="1"/>
  <c r="Z154" i="1"/>
  <c r="AB154" i="1"/>
  <c r="AC154" i="1"/>
  <c r="K152" i="1"/>
  <c r="L152" i="1"/>
  <c r="M152" i="1"/>
  <c r="N152" i="1" s="1"/>
  <c r="T152" i="1"/>
  <c r="V152" i="1"/>
  <c r="X152" i="1"/>
  <c r="Y152" i="1"/>
  <c r="Z152" i="1"/>
  <c r="AB152" i="1"/>
  <c r="AC152" i="1"/>
  <c r="K153" i="1"/>
  <c r="L153" i="1"/>
  <c r="M153" i="1"/>
  <c r="N153" i="1" s="1"/>
  <c r="T153" i="1"/>
  <c r="V153" i="1"/>
  <c r="X153" i="1"/>
  <c r="Y153" i="1"/>
  <c r="Z153" i="1"/>
  <c r="AB153" i="1"/>
  <c r="AC153" i="1"/>
  <c r="K150" i="1"/>
  <c r="L150" i="1"/>
  <c r="M150" i="1"/>
  <c r="N150" i="1" s="1"/>
  <c r="T150" i="1"/>
  <c r="V150" i="1"/>
  <c r="Y150" i="1"/>
  <c r="Z150" i="1"/>
  <c r="AA150" i="1" s="1"/>
  <c r="W150" i="1" s="1"/>
  <c r="AB150" i="1"/>
  <c r="AC150" i="1"/>
  <c r="K148" i="1"/>
  <c r="L148" i="1"/>
  <c r="M148" i="1"/>
  <c r="N148" i="1" s="1"/>
  <c r="T148" i="1"/>
  <c r="V148" i="1"/>
  <c r="Y148" i="1"/>
  <c r="Z148" i="1"/>
  <c r="AA148" i="1" s="1"/>
  <c r="W148" i="1" s="1"/>
  <c r="AB148" i="1"/>
  <c r="AC148" i="1"/>
  <c r="K151" i="1"/>
  <c r="L151" i="1"/>
  <c r="M151" i="1"/>
  <c r="N151" i="1" s="1"/>
  <c r="T151" i="1"/>
  <c r="V151" i="1"/>
  <c r="X151" i="1"/>
  <c r="Y151" i="1"/>
  <c r="Z151" i="1"/>
  <c r="AB151" i="1"/>
  <c r="AC151" i="1"/>
  <c r="K206" i="1"/>
  <c r="L206" i="1"/>
  <c r="M206" i="1"/>
  <c r="N206" i="1" s="1"/>
  <c r="T206" i="1"/>
  <c r="V206" i="1"/>
  <c r="X206" i="1"/>
  <c r="Y206" i="1"/>
  <c r="Z206" i="1"/>
  <c r="AA206" i="1" s="1"/>
  <c r="W206" i="1" s="1"/>
  <c r="AB206" i="1"/>
  <c r="AC206" i="1"/>
  <c r="K203" i="1"/>
  <c r="L203" i="1"/>
  <c r="M203" i="1"/>
  <c r="N203" i="1"/>
  <c r="T203" i="1"/>
  <c r="V203" i="1"/>
  <c r="X203" i="1"/>
  <c r="Y203" i="1"/>
  <c r="Z203" i="1"/>
  <c r="AB203" i="1"/>
  <c r="AC203" i="1"/>
  <c r="AA151" i="1" l="1"/>
  <c r="W151" i="1" s="1"/>
  <c r="AA203" i="1"/>
  <c r="W203" i="1" s="1"/>
  <c r="AA154" i="1"/>
  <c r="W154" i="1" s="1"/>
  <c r="AA156" i="1"/>
  <c r="W156" i="1" s="1"/>
  <c r="U152" i="1"/>
  <c r="S152" i="1" s="1"/>
  <c r="U156" i="1"/>
  <c r="S156" i="1" s="1"/>
  <c r="U206" i="1"/>
  <c r="S206" i="1" s="1"/>
  <c r="U151" i="1"/>
  <c r="S151" i="1" s="1"/>
  <c r="U153" i="1"/>
  <c r="S153" i="1" s="1"/>
  <c r="AA152" i="1"/>
  <c r="W152" i="1" s="1"/>
  <c r="U203" i="1"/>
  <c r="S203" i="1" s="1"/>
  <c r="AA153" i="1"/>
  <c r="W153" i="1" s="1"/>
  <c r="U154" i="1"/>
  <c r="S154" i="1" s="1"/>
  <c r="U148" i="1"/>
  <c r="S148" i="1" s="1"/>
  <c r="U150" i="1"/>
  <c r="S150" i="1" s="1"/>
  <c r="X139" i="1"/>
  <c r="X140" i="1"/>
  <c r="X141" i="1"/>
  <c r="X142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B180" i="1"/>
  <c r="AC180" i="1"/>
  <c r="K181" i="1"/>
  <c r="L181" i="1"/>
  <c r="M181" i="1"/>
  <c r="N181" i="1" s="1"/>
  <c r="T181" i="1"/>
  <c r="V181" i="1"/>
  <c r="X181" i="1"/>
  <c r="Y181" i="1"/>
  <c r="Z181" i="1"/>
  <c r="AB181" i="1"/>
  <c r="AC181" i="1"/>
  <c r="K182" i="1"/>
  <c r="L182" i="1"/>
  <c r="M182" i="1"/>
  <c r="N182" i="1" s="1"/>
  <c r="T182" i="1"/>
  <c r="V182" i="1"/>
  <c r="X182" i="1"/>
  <c r="Y182" i="1"/>
  <c r="Z182" i="1"/>
  <c r="AB182" i="1"/>
  <c r="AC182" i="1"/>
  <c r="K183" i="1"/>
  <c r="L183" i="1"/>
  <c r="M183" i="1"/>
  <c r="N183" i="1" s="1"/>
  <c r="T183" i="1"/>
  <c r="V183" i="1"/>
  <c r="X183" i="1"/>
  <c r="Y183" i="1"/>
  <c r="Z183" i="1"/>
  <c r="AA183" i="1"/>
  <c r="W183" i="1" s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B185" i="1"/>
  <c r="AC185" i="1"/>
  <c r="K186" i="1"/>
  <c r="L186" i="1"/>
  <c r="M186" i="1"/>
  <c r="N186" i="1" s="1"/>
  <c r="T186" i="1"/>
  <c r="V186" i="1"/>
  <c r="X186" i="1"/>
  <c r="Y186" i="1"/>
  <c r="Z186" i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 s="1"/>
  <c r="T189" i="1"/>
  <c r="V189" i="1"/>
  <c r="X189" i="1"/>
  <c r="Y189" i="1"/>
  <c r="Z189" i="1"/>
  <c r="AB189" i="1"/>
  <c r="AC189" i="1"/>
  <c r="K190" i="1"/>
  <c r="L190" i="1"/>
  <c r="M190" i="1"/>
  <c r="N190" i="1" s="1"/>
  <c r="T190" i="1"/>
  <c r="V190" i="1"/>
  <c r="X190" i="1"/>
  <c r="Y190" i="1"/>
  <c r="Z190" i="1"/>
  <c r="AB190" i="1"/>
  <c r="AC190" i="1"/>
  <c r="K191" i="1"/>
  <c r="L191" i="1"/>
  <c r="M191" i="1"/>
  <c r="N191" i="1"/>
  <c r="T191" i="1"/>
  <c r="V191" i="1"/>
  <c r="X191" i="1"/>
  <c r="Y191" i="1"/>
  <c r="Z191" i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B193" i="1"/>
  <c r="AC193" i="1"/>
  <c r="K194" i="1"/>
  <c r="L194" i="1"/>
  <c r="M194" i="1"/>
  <c r="N194" i="1" s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97" i="1"/>
  <c r="L197" i="1"/>
  <c r="M197" i="1"/>
  <c r="N197" i="1" s="1"/>
  <c r="T197" i="1"/>
  <c r="V197" i="1"/>
  <c r="X197" i="1"/>
  <c r="Y197" i="1"/>
  <c r="Z197" i="1"/>
  <c r="AB197" i="1"/>
  <c r="AC197" i="1"/>
  <c r="K198" i="1"/>
  <c r="L198" i="1"/>
  <c r="M198" i="1"/>
  <c r="N198" i="1" s="1"/>
  <c r="T198" i="1"/>
  <c r="V198" i="1"/>
  <c r="X198" i="1"/>
  <c r="Y198" i="1"/>
  <c r="Z198" i="1"/>
  <c r="AB198" i="1"/>
  <c r="AC198" i="1"/>
  <c r="K199" i="1"/>
  <c r="L199" i="1"/>
  <c r="M199" i="1"/>
  <c r="N199" i="1" s="1"/>
  <c r="T199" i="1"/>
  <c r="V199" i="1"/>
  <c r="X199" i="1"/>
  <c r="Y199" i="1"/>
  <c r="Z199" i="1"/>
  <c r="AB199" i="1"/>
  <c r="AC199" i="1"/>
  <c r="K200" i="1"/>
  <c r="L200" i="1"/>
  <c r="M200" i="1"/>
  <c r="N200" i="1" s="1"/>
  <c r="T200" i="1"/>
  <c r="V200" i="1"/>
  <c r="X200" i="1"/>
  <c r="Y200" i="1"/>
  <c r="Z200" i="1"/>
  <c r="AB200" i="1"/>
  <c r="AC200" i="1"/>
  <c r="K201" i="1"/>
  <c r="L201" i="1"/>
  <c r="M201" i="1"/>
  <c r="N201" i="1" s="1"/>
  <c r="T201" i="1"/>
  <c r="V201" i="1"/>
  <c r="X201" i="1"/>
  <c r="Y201" i="1"/>
  <c r="Z201" i="1"/>
  <c r="AB201" i="1"/>
  <c r="AC201" i="1"/>
  <c r="K202" i="1"/>
  <c r="L202" i="1"/>
  <c r="M202" i="1"/>
  <c r="N202" i="1" s="1"/>
  <c r="T202" i="1"/>
  <c r="V202" i="1"/>
  <c r="X202" i="1"/>
  <c r="Y202" i="1"/>
  <c r="Z202" i="1"/>
  <c r="AB202" i="1"/>
  <c r="AC202" i="1"/>
  <c r="K204" i="1"/>
  <c r="L204" i="1"/>
  <c r="M204" i="1"/>
  <c r="N204" i="1" s="1"/>
  <c r="T204" i="1"/>
  <c r="V204" i="1"/>
  <c r="X204" i="1"/>
  <c r="Y204" i="1"/>
  <c r="Z204" i="1"/>
  <c r="AB204" i="1"/>
  <c r="AC204" i="1"/>
  <c r="K205" i="1"/>
  <c r="L205" i="1"/>
  <c r="M205" i="1"/>
  <c r="N205" i="1" s="1"/>
  <c r="T205" i="1"/>
  <c r="V205" i="1"/>
  <c r="X205" i="1"/>
  <c r="Y205" i="1"/>
  <c r="Z205" i="1"/>
  <c r="AA205" i="1"/>
  <c r="W205" i="1" s="1"/>
  <c r="AB205" i="1"/>
  <c r="AC205" i="1"/>
  <c r="K207" i="1"/>
  <c r="L207" i="1"/>
  <c r="M207" i="1"/>
  <c r="N207" i="1" s="1"/>
  <c r="T207" i="1"/>
  <c r="V207" i="1"/>
  <c r="X207" i="1"/>
  <c r="Y207" i="1"/>
  <c r="Z207" i="1"/>
  <c r="AB207" i="1"/>
  <c r="AC207" i="1"/>
  <c r="K164" i="1"/>
  <c r="L164" i="1"/>
  <c r="M164" i="1"/>
  <c r="N164" i="1" s="1"/>
  <c r="AA178" i="1" l="1"/>
  <c r="W178" i="1" s="1"/>
  <c r="AA166" i="1"/>
  <c r="W166" i="1" s="1"/>
  <c r="AA194" i="1"/>
  <c r="W194" i="1" s="1"/>
  <c r="AA175" i="1"/>
  <c r="W175" i="1" s="1"/>
  <c r="AA172" i="1"/>
  <c r="W172" i="1" s="1"/>
  <c r="AA198" i="1"/>
  <c r="W198" i="1" s="1"/>
  <c r="AA167" i="1"/>
  <c r="W167" i="1" s="1"/>
  <c r="AA199" i="1"/>
  <c r="W199" i="1" s="1"/>
  <c r="AA180" i="1"/>
  <c r="W180" i="1" s="1"/>
  <c r="AA170" i="1"/>
  <c r="W170" i="1" s="1"/>
  <c r="AA189" i="1"/>
  <c r="W189" i="1" s="1"/>
  <c r="AA191" i="1"/>
  <c r="W191" i="1" s="1"/>
  <c r="AA200" i="1"/>
  <c r="W200" i="1" s="1"/>
  <c r="AA195" i="1"/>
  <c r="W195" i="1" s="1"/>
  <c r="AA202" i="1"/>
  <c r="W202" i="1" s="1"/>
  <c r="AA171" i="1"/>
  <c r="W171" i="1" s="1"/>
  <c r="AA190" i="1"/>
  <c r="W190" i="1" s="1"/>
  <c r="AA196" i="1"/>
  <c r="W196" i="1" s="1"/>
  <c r="AA165" i="1"/>
  <c r="W165" i="1" s="1"/>
  <c r="U166" i="1"/>
  <c r="S166" i="1" s="1"/>
  <c r="AA193" i="1"/>
  <c r="W193" i="1" s="1"/>
  <c r="AA169" i="1"/>
  <c r="W169" i="1" s="1"/>
  <c r="AA173" i="1"/>
  <c r="W173" i="1" s="1"/>
  <c r="AA187" i="1"/>
  <c r="W187" i="1" s="1"/>
  <c r="AA197" i="1"/>
  <c r="W197" i="1" s="1"/>
  <c r="AA186" i="1"/>
  <c r="W186" i="1" s="1"/>
  <c r="U204" i="1"/>
  <c r="S204" i="1" s="1"/>
  <c r="AA177" i="1"/>
  <c r="W177" i="1" s="1"/>
  <c r="U182" i="1"/>
  <c r="S182" i="1" s="1"/>
  <c r="AA188" i="1"/>
  <c r="W188" i="1" s="1"/>
  <c r="AA168" i="1"/>
  <c r="W168" i="1" s="1"/>
  <c r="AA181" i="1"/>
  <c r="W181" i="1" s="1"/>
  <c r="U168" i="1"/>
  <c r="S168" i="1" s="1"/>
  <c r="AA201" i="1"/>
  <c r="W201" i="1" s="1"/>
  <c r="U179" i="1"/>
  <c r="S179" i="1" s="1"/>
  <c r="U198" i="1"/>
  <c r="S198" i="1" s="1"/>
  <c r="AA174" i="1"/>
  <c r="W174" i="1" s="1"/>
  <c r="U190" i="1"/>
  <c r="S190" i="1" s="1"/>
  <c r="U174" i="1"/>
  <c r="S174" i="1" s="1"/>
  <c r="U192" i="1"/>
  <c r="S192" i="1" s="1"/>
  <c r="AA185" i="1"/>
  <c r="W185" i="1" s="1"/>
  <c r="AA207" i="1"/>
  <c r="W207" i="1" s="1"/>
  <c r="U194" i="1"/>
  <c r="S194" i="1" s="1"/>
  <c r="U193" i="1"/>
  <c r="S193" i="1" s="1"/>
  <c r="U189" i="1"/>
  <c r="S189" i="1" s="1"/>
  <c r="AA182" i="1"/>
  <c r="W182" i="1" s="1"/>
  <c r="U180" i="1"/>
  <c r="S180" i="1" s="1"/>
  <c r="U169" i="1"/>
  <c r="S169" i="1" s="1"/>
  <c r="U165" i="1"/>
  <c r="S165" i="1" s="1"/>
  <c r="U176" i="1"/>
  <c r="S176" i="1" s="1"/>
  <c r="U205" i="1"/>
  <c r="S205" i="1" s="1"/>
  <c r="U191" i="1"/>
  <c r="S191" i="1" s="1"/>
  <c r="U207" i="1"/>
  <c r="S207" i="1" s="1"/>
  <c r="AA176" i="1"/>
  <c r="W176" i="1" s="1"/>
  <c r="U178" i="1"/>
  <c r="S178" i="1" s="1"/>
  <c r="U171" i="1"/>
  <c r="S171" i="1" s="1"/>
  <c r="U184" i="1"/>
  <c r="S184" i="1" s="1"/>
  <c r="U185" i="1"/>
  <c r="S185" i="1" s="1"/>
  <c r="U200" i="1"/>
  <c r="S200" i="1" s="1"/>
  <c r="U201" i="1"/>
  <c r="S201" i="1" s="1"/>
  <c r="U173" i="1"/>
  <c r="S173" i="1" s="1"/>
  <c r="U196" i="1"/>
  <c r="S196" i="1" s="1"/>
  <c r="U181" i="1"/>
  <c r="S181" i="1" s="1"/>
  <c r="U172" i="1"/>
  <c r="S172" i="1" s="1"/>
  <c r="U183" i="1"/>
  <c r="S183" i="1" s="1"/>
  <c r="U170" i="1"/>
  <c r="S170" i="1" s="1"/>
  <c r="U202" i="1"/>
  <c r="S202" i="1" s="1"/>
  <c r="U197" i="1"/>
  <c r="S197" i="1" s="1"/>
  <c r="U188" i="1"/>
  <c r="S188" i="1" s="1"/>
  <c r="U177" i="1"/>
  <c r="S177" i="1" s="1"/>
  <c r="AA204" i="1"/>
  <c r="W204" i="1" s="1"/>
  <c r="U199" i="1"/>
  <c r="S199" i="1" s="1"/>
  <c r="U186" i="1"/>
  <c r="S186" i="1" s="1"/>
  <c r="AA179" i="1"/>
  <c r="W179" i="1" s="1"/>
  <c r="U175" i="1"/>
  <c r="S175" i="1" s="1"/>
  <c r="U187" i="1"/>
  <c r="S187" i="1" s="1"/>
  <c r="U167" i="1"/>
  <c r="S167" i="1" s="1"/>
  <c r="AA192" i="1"/>
  <c r="W192" i="1" s="1"/>
  <c r="AA184" i="1"/>
  <c r="W184" i="1" s="1"/>
  <c r="U195" i="1"/>
  <c r="S195" i="1" s="1"/>
  <c r="P58" i="3"/>
  <c r="Q58" i="3"/>
  <c r="Q59" i="3"/>
  <c r="Q73" i="3"/>
  <c r="P74" i="3"/>
  <c r="Q74" i="3"/>
  <c r="P75" i="3"/>
  <c r="Q75" i="3"/>
  <c r="P56" i="3"/>
  <c r="Q56" i="3"/>
  <c r="Q76" i="3"/>
  <c r="P77" i="3"/>
  <c r="Q77" i="3"/>
  <c r="Q78" i="3"/>
  <c r="Q57" i="3"/>
  <c r="X44" i="1"/>
  <c r="X45" i="1"/>
  <c r="X46" i="1"/>
  <c r="X47" i="1"/>
  <c r="X163" i="1" l="1"/>
  <c r="X164" i="1"/>
  <c r="L53" i="3"/>
  <c r="L11" i="3"/>
  <c r="L43" i="3"/>
  <c r="L45" i="3"/>
  <c r="L68" i="3"/>
  <c r="L20" i="3"/>
  <c r="L69" i="3"/>
  <c r="L54" i="3"/>
  <c r="L44" i="3"/>
  <c r="L55" i="3"/>
  <c r="L12" i="3"/>
  <c r="L31" i="3"/>
  <c r="L70" i="3"/>
  <c r="L71" i="3"/>
  <c r="L72" i="3"/>
  <c r="L58" i="3"/>
  <c r="L59" i="3"/>
  <c r="L39" i="3"/>
  <c r="L40" i="3"/>
  <c r="L60" i="3"/>
  <c r="L33" i="3"/>
  <c r="L46" i="3"/>
  <c r="L26" i="3"/>
  <c r="L42" i="3"/>
  <c r="L34" i="3"/>
  <c r="L47" i="3"/>
  <c r="L32" i="3"/>
  <c r="L61" i="3"/>
  <c r="L50" i="3"/>
  <c r="L62" i="3"/>
  <c r="L63" i="3"/>
  <c r="L35" i="3"/>
  <c r="L13" i="3"/>
  <c r="L41" i="3"/>
  <c r="L66" i="3"/>
  <c r="L52" i="3"/>
  <c r="L18" i="3"/>
  <c r="L64" i="3"/>
  <c r="L25" i="3"/>
  <c r="L36" i="3"/>
  <c r="L14" i="3"/>
  <c r="L49" i="3"/>
  <c r="L15" i="3"/>
  <c r="L28" i="3"/>
  <c r="L21" i="3"/>
  <c r="L9" i="3"/>
  <c r="L37" i="3"/>
  <c r="L10" i="3"/>
  <c r="L38" i="3"/>
  <c r="L73" i="3"/>
  <c r="L23" i="3"/>
  <c r="L74" i="3"/>
  <c r="L16" i="3"/>
  <c r="L56" i="3"/>
  <c r="L29" i="3"/>
  <c r="L51" i="3"/>
  <c r="L76" i="3"/>
  <c r="L65" i="3"/>
  <c r="L24" i="3"/>
  <c r="L7" i="3"/>
  <c r="L75" i="3"/>
  <c r="L77" i="3"/>
  <c r="L19" i="3"/>
  <c r="L78" i="3"/>
  <c r="L27" i="3"/>
  <c r="L67" i="3"/>
  <c r="L57" i="3"/>
  <c r="L48" i="3"/>
  <c r="L30" i="3"/>
  <c r="L17" i="3"/>
  <c r="L22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7" i="1"/>
  <c r="K158" i="1"/>
  <c r="K159" i="1"/>
  <c r="K160" i="1"/>
  <c r="K161" i="1"/>
  <c r="K162" i="1"/>
  <c r="K163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X111" i="1"/>
  <c r="Y111" i="1"/>
  <c r="Z111" i="1"/>
  <c r="AB111" i="1"/>
  <c r="AC111" i="1"/>
  <c r="T112" i="1"/>
  <c r="V112" i="1"/>
  <c r="P59" i="3" s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0" i="1"/>
  <c r="V130" i="1"/>
  <c r="X130" i="1"/>
  <c r="Y130" i="1"/>
  <c r="Z130" i="1"/>
  <c r="AB130" i="1"/>
  <c r="AC130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X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Y141" i="1"/>
  <c r="Z141" i="1"/>
  <c r="AB141" i="1"/>
  <c r="AC141" i="1"/>
  <c r="T142" i="1"/>
  <c r="V142" i="1"/>
  <c r="P78" i="3" s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P76" i="3" s="1"/>
  <c r="X144" i="1"/>
  <c r="Y144" i="1"/>
  <c r="Z144" i="1"/>
  <c r="AB144" i="1"/>
  <c r="AC144" i="1"/>
  <c r="T145" i="1"/>
  <c r="V145" i="1"/>
  <c r="Y145" i="1"/>
  <c r="Z145" i="1"/>
  <c r="AB145" i="1"/>
  <c r="AC145" i="1"/>
  <c r="T146" i="1"/>
  <c r="V146" i="1"/>
  <c r="Y146" i="1"/>
  <c r="Z146" i="1"/>
  <c r="AB146" i="1"/>
  <c r="AC146" i="1"/>
  <c r="T147" i="1"/>
  <c r="V147" i="1"/>
  <c r="Y147" i="1"/>
  <c r="Z147" i="1"/>
  <c r="AB147" i="1"/>
  <c r="AC147" i="1"/>
  <c r="T149" i="1"/>
  <c r="V149" i="1"/>
  <c r="Y149" i="1"/>
  <c r="Z149" i="1"/>
  <c r="AB149" i="1"/>
  <c r="AC149" i="1"/>
  <c r="T157" i="1"/>
  <c r="V157" i="1"/>
  <c r="Y157" i="1"/>
  <c r="Z157" i="1"/>
  <c r="AB157" i="1"/>
  <c r="AC157" i="1"/>
  <c r="T158" i="1"/>
  <c r="V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X161" i="1"/>
  <c r="Y161" i="1"/>
  <c r="Z161" i="1"/>
  <c r="AB161" i="1"/>
  <c r="AC161" i="1"/>
  <c r="T162" i="1"/>
  <c r="V162" i="1"/>
  <c r="X162" i="1"/>
  <c r="Y162" i="1"/>
  <c r="Z162" i="1"/>
  <c r="AB162" i="1"/>
  <c r="AC162" i="1"/>
  <c r="T163" i="1"/>
  <c r="V163" i="1"/>
  <c r="Y163" i="1"/>
  <c r="Z163" i="1"/>
  <c r="AB163" i="1"/>
  <c r="AC163" i="1"/>
  <c r="T164" i="1"/>
  <c r="V164" i="1"/>
  <c r="Y164" i="1"/>
  <c r="Z164" i="1"/>
  <c r="AB164" i="1"/>
  <c r="AC164" i="1"/>
  <c r="P73" i="3" l="1"/>
  <c r="P57" i="3"/>
  <c r="U157" i="1"/>
  <c r="S157" i="1" s="1"/>
  <c r="U145" i="1"/>
  <c r="S145" i="1" s="1"/>
  <c r="U158" i="1"/>
  <c r="S158" i="1" s="1"/>
  <c r="U146" i="1"/>
  <c r="S146" i="1" s="1"/>
  <c r="U142" i="1"/>
  <c r="S142" i="1" s="1"/>
  <c r="U66" i="1"/>
  <c r="S66" i="1" s="1"/>
  <c r="U161" i="1"/>
  <c r="S161" i="1" s="1"/>
  <c r="U164" i="1"/>
  <c r="S164" i="1" s="1"/>
  <c r="U162" i="1"/>
  <c r="S162" i="1" s="1"/>
  <c r="U160" i="1"/>
  <c r="S160" i="1" s="1"/>
  <c r="U149" i="1"/>
  <c r="S149" i="1" s="1"/>
  <c r="U144" i="1"/>
  <c r="S144" i="1" s="1"/>
  <c r="U68" i="1"/>
  <c r="S68" i="1" s="1"/>
  <c r="U163" i="1"/>
  <c r="S163" i="1" s="1"/>
  <c r="U159" i="1"/>
  <c r="S159" i="1" s="1"/>
  <c r="U147" i="1"/>
  <c r="S147" i="1" s="1"/>
  <c r="U143" i="1"/>
  <c r="S143" i="1" s="1"/>
  <c r="AA164" i="1"/>
  <c r="W164" i="1" s="1"/>
  <c r="AA163" i="1"/>
  <c r="W163" i="1" s="1"/>
  <c r="AA162" i="1"/>
  <c r="W162" i="1" s="1"/>
  <c r="AA161" i="1"/>
  <c r="W161" i="1" s="1"/>
  <c r="AA160" i="1"/>
  <c r="W160" i="1" s="1"/>
  <c r="AA159" i="1"/>
  <c r="W159" i="1" s="1"/>
  <c r="AA158" i="1"/>
  <c r="W158" i="1" s="1"/>
  <c r="AA157" i="1"/>
  <c r="W157" i="1" s="1"/>
  <c r="AA149" i="1"/>
  <c r="W149" i="1" s="1"/>
  <c r="AA147" i="1"/>
  <c r="W147" i="1" s="1"/>
  <c r="AA146" i="1"/>
  <c r="W146" i="1" s="1"/>
  <c r="AA145" i="1"/>
  <c r="W145" i="1" s="1"/>
  <c r="AA144" i="1"/>
  <c r="W144" i="1" s="1"/>
  <c r="AA143" i="1"/>
  <c r="W143" i="1" s="1"/>
  <c r="AA142" i="1"/>
  <c r="W142" i="1" s="1"/>
  <c r="U141" i="1"/>
  <c r="S141" i="1" s="1"/>
  <c r="AA140" i="1"/>
  <c r="W140" i="1" s="1"/>
  <c r="AA139" i="1"/>
  <c r="W139" i="1" s="1"/>
  <c r="U138" i="1"/>
  <c r="S138" i="1" s="1"/>
  <c r="AA137" i="1"/>
  <c r="W137" i="1" s="1"/>
  <c r="AA136" i="1"/>
  <c r="W136" i="1" s="1"/>
  <c r="AA135" i="1"/>
  <c r="W135" i="1" s="1"/>
  <c r="U134" i="1"/>
  <c r="S134" i="1" s="1"/>
  <c r="AA133" i="1"/>
  <c r="W133" i="1" s="1"/>
  <c r="AA132" i="1"/>
  <c r="W132" i="1" s="1"/>
  <c r="AA130" i="1"/>
  <c r="W130" i="1" s="1"/>
  <c r="U131" i="1"/>
  <c r="S131" i="1" s="1"/>
  <c r="AA129" i="1"/>
  <c r="W129" i="1" s="1"/>
  <c r="AA128" i="1"/>
  <c r="W128" i="1" s="1"/>
  <c r="AA127" i="1"/>
  <c r="W127" i="1" s="1"/>
  <c r="U126" i="1"/>
  <c r="S126" i="1" s="1"/>
  <c r="AA125" i="1"/>
  <c r="W125" i="1" s="1"/>
  <c r="AA124" i="1"/>
  <c r="W124" i="1" s="1"/>
  <c r="AA123" i="1"/>
  <c r="W123" i="1" s="1"/>
  <c r="U122" i="1"/>
  <c r="S122" i="1" s="1"/>
  <c r="AA121" i="1"/>
  <c r="W121" i="1" s="1"/>
  <c r="AA120" i="1"/>
  <c r="W120" i="1" s="1"/>
  <c r="AA119" i="1"/>
  <c r="W119" i="1" s="1"/>
  <c r="U118" i="1"/>
  <c r="S118" i="1" s="1"/>
  <c r="AA117" i="1"/>
  <c r="W117" i="1" s="1"/>
  <c r="AA116" i="1"/>
  <c r="W116" i="1" s="1"/>
  <c r="AA115" i="1"/>
  <c r="W115" i="1" s="1"/>
  <c r="U114" i="1"/>
  <c r="S114" i="1" s="1"/>
  <c r="AA113" i="1"/>
  <c r="W113" i="1" s="1"/>
  <c r="AA112" i="1"/>
  <c r="W112" i="1" s="1"/>
  <c r="AA111" i="1"/>
  <c r="W111" i="1" s="1"/>
  <c r="U110" i="1"/>
  <c r="S110" i="1" s="1"/>
  <c r="AA109" i="1"/>
  <c r="W109" i="1" s="1"/>
  <c r="AA108" i="1"/>
  <c r="W108" i="1" s="1"/>
  <c r="AA107" i="1"/>
  <c r="W107" i="1" s="1"/>
  <c r="U106" i="1"/>
  <c r="S106" i="1" s="1"/>
  <c r="AA105" i="1"/>
  <c r="W105" i="1" s="1"/>
  <c r="AA104" i="1"/>
  <c r="W104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9" i="1"/>
  <c r="S139" i="1" s="1"/>
  <c r="U135" i="1"/>
  <c r="S135" i="1" s="1"/>
  <c r="U130" i="1"/>
  <c r="S130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2" i="1"/>
  <c r="S102" i="1" s="1"/>
  <c r="U87" i="1"/>
  <c r="S87" i="1" s="1"/>
  <c r="U140" i="1"/>
  <c r="S140" i="1" s="1"/>
  <c r="U133" i="1"/>
  <c r="S133" i="1" s="1"/>
  <c r="AA141" i="1"/>
  <c r="W141" i="1" s="1"/>
  <c r="AA138" i="1"/>
  <c r="W138" i="1" s="1"/>
  <c r="AA134" i="1"/>
  <c r="W134" i="1" s="1"/>
  <c r="AA131" i="1"/>
  <c r="W131" i="1" s="1"/>
  <c r="AA126" i="1"/>
  <c r="W126" i="1" s="1"/>
  <c r="AA122" i="1"/>
  <c r="W122" i="1" s="1"/>
  <c r="AA118" i="1"/>
  <c r="W118" i="1" s="1"/>
  <c r="AA114" i="1"/>
  <c r="W114" i="1" s="1"/>
  <c r="AA110" i="1"/>
  <c r="W110" i="1" s="1"/>
  <c r="AA106" i="1"/>
  <c r="W106" i="1" s="1"/>
  <c r="AA101" i="1"/>
  <c r="W101" i="1" s="1"/>
  <c r="U84" i="1"/>
  <c r="S84" i="1" s="1"/>
  <c r="U83" i="1"/>
  <c r="S83" i="1" s="1"/>
  <c r="U137" i="1"/>
  <c r="S137" i="1" s="1"/>
  <c r="U113" i="1"/>
  <c r="S113" i="1" s="1"/>
  <c r="U109" i="1"/>
  <c r="S109" i="1" s="1"/>
  <c r="U105" i="1"/>
  <c r="S105" i="1" s="1"/>
  <c r="U100" i="1"/>
  <c r="S100" i="1" s="1"/>
  <c r="U129" i="1"/>
  <c r="S129" i="1" s="1"/>
  <c r="U125" i="1"/>
  <c r="S125" i="1" s="1"/>
  <c r="U121" i="1"/>
  <c r="S121" i="1" s="1"/>
  <c r="U117" i="1"/>
  <c r="S117" i="1" s="1"/>
  <c r="U136" i="1"/>
  <c r="S136" i="1" s="1"/>
  <c r="U132" i="1"/>
  <c r="S132" i="1" s="1"/>
  <c r="U128" i="1"/>
  <c r="S128" i="1" s="1"/>
  <c r="U124" i="1"/>
  <c r="S124" i="1" s="1"/>
  <c r="U120" i="1"/>
  <c r="S120" i="1" s="1"/>
  <c r="U116" i="1"/>
  <c r="S116" i="1" s="1"/>
  <c r="U112" i="1"/>
  <c r="S112" i="1" s="1"/>
  <c r="U108" i="1"/>
  <c r="S108" i="1" s="1"/>
  <c r="U104" i="1"/>
  <c r="S104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1" i="1" l="1"/>
  <c r="N121" i="1" s="1"/>
  <c r="Z14" i="1"/>
  <c r="L160" i="1"/>
  <c r="L161" i="1"/>
  <c r="L162" i="1"/>
  <c r="L163" i="1"/>
  <c r="Q65" i="3" l="1"/>
  <c r="Q66" i="3"/>
  <c r="Q67" i="3"/>
  <c r="Q53" i="3"/>
  <c r="Q68" i="3"/>
  <c r="Q69" i="3"/>
  <c r="P54" i="3"/>
  <c r="Q54" i="3"/>
  <c r="P55" i="3"/>
  <c r="Q55" i="3"/>
  <c r="Q70" i="3"/>
  <c r="Q71" i="3"/>
  <c r="Q72" i="3"/>
  <c r="L8" i="3"/>
  <c r="L127" i="1"/>
  <c r="M127" i="1"/>
  <c r="N127" i="1" s="1"/>
  <c r="L128" i="1"/>
  <c r="M128" i="1"/>
  <c r="L129" i="1"/>
  <c r="M129" i="1"/>
  <c r="L130" i="1"/>
  <c r="M130" i="1"/>
  <c r="L131" i="1"/>
  <c r="M131" i="1"/>
  <c r="P70" i="3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L140" i="1"/>
  <c r="M140" i="1"/>
  <c r="N140" i="1" s="1"/>
  <c r="P71" i="3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7" i="1"/>
  <c r="M147" i="1"/>
  <c r="N147" i="1" s="1"/>
  <c r="L149" i="1"/>
  <c r="M149" i="1"/>
  <c r="N149" i="1" s="1"/>
  <c r="P72" i="3"/>
  <c r="L157" i="1"/>
  <c r="M157" i="1"/>
  <c r="N157" i="1" s="1"/>
  <c r="L158" i="1"/>
  <c r="M158" i="1"/>
  <c r="N158" i="1" s="1"/>
  <c r="L159" i="1"/>
  <c r="M159" i="1"/>
  <c r="N159" i="1" s="1"/>
  <c r="M160" i="1"/>
  <c r="N160" i="1" s="1"/>
  <c r="M161" i="1"/>
  <c r="N161" i="1" s="1"/>
  <c r="M162" i="1"/>
  <c r="N162" i="1" s="1"/>
  <c r="M163" i="1"/>
  <c r="N163" i="1" s="1"/>
  <c r="L95" i="1" l="1"/>
  <c r="M95" i="1"/>
  <c r="N95" i="1" s="1"/>
  <c r="P65" i="3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L101" i="1"/>
  <c r="M101" i="1"/>
  <c r="N101" i="1" s="1"/>
  <c r="L102" i="1"/>
  <c r="M102" i="1"/>
  <c r="P102" i="1" s="1"/>
  <c r="L104" i="1"/>
  <c r="M104" i="1"/>
  <c r="N104" i="1" s="1"/>
  <c r="L105" i="1"/>
  <c r="M105" i="1"/>
  <c r="N105" i="1" s="1"/>
  <c r="P66" i="3"/>
  <c r="L106" i="1"/>
  <c r="M106" i="1"/>
  <c r="N106" i="1" s="1"/>
  <c r="L107" i="1"/>
  <c r="M107" i="1"/>
  <c r="L108" i="1"/>
  <c r="M108" i="1"/>
  <c r="L109" i="1"/>
  <c r="M109" i="1"/>
  <c r="N109" i="1" s="1"/>
  <c r="L110" i="1"/>
  <c r="M110" i="1"/>
  <c r="N110" i="1" s="1"/>
  <c r="L113" i="1"/>
  <c r="M113" i="1"/>
  <c r="N113" i="1" s="1"/>
  <c r="L111" i="1"/>
  <c r="M111" i="1"/>
  <c r="N111" i="1" s="1"/>
  <c r="L112" i="1"/>
  <c r="M112" i="1"/>
  <c r="N112" i="1" s="1"/>
  <c r="L114" i="1"/>
  <c r="M114" i="1"/>
  <c r="N114" i="1" s="1"/>
  <c r="P68" i="3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M120" i="1"/>
  <c r="N120" i="1" s="1"/>
  <c r="L121" i="1"/>
  <c r="L122" i="1"/>
  <c r="M122" i="1"/>
  <c r="N122" i="1" s="1"/>
  <c r="L123" i="1"/>
  <c r="M123" i="1"/>
  <c r="N123" i="1" s="1"/>
  <c r="L125" i="1"/>
  <c r="M125" i="1"/>
  <c r="N125" i="1" s="1"/>
  <c r="L124" i="1"/>
  <c r="M124" i="1"/>
  <c r="N124" i="1" s="1"/>
  <c r="L126" i="1"/>
  <c r="M126" i="1"/>
  <c r="N126" i="1" s="1"/>
  <c r="P69" i="3"/>
  <c r="P130" i="1" l="1"/>
  <c r="P67" i="3"/>
  <c r="P53" i="3"/>
  <c r="Q45" i="3" l="1"/>
  <c r="Q11" i="3"/>
  <c r="Q22" i="3"/>
  <c r="Q12" i="3"/>
  <c r="Q46" i="3"/>
  <c r="Q13" i="3"/>
  <c r="Q14" i="3"/>
  <c r="Q15" i="3"/>
  <c r="Q26" i="3"/>
  <c r="Q47" i="3"/>
  <c r="Q16" i="3"/>
  <c r="Q23" i="3"/>
  <c r="Q24" i="3"/>
  <c r="Q48" i="3"/>
  <c r="Q27" i="3"/>
  <c r="Q17" i="3"/>
  <c r="Q49" i="3"/>
  <c r="Q60" i="3"/>
  <c r="Q61" i="3"/>
  <c r="Q50" i="3"/>
  <c r="Q62" i="3"/>
  <c r="Q63" i="3"/>
  <c r="Q64" i="3"/>
  <c r="Q51" i="3"/>
  <c r="Q52" i="3"/>
  <c r="L77" i="1" l="1"/>
  <c r="M77" i="1"/>
  <c r="N77" i="1" s="1"/>
  <c r="P49" i="3"/>
  <c r="L93" i="1"/>
  <c r="M93" i="1"/>
  <c r="N93" i="1" s="1"/>
  <c r="L63" i="1"/>
  <c r="M63" i="1"/>
  <c r="P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8" i="3" l="1"/>
  <c r="L56" i="1"/>
  <c r="M56" i="1"/>
  <c r="N56" i="1" s="1"/>
  <c r="Q34" i="3"/>
  <c r="Q35" i="3"/>
  <c r="Q18" i="3"/>
  <c r="Q25" i="3"/>
  <c r="Q36" i="3"/>
  <c r="Q28" i="3"/>
  <c r="Q37" i="3"/>
  <c r="Q9" i="3"/>
  <c r="Q38" i="3"/>
  <c r="Q19" i="3"/>
  <c r="Q39" i="3"/>
  <c r="Q20" i="3"/>
  <c r="Q40" i="3"/>
  <c r="Q41" i="3"/>
  <c r="Q42" i="3"/>
  <c r="Q10" i="3"/>
  <c r="Q43" i="3"/>
  <c r="Q7" i="3"/>
  <c r="Q8" i="3"/>
  <c r="Q44" i="3"/>
  <c r="Q21" i="3"/>
  <c r="M94" i="1"/>
  <c r="N94" i="1" s="1"/>
  <c r="L94" i="1"/>
  <c r="M2" i="3" l="1"/>
  <c r="M3" i="3" s="1"/>
  <c r="Q29" i="3"/>
  <c r="Q30" i="3"/>
  <c r="Q31" i="3"/>
  <c r="Q32" i="3"/>
  <c r="Q33" i="3"/>
  <c r="T14" i="1"/>
  <c r="T13" i="1"/>
  <c r="M39" i="1" l="1"/>
  <c r="N39" i="1" s="1"/>
  <c r="M65" i="1"/>
  <c r="N65" i="1" s="1"/>
  <c r="L39" i="1"/>
  <c r="L65" i="1"/>
  <c r="P45" i="3"/>
  <c r="P128" i="1" l="1"/>
  <c r="P11" i="3"/>
  <c r="V14" i="1" l="1"/>
  <c r="X14" i="1"/>
  <c r="Y14" i="1"/>
  <c r="P22" i="3"/>
  <c r="P12" i="3"/>
  <c r="P46" i="3"/>
  <c r="P13" i="3"/>
  <c r="P14" i="3"/>
  <c r="P15" i="3"/>
  <c r="P26" i="3"/>
  <c r="P47" i="3"/>
  <c r="P23" i="3"/>
  <c r="P24" i="3"/>
  <c r="P27" i="3"/>
  <c r="P17" i="3"/>
  <c r="P60" i="3"/>
  <c r="P61" i="3"/>
  <c r="P50" i="3"/>
  <c r="P51" i="3"/>
  <c r="P64" i="3"/>
  <c r="P52" i="3"/>
  <c r="U14" i="1" l="1"/>
  <c r="S14" i="1" s="1"/>
  <c r="P62" i="3"/>
  <c r="P63" i="3"/>
  <c r="P41" i="3"/>
  <c r="P8" i="3"/>
  <c r="P18" i="3"/>
  <c r="P7" i="3"/>
  <c r="P28" i="3"/>
  <c r="P37" i="3"/>
  <c r="P19" i="3"/>
  <c r="P32" i="3"/>
  <c r="P43" i="3"/>
  <c r="P10" i="3"/>
  <c r="P39" i="3"/>
  <c r="P9" i="3"/>
  <c r="P38" i="3"/>
  <c r="P31" i="3"/>
  <c r="P42" i="3"/>
  <c r="P44" i="3"/>
  <c r="P40" i="3"/>
  <c r="P20" i="3"/>
  <c r="P36" i="3"/>
  <c r="P25" i="3"/>
  <c r="P34" i="3"/>
  <c r="P35" i="3"/>
  <c r="P29" i="3"/>
  <c r="P30" i="3"/>
  <c r="P33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7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6" i="3" s="1"/>
  <c r="Y13" i="1"/>
  <c r="Z13" i="1"/>
  <c r="U13" i="1" l="1"/>
  <c r="S13" i="1" s="1"/>
  <c r="P21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<sst xmlns="http://schemas.openxmlformats.org/spreadsheetml/2006/main" count="2184" uniqueCount="650">
  <si>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</si>
  <si>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</si>
  <si>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</si>
  <si>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</si>
  <si>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</si>
  <si>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</si>
  <si>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</si>
  <si>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</si>
  <si>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</si>
  <si>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</si>
  <si>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</si>
  <si>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</si>
  <si>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</si>
  <si>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</si>
  <si>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</si>
  <si>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</si>
  <si>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</si>
  <si>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</si>
  <si>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</si>
  <si>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</si>
  <si>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</si>
  <si>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</si>
  <si>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</si>
  <si>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</si>
  <si>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</si>
  <si>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</si>
  <si>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</si>
  <si>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</si>
  <si>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</si>
  <si>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</si>
  <si>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</si>
  <si>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</si>
  <si>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</si>
  <si>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</si>
  <si>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</si>
  <si>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</si>
  <si>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</si>
  <si>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</si>
  <si>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</si>
  <si>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</si>
  <si>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</si>
  <si>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</si>
  <si>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</si>
  <si>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</si>
  <si>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</si>
  <si>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</si>
  <si>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</si>
  <si>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</si>
  <si>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</si>
  <si>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</si>
  <si>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</si>
  <si>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</si>
  <si>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</si>
  <si>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</si>
  <si>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</si>
  <si>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</si>
  <si>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</si>
  <si>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</si>
  <si>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</si>
  <si>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</si>
  <si>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</si>
  <si>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</si>
  <si>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</si>
  <si>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</si>
  <si>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</si>
  <si>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</si>
  <si>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</si>
  <si>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</si>
  <si>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</si>
  <si>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</si>
  <si>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</si>
  <si>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</si>
  <si>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</si>
  <si>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</si>
  <si>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</si>
  <si>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</si>
  <si>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</si>
  <si>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</si>
  <si>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</si>
  <si>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</si>
  <si>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</si>
  <si>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</si>
  <si>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</si>
  <si>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</si>
  <si>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</si>
  <si>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</si>
  <si>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</si>
  <si>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</si>
  <si>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</si>
  <si>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</si>
  <si>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</si>
  <si>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</si>
  <si>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</si>
  <si>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</si>
  <si>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</si>
  <si>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</si>
  <si>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</si>
  <si>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</si>
  <si>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</si>
  <si>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</si>
  <si>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</si>
  <si>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</si>
  <si>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</si>
  <si>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</si>
  <si>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</si>
  <si>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</si>
  <si>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</si>
  <si>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</si>
  <si>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</si>
  <si>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</si>
  <si>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</si>
  <si>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</si>
  <si>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</si>
  <si>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</si>
  <si>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</si>
  <si>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</si>
  <si>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</si>
  <si>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</si>
  <si>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</si>
  <si>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</si>
  <si>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</si>
  <si>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</si>
  <si>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</si>
  <si>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</si>
  <si>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</si>
  <si>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</si>
  <si>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</si>
  <si>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</si>
  <si>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</si>
  <si>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</si>
  <si>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</si>
  <si>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</si>
  <si>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</si>
  <si>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</si>
  <si>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</si>
  <si>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</si>
  <si>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</si>
  <si>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</si>
  <si>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</si>
  <si>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</si>
  <si>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</si>
  <si>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</si>
  <si>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</si>
  <si>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</si>
  <si>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</si>
  <si>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</si>
  <si>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</si>
  <si>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</si>
  <si>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</si>
  <si>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</si>
  <si>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</si>
  <si>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</si>
  <si>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</si>
  <si>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</si>
  <si>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</si>
  <si>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</si>
  <si>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</si>
  <si>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</si>
  <si>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</si>
  <si>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</si>
  <si>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</si>
  <si>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</si>
  <si>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</si>
  <si>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</si>
  <si>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</si>
  <si>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</si>
  <si>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</si>
  <si>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</si>
  <si>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</si>
  <si>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</si>
  <si>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</si>
  <si>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</si>
  <si>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</si>
  <si>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</si>
  <si>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</si>
  <si>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</si>
  <si>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</si>
  <si>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</si>
  <si>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</si>
  <si>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</si>
  <si>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</si>
  <si>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</si>
  <si>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</si>
  <si>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</si>
  <si>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</si>
  <si>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</si>
  <si>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</si>
  <si>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</si>
  <si>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</si>
  <si>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</si>
  <si>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</si>
  <si>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</si>
  <si>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</si>
  <si>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</si>
  <si>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</si>
  <si>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</si>
  <si>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</si>
  <si>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</si>
  <si>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</si>
  <si>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</si>
  <si>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</si>
  <si>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</si>
  <si>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</si>
  <si>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</si>
  <si>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</si>
  <si>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</si>
  <si>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</si>
  <si>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</si>
  <si>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</si>
  <si>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</si>
  <si>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EQUIPMENT RESTRICTION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</si>
  <si>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</si>
  <si>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</si>
  <si>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</si>
  <si>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</si>
  <si>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</si>
  <si>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</si>
  <si>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</si>
  <si>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</si>
  <si>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</si>
  <si>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</si>
  <si>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</si>
  <si>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</si>
  <si>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</si>
  <si>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</si>
  <si>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</si>
  <si>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</si>
  <si>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</si>
  <si>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</si>
  <si>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</si>
  <si>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</si>
  <si>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</si>
  <si>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</si>
  <si>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</si>
  <si>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</si>
  <si>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</si>
  <si>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</si>
  <si>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</si>
  <si>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</si>
  <si>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</si>
  <si>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</si>
  <si>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</si>
  <si>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</si>
  <si>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</si>
  <si>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</si>
  <si>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</si>
  <si>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</si>
  <si>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</si>
  <si>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</si>
  <si>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</si>
  <si>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</si>
  <si>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</si>
  <si>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</si>
  <si>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</si>
  <si>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</si>
  <si>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</si>
  <si>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</si>
  <si>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</si>
  <si>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</si>
  <si>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</si>
  <si>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</si>
  <si>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</si>
  <si>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</si>
  <si>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</si>
  <si>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</si>
  <si>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</si>
  <si>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</si>
  <si>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</si>
  <si>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</si>
  <si>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</si>
  <si>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</si>
  <si>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</si>
  <si>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</si>
  <si>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</si>
  <si>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</si>
  <si>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</si>
  <si>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</si>
  <si>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</si>
  <si>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</si>
  <si>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</si>
  <si>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</si>
  <si>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</si>
  <si>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</si>
  <si>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</si>
  <si>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</si>
  <si>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</si>
  <si>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</si>
  <si>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</si>
  <si>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</si>
  <si>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</si>
  <si>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</si>
  <si>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</si>
  <si>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</si>
  <si>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</si>
  <si>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</si>
  <si>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</si>
  <si>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</si>
  <si>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</si>
  <si>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</si>
  <si>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</si>
  <si>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</si>
  <si>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</si>
  <si>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</si>
  <si>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</si>
  <si>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</si>
  <si>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</si>
  <si>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</si>
  <si>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</si>
  <si>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</si>
  <si>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</si>
  <si>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</si>
  <si>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</si>
  <si>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</si>
  <si>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</si>
  <si>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</si>
  <si>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</si>
  <si>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</si>
  <si>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</si>
  <si>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</si>
  <si>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</si>
  <si>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</si>
  <si>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</si>
  <si>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</si>
  <si>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</si>
  <si>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</si>
  <si>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</si>
  <si>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</si>
  <si>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</si>
  <si>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</si>
  <si>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</si>
  <si>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</si>
  <si>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</si>
  <si>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</si>
  <si>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</si>
  <si>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</si>
  <si>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</si>
  <si>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</si>
  <si>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</si>
  <si>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</si>
  <si>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</si>
  <si>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</si>
  <si>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</si>
  <si>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</si>
  <si>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</si>
  <si>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</si>
  <si>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</si>
  <si>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</si>
  <si>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</si>
  <si>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</si>
  <si>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</si>
  <si>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</si>
  <si>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</si>
  <si>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</si>
  <si>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</si>
  <si>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</si>
  <si>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</si>
  <si>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</si>
  <si>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</si>
  <si>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</si>
  <si>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</si>
  <si>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</si>
  <si>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</si>
  <si>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</si>
  <si>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</si>
  <si>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</si>
  <si>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</si>
  <si>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</si>
  <si>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</si>
  <si>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</si>
  <si>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</si>
  <si>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</si>
  <si>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</si>
  <si>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</si>
  <si>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</si>
  <si>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</si>
  <si>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</si>
  <si>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</si>
  <si>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</si>
  <si>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</si>
  <si>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</si>
  <si>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</si>
  <si>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</si>
  <si>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</si>
  <si>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</si>
  <si>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</si>
  <si>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</si>
  <si>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</si>
  <si>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</si>
  <si>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</si>
  <si>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</si>
  <si>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</si>
  <si>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</si>
  <si>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</si>
  <si>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</si>
  <si>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</si>
  <si>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</si>
  <si>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</si>
  <si>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</si>
  <si>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</si>
  <si>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</si>
  <si>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</si>
  <si>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</si>
  <si>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</si>
  <si>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</si>
  <si>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</si>
  <si>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</si>
  <si>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</si>
  <si>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</si>
  <si>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</si>
  <si>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</si>
  <si>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</si>
  <si>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</si>
  <si>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</si>
  <si>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</si>
  <si>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</si>
  <si>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</si>
  <si>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</si>
  <si>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</si>
  <si>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</si>
  <si>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</si>
  <si>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</si>
  <si>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</si>
  <si>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</si>
  <si>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</si>
  <si>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</si>
  <si>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</si>
  <si>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</si>
  <si>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</si>
  <si>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</si>
  <si>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</si>
  <si>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</si>
  <si>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</si>
  <si>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</si>
  <si>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</si>
  <si>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</si>
  <si>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</si>
  <si>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</si>
  <si>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</si>
  <si>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</si>
  <si>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</si>
  <si>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</si>
  <si>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</si>
  <si>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</si>
  <si>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</si>
  <si>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</si>
  <si>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</si>
  <si>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</si>
  <si>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</si>
  <si>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</si>
  <si>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</si>
  <si>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</si>
  <si>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</si>
  <si>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</si>
  <si>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</si>
  <si>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</si>
  <si>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</si>
  <si>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</si>
  <si>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</si>
  <si>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</si>
  <si>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</si>
  <si>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</si>
  <si>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</si>
  <si>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</si>
  <si>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</si>
  <si>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</si>
  <si>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</si>
  <si>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</si>
  <si>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</si>
  <si>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</si>
  <si>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</si>
  <si>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</si>
  <si>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</si>
  <si>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</si>
  <si>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</si>
  <si>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</si>
  <si>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</si>
  <si>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</si>
  <si>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</si>
  <si>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</si>
  <si>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</si>
  <si>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</si>
  <si>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</si>
  <si>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</si>
  <si>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</si>
  <si>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</si>
  <si>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</si>
  <si>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</si>
  <si>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</si>
  <si>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</si>
  <si>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</si>
  <si>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</si>
  <si>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</si>
  <si>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</si>
  <si>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</si>
  <si>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</si>
  <si>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</si>
  <si>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</si>
  <si>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</si>
  <si>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</si>
  <si>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</si>
  <si>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</si>
  <si>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</si>
  <si>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</si>
  <si>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</si>
  <si>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</si>
  <si>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</si>
  <si>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</si>
  <si>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</si>
  <si>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</si>
  <si>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</si>
  <si>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</si>
  <si>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</si>
  <si>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</si>
  <si>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</si>
  <si>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</si>
  <si>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</si>
  <si>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</si>
  <si>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</si>
  <si>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</si>
  <si>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</si>
  <si>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</si>
  <si>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</si>
  <si>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</si>
  <si>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</si>
  <si>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</si>
  <si>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</si>
  <si>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</si>
  <si>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</si>
  <si>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</si>
  <si>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</si>
  <si>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</si>
  <si>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</si>
  <si>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</si>
  <si>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</si>
  <si>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</si>
  <si>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</si>
  <si>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</si>
  <si>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</si>
  <si>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</si>
  <si>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</si>
  <si>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</si>
  <si>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</si>
  <si>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</si>
  <si>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</si>
  <si>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</si>
  <si>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</si>
  <si>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</si>
  <si>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</si>
  <si>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</si>
  <si>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</si>
  <si>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</si>
  <si>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</si>
  <si>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</si>
  <si>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</si>
  <si>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</si>
  <si>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</si>
  <si>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</si>
  <si>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</si>
  <si>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</si>
  <si>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</si>
  <si>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</si>
  <si>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</si>
  <si>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</si>
  <si>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</si>
  <si>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</si>
  <si>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</si>
  <si>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</si>
  <si>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</si>
  <si>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</si>
  <si>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</si>
  <si>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</si>
  <si>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</si>
  <si>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</si>
  <si>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</si>
  <si>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</si>
  <si>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</si>
  <si>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</si>
  <si>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</si>
  <si>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</si>
  <si>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</si>
  <si>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</si>
  <si>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</si>
  <si>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</si>
  <si>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</si>
  <si>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</si>
  <si>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</si>
  <si>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</si>
  <si>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</si>
  <si>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</si>
  <si>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</si>
  <si>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</si>
  <si>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</si>
  <si>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</si>
  <si>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</si>
  <si>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</si>
  <si>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</si>
  <si>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</si>
  <si>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</si>
  <si>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</si>
  <si>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</si>
  <si>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</si>
  <si>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</si>
  <si>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</si>
  <si>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</si>
  <si>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</si>
  <si>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</si>
  <si>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</si>
  <si>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</si>
  <si>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</si>
  <si>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</si>
  <si>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</si>
  <si>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</si>
  <si>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</si>
  <si>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</si>
  <si>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</si>
  <si>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</si>
  <si>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</si>
  <si>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</si>
  <si>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</si>
  <si>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</si>
  <si>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</si>
  <si>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</si>
  <si>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</si>
  <si>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</si>
  <si>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</si>
  <si>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</si>
  <si>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</si>
  <si>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</si>
  <si>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</si>
  <si>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</si>
  <si>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</si>
  <si>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</si>
  <si>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</si>
  <si>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</si>
  <si>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</si>
  <si>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</si>
  <si>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</si>
  <si>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</si>
  <si>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</si>
  <si>
    <t>204:139</t>
  </si>
  <si>
    <t>204:232965</t>
  </si>
  <si>
    <t>204:232955</t>
  </si>
  <si>
    <t>204:163</t>
  </si>
  <si>
    <t>204:178</t>
  </si>
  <si>
    <t>Onboard In-route Failure</t>
  </si>
  <si>
    <t>Onboard In-Route Failure</t>
  </si>
  <si>
    <t>Comms</t>
  </si>
  <si>
    <t>Left Cutin</t>
  </si>
  <si>
    <t>Incorrect Bulletin Execution</t>
  </si>
  <si>
    <t>Comms*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</si>
</sst>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3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6"/>
  <sheetViews>
    <sheetView showGridLines="0" tabSelected="1" topLeftCell="A142" zoomScale="85" zoomScaleNormal="85" workbookViewId="0">
      <selection activeCell="Y191" sqref="Y19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9">
        <f>Variables!A2</f>
        <v>42549</v>
      </c>
      <c r="J2" s="90"/>
      <c r="K2" s="50"/>
      <c r="L2" s="50"/>
      <c r="M2" s="91" t="s">
        <v>8</v>
      </c>
      <c r="N2" s="92"/>
      <c r="O2" s="93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4" t="s">
        <v>10</v>
      </c>
      <c r="J3" s="95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COUNT($N$13:$P$1868)</f>
        <v>191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COUNT($N$13:$N$1868)</f>
        <v>176</v>
      </c>
      <c r="K5" s="3"/>
      <c r="L5" s="3"/>
      <c r="M5" s="45">
        <f>AVERAGE($N$13:$N$868)</f>
        <v>36.382386363680283</v>
      </c>
      <c r="N5" s="5">
        <f>MIN($N$13:$N$868)</f>
        <v>0.95000000204890966</v>
      </c>
      <c r="O5" s="6">
        <f>MAX($N$13:$N$868)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COUNT($O$13:$O$868)</f>
        <v>0</v>
      </c>
      <c r="K6" s="3"/>
      <c r="L6" s="3"/>
      <c r="M6" s="45">
        <f>IFERROR(AVERAGE($O$13:$O$868),0)</f>
        <v>0</v>
      </c>
      <c r="N6" s="5">
        <f>MIN($O$13:$O$868)</f>
        <v>0</v>
      </c>
      <c r="O6" s="6">
        <f>MAX($O$13:$O$868)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COUNT($P$13:$P$868)</f>
        <v>15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COUNT($N$13:$O$868)</f>
        <v>176</v>
      </c>
      <c r="K8" s="3"/>
      <c r="L8" s="3"/>
      <c r="M8" s="45">
        <f>AVERAGE($N$13:$P$868)</f>
        <v>34.829406631806947</v>
      </c>
      <c r="N8" s="5">
        <f>MIN($N$13:$O$868)</f>
        <v>0.95000000204890966</v>
      </c>
      <c r="O8" s="6">
        <f>MAX($N$13:$O$868)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0.92146596858638741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8" t="str">
        <f>"Eagle P3 System Performance - "&amp;TEXT(Variables!A2,"yyyy-mm-dd")</f>
        <v>Eagle P3 System Performance - 2016-06-28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283</v>
      </c>
      <c r="B13" s="43">
        <v>4012</v>
      </c>
      <c r="C13" s="43" t="s">
        <v>60</v>
      </c>
      <c r="D13" s="43" t="s">
        <v>284</v>
      </c>
      <c r="E13" s="25">
        <v>42549.172731481478</v>
      </c>
      <c r="F13" s="25">
        <v>42549.174710648149</v>
      </c>
      <c r="G13" s="31">
        <v>2</v>
      </c>
      <c r="H13" s="25" t="s">
        <v>240</v>
      </c>
      <c r="I13" s="25">
        <v>42549.202916666669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>I13-F13</f>
        <v>2.8206018519995268E-2</v>
      </c>
      <c r="N13" s="12">
        <f>24*60*SUM($M13:$M13)</f>
        <v>40.616666668793187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23.264199999999999</v>
      </c>
      <c r="Z13" s="48">
        <f>RIGHT(H13,LEN(H13)-4)/10000</f>
        <v>1.5599999999999999E-2</v>
      </c>
      <c r="AA13" s="48">
        <f>ABS(Z13-Y13)</f>
        <v>23.2486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79" t="s">
        <v>285</v>
      </c>
      <c r="B14" s="43">
        <v>4026</v>
      </c>
      <c r="C14" s="43" t="s">
        <v>60</v>
      </c>
      <c r="D14" s="43" t="s">
        <v>286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>IF(ISEVEN(B14),(B14-1)&amp;"/"&amp;B14,B14&amp;"/"&amp;(B14+1))</f>
        <v>4025/4026</v>
      </c>
      <c r="L14" s="43" t="str">
        <f>VLOOKUP(A14,'Trips&amp;Operators'!$C$1:$E$10000,3,FALSE)</f>
        <v>ROCHA</v>
      </c>
      <c r="M14" s="11">
        <f>I14-F14</f>
        <v>3.3159722217533272E-2</v>
      </c>
      <c r="N14" s="12">
        <f>24*60*SUM($M14:$M14)</f>
        <v>47.749999993247911</v>
      </c>
      <c r="O14" s="12"/>
      <c r="P14" s="12"/>
      <c r="Q14" s="44"/>
      <c r="R14" s="44"/>
      <c r="S14" s="70">
        <f>SUM(U14:U14)/12</f>
        <v>1</v>
      </c>
      <c r="T14" s="2" t="str">
        <f>IF(ISEVEN(LEFT(A14,3)),"Southbound","NorthBound")</f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>IF(AA14&lt;23,"Y","N")</f>
        <v>N</v>
      </c>
      <c r="X14" s="48">
        <f>VALUE(LEFT(A14,3))-VALUE(LEFT(A13,3))</f>
        <v>4</v>
      </c>
      <c r="Y14" s="48">
        <f>RIGHT(D14,LEN(D14)-4)/10000</f>
        <v>23.280799999999999</v>
      </c>
      <c r="Z14" s="48">
        <f>RIGHT(H14,LEN(H14)-4)/10000</f>
        <v>1.4500000000000001E-2</v>
      </c>
      <c r="AA14" s="48">
        <f>ABS(Z14-Y14)</f>
        <v>23.266299999999998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79" t="s">
        <v>287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266</v>
      </c>
      <c r="I15" s="25">
        <v>42549.216307870367</v>
      </c>
      <c r="J15" s="43">
        <v>0</v>
      </c>
      <c r="K15" s="43" t="str">
        <f>IF(ISEVEN(B15),(B15-1)&amp;"/"&amp;B15,B15&amp;"/"&amp;(B15+1))</f>
        <v>4023/4024</v>
      </c>
      <c r="L15" s="43" t="str">
        <f>VLOOKUP(A15,'Trips&amp;Operators'!$C$1:$E$10000,3,FALSE)</f>
        <v>MAELZER</v>
      </c>
      <c r="M15" s="11">
        <f>I15-F15</f>
        <v>2.7083333327027503E-2</v>
      </c>
      <c r="N15" s="12">
        <f>24*60*SUM($M15:$M15)</f>
        <v>38.999999990919605</v>
      </c>
      <c r="O15" s="12"/>
      <c r="P15" s="12"/>
      <c r="Q15" s="44"/>
      <c r="R15" s="44"/>
      <c r="S15" s="70">
        <f>SUM(U15:U15)/12</f>
        <v>1</v>
      </c>
      <c r="T15" s="2" t="str">
        <f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4.7300000000000002E-2</v>
      </c>
      <c r="Z15" s="48">
        <f>RIGHT(H15,LEN(H15)-4)/10000</f>
        <v>23.330200000000001</v>
      </c>
      <c r="AA15" s="48">
        <f>ABS(Z15-Y15)</f>
        <v>23.282900000000001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79" t="s">
        <v>288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>IF(ISEVEN(B16),(B16-1)&amp;"/"&amp;B16,B16&amp;"/"&amp;(B16+1))</f>
        <v>4023/4024</v>
      </c>
      <c r="L16" s="43" t="str">
        <f>VLOOKUP(A16,'Trips&amp;Operators'!$C$1:$E$10000,3,FALSE)</f>
        <v>MAELZER</v>
      </c>
      <c r="M16" s="11">
        <f>I16-F16</f>
        <v>2.7557870373129845E-2</v>
      </c>
      <c r="N16" s="12">
        <f>24*60*SUM($M16:$M16)</f>
        <v>39.683333337306976</v>
      </c>
      <c r="O16" s="12"/>
      <c r="P16" s="12"/>
      <c r="Q16" s="44"/>
      <c r="R16" s="44"/>
      <c r="S16" s="70">
        <f>SUM(U16:U16)/12</f>
        <v>1</v>
      </c>
      <c r="T16" s="2" t="str">
        <f>IF(ISEVEN(LEFT(A16,3)),"Southbound","NorthBound")</f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23.298500000000001</v>
      </c>
      <c r="Z16" s="48">
        <f>RIGHT(H16,LEN(H16)-4)/10000</f>
        <v>1.3599999999999999E-2</v>
      </c>
      <c r="AA16" s="48">
        <f>ABS(Z16-Y16)</f>
        <v>23.2849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79" t="s">
        <v>289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231</v>
      </c>
      <c r="I17" s="25">
        <v>42549.230162037034</v>
      </c>
      <c r="J17" s="43">
        <v>0</v>
      </c>
      <c r="K17" s="43" t="str">
        <f>IF(ISEVEN(B17),(B17-1)&amp;"/"&amp;B17,B17&amp;"/"&amp;(B17+1))</f>
        <v>4017/4018</v>
      </c>
      <c r="L17" s="43" t="str">
        <f>VLOOKUP(A17,'Trips&amp;Operators'!$C$1:$E$10000,3,FALSE)</f>
        <v>ACKERMAN</v>
      </c>
      <c r="M17" s="11">
        <f>I17-F17</f>
        <v>2.6597222218697425E-2</v>
      </c>
      <c r="N17" s="12">
        <f>24*60*SUM($M17:$M17)</f>
        <v>38.299999994924292</v>
      </c>
      <c r="O17" s="12"/>
      <c r="P17" s="12"/>
      <c r="Q17" s="44"/>
      <c r="R17" s="44"/>
      <c r="S17" s="70">
        <f>SUM(U17:U17)/12</f>
        <v>1</v>
      </c>
      <c r="T17" s="2" t="str">
        <f>IF(ISEVEN(LEFT(A17,3)),"Southbound","NorthBound")</f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4.53E-2</v>
      </c>
      <c r="Z17" s="48">
        <f>RIGHT(H17,LEN(H17)-4)/10000</f>
        <v>23.329899999999999</v>
      </c>
      <c r="AA17" s="48">
        <f>ABS(Z17-Y17)</f>
        <v>23.284599999999998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79" t="s">
        <v>290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291</v>
      </c>
      <c r="I18" s="25">
        <v>42549.266342592593</v>
      </c>
      <c r="J18" s="43">
        <v>0</v>
      </c>
      <c r="K18" s="43" t="str">
        <f>IF(ISEVEN(B18),(B18-1)&amp;"/"&amp;B18,B18&amp;"/"&amp;(B18+1))</f>
        <v>4017/4018</v>
      </c>
      <c r="L18" s="43" t="str">
        <f>VLOOKUP(A18,'Trips&amp;Operators'!$C$1:$E$10000,3,FALSE)</f>
        <v>ACKERMAN</v>
      </c>
      <c r="M18" s="11">
        <f>I18-F18</f>
        <v>3.2233796293439809E-2</v>
      </c>
      <c r="N18" s="12">
        <f>24*60*SUM($M18:$M18)</f>
        <v>46.416666662553325</v>
      </c>
      <c r="O18" s="12"/>
      <c r="P18" s="12"/>
      <c r="Q18" s="44"/>
      <c r="R18" s="44"/>
      <c r="S18" s="70">
        <f>SUM(U18:U18)/12</f>
        <v>1</v>
      </c>
      <c r="T18" s="2" t="str">
        <f>IF(ISEVEN(LEFT(A18,3)),"Southbound","NorthBound")</f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23.298400000000001</v>
      </c>
      <c r="Z18" s="48">
        <f>RIGHT(H18,LEN(H18)-4)/10000</f>
        <v>1.2999999999999999E-2</v>
      </c>
      <c r="AA18" s="48">
        <f>ABS(Z18-Y18)</f>
        <v>23.285399999999999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79" t="s">
        <v>292</v>
      </c>
      <c r="B19" s="43">
        <v>4020</v>
      </c>
      <c r="C19" s="43" t="s">
        <v>60</v>
      </c>
      <c r="D19" s="43" t="s">
        <v>229</v>
      </c>
      <c r="E19" s="25">
        <v>42549.206122685187</v>
      </c>
      <c r="F19" s="25">
        <v>42549.208229166667</v>
      </c>
      <c r="G19" s="31">
        <v>3</v>
      </c>
      <c r="H19" s="25" t="s">
        <v>293</v>
      </c>
      <c r="I19" s="25">
        <v>42549.235185185185</v>
      </c>
      <c r="J19" s="43">
        <v>0</v>
      </c>
      <c r="K19" s="43" t="str">
        <f>IF(ISEVEN(B19),(B19-1)&amp;"/"&amp;B19,B19&amp;"/"&amp;(B19+1))</f>
        <v>4019/4020</v>
      </c>
      <c r="L19" s="43" t="str">
        <f>VLOOKUP(A19,'Trips&amp;Operators'!$C$1:$E$10000,3,FALSE)</f>
        <v>GEBRETEKLE</v>
      </c>
      <c r="M19" s="11">
        <f>I19-F19</f>
        <v>2.6956018518831115E-2</v>
      </c>
      <c r="N19" s="12">
        <f>24*60*SUM($M19:$M19)</f>
        <v>38.816666667116806</v>
      </c>
      <c r="O19" s="12"/>
      <c r="P19" s="12"/>
      <c r="Q19" s="44"/>
      <c r="R19" s="44"/>
      <c r="S19" s="70">
        <f>SUM(U19:U19)/12</f>
        <v>1</v>
      </c>
      <c r="T19" s="2" t="str">
        <f>IF(ISEVEN(LEFT(A19,3)),"Southbound","NorthBound")</f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7.5700000000000003E-2</v>
      </c>
      <c r="Z19" s="48">
        <f>RIGHT(H19,LEN(H19)-4)/10000</f>
        <v>23.331</v>
      </c>
      <c r="AA19" s="48">
        <f>ABS(Z19-Y19)</f>
        <v>23.255299999999998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79" t="s">
        <v>294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295</v>
      </c>
      <c r="I20" s="25">
        <v>42549.277777777781</v>
      </c>
      <c r="J20" s="43">
        <v>0</v>
      </c>
      <c r="K20" s="43" t="str">
        <f>IF(ISEVEN(B20),(B20-1)&amp;"/"&amp;B20,B20&amp;"/"&amp;(B20+1))</f>
        <v>4019/4020</v>
      </c>
      <c r="L20" s="43" t="str">
        <f>VLOOKUP(A20,'Trips&amp;Operators'!$C$1:$E$10000,3,FALSE)</f>
        <v>GEBRETEKLE</v>
      </c>
      <c r="M20" s="11">
        <f>I20-F20</f>
        <v>2.8541666666569654E-2</v>
      </c>
      <c r="N20" s="12">
        <f>24*60*SUM($M20:$M20)</f>
        <v>41.099999999860302</v>
      </c>
      <c r="O20" s="12"/>
      <c r="P20" s="12"/>
      <c r="Q20" s="44"/>
      <c r="R20" s="44"/>
      <c r="S20" s="70">
        <f>SUM(U20:U20)/12</f>
        <v>1</v>
      </c>
      <c r="T20" s="2" t="str">
        <f>IF(ISEVEN(LEFT(A20,3)),"Southbound","NorthBound")</f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>IF(AA20&lt;23,"Y","N")</f>
        <v>N</v>
      </c>
      <c r="X20" s="48">
        <f>VALUE(LEFT(A20,3))-VALUE(LEFT(A19,3))</f>
        <v>1</v>
      </c>
      <c r="Y20" s="48">
        <f>RIGHT(D20,LEN(D20)-4)/10000</f>
        <v>23.299299999999999</v>
      </c>
      <c r="Z20" s="48">
        <f>RIGHT(H20,LEN(H20)-4)/10000</f>
        <v>1.32E-2</v>
      </c>
      <c r="AA20" s="48">
        <f>ABS(Z20-Y20)</f>
        <v>23.286099999999998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79" t="s">
        <v>296</v>
      </c>
      <c r="B21" s="43">
        <v>4011</v>
      </c>
      <c r="C21" s="43" t="s">
        <v>60</v>
      </c>
      <c r="D21" s="43" t="s">
        <v>297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>IF(ISEVEN(B21),(B21-1)&amp;"/"&amp;B21,B21&amp;"/"&amp;(B21+1))</f>
        <v>4011/4012</v>
      </c>
      <c r="L21" s="43" t="str">
        <f>VLOOKUP(A21,'Trips&amp;Operators'!$C$1:$E$10000,3,FALSE)</f>
        <v>KILLION</v>
      </c>
      <c r="M21" s="11">
        <f>I21-F21</f>
        <v>2.9305555552127771E-2</v>
      </c>
      <c r="N21" s="12">
        <f>24*60*SUM($M21:$M21)</f>
        <v>42.19999999506399</v>
      </c>
      <c r="O21" s="12"/>
      <c r="P21" s="12"/>
      <c r="Q21" s="44"/>
      <c r="R21" s="44"/>
      <c r="S21" s="70">
        <f>SUM(U21:U21)/12</f>
        <v>1</v>
      </c>
      <c r="T21" s="2" t="str">
        <f>IF(ISEVEN(LEFT(A21,3)),"Southbound","NorthBound")</f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4.6899999999999997E-2</v>
      </c>
      <c r="Z21" s="48">
        <f>RIGHT(H21,LEN(H21)-4)/10000</f>
        <v>23.328199999999999</v>
      </c>
      <c r="AA21" s="48">
        <f>ABS(Z21-Y21)</f>
        <v>23.281299999999998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79" t="s">
        <v>298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299</v>
      </c>
      <c r="I22" s="25">
        <v>42549.286689814813</v>
      </c>
      <c r="J22" s="43">
        <v>1</v>
      </c>
      <c r="K22" s="43" t="str">
        <f>IF(ISEVEN(B22),(B22-1)&amp;"/"&amp;B22,B22&amp;"/"&amp;(B22+1))</f>
        <v>4011/4012</v>
      </c>
      <c r="L22" s="43" t="str">
        <f>VLOOKUP(A22,'Trips&amp;Operators'!$C$1:$E$10000,3,FALSE)</f>
        <v>KILLION</v>
      </c>
      <c r="M22" s="11">
        <f>I22-F22</f>
        <v>3.2476851847604848E-2</v>
      </c>
      <c r="N22" s="12">
        <f>24*60*SUM($M22:$M22)</f>
        <v>46.766666660550982</v>
      </c>
      <c r="O22" s="12"/>
      <c r="P22" s="12"/>
      <c r="Q22" s="44"/>
      <c r="R22" s="44"/>
      <c r="S22" s="70">
        <f>SUM(U22:U22)/12</f>
        <v>1</v>
      </c>
      <c r="T22" s="2" t="str">
        <f>IF(ISEVEN(LEFT(A22,3)),"Southbound","NorthBound")</f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23.2973</v>
      </c>
      <c r="Z22" s="48">
        <f>RIGHT(H22,LEN(H22)-4)/10000</f>
        <v>2.3199999999999998E-2</v>
      </c>
      <c r="AA22" s="48">
        <f>ABS(Z22-Y22)</f>
        <v>23.274100000000001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79" t="s">
        <v>300</v>
      </c>
      <c r="B23" s="43">
        <v>4027</v>
      </c>
      <c r="C23" s="43" t="s">
        <v>60</v>
      </c>
      <c r="D23" s="43" t="s">
        <v>301</v>
      </c>
      <c r="E23" s="25">
        <v>42549.22997685185</v>
      </c>
      <c r="F23" s="25">
        <v>42549.231134259258</v>
      </c>
      <c r="G23" s="31">
        <v>1</v>
      </c>
      <c r="H23" s="25" t="s">
        <v>302</v>
      </c>
      <c r="I23" s="25">
        <v>42549.259317129632</v>
      </c>
      <c r="J23" s="43">
        <v>0</v>
      </c>
      <c r="K23" s="43" t="str">
        <f>IF(ISEVEN(B23),(B23-1)&amp;"/"&amp;B23,B23&amp;"/"&amp;(B23+1))</f>
        <v>4027/4028</v>
      </c>
      <c r="L23" s="43" t="str">
        <f>VLOOKUP(A23,'Trips&amp;Operators'!$C$1:$E$10000,3,FALSE)</f>
        <v>SPECTOR</v>
      </c>
      <c r="M23" s="11">
        <f>I23-F23</f>
        <v>2.8182870373711921E-2</v>
      </c>
      <c r="N23" s="12">
        <f>24*60*SUM($M23:$M23)</f>
        <v>40.583333338145167</v>
      </c>
      <c r="O23" s="12"/>
      <c r="P23" s="12"/>
      <c r="Q23" s="44"/>
      <c r="R23" s="44"/>
      <c r="S23" s="70">
        <f>SUM(U23:U23)/12</f>
        <v>1</v>
      </c>
      <c r="T23" s="2" t="str">
        <f>IF(ISEVEN(LEFT(A23,3)),"Southbound","NorthBound")</f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7.5899999999999995E-2</v>
      </c>
      <c r="Z23" s="48">
        <f>RIGHT(H23,LEN(H23)-4)/10000</f>
        <v>23.332699999999999</v>
      </c>
      <c r="AA23" s="48">
        <f>ABS(Z23-Y23)</f>
        <v>23.256799999999998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79" t="s">
        <v>303</v>
      </c>
      <c r="B24" s="43">
        <v>4028</v>
      </c>
      <c r="C24" s="43" t="s">
        <v>60</v>
      </c>
      <c r="D24" s="43" t="s">
        <v>304</v>
      </c>
      <c r="E24" s="25">
        <v>42549.26458333333</v>
      </c>
      <c r="F24" s="25">
        <v>42549.265960648147</v>
      </c>
      <c r="G24" s="31">
        <v>1</v>
      </c>
      <c r="H24" s="25" t="s">
        <v>295</v>
      </c>
      <c r="I24" s="25">
        <v>42549.29482638889</v>
      </c>
      <c r="J24" s="43">
        <v>0</v>
      </c>
      <c r="K24" s="43" t="str">
        <f>IF(ISEVEN(B24),(B24-1)&amp;"/"&amp;B24,B24&amp;"/"&amp;(B24+1))</f>
        <v>4027/4028</v>
      </c>
      <c r="L24" s="43" t="str">
        <f>VLOOKUP(A24,'Trips&amp;Operators'!$C$1:$E$10000,3,FALSE)</f>
        <v>SPECTOR</v>
      </c>
      <c r="M24" s="11">
        <f>I24-F24</f>
        <v>2.8865740743640345E-2</v>
      </c>
      <c r="N24" s="12">
        <f>24*60*SUM($M24:$M24)</f>
        <v>41.566666670842096</v>
      </c>
      <c r="O24" s="12"/>
      <c r="P24" s="12"/>
      <c r="Q24" s="44"/>
      <c r="R24" s="44"/>
      <c r="S24" s="70">
        <f>SUM(U24:U24)/12</f>
        <v>1</v>
      </c>
      <c r="T24" s="2" t="str">
        <f>IF(ISEVEN(LEFT(A24,3)),"Southbound","NorthBound")</f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23.3004</v>
      </c>
      <c r="Z24" s="48">
        <f>RIGHT(H24,LEN(H24)-4)/10000</f>
        <v>1.32E-2</v>
      </c>
      <c r="AA24" s="48">
        <f>ABS(Z24-Y24)</f>
        <v>23.287199999999999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79" t="s">
        <v>305</v>
      </c>
      <c r="B25" s="43">
        <v>4044</v>
      </c>
      <c r="C25" s="43" t="s">
        <v>60</v>
      </c>
      <c r="D25" s="43" t="s">
        <v>306</v>
      </c>
      <c r="E25" s="25">
        <v>42549.241550925923</v>
      </c>
      <c r="F25" s="25">
        <v>42549.242592592593</v>
      </c>
      <c r="G25" s="31">
        <v>1</v>
      </c>
      <c r="H25" s="25" t="s">
        <v>307</v>
      </c>
      <c r="I25" s="25">
        <v>42549.267546296294</v>
      </c>
      <c r="J25" s="43">
        <v>0</v>
      </c>
      <c r="K25" s="43" t="str">
        <f>IF(ISEVEN(B25),(B25-1)&amp;"/"&amp;B25,B25&amp;"/"&amp;(B25+1))</f>
        <v>4043/4044</v>
      </c>
      <c r="L25" s="43" t="str">
        <f>VLOOKUP(A25,'Trips&amp;Operators'!$C$1:$E$10000,3,FALSE)</f>
        <v>STARKS</v>
      </c>
      <c r="M25" s="11">
        <f>I25-F25</f>
        <v>2.495370370161254E-2</v>
      </c>
      <c r="N25" s="12">
        <f>24*60*SUM($M25:$M25)</f>
        <v>35.933333330322057</v>
      </c>
      <c r="O25" s="12"/>
      <c r="P25" s="12"/>
      <c r="Q25" s="44"/>
      <c r="R25" s="44"/>
      <c r="S25" s="70">
        <f>SUM(U25:U25)/12</f>
        <v>1</v>
      </c>
      <c r="T25" s="2" t="str">
        <f>IF(ISEVEN(LEFT(A25,3)),"Southbound","NorthBound")</f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0.11559999999999999</v>
      </c>
      <c r="Z25" s="48">
        <f>RIGHT(H25,LEN(H25)-4)/10000</f>
        <v>23.331600000000002</v>
      </c>
      <c r="AA25" s="48">
        <f>ABS(Z25-Y25)</f>
        <v>23.216000000000001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79" t="s">
        <v>308</v>
      </c>
      <c r="B26" s="43">
        <v>4043</v>
      </c>
      <c r="C26" s="43" t="s">
        <v>60</v>
      </c>
      <c r="D26" s="43" t="s">
        <v>309</v>
      </c>
      <c r="E26" s="25">
        <v>42549.275925925926</v>
      </c>
      <c r="F26" s="25">
        <v>42549.277407407404</v>
      </c>
      <c r="G26" s="31">
        <v>2</v>
      </c>
      <c r="H26" s="25" t="s">
        <v>261</v>
      </c>
      <c r="I26" s="25">
        <v>42549.305891203701</v>
      </c>
      <c r="J26" s="43">
        <v>2</v>
      </c>
      <c r="K26" s="43" t="str">
        <f>IF(ISEVEN(B26),(B26-1)&amp;"/"&amp;B26,B26&amp;"/"&amp;(B26+1))</f>
        <v>4043/4044</v>
      </c>
      <c r="L26" s="43" t="str">
        <f>VLOOKUP(A26,'Trips&amp;Operators'!$C$1:$E$10000,3,FALSE)</f>
        <v>STARKS</v>
      </c>
      <c r="M26" s="11">
        <f>I26-F26</f>
        <v>2.8483796297223307E-2</v>
      </c>
      <c r="N26" s="12">
        <f>24*60*SUM($M26:$M26)</f>
        <v>41.016666668001562</v>
      </c>
      <c r="O26" s="12"/>
      <c r="P26" s="12"/>
      <c r="Q26" s="44"/>
      <c r="R26" s="44"/>
      <c r="S26" s="70">
        <f>SUM(U26:U26)/12</f>
        <v>1</v>
      </c>
      <c r="T26" s="2" t="str">
        <f>IF(ISEVEN(LEFT(A26,3)),"Southbound","NorthBound")</f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23.301100000000002</v>
      </c>
      <c r="Z26" s="48">
        <f>RIGHT(H26,LEN(H26)-4)/10000</f>
        <v>5.1299999999999998E-2</v>
      </c>
      <c r="AA26" s="48">
        <f>ABS(Z26-Y26)</f>
        <v>23.2498</v>
      </c>
      <c r="AB26" s="49">
        <f>VLOOKUP(A26,Enforcements!$C$7:$J$32,8,0)</f>
        <v>1</v>
      </c>
      <c r="AC26" s="49" t="str">
        <f>VLOOKUP(A26,Enforcements!$C$7:$E$32,3,0)</f>
        <v>TRACK WARRANT AUTHORITY</v>
      </c>
    </row>
    <row r="27" spans="1:29" s="2" customFormat="1" x14ac:dyDescent="0.25">
      <c r="A27" s="79" t="s">
        <v>310</v>
      </c>
      <c r="B27" s="43">
        <v>4042</v>
      </c>
      <c r="C27" s="43" t="s">
        <v>60</v>
      </c>
      <c r="D27" s="43" t="s">
        <v>311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>IF(ISEVEN(B27),(B27-1)&amp;"/"&amp;B27,B27&amp;"/"&amp;(B27+1))</f>
        <v>4041/4042</v>
      </c>
      <c r="L27" s="43" t="str">
        <f>VLOOKUP(A27,'Trips&amp;Operators'!$C$1:$E$10000,3,FALSE)</f>
        <v>ROCHA</v>
      </c>
      <c r="M27" s="11">
        <f>I27-F27</f>
        <v>2.5370370371092577E-2</v>
      </c>
      <c r="N27" s="12">
        <f>24*60*SUM($M27:$M27)</f>
        <v>36.53333333437331</v>
      </c>
      <c r="O27" s="12"/>
      <c r="P27" s="12"/>
      <c r="Q27" s="44"/>
      <c r="R27" s="44"/>
      <c r="S27" s="70">
        <f>SUM(U27:U27)/12</f>
        <v>1</v>
      </c>
      <c r="T27" s="2" t="str">
        <f>IF(ISEVEN(LEFT(A27,3)),"Southbound","NorthBound")</f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7.4999999999999997E-2</v>
      </c>
      <c r="Z27" s="48">
        <f>RIGHT(H27,LEN(H27)-4)/10000</f>
        <v>23.331900000000001</v>
      </c>
      <c r="AA27" s="48">
        <f>ABS(Z27-Y27)</f>
        <v>23.256900000000002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79" t="s">
        <v>312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313</v>
      </c>
      <c r="I28" s="25">
        <v>42549.315868055557</v>
      </c>
      <c r="J28" s="43">
        <v>0</v>
      </c>
      <c r="K28" s="43" t="str">
        <f>IF(ISEVEN(B28),(B28-1)&amp;"/"&amp;B28,B28&amp;"/"&amp;(B28+1))</f>
        <v>4041/4042</v>
      </c>
      <c r="L28" s="43" t="str">
        <f>VLOOKUP(A28,'Trips&amp;Operators'!$C$1:$E$10000,3,FALSE)</f>
        <v>ROCHA</v>
      </c>
      <c r="M28" s="11">
        <f>I28-F28</f>
        <v>2.8402777781593613E-2</v>
      </c>
      <c r="N28" s="12">
        <f>24*60*SUM($M28:$M28)</f>
        <v>40.900000005494803</v>
      </c>
      <c r="O28" s="12"/>
      <c r="P28" s="12"/>
      <c r="Q28" s="44"/>
      <c r="R28" s="44"/>
      <c r="S28" s="70">
        <f>SUM(U28:U28)/12</f>
        <v>1</v>
      </c>
      <c r="T28" s="2" t="str">
        <f>IF(ISEVEN(LEFT(A28,3)),"Southbound","NorthBound")</f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>IF(AA28&lt;23,"Y","N")</f>
        <v>Y</v>
      </c>
      <c r="X28" s="48">
        <f>VALUE(LEFT(A28,3))-VALUE(LEFT(A27,3))</f>
        <v>1</v>
      </c>
      <c r="Y28" s="48">
        <f>RIGHT(D28,LEN(D28)-4)/10000</f>
        <v>23.299600000000002</v>
      </c>
      <c r="Z28" s="48">
        <f>RIGHT(H28,LEN(H28)-4)/10000</f>
        <v>0.38119999999999998</v>
      </c>
      <c r="AA28" s="48">
        <f>ABS(Z28-Y28)</f>
        <v>22.918400000000002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79" t="s">
        <v>314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315</v>
      </c>
      <c r="I29" s="25">
        <v>42549.268020833333</v>
      </c>
      <c r="J29" s="43">
        <v>0</v>
      </c>
      <c r="K29" s="43" t="str">
        <f>IF(ISEVEN(B29),(B29-1)&amp;"/"&amp;B29,B29&amp;"/"&amp;(B29+1))</f>
        <v>4023/4024</v>
      </c>
      <c r="L29" s="43" t="str">
        <f>VLOOKUP(A29,'Trips&amp;Operators'!$C$1:$E$10000,3,FALSE)</f>
        <v>MAELZER</v>
      </c>
      <c r="M29" s="11">
        <f>I29-F29</f>
        <v>9.1203703705104999E-3</v>
      </c>
      <c r="N29" s="12"/>
      <c r="O29" s="12"/>
      <c r="P29" s="12">
        <f>24*60*SUM($M29:$M29)</f>
        <v>13.13333333353512</v>
      </c>
      <c r="Q29" s="44"/>
      <c r="R29" s="44" t="s">
        <v>644</v>
      </c>
      <c r="S29" s="70">
        <f>SUM(U29:U29)/12</f>
        <v>0.41666666666666669</v>
      </c>
      <c r="T29" s="2" t="str">
        <f>IF(ISEVEN(LEFT(A29,3)),"Southbound","NorthBound")</f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>IF(AA29&lt;23,"Y","N")</f>
        <v>Y</v>
      </c>
      <c r="X29" s="48">
        <f>VALUE(LEFT(A29,3))-VALUE(LEFT(A28,3))</f>
        <v>1</v>
      </c>
      <c r="Y29" s="48">
        <f>RIGHT(D29,LEN(D29)-4)/10000</f>
        <v>4.5499999999999999E-2</v>
      </c>
      <c r="Z29" s="48">
        <f>RIGHT(H29,LEN(H29)-4)/10000</f>
        <v>5.1763000000000003</v>
      </c>
      <c r="AA29" s="48">
        <f>ABS(Z29-Y29)</f>
        <v>5.1308000000000007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79" t="s">
        <v>316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>IF(ISEVEN(B30),(B30-1)&amp;"/"&amp;B30,B30&amp;"/"&amp;(B30+1))</f>
        <v>4023/4024</v>
      </c>
      <c r="L30" s="43" t="str">
        <f>VLOOKUP(A30,'Trips&amp;Operators'!$C$1:$E$10000,3,FALSE)</f>
        <v>MAELZER</v>
      </c>
      <c r="M30" s="11">
        <f>I30-F30</f>
        <v>3.3680555556202307E-2</v>
      </c>
      <c r="N30" s="12">
        <f>24*60*SUM($M30:$M30)</f>
        <v>48.500000000931323</v>
      </c>
      <c r="O30" s="12"/>
      <c r="P30" s="12"/>
      <c r="Q30" s="44"/>
      <c r="R30" s="44"/>
      <c r="S30" s="70">
        <f>SUM(U30:U30)/12</f>
        <v>1</v>
      </c>
      <c r="T30" s="2" t="str">
        <f>IF(ISEVEN(LEFT(A30,3)),"Southbound","NorthBound")</f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23.297699999999999</v>
      </c>
      <c r="Z30" s="48">
        <f>RIGHT(H30,LEN(H30)-4)/10000</f>
        <v>1.38E-2</v>
      </c>
      <c r="AA30" s="48">
        <f>ABS(Z30-Y30)</f>
        <v>23.283899999999999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79" t="s">
        <v>317</v>
      </c>
      <c r="B31" s="43">
        <v>4018</v>
      </c>
      <c r="C31" s="43" t="s">
        <v>60</v>
      </c>
      <c r="D31" s="43" t="s">
        <v>318</v>
      </c>
      <c r="E31" s="25">
        <v>42549.267569444448</v>
      </c>
      <c r="F31" s="25">
        <v>42549.268692129626</v>
      </c>
      <c r="G31" s="31">
        <v>1</v>
      </c>
      <c r="H31" s="25" t="s">
        <v>293</v>
      </c>
      <c r="I31" s="25">
        <v>42549.296597222223</v>
      </c>
      <c r="J31" s="43">
        <v>0</v>
      </c>
      <c r="K31" s="43" t="str">
        <f>IF(ISEVEN(B31),(B31-1)&amp;"/"&amp;B31,B31&amp;"/"&amp;(B31+1))</f>
        <v>4017/4018</v>
      </c>
      <c r="L31" s="43" t="str">
        <f>VLOOKUP(A31,'Trips&amp;Operators'!$C$1:$E$10000,3,FALSE)</f>
        <v>ACKERMAN</v>
      </c>
      <c r="M31" s="11">
        <f>I31-F31</f>
        <v>2.7905092596483883E-2</v>
      </c>
      <c r="N31" s="12">
        <f>24*60*SUM($M31:$M31)</f>
        <v>40.183333338936791</v>
      </c>
      <c r="O31" s="12"/>
      <c r="P31" s="12"/>
      <c r="Q31" s="44"/>
      <c r="R31" s="44"/>
      <c r="S31" s="70">
        <f>SUM(U31:U31)/12</f>
        <v>1</v>
      </c>
      <c r="T31" s="2" t="str">
        <f>IF(ISEVEN(LEFT(A31,3)),"Southbound","NorthBound")</f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>IF(AA31&lt;23,"Y","N")</f>
        <v>N</v>
      </c>
      <c r="X31" s="48">
        <f>VALUE(LEFT(A31,3))-VALUE(LEFT(A30,3))</f>
        <v>1</v>
      </c>
      <c r="Y31" s="48">
        <f>RIGHT(D31,LEN(D31)-4)/10000</f>
        <v>4.2900000000000001E-2</v>
      </c>
      <c r="Z31" s="48">
        <f>RIGHT(H31,LEN(H31)-4)/10000</f>
        <v>23.331</v>
      </c>
      <c r="AA31" s="48">
        <f>ABS(Z31-Y31)</f>
        <v>23.2881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79" t="s">
        <v>319</v>
      </c>
      <c r="B32" s="43">
        <v>4017</v>
      </c>
      <c r="C32" s="43" t="s">
        <v>60</v>
      </c>
      <c r="D32" s="43" t="s">
        <v>320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>IF(ISEVEN(B32),(B32-1)&amp;"/"&amp;B32,B32&amp;"/"&amp;(B32+1))</f>
        <v>4017/4018</v>
      </c>
      <c r="L32" s="43" t="str">
        <f>VLOOKUP(A32,'Trips&amp;Operators'!$C$1:$E$10000,3,FALSE)</f>
        <v>ACKERMAN</v>
      </c>
      <c r="M32" s="11">
        <f>I32-F32</f>
        <v>3.1504629630944692E-2</v>
      </c>
      <c r="N32" s="12">
        <f>24*60*SUM($M32:$M32)</f>
        <v>45.366666668560356</v>
      </c>
      <c r="O32" s="12"/>
      <c r="P32" s="12"/>
      <c r="Q32" s="44"/>
      <c r="R32" s="44"/>
      <c r="S32" s="70">
        <f>SUM(U32:U32)/12</f>
        <v>1</v>
      </c>
      <c r="T32" s="2" t="str">
        <f>IF(ISEVEN(LEFT(A32,3)),"Southbound","NorthBound")</f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23.3</v>
      </c>
      <c r="Z32" s="48">
        <f>RIGHT(H32,LEN(H32)-4)/10000</f>
        <v>1.61E-2</v>
      </c>
      <c r="AA32" s="48">
        <f>ABS(Z32-Y32)</f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79" t="s">
        <v>321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>IF(ISEVEN(B33),(B33-1)&amp;"/"&amp;B33,B33&amp;"/"&amp;(B33+1))</f>
        <v>4019/4020</v>
      </c>
      <c r="L33" s="43" t="str">
        <f>VLOOKUP(A33,'Trips&amp;Operators'!$C$1:$E$10000,3,FALSE)</f>
        <v>GEBRETEKLE</v>
      </c>
      <c r="M33" s="11">
        <f>I33-F33</f>
        <v>2.6747685187729076E-2</v>
      </c>
      <c r="N33" s="12">
        <f>24*60*SUM($M33:$M33)</f>
        <v>38.516666670329869</v>
      </c>
      <c r="O33" s="12"/>
      <c r="P33" s="12"/>
      <c r="Q33" s="44"/>
      <c r="R33" s="44"/>
      <c r="S33" s="70">
        <f>SUM(U33:U33)/12</f>
        <v>1</v>
      </c>
      <c r="T33" s="2" t="str">
        <f>IF(ISEVEN(LEFT(A33,3)),"Southbound","NorthBound")</f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4.58E-2</v>
      </c>
      <c r="Z33" s="48">
        <f>RIGHT(H33,LEN(H33)-4)/10000</f>
        <v>23.330100000000002</v>
      </c>
      <c r="AA33" s="48">
        <f>ABS(Z33-Y33)</f>
        <v>23.284300000000002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79" t="s">
        <v>322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251</v>
      </c>
      <c r="I34" s="25">
        <v>42549.346412037034</v>
      </c>
      <c r="J34" s="43">
        <v>1</v>
      </c>
      <c r="K34" s="43" t="str">
        <f>IF(ISEVEN(B34),(B34-1)&amp;"/"&amp;B34,B34&amp;"/"&amp;(B34+1))</f>
        <v>4019/4020</v>
      </c>
      <c r="L34" s="43" t="str">
        <f>VLOOKUP(A34,'Trips&amp;Operators'!$C$1:$E$10000,3,FALSE)</f>
        <v>GEBRETEKLE</v>
      </c>
      <c r="M34" s="11">
        <f>I34-F34</f>
        <v>2.9664351844985504E-2</v>
      </c>
      <c r="N34" s="12">
        <f>24*60*SUM($M34:$M34)</f>
        <v>42.716666656779125</v>
      </c>
      <c r="O34" s="12"/>
      <c r="P34" s="12"/>
      <c r="Q34" s="44"/>
      <c r="R34" s="44"/>
      <c r="S34" s="70">
        <f>SUM(U34:U34)/12</f>
        <v>1</v>
      </c>
      <c r="T34" s="2" t="str">
        <f>IF(ISEVEN(LEFT(A34,3)),"Southbound","NorthBound")</f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>IF(AA34&lt;23,"Y","N")</f>
        <v>N</v>
      </c>
      <c r="X34" s="48">
        <f>VALUE(LEFT(A34,3))-VALUE(LEFT(A33,3))</f>
        <v>1</v>
      </c>
      <c r="Y34" s="48">
        <f>RIGHT(D34,LEN(D34)-4)/10000</f>
        <v>23.297499999999999</v>
      </c>
      <c r="Z34" s="48">
        <f>RIGHT(H34,LEN(H34)-4)/10000</f>
        <v>1.34E-2</v>
      </c>
      <c r="AA34" s="48">
        <f>ABS(Z34-Y34)</f>
        <v>23.284099999999999</v>
      </c>
      <c r="AB34" s="49">
        <f>VLOOKUP(A34,Enforcements!$C$7:$J$32,8,0)</f>
        <v>1</v>
      </c>
      <c r="AC34" s="49" t="str">
        <f>VLOOKUP(A34,Enforcements!$C$7:$E$32,3,0)</f>
        <v>TRACK WARRANT AUTHORITY</v>
      </c>
    </row>
    <row r="35" spans="1:29" s="2" customFormat="1" x14ac:dyDescent="0.25">
      <c r="A35" s="79" t="s">
        <v>323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266</v>
      </c>
      <c r="I35" s="25">
        <v>42549.31758101852</v>
      </c>
      <c r="J35" s="43">
        <v>1</v>
      </c>
      <c r="K35" s="43" t="str">
        <f>IF(ISEVEN(B35),(B35-1)&amp;"/"&amp;B35,B35&amp;"/"&amp;(B35+1))</f>
        <v>4011/4012</v>
      </c>
      <c r="L35" s="43" t="str">
        <f>VLOOKUP(A35,'Trips&amp;Operators'!$C$1:$E$10000,3,FALSE)</f>
        <v>KILLION</v>
      </c>
      <c r="M35" s="11">
        <f>I35-F35</f>
        <v>2.810185185080627E-2</v>
      </c>
      <c r="N35" s="12">
        <f>24*60*SUM($M35:$M35)</f>
        <v>40.466666665161029</v>
      </c>
      <c r="O35" s="12"/>
      <c r="P35" s="12"/>
      <c r="Q35" s="44"/>
      <c r="R35" s="44"/>
      <c r="S35" s="70">
        <f>SUM(U35:U35)/12</f>
        <v>1</v>
      </c>
      <c r="T35" s="2" t="str">
        <f>IF(ISEVEN(LEFT(A35,3)),"Southbound","NorthBound")</f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>IF(AA35&lt;23,"Y","N")</f>
        <v>N</v>
      </c>
      <c r="X35" s="48">
        <f>VALUE(LEFT(A35,3))-VALUE(LEFT(A34,3))</f>
        <v>1</v>
      </c>
      <c r="Y35" s="48">
        <f>RIGHT(D35,LEN(D35)-4)/10000</f>
        <v>5.1700000000000003E-2</v>
      </c>
      <c r="Z35" s="48">
        <f>RIGHT(H35,LEN(H35)-4)/10000</f>
        <v>23.330200000000001</v>
      </c>
      <c r="AA35" s="48">
        <f>ABS(Z35-Y35)</f>
        <v>23.278500000000001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79" t="s">
        <v>324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>IF(ISEVEN(B36),(B36-1)&amp;"/"&amp;B36,B36&amp;"/"&amp;(B36+1))</f>
        <v>4011/4012</v>
      </c>
      <c r="L36" s="43" t="str">
        <f>VLOOKUP(A36,'Trips&amp;Operators'!$C$1:$E$10000,3,FALSE)</f>
        <v>KILLION</v>
      </c>
      <c r="M36" s="11">
        <f>I36-F36</f>
        <v>3.2129629624250811E-2</v>
      </c>
      <c r="N36" s="12">
        <f>24*60*SUM($M36:$M36)</f>
        <v>46.266666658921167</v>
      </c>
      <c r="O36" s="12"/>
      <c r="P36" s="12"/>
      <c r="Q36" s="44"/>
      <c r="R36" s="44"/>
      <c r="S36" s="70">
        <f>SUM(U36:U36)/12</f>
        <v>1</v>
      </c>
      <c r="T36" s="2" t="str">
        <f>IF(ISEVEN(LEFT(A36,3)),"Southbound","NorthBound")</f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>IF(AA36&lt;23,"Y","N")</f>
        <v>N</v>
      </c>
      <c r="X36" s="48">
        <f>VALUE(LEFT(A36,3))-VALUE(LEFT(A35,3))</f>
        <v>1</v>
      </c>
      <c r="Y36" s="48">
        <f>RIGHT(D36,LEN(D36)-4)/10000</f>
        <v>23.2974</v>
      </c>
      <c r="Z36" s="48">
        <f>RIGHT(H36,LEN(H36)-4)/10000</f>
        <v>1.5800000000000002E-2</v>
      </c>
      <c r="AA36" s="48">
        <f>ABS(Z36-Y36)</f>
        <v>23.281600000000001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79" t="s">
        <v>325</v>
      </c>
      <c r="B37" s="43">
        <v>4027</v>
      </c>
      <c r="C37" s="43" t="s">
        <v>60</v>
      </c>
      <c r="D37" s="43" t="s">
        <v>326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>IF(ISEVEN(B37),(B37-1)&amp;"/"&amp;B37,B37&amp;"/"&amp;(B37+1))</f>
        <v>4027/4028</v>
      </c>
      <c r="L37" s="43" t="str">
        <f>VLOOKUP(A37,'Trips&amp;Operators'!$C$1:$E$10000,3,FALSE)</f>
        <v>SPECTOR</v>
      </c>
      <c r="M37" s="11">
        <f>I37-F37</f>
        <v>2.899305555911269E-2</v>
      </c>
      <c r="N37" s="12">
        <f>24*60*SUM($M37:$M37)</f>
        <v>41.750000005122274</v>
      </c>
      <c r="O37" s="12"/>
      <c r="P37" s="12"/>
      <c r="Q37" s="44"/>
      <c r="R37" s="44"/>
      <c r="S37" s="70">
        <f>SUM(U37:U37)/12</f>
        <v>1</v>
      </c>
      <c r="T37" s="2" t="str">
        <f>IF(ISEVEN(LEFT(A37,3)),"Southbound","NorthBound")</f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>IF(AA37&lt;23,"Y","N")</f>
        <v>N</v>
      </c>
      <c r="X37" s="48">
        <f>VALUE(LEFT(A37,3))-VALUE(LEFT(A36,3))</f>
        <v>1</v>
      </c>
      <c r="Y37" s="48">
        <f>RIGHT(D37,LEN(D37)-4)/10000</f>
        <v>4.3299999999999998E-2</v>
      </c>
      <c r="Z37" s="48">
        <f>RIGHT(H37,LEN(H37)-4)/10000</f>
        <v>23.331199999999999</v>
      </c>
      <c r="AA37" s="48">
        <f>ABS(Z37-Y37)</f>
        <v>23.2879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79" t="s">
        <v>327</v>
      </c>
      <c r="B38" s="43">
        <v>4028</v>
      </c>
      <c r="C38" s="43" t="s">
        <v>60</v>
      </c>
      <c r="D38" s="43" t="s">
        <v>239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>IF(ISEVEN(B38),(B38-1)&amp;"/"&amp;B38,B38&amp;"/"&amp;(B38+1))</f>
        <v>4027/4028</v>
      </c>
      <c r="L38" s="43" t="str">
        <f>VLOOKUP(A38,'Trips&amp;Operators'!$C$1:$E$10000,3,FALSE)</f>
        <v>SPECTOR</v>
      </c>
      <c r="M38" s="11">
        <f>I38-F38</f>
        <v>3.1504629630944692E-2</v>
      </c>
      <c r="N38" s="12">
        <f>24*60*SUM($M38:$M38)</f>
        <v>45.366666668560356</v>
      </c>
      <c r="O38" s="12"/>
      <c r="P38" s="12"/>
      <c r="Q38" s="44"/>
      <c r="R38" s="44"/>
      <c r="S38" s="70">
        <f>SUM(U38:U38)/12</f>
        <v>1</v>
      </c>
      <c r="T38" s="2" t="str">
        <f>IF(ISEVEN(LEFT(A38,3)),"Southbound","NorthBound")</f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23.2988</v>
      </c>
      <c r="Z38" s="48">
        <f>RIGHT(H38,LEN(H38)-4)/10000</f>
        <v>1.43E-2</v>
      </c>
      <c r="AA38" s="48">
        <f>ABS(Z38-Y38)</f>
        <v>23.284500000000001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80" t="s">
        <v>328</v>
      </c>
      <c r="B39" s="43">
        <v>4044</v>
      </c>
      <c r="C39" s="43" t="s">
        <v>60</v>
      </c>
      <c r="D39" s="43" t="s">
        <v>329</v>
      </c>
      <c r="E39" s="25">
        <v>42549.308229166665</v>
      </c>
      <c r="F39" s="25">
        <v>42549.309062499997</v>
      </c>
      <c r="G39" s="31">
        <v>1</v>
      </c>
      <c r="H39" s="25" t="s">
        <v>330</v>
      </c>
      <c r="I39" s="25">
        <v>42549.338020833333</v>
      </c>
      <c r="J39" s="43">
        <v>1</v>
      </c>
      <c r="K39" s="43" t="str">
        <f>IF(ISEVEN(B39),(B39-1)&amp;"/"&amp;B39,B39&amp;"/"&amp;(B39+1))</f>
        <v>4043/4044</v>
      </c>
      <c r="L39" s="43" t="str">
        <f>VLOOKUP(A39,'Trips&amp;Operators'!$C$1:$E$10000,3,FALSE)</f>
        <v>STARKS</v>
      </c>
      <c r="M39" s="11">
        <f>I39-F39</f>
        <v>2.8958333336049691E-2</v>
      </c>
      <c r="N39" s="12">
        <f>24*60*SUM($M39:$M39)</f>
        <v>41.700000003911555</v>
      </c>
      <c r="O39" s="12"/>
      <c r="P39" s="12"/>
      <c r="Q39" s="44"/>
      <c r="R39" s="44"/>
      <c r="S39" s="70">
        <f>SUM(U39:U39)/12</f>
        <v>1</v>
      </c>
      <c r="T39" s="2" t="str">
        <f>IF(ISEVEN(LEFT(A39,3)),"Southbound","NorthBound")</f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4.1500000000000002E-2</v>
      </c>
      <c r="Z39" s="48">
        <f>RIGHT(H39,LEN(H39)-4)/10000</f>
        <v>23.328700000000001</v>
      </c>
      <c r="AA39" s="48">
        <f>ABS(Z39-Y39)</f>
        <v>23.287200000000002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79" t="s">
        <v>331</v>
      </c>
      <c r="B40" s="43">
        <v>4043</v>
      </c>
      <c r="C40" s="43" t="s">
        <v>60</v>
      </c>
      <c r="D40" s="43" t="s">
        <v>237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>IF(ISEVEN(B40),(B40-1)&amp;"/"&amp;B40,B40&amp;"/"&amp;(B40+1))</f>
        <v>4043/4044</v>
      </c>
      <c r="L40" s="43" t="str">
        <f>VLOOKUP(A40,'Trips&amp;Operators'!$C$1:$E$10000,3,FALSE)</f>
        <v>STARKS</v>
      </c>
      <c r="M40" s="11">
        <f>I40-F40</f>
        <v>3.326388888672227E-2</v>
      </c>
      <c r="N40" s="12">
        <f>24*60*SUM($M40:$M40)</f>
        <v>47.899999996880069</v>
      </c>
      <c r="O40" s="12"/>
      <c r="P40" s="12"/>
      <c r="Q40" s="44"/>
      <c r="R40" s="44"/>
      <c r="S40" s="70">
        <f>SUM(U40:U40)/12</f>
        <v>1</v>
      </c>
      <c r="T40" s="2" t="str">
        <f>IF(ISEVEN(LEFT(A40,3)),"Southbound","NorthBound")</f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23.2987</v>
      </c>
      <c r="Z40" s="48">
        <f>RIGHT(H40,LEN(H40)-4)/10000</f>
        <v>1.54E-2</v>
      </c>
      <c r="AA40" s="48">
        <f>ABS(Z40-Y40)</f>
        <v>23.283300000000001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79" t="s">
        <v>332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>IF(ISEVEN(B41),(B41-1)&amp;"/"&amp;B41,B41&amp;"/"&amp;(B41+1))</f>
        <v>4025/4026</v>
      </c>
      <c r="L41" s="43" t="str">
        <f>VLOOKUP(A41,'Trips&amp;Operators'!$C$1:$E$10000,3,FALSE)</f>
        <v>ROCHA</v>
      </c>
      <c r="M41" s="11">
        <f>I41-F41</f>
        <v>2.4826388886140194E-2</v>
      </c>
      <c r="N41" s="12">
        <f>24*60*SUM($M41:$M41)</f>
        <v>35.749999996041879</v>
      </c>
      <c r="O41" s="12"/>
      <c r="P41" s="12"/>
      <c r="Q41" s="44"/>
      <c r="R41" s="44"/>
      <c r="S41" s="70">
        <f>SUM(U41:U41)/12</f>
        <v>1</v>
      </c>
      <c r="T41" s="2" t="str">
        <f>IF(ISEVEN(LEFT(A41,3)),"Southbound","NorthBound")</f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4.4699999999999997E-2</v>
      </c>
      <c r="Z41" s="48">
        <f>RIGHT(H41,LEN(H41)-4)/10000</f>
        <v>23.329499999999999</v>
      </c>
      <c r="AA41" s="48">
        <f>ABS(Z41-Y41)</f>
        <v>23.284800000000001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79" t="s">
        <v>333</v>
      </c>
      <c r="B42" s="43">
        <v>4026</v>
      </c>
      <c r="C42" s="43" t="s">
        <v>60</v>
      </c>
      <c r="D42" s="43" t="s">
        <v>245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>IF(ISEVEN(B42),(B42-1)&amp;"/"&amp;B42,B42&amp;"/"&amp;(B42+1))</f>
        <v>4025/4026</v>
      </c>
      <c r="L42" s="43" t="str">
        <f>VLOOKUP(A42,'Trips&amp;Operators'!$C$1:$E$10000,3,FALSE)</f>
        <v>ROCHA</v>
      </c>
      <c r="M42" s="11">
        <f>I42-F42</f>
        <v>2.6030092594737653E-2</v>
      </c>
      <c r="N42" s="12">
        <f>24*60*SUM($M42:$M42)</f>
        <v>37.48333333642222</v>
      </c>
      <c r="O42" s="12"/>
      <c r="P42" s="12"/>
      <c r="Q42" s="44"/>
      <c r="R42" s="44"/>
      <c r="S42" s="70">
        <f>SUM(U42:U42)/12</f>
        <v>1</v>
      </c>
      <c r="T42" s="2" t="str">
        <f>IF(ISEVEN(LEFT(A42,3)),"Southbound","NorthBound")</f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>IF(AA42&lt;23,"Y","N")</f>
        <v>N</v>
      </c>
      <c r="X42" s="48">
        <f>VALUE(LEFT(A42,3))-VALUE(LEFT(A41,3))</f>
        <v>1</v>
      </c>
      <c r="Y42" s="48">
        <f>RIGHT(D42,LEN(D42)-4)/10000</f>
        <v>23.297999999999998</v>
      </c>
      <c r="Z42" s="48">
        <f>RIGHT(H42,LEN(H42)-4)/10000</f>
        <v>1.4999999999999999E-2</v>
      </c>
      <c r="AA42" s="48">
        <f>ABS(Z42-Y42)</f>
        <v>23.282999999999998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79" t="s">
        <v>334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335</v>
      </c>
      <c r="I43" s="25">
        <v>42549.341886574075</v>
      </c>
      <c r="J43" s="43">
        <v>0</v>
      </c>
      <c r="K43" s="43" t="str">
        <f>IF(ISEVEN(B43),(B43-1)&amp;"/"&amp;B43,B43&amp;"/"&amp;(B43+1))</f>
        <v>4023/4024</v>
      </c>
      <c r="L43" s="43" t="str">
        <f>VLOOKUP(A43,'Trips&amp;Operators'!$C$1:$E$10000,3,FALSE)</f>
        <v>MAELZER</v>
      </c>
      <c r="M43" s="11">
        <f>I43-F43</f>
        <v>1.2708333335467614E-2</v>
      </c>
      <c r="N43" s="12"/>
      <c r="O43" s="12"/>
      <c r="P43" s="12">
        <f>24*60*SUM($M43:$M43)</f>
        <v>18.300000003073364</v>
      </c>
      <c r="Q43" s="44"/>
      <c r="R43" s="44" t="s">
        <v>644</v>
      </c>
      <c r="S43" s="70">
        <f>SUM(U43:U43)/12</f>
        <v>0.5</v>
      </c>
      <c r="T43" s="2" t="str">
        <f>IF(ISEVEN(LEFT(A43,3)),"Southbound","NorthBound")</f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>IF(AA43&lt;23,"Y","N")</f>
        <v>Y</v>
      </c>
      <c r="X43" s="48">
        <f>VALUE(LEFT(A43,3))-VALUE(LEFT(A42,3))</f>
        <v>1</v>
      </c>
      <c r="Y43" s="48">
        <f>RIGHT(D43,LEN(D43)-4)/10000</f>
        <v>4.6399999999999997E-2</v>
      </c>
      <c r="Z43" s="48">
        <f>RIGHT(H43,LEN(H43)-4)/10000</f>
        <v>5.3273999999999999</v>
      </c>
      <c r="AA43" s="48">
        <f>ABS(Z43-Y43)</f>
        <v>5.2809999999999997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79" t="s">
        <v>336</v>
      </c>
      <c r="B44" s="43">
        <v>4023</v>
      </c>
      <c r="C44" s="43" t="s">
        <v>60</v>
      </c>
      <c r="D44" s="43" t="s">
        <v>320</v>
      </c>
      <c r="E44" s="25">
        <v>42549.3669212963</v>
      </c>
      <c r="F44" s="25">
        <v>42549.367766203701</v>
      </c>
      <c r="G44" s="31">
        <v>1</v>
      </c>
      <c r="H44" s="25" t="s">
        <v>337</v>
      </c>
      <c r="I44" s="25">
        <v>42549.399733796294</v>
      </c>
      <c r="J44" s="43">
        <v>0</v>
      </c>
      <c r="K44" s="43" t="str">
        <f>IF(ISEVEN(B44),(B44-1)&amp;"/"&amp;B44,B44&amp;"/"&amp;(B44+1))</f>
        <v>4023/4024</v>
      </c>
      <c r="L44" s="43" t="str">
        <f>VLOOKUP(A44,'Trips&amp;Operators'!$C$1:$E$10000,3,FALSE)</f>
        <v>MAELZER</v>
      </c>
      <c r="M44" s="11">
        <f>I44-F44</f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>SUM(U44:U44)/12</f>
        <v>1</v>
      </c>
      <c r="T44" s="2" t="str">
        <f>IF(ISEVEN(LEFT(A44,3)),"Southbound","NorthBound")</f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>IF(AA44&lt;23,"Y","N")</f>
        <v>Y</v>
      </c>
      <c r="X44" s="48">
        <f>VALUE(LEFT(A44,3))-VALUE(LEFT(A43,3))</f>
        <v>1</v>
      </c>
      <c r="Y44" s="48">
        <f>RIGHT(D44,LEN(D44)-4)/10000</f>
        <v>23.3</v>
      </c>
      <c r="Z44" s="48">
        <f>RIGHT(H44,LEN(H44)-4)/10000</f>
        <v>0.38719999999999999</v>
      </c>
      <c r="AA44" s="48">
        <f>ABS(Z44-Y44)</f>
        <v>22.912800000000001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79" t="s">
        <v>338</v>
      </c>
      <c r="B45" s="43">
        <v>4018</v>
      </c>
      <c r="C45" s="43" t="s">
        <v>60</v>
      </c>
      <c r="D45" s="43" t="s">
        <v>236</v>
      </c>
      <c r="E45" s="25">
        <v>42549.340370370373</v>
      </c>
      <c r="F45" s="25">
        <v>42549.341828703706</v>
      </c>
      <c r="G45" s="31">
        <v>2</v>
      </c>
      <c r="H45" s="25" t="s">
        <v>339</v>
      </c>
      <c r="I45" s="25">
        <v>42549.351678240739</v>
      </c>
      <c r="J45" s="43">
        <v>0</v>
      </c>
      <c r="K45" s="43" t="str">
        <f>IF(ISEVEN(B45),(B45-1)&amp;"/"&amp;B45,B45&amp;"/"&amp;(B45+1))</f>
        <v>4017/4018</v>
      </c>
      <c r="L45" s="43" t="str">
        <f>VLOOKUP(A45,'Trips&amp;Operators'!$C$1:$E$10000,3,FALSE)</f>
        <v>CUSHING</v>
      </c>
      <c r="M45" s="11">
        <f>I45-F45</f>
        <v>9.8495370330056176E-3</v>
      </c>
      <c r="N45" s="12"/>
      <c r="O45" s="12"/>
      <c r="P45" s="12">
        <f>24*60*SUM($M45:$M45)</f>
        <v>14.183333327528089</v>
      </c>
      <c r="Q45" s="44"/>
      <c r="R45" s="44" t="s">
        <v>645</v>
      </c>
      <c r="S45" s="70">
        <f>SUM(U45:U45)/12</f>
        <v>0.41666666666666669</v>
      </c>
      <c r="T45" s="2" t="str">
        <f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>IF(AA45&lt;23,"Y","N")</f>
        <v>Y</v>
      </c>
      <c r="X45" s="48">
        <f>VALUE(LEFT(A45,3))-VALUE(LEFT(A44,3))</f>
        <v>1</v>
      </c>
      <c r="Y45" s="48">
        <f>RIGHT(D45,LEN(D45)-4)/10000</f>
        <v>4.4600000000000001E-2</v>
      </c>
      <c r="Z45" s="48">
        <f>RIGHT(H45,LEN(H45)-4)/10000</f>
        <v>4.8400999999999996</v>
      </c>
      <c r="AA45" s="48">
        <f>ABS(Z45-Y45)</f>
        <v>4.7954999999999997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79" t="s">
        <v>340</v>
      </c>
      <c r="B46" s="43">
        <v>4017</v>
      </c>
      <c r="C46" s="43" t="s">
        <v>60</v>
      </c>
      <c r="D46" s="43" t="s">
        <v>250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>IF(ISEVEN(B46),(B46-1)&amp;"/"&amp;B46,B46&amp;"/"&amp;(B46+1))</f>
        <v>4017/4018</v>
      </c>
      <c r="L46" s="43" t="str">
        <f>VLOOKUP(A46,'Trips&amp;Operators'!$C$1:$E$10000,3,FALSE)</f>
        <v>CUSHING</v>
      </c>
      <c r="M46" s="11">
        <f>I46-F46</f>
        <v>3.0266203706560191E-2</v>
      </c>
      <c r="N46" s="12">
        <f>24*60*SUM($M46:$M46)</f>
        <v>43.583333337446675</v>
      </c>
      <c r="O46" s="12"/>
      <c r="P46" s="12"/>
      <c r="Q46" s="44"/>
      <c r="R46" s="44"/>
      <c r="S46" s="70">
        <f>SUM(U46:U46)/12</f>
        <v>1</v>
      </c>
      <c r="T46" s="2" t="str">
        <f>IF(ISEVEN(LEFT(A46,3)),"Southbound","NorthBound")</f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23.296700000000001</v>
      </c>
      <c r="Z46" s="48">
        <v>0.01</v>
      </c>
      <c r="AA46" s="48">
        <f>ABS(Z46-Y46)</f>
        <v>23.2867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79" t="s">
        <v>341</v>
      </c>
      <c r="B47" s="43">
        <v>4020</v>
      </c>
      <c r="C47" s="43" t="s">
        <v>60</v>
      </c>
      <c r="D47" s="43" t="s">
        <v>342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>IF(ISEVEN(B47),(B47-1)&amp;"/"&amp;B47,B47&amp;"/"&amp;(B47+1))</f>
        <v>4019/4020</v>
      </c>
      <c r="L47" s="43" t="str">
        <f>VLOOKUP(A47,'Trips&amp;Operators'!$C$1:$E$10000,3,FALSE)</f>
        <v>GEBRETEKLE</v>
      </c>
      <c r="M47" s="11">
        <f>I47-F47</f>
        <v>3.0462962968158536E-2</v>
      </c>
      <c r="N47" s="12">
        <f>24*60*SUM($M47:$M47)</f>
        <v>43.866666674148291</v>
      </c>
      <c r="O47" s="12"/>
      <c r="P47" s="12"/>
      <c r="Q47" s="44"/>
      <c r="R47" s="44"/>
      <c r="S47" s="70">
        <f>SUM(U47:U47)/12</f>
        <v>1</v>
      </c>
      <c r="T47" s="2" t="str">
        <f>IF(ISEVEN(LEFT(A47,3)),"Southbound","NorthBound")</f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>IF(AA47&lt;23,"Y","N")</f>
        <v>N</v>
      </c>
      <c r="X47" s="48">
        <f>VALUE(LEFT(A47,3))-VALUE(LEFT(A46,3))</f>
        <v>1</v>
      </c>
      <c r="Y47" s="48">
        <f>RIGHT(D47,LEN(D47)-4)/10000</f>
        <v>4.2000000000000003E-2</v>
      </c>
      <c r="Z47" s="48">
        <f>RIGHT(H47,LEN(H47)-4)/10000</f>
        <v>23.33</v>
      </c>
      <c r="AA47" s="48">
        <f>ABS(Z47-Y47)</f>
        <v>23.287999999999997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79" t="s">
        <v>343</v>
      </c>
      <c r="B48" s="43">
        <v>4019</v>
      </c>
      <c r="C48" s="43" t="s">
        <v>60</v>
      </c>
      <c r="D48" s="43" t="s">
        <v>244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>IF(ISEVEN(B48),(B48-1)&amp;"/"&amp;B48,B48&amp;"/"&amp;(B48+1))</f>
        <v>4019/4020</v>
      </c>
      <c r="L48" s="43" t="str">
        <f>VLOOKUP(A48,'Trips&amp;Operators'!$C$1:$E$10000,3,FALSE)</f>
        <v>GEBRETEKLE</v>
      </c>
      <c r="M48" s="11">
        <f>I48-F48</f>
        <v>3.1365740738692693E-2</v>
      </c>
      <c r="N48" s="12">
        <f>24*60*SUM($M48:$M48)</f>
        <v>45.166666663717479</v>
      </c>
      <c r="O48" s="12"/>
      <c r="P48" s="12"/>
      <c r="Q48" s="44"/>
      <c r="R48" s="44"/>
      <c r="S48" s="70">
        <f>SUM(U48:U48)/12</f>
        <v>1</v>
      </c>
      <c r="T48" s="2" t="str">
        <f>IF(ISEVEN(LEFT(A48,3)),"Southbound","NorthBound")</f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23.2989</v>
      </c>
      <c r="Z48" s="48">
        <f>RIGHT(H48,LEN(H48)-4)/10000</f>
        <v>1.54E-2</v>
      </c>
      <c r="AA48" s="48">
        <f>ABS(Z48-Y48)</f>
        <v>23.2835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79" t="s">
        <v>344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345</v>
      </c>
      <c r="I49" s="25">
        <v>42549.391805555555</v>
      </c>
      <c r="J49" s="43">
        <v>1</v>
      </c>
      <c r="K49" s="43" t="str">
        <f>IF(ISEVEN(B49),(B49-1)&amp;"/"&amp;B49,B49&amp;"/"&amp;(B49+1))</f>
        <v>4011/4012</v>
      </c>
      <c r="L49" s="43" t="str">
        <f>VLOOKUP(A49,'Trips&amp;Operators'!$C$1:$E$10000,3,FALSE)</f>
        <v>KILLION</v>
      </c>
      <c r="M49" s="11">
        <f>I49-F49</f>
        <v>3.0925925922929309E-2</v>
      </c>
      <c r="N49" s="12">
        <f>24*60*SUM($M49:$M49)</f>
        <v>44.533333329018205</v>
      </c>
      <c r="O49" s="12"/>
      <c r="P49" s="12"/>
      <c r="Q49" s="44"/>
      <c r="R49" s="44"/>
      <c r="S49" s="70">
        <f>SUM(U49:U49)/12</f>
        <v>1</v>
      </c>
      <c r="T49" s="2" t="str">
        <f>IF(ISEVEN(LEFT(A49,3)),"Southbound","NorthBound")</f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4.5100000000000001E-2</v>
      </c>
      <c r="Z49" s="48">
        <f>RIGHT(H49,LEN(H49)-4)/10000</f>
        <v>23.328399999999998</v>
      </c>
      <c r="AA49" s="48">
        <f>ABS(Z49-Y49)</f>
        <v>23.283299999999997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79" t="s">
        <v>346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>IF(ISEVEN(B50),(B50-1)&amp;"/"&amp;B50,B50&amp;"/"&amp;(B50+1))</f>
        <v>4011/4012</v>
      </c>
      <c r="L50" s="43" t="str">
        <f>VLOOKUP(A50,'Trips&amp;Operators'!$C$1:$E$10000,3,FALSE)</f>
        <v>KILLION</v>
      </c>
      <c r="M50" s="11">
        <f>I50-F50</f>
        <v>3.5023148149775807E-2</v>
      </c>
      <c r="N50" s="12">
        <f>24*60*SUM($M50:$M50)</f>
        <v>50.433333335677162</v>
      </c>
      <c r="O50" s="12"/>
      <c r="P50" s="12"/>
      <c r="Q50" s="44"/>
      <c r="R50" s="44"/>
      <c r="S50" s="70">
        <f>SUM(U50:U50)/12</f>
        <v>1</v>
      </c>
      <c r="T50" s="2" t="str">
        <f>IF(ISEVEN(LEFT(A50,3)),"Southbound","NorthBound")</f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>IF(AA50&lt;23,"Y","N")</f>
        <v>N</v>
      </c>
      <c r="X50" s="48">
        <f>VALUE(LEFT(A50,3))-VALUE(LEFT(A49,3))</f>
        <v>1</v>
      </c>
      <c r="Y50" s="48">
        <f>RIGHT(D50,LEN(D50)-4)/10000</f>
        <v>23.2973</v>
      </c>
      <c r="Z50" s="48">
        <f>RIGHT(H50,LEN(H50)-4)/10000</f>
        <v>1.61E-2</v>
      </c>
      <c r="AA50" s="48">
        <f>ABS(Z50-Y50)</f>
        <v>23.281199999999998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79" t="s">
        <v>347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302</v>
      </c>
      <c r="I51" s="25">
        <v>42549.402719907404</v>
      </c>
      <c r="J51" s="43">
        <v>0</v>
      </c>
      <c r="K51" s="43" t="str">
        <f>IF(ISEVEN(B51),(B51-1)&amp;"/"&amp;B51,B51&amp;"/"&amp;(B51+1))</f>
        <v>4027/4028</v>
      </c>
      <c r="L51" s="43" t="str">
        <f>VLOOKUP(A51,'Trips&amp;Operators'!$C$1:$E$10000,3,FALSE)</f>
        <v>SPECTOR</v>
      </c>
      <c r="M51" s="11">
        <f>I51-F51</f>
        <v>2.9421296290820464E-2</v>
      </c>
      <c r="N51" s="12">
        <f>24*60*SUM($M51:$M51)</f>
        <v>42.366666658781469</v>
      </c>
      <c r="O51" s="12"/>
      <c r="P51" s="12"/>
      <c r="Q51" s="44"/>
      <c r="R51" s="44"/>
      <c r="S51" s="70">
        <f>SUM(U51:U51)/12</f>
        <v>1</v>
      </c>
      <c r="T51" s="2" t="str">
        <f>IF(ISEVEN(LEFT(A51,3)),"Southbound","NorthBound")</f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>IF(AA51&lt;23,"Y","N")</f>
        <v>N</v>
      </c>
      <c r="X51" s="48">
        <f>VALUE(LEFT(A51,3))-VALUE(LEFT(A50,3))</f>
        <v>1</v>
      </c>
      <c r="Y51" s="48">
        <f>RIGHT(D51,LEN(D51)-4)/10000</f>
        <v>4.4200000000000003E-2</v>
      </c>
      <c r="Z51" s="48">
        <f>RIGHT(H51,LEN(H51)-4)/10000</f>
        <v>23.332699999999999</v>
      </c>
      <c r="AA51" s="48">
        <f>ABS(Z51-Y51)</f>
        <v>23.288499999999999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79" t="s">
        <v>348</v>
      </c>
      <c r="B52" s="43">
        <v>4028</v>
      </c>
      <c r="C52" s="43" t="s">
        <v>60</v>
      </c>
      <c r="D52" s="43" t="s">
        <v>349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>IF(ISEVEN(B52),(B52-1)&amp;"/"&amp;B52,B52&amp;"/"&amp;(B52+1))</f>
        <v>4027/4028</v>
      </c>
      <c r="L52" s="43" t="str">
        <f>VLOOKUP(A52,'Trips&amp;Operators'!$C$1:$E$10000,3,FALSE)</f>
        <v>SPECTOR</v>
      </c>
      <c r="M52" s="11">
        <f>I52-F52</f>
        <v>2.9999999998835847E-2</v>
      </c>
      <c r="N52" s="12">
        <f>24*60*SUM($M52:$M52)</f>
        <v>43.199999998323619</v>
      </c>
      <c r="O52" s="12"/>
      <c r="P52" s="12"/>
      <c r="Q52" s="44"/>
      <c r="R52" s="44"/>
      <c r="S52" s="70">
        <f>SUM(U52:U52)/12</f>
        <v>1</v>
      </c>
      <c r="T52" s="2" t="str">
        <f>IF(ISEVEN(LEFT(A52,3)),"Southbound","NorthBound")</f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23.3019</v>
      </c>
      <c r="Z52" s="48">
        <f>RIGHT(H52,LEN(H52)-4)/10000</f>
        <v>1.47E-2</v>
      </c>
      <c r="AA52" s="48">
        <f>ABS(Z52-Y52)</f>
        <v>23.287199999999999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79" t="s">
        <v>350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>IF(ISEVEN(B53),(B53-1)&amp;"/"&amp;B53,B53&amp;"/"&amp;(B53+1))</f>
        <v>4043/4044</v>
      </c>
      <c r="L53" s="43" t="str">
        <f>VLOOKUP(A53,'Trips&amp;Operators'!$C$1:$E$10000,3,FALSE)</f>
        <v>STARKS</v>
      </c>
      <c r="M53" s="11">
        <f>I53-F53</f>
        <v>2.8888888889923692E-2</v>
      </c>
      <c r="N53" s="12">
        <f>24*60*SUM($M53:$M53)</f>
        <v>41.600000001490116</v>
      </c>
      <c r="O53" s="12"/>
      <c r="P53" s="12"/>
      <c r="Q53" s="44"/>
      <c r="R53" s="44"/>
      <c r="S53" s="70">
        <f>SUM(U53:U53)/12</f>
        <v>1</v>
      </c>
      <c r="T53" s="2" t="str">
        <f>IF(ISEVEN(LEFT(A53,3)),"Southbound","NorthBound")</f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4.4200000000000003E-2</v>
      </c>
      <c r="Z53" s="48">
        <f>RIGHT(H53,LEN(H53)-4)/10000</f>
        <v>23.329699999999999</v>
      </c>
      <c r="AA53" s="48">
        <f>ABS(Z53-Y53)</f>
        <v>23.285499999999999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79" t="s">
        <v>351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>IF(ISEVEN(B54),(B54-1)&amp;"/"&amp;B54,B54&amp;"/"&amp;(B54+1))</f>
        <v>4043/4044</v>
      </c>
      <c r="L54" s="43" t="str">
        <f>VLOOKUP(A54,'Trips&amp;Operators'!$C$1:$E$10000,3,FALSE)</f>
        <v>STARKS</v>
      </c>
      <c r="M54" s="11">
        <f>I54-F54</f>
        <v>2.9756944444670808E-2</v>
      </c>
      <c r="N54" s="12">
        <f>24*60*SUM($M54:$M54)</f>
        <v>42.850000000325963</v>
      </c>
      <c r="O54" s="12"/>
      <c r="P54" s="12"/>
      <c r="Q54" s="44"/>
      <c r="R54" s="44"/>
      <c r="S54" s="70">
        <f>SUM(U54:U54)/12</f>
        <v>1</v>
      </c>
      <c r="T54" s="2" t="str">
        <f>IF(ISEVEN(LEFT(A54,3)),"Southbound","NorthBound")</f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>IF(AA54&lt;23,"Y","N")</f>
        <v>N</v>
      </c>
      <c r="X54" s="48">
        <f>VALUE(LEFT(A54,3))-VALUE(LEFT(A53,3))</f>
        <v>1</v>
      </c>
      <c r="Y54" s="48">
        <f>RIGHT(D54,LEN(D54)-4)/10000</f>
        <v>23.298400000000001</v>
      </c>
      <c r="Z54" s="48">
        <f>RIGHT(H54,LEN(H54)-4)/10000</f>
        <v>1.49E-2</v>
      </c>
      <c r="AA54" s="48">
        <f>ABS(Z54-Y54)</f>
        <v>23.2835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79" t="s">
        <v>352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293</v>
      </c>
      <c r="I55" s="25">
        <v>42549.421284722222</v>
      </c>
      <c r="J55" s="43">
        <v>1</v>
      </c>
      <c r="K55" s="43" t="str">
        <f>IF(ISEVEN(B55),(B55-1)&amp;"/"&amp;B55,B55&amp;"/"&amp;(B55+1))</f>
        <v>4025/4026</v>
      </c>
      <c r="L55" s="43" t="str">
        <f>VLOOKUP(A55,'Trips&amp;Operators'!$C$1:$E$10000,3,FALSE)</f>
        <v>ROCHA</v>
      </c>
      <c r="M55" s="11">
        <f>I55-F55</f>
        <v>3.1701388892543036E-2</v>
      </c>
      <c r="N55" s="12">
        <f>24*60*SUM($M55:$M55)</f>
        <v>45.650000005261973</v>
      </c>
      <c r="O55" s="12"/>
      <c r="P55" s="12"/>
      <c r="Q55" s="44"/>
      <c r="R55" s="44"/>
      <c r="S55" s="70">
        <f>SUM(U55:U55)/12</f>
        <v>1</v>
      </c>
      <c r="T55" s="2" t="str">
        <f>IF(ISEVEN(LEFT(A55,3)),"Southbound","NorthBound")</f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>IF(AA55&lt;23,"Y","N")</f>
        <v>N</v>
      </c>
      <c r="X55" s="48">
        <f>VALUE(LEFT(A55,3))-VALUE(LEFT(A54,3))</f>
        <v>1</v>
      </c>
      <c r="Y55" s="48">
        <f>RIGHT(D55,LEN(D55)-4)/10000</f>
        <v>4.58E-2</v>
      </c>
      <c r="Z55" s="48">
        <f>RIGHT(H55,LEN(H55)-4)/10000</f>
        <v>23.331</v>
      </c>
      <c r="AA55" s="48">
        <f>ABS(Z55-Y55)</f>
        <v>23.2852</v>
      </c>
      <c r="AB55" s="49">
        <f>VLOOKUP(A55,Enforcements!$C$7:$J$32,8,0)</f>
        <v>224578</v>
      </c>
      <c r="AC55" s="49" t="str">
        <f>VLOOKUP(A55,Enforcements!$C$7:$E$32,3,0)</f>
        <v>PERMANENT SPEED RESTRICTION</v>
      </c>
    </row>
    <row r="56" spans="1:29" s="2" customFormat="1" x14ac:dyDescent="0.25">
      <c r="A56" s="80" t="s">
        <v>353</v>
      </c>
      <c r="B56" s="43">
        <v>4026</v>
      </c>
      <c r="C56" s="43" t="s">
        <v>60</v>
      </c>
      <c r="D56" s="43" t="s">
        <v>354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>IF(ISEVEN(B56),(B56-1)&amp;"/"&amp;B56,B56&amp;"/"&amp;(B56+1))</f>
        <v>4025/4026</v>
      </c>
      <c r="L56" s="43" t="str">
        <f>VLOOKUP(A56,'Trips&amp;Operators'!$C$1:$E$10000,3,FALSE)</f>
        <v>ROCHA</v>
      </c>
      <c r="M56" s="11">
        <f>I56-F56</f>
        <v>2.4861111116479151E-2</v>
      </c>
      <c r="N56" s="12">
        <f>24*60*SUM($M56:$M56)</f>
        <v>35.800000007729977</v>
      </c>
      <c r="O56" s="12"/>
      <c r="P56" s="12"/>
      <c r="Q56" s="44"/>
      <c r="R56" s="44"/>
      <c r="S56" s="70">
        <f>SUM(U56:U56)/12</f>
        <v>1</v>
      </c>
      <c r="T56" s="2" t="str">
        <f>IF(ISEVEN(LEFT(A56,3)),"Southbound","NorthBound")</f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23.150099999999998</v>
      </c>
      <c r="Z56" s="48">
        <f>RIGHT(H56,LEN(H56)-4)/10000</f>
        <v>1.43E-2</v>
      </c>
      <c r="AA56" s="48">
        <f>ABS(Z56-Y56)</f>
        <v>23.1358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79" t="s">
        <v>355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>IF(ISEVEN(B57),(B57-1)&amp;"/"&amp;B57,B57&amp;"/"&amp;(B57+1))</f>
        <v>4041/4042</v>
      </c>
      <c r="L57" s="43" t="str">
        <f>VLOOKUP(A57,'Trips&amp;Operators'!$C$1:$E$10000,3,FALSE)</f>
        <v>MAELZER</v>
      </c>
      <c r="M57" s="11">
        <f>I57-F57</f>
        <v>2.6562500002910383E-2</v>
      </c>
      <c r="N57" s="12">
        <f>24*60*SUM($M57:$M57)</f>
        <v>38.250000004190952</v>
      </c>
      <c r="O57" s="12"/>
      <c r="P57" s="12"/>
      <c r="Q57" s="44"/>
      <c r="R57" s="44"/>
      <c r="S57" s="70">
        <f>SUM(U57:U57)/12</f>
        <v>1</v>
      </c>
      <c r="T57" s="2" t="str">
        <f>IF(ISEVEN(LEFT(A57,3)),"Southbound","NorthBound")</f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>IF(AA57&lt;23,"Y","N")</f>
        <v>N</v>
      </c>
      <c r="X57" s="48">
        <f>VALUE(LEFT(A57,3))-VALUE(LEFT(A56,3))</f>
        <v>1</v>
      </c>
      <c r="Y57" s="48">
        <f>RIGHT(D57,LEN(D57)-4)/10000</f>
        <v>4.5100000000000001E-2</v>
      </c>
      <c r="Z57" s="48">
        <f>RIGHT(H57,LEN(H57)-4)/10000</f>
        <v>23.329499999999999</v>
      </c>
      <c r="AA57" s="48">
        <f>ABS(Z57-Y57)</f>
        <v>23.284399999999998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79" t="s">
        <v>356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>IF(ISEVEN(B58),(B58-1)&amp;"/"&amp;B58,B58&amp;"/"&amp;(B58+1))</f>
        <v>4041/4042</v>
      </c>
      <c r="L58" s="43" t="str">
        <f>VLOOKUP(A58,'Trips&amp;Operators'!$C$1:$E$10000,3,FALSE)</f>
        <v>MAELZER</v>
      </c>
      <c r="M58" s="11">
        <f>I58-F58</f>
        <v>3.217592593136942E-2</v>
      </c>
      <c r="N58" s="12">
        <f>24*60*SUM($M58:$M58)</f>
        <v>46.333333341171965</v>
      </c>
      <c r="O58" s="12"/>
      <c r="P58" s="12"/>
      <c r="Q58" s="44"/>
      <c r="R58" s="44"/>
      <c r="S58" s="70">
        <f>SUM(U58:U58)/12</f>
        <v>1</v>
      </c>
      <c r="T58" s="2" t="str">
        <f>IF(ISEVEN(LEFT(A58,3)),"Southbound","NorthBound")</f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>IF(AA58&lt;23,"Y","N")</f>
        <v>N</v>
      </c>
      <c r="X58" s="48">
        <f>VALUE(LEFT(A58,3))-VALUE(LEFT(A57,3))</f>
        <v>1</v>
      </c>
      <c r="Y58" s="48">
        <f>RIGHT(D58,LEN(D58)-4)/10000</f>
        <v>23.298200000000001</v>
      </c>
      <c r="Z58" s="48">
        <f>RIGHT(H58,LEN(H58)-4)/10000</f>
        <v>1.54E-2</v>
      </c>
      <c r="AA58" s="48">
        <f>ABS(Z58-Y58)</f>
        <v>23.282800000000002</v>
      </c>
      <c r="AB58" s="49">
        <f>VLOOKUP(A58,Enforcements!$C$7:$J$32,8,0)</f>
        <v>127587</v>
      </c>
      <c r="AC58" s="49" t="str">
        <f>VLOOKUP(A58,Enforcements!$C$7:$E$32,3,0)</f>
        <v>SIGNAL</v>
      </c>
    </row>
    <row r="59" spans="1:29" s="2" customFormat="1" x14ac:dyDescent="0.25">
      <c r="A59" s="79" t="s">
        <v>357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>IF(ISEVEN(B59),(B59-1)&amp;"/"&amp;B59,B59&amp;"/"&amp;(B59+1))</f>
        <v>4017/4018</v>
      </c>
      <c r="L59" s="43" t="str">
        <f>VLOOKUP(A59,'Trips&amp;Operators'!$C$1:$E$10000,3,FALSE)</f>
        <v>CUSHING</v>
      </c>
      <c r="M59" s="11">
        <f>I59-F59</f>
        <v>3.0208333337213844E-2</v>
      </c>
      <c r="N59" s="12">
        <f>24*60*SUM($M59:$M59)</f>
        <v>43.500000005587935</v>
      </c>
      <c r="O59" s="12"/>
      <c r="P59" s="12"/>
      <c r="Q59" s="44"/>
      <c r="R59" s="44"/>
      <c r="S59" s="70">
        <f>SUM(U59:U59)/12</f>
        <v>1</v>
      </c>
      <c r="T59" s="2" t="str">
        <f>IF(ISEVEN(LEFT(A59,3)),"Southbound","NorthBound")</f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4.9099999999999998E-2</v>
      </c>
      <c r="Z59" s="48">
        <f>RIGHT(H59,LEN(H59)-4)/10000</f>
        <v>23.331199999999999</v>
      </c>
      <c r="AA59" s="48">
        <f>ABS(Z59-Y59)</f>
        <v>23.2821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79" t="s">
        <v>358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>IF(ISEVEN(B60),(B60-1)&amp;"/"&amp;B60,B60&amp;"/"&amp;(B60+1))</f>
        <v>4017/4018</v>
      </c>
      <c r="L60" s="43" t="str">
        <f>VLOOKUP(A60,'Trips&amp;Operators'!$C$1:$E$10000,3,FALSE)</f>
        <v>CUSHING</v>
      </c>
      <c r="M60" s="11">
        <f>I60-F60</f>
        <v>3.2106481477967463E-2</v>
      </c>
      <c r="N60" s="12">
        <f>24*60*SUM($M60:$M60)</f>
        <v>46.233333328273147</v>
      </c>
      <c r="O60" s="12"/>
      <c r="P60" s="12"/>
      <c r="Q60" s="44"/>
      <c r="R60" s="44"/>
      <c r="S60" s="70">
        <f>SUM(U60:U60)/12</f>
        <v>1</v>
      </c>
      <c r="T60" s="2" t="str">
        <f>IF(ISEVEN(LEFT(A60,3)),"Southbound","NorthBound")</f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>IF(AA60&lt;23,"Y","N")</f>
        <v>N</v>
      </c>
      <c r="X60" s="48">
        <f>VALUE(LEFT(A60,3))-VALUE(LEFT(A59,3))</f>
        <v>1</v>
      </c>
      <c r="Y60" s="48">
        <f>RIGHT(D60,LEN(D60)-4)/10000</f>
        <v>23.299399999999999</v>
      </c>
      <c r="Z60" s="48">
        <f>RIGHT(H60,LEN(H60)-4)/10000</f>
        <v>1.47E-2</v>
      </c>
      <c r="AA60" s="48">
        <f>ABS(Z60-Y60)</f>
        <v>23.284699999999997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79" t="s">
        <v>359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360</v>
      </c>
      <c r="I61" s="25">
        <v>42549.4531712963</v>
      </c>
      <c r="J61" s="43">
        <v>0</v>
      </c>
      <c r="K61" s="43" t="str">
        <f>IF(ISEVEN(B61),(B61-1)&amp;"/"&amp;B61,B61&amp;"/"&amp;(B61+1))</f>
        <v>4019/4020</v>
      </c>
      <c r="L61" s="43" t="str">
        <f>VLOOKUP(A61,'Trips&amp;Operators'!$C$1:$E$10000,3,FALSE)</f>
        <v>STAMBAUGH</v>
      </c>
      <c r="M61" s="11">
        <f>I61-F61</f>
        <v>2.8923611112986691E-2</v>
      </c>
      <c r="N61" s="12">
        <f>24*60*SUM($M61:$M61)</f>
        <v>41.650000002700835</v>
      </c>
      <c r="O61" s="12"/>
      <c r="P61" s="12"/>
      <c r="Q61" s="44"/>
      <c r="R61" s="44"/>
      <c r="S61" s="70">
        <f>SUM(U61:U61)/12</f>
        <v>1</v>
      </c>
      <c r="T61" s="2" t="str">
        <f>IF(ISEVEN(LEFT(A61,3)),"Southbound","NorthBound")</f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>IF(AA61&lt;23,"Y","N")</f>
        <v>N</v>
      </c>
      <c r="X61" s="48">
        <f>VALUE(LEFT(A61,3))-VALUE(LEFT(A60,3))</f>
        <v>1</v>
      </c>
      <c r="Y61" s="48">
        <f>RIGHT(D61,LEN(D61)-4)/10000</f>
        <v>4.5100000000000001E-2</v>
      </c>
      <c r="Z61" s="48">
        <f>RIGHT(H61,LEN(H61)-4)/10000</f>
        <v>23.327000000000002</v>
      </c>
      <c r="AA61" s="48">
        <f>ABS(Z61-Y61)</f>
        <v>23.2819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79" t="s">
        <v>361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251</v>
      </c>
      <c r="I62" s="25">
        <v>42549.492280092592</v>
      </c>
      <c r="J62" s="43">
        <v>0</v>
      </c>
      <c r="K62" s="43" t="str">
        <f>IF(ISEVEN(B62),(B62-1)&amp;"/"&amp;B62,B62&amp;"/"&amp;(B62+1))</f>
        <v>4019/4020</v>
      </c>
      <c r="L62" s="43" t="str">
        <f>VLOOKUP(A62,'Trips&amp;Operators'!$C$1:$E$10000,3,FALSE)</f>
        <v>STAMBAUGH</v>
      </c>
      <c r="M62" s="11">
        <f>I62-F62</f>
        <v>3.1145833330811001E-2</v>
      </c>
      <c r="N62" s="12">
        <f>24*60*SUM($M62:$M62)</f>
        <v>44.849999996367842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23.2971</v>
      </c>
      <c r="Z62" s="48">
        <f>RIGHT(H62,LEN(H62)-4)/10000</f>
        <v>1.34E-2</v>
      </c>
      <c r="AA62" s="48">
        <f>ABS(Z62-Y62)</f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79" t="s">
        <v>362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42549.434004629627</v>
      </c>
      <c r="G63" s="31">
        <v>3</v>
      </c>
      <c r="H63" s="25" t="s">
        <v>297</v>
      </c>
      <c r="I63" s="25">
        <v>42549.435671296298</v>
      </c>
      <c r="J63" s="43">
        <v>0</v>
      </c>
      <c r="K63" s="43" t="str">
        <f>IF(ISEVEN(B63),(B63-1)&amp;"/"&amp;B63,B63&amp;"/"&amp;(B63+1))</f>
        <v>4011/4012</v>
      </c>
      <c r="L63" s="43" t="str">
        <f>VLOOKUP(A63,'Trips&amp;Operators'!$C$1:$E$10000,3,FALSE)</f>
        <v>GEBRETEKLE</v>
      </c>
      <c r="M63" s="11">
        <f>I63-F63</f>
        <v>1.6666666706441902E-3</v>
      </c>
      <c r="N63" s="12"/>
      <c r="O63" s="12"/>
      <c r="P63" s="12">
        <f>24*60*SUM($M63:$M63)</f>
        <v>2.4000000057276338</v>
      </c>
      <c r="Q63" s="44"/>
      <c r="R63" s="44" t="s">
        <v>645</v>
      </c>
      <c r="S63" s="70">
        <f>SUM(U63:U63)/12</f>
        <v>0</v>
      </c>
      <c r="T63" s="2" t="str">
        <f>IF(ISEVEN(LEFT(A63,3)),"Southbound","NorthBound")</f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>IF(AA63&lt;23,"Y","N")</f>
        <v>Y</v>
      </c>
      <c r="X63" s="48">
        <f>VALUE(LEFT(A63,3))-VALUE(LEFT(A62,3))</f>
        <v>1</v>
      </c>
      <c r="Y63" s="48">
        <f>RIGHT(D63,LEN(D63)-4)/10000</f>
        <v>4.6199999999999998E-2</v>
      </c>
      <c r="Z63" s="48">
        <f>RIGHT(H63,LEN(H63)-4)/10000</f>
        <v>4.6899999999999997E-2</v>
      </c>
      <c r="AA63" s="48">
        <f>ABS(Z63-Y63)</f>
        <v>6.9999999999999923E-4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79" t="s">
        <v>363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364</v>
      </c>
      <c r="I64" s="25">
        <v>42549.503923611112</v>
      </c>
      <c r="J64" s="43">
        <v>0</v>
      </c>
      <c r="K64" s="43" t="str">
        <f>IF(ISEVEN(B64),(B64-1)&amp;"/"&amp;B64,B64&amp;"/"&amp;(B64+1))</f>
        <v>4011/4012</v>
      </c>
      <c r="L64" s="43" t="str">
        <f>VLOOKUP(A64,'Trips&amp;Operators'!$C$1:$E$10000,3,FALSE)</f>
        <v>GEBRETEKLE</v>
      </c>
      <c r="M64" s="11">
        <f>I64-F64</f>
        <v>3.0081018521741498E-2</v>
      </c>
      <c r="N64" s="12">
        <f>24*60*SUM($M64:$M64)</f>
        <v>43.316666671307757</v>
      </c>
      <c r="O64" s="12"/>
      <c r="P64" s="12"/>
      <c r="Q64" s="44"/>
      <c r="R64" s="44"/>
      <c r="S64" s="70">
        <f>SUM(U64:U64)/12</f>
        <v>1</v>
      </c>
      <c r="T64" s="2" t="str">
        <f>IF(ISEVEN(LEFT(A64,3)),"Southbound","NorthBound")</f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23.299099999999999</v>
      </c>
      <c r="Z64" s="48">
        <f>RIGHT(H64,LEN(H64)-4)/10000</f>
        <v>0.1179</v>
      </c>
      <c r="AA64" s="48">
        <f>ABS(Z64-Y64)</f>
        <v>23.1812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80" t="s">
        <v>365</v>
      </c>
      <c r="B65" s="43">
        <v>4027</v>
      </c>
      <c r="C65" s="43" t="s">
        <v>60</v>
      </c>
      <c r="D65" s="43" t="s">
        <v>366</v>
      </c>
      <c r="E65" s="25">
        <v>42549.44394675926</v>
      </c>
      <c r="F65" s="25">
        <v>42549.4450462963</v>
      </c>
      <c r="G65" s="31">
        <v>1</v>
      </c>
      <c r="H65" s="25" t="s">
        <v>367</v>
      </c>
      <c r="I65" s="25">
        <v>42549.474259259259</v>
      </c>
      <c r="J65" s="43">
        <v>0</v>
      </c>
      <c r="K65" s="43" t="str">
        <f>IF(ISEVEN(B65),(B65-1)&amp;"/"&amp;B65,B65&amp;"/"&amp;(B65+1))</f>
        <v>4027/4028</v>
      </c>
      <c r="L65" s="43" t="str">
        <f>VLOOKUP(A65,'Trips&amp;Operators'!$C$1:$E$10000,3,FALSE)</f>
        <v>BONDS</v>
      </c>
      <c r="M65" s="11">
        <f>I65-F65</f>
        <v>2.9212962959718425E-2</v>
      </c>
      <c r="N65" s="12">
        <f>24*60*SUM($M65:$M65)</f>
        <v>42.066666661994532</v>
      </c>
      <c r="O65" s="12"/>
      <c r="P65" s="12"/>
      <c r="Q65" s="44"/>
      <c r="R65" s="44"/>
      <c r="S65" s="70">
        <f>SUM(U65:U65)/12</f>
        <v>1</v>
      </c>
      <c r="T65" s="2" t="str">
        <f>IF(ISEVEN(LEFT(A65,3)),"Southbound","NorthBound")</f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>IF(AA65&lt;23,"Y","N")</f>
        <v>N</v>
      </c>
      <c r="X65" s="48">
        <f>VALUE(LEFT(A65,3))-VALUE(LEFT(A64,3))</f>
        <v>1</v>
      </c>
      <c r="Y65" s="48">
        <f>RIGHT(D65,LEN(D65)-4)/10000</f>
        <v>4.3799999999999999E-2</v>
      </c>
      <c r="Z65" s="48">
        <v>233326</v>
      </c>
      <c r="AA65" s="48">
        <f>ABS(Z65-Y65)</f>
        <v>233325.95619999999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79" t="s">
        <v>368</v>
      </c>
      <c r="B66" s="43">
        <v>4028</v>
      </c>
      <c r="C66" s="43" t="s">
        <v>60</v>
      </c>
      <c r="D66" s="43" t="s">
        <v>369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>IF(ISEVEN(B66),(B66-1)&amp;"/"&amp;B66,B66&amp;"/"&amp;(B66+1))</f>
        <v>4027/4028</v>
      </c>
      <c r="L66" s="43" t="str">
        <f>VLOOKUP(A66,'Trips&amp;Operators'!$C$1:$E$10000,3,FALSE)</f>
        <v>BONDS</v>
      </c>
      <c r="M66" s="11">
        <f>I66-F66</f>
        <v>3.4282407410501037E-2</v>
      </c>
      <c r="N66" s="12">
        <f>24*60*SUM($M66:$M66)</f>
        <v>49.366666671121493</v>
      </c>
      <c r="O66" s="12"/>
      <c r="P66" s="12"/>
      <c r="Q66" s="44"/>
      <c r="R66" s="44"/>
      <c r="S66" s="70">
        <f>SUM(U66:U66)/12</f>
        <v>1</v>
      </c>
      <c r="T66" s="2" t="str">
        <f>IF(ISEVEN(LEFT(A66,3)),"Southbound","NorthBound")</f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23.302099999999999</v>
      </c>
      <c r="Z66" s="48">
        <f>RIGHT(H66,LEN(H66)-4)/10000</f>
        <v>1.47E-2</v>
      </c>
      <c r="AA66" s="48">
        <f>ABS(Z66-Y66)</f>
        <v>23.287399999999998</v>
      </c>
      <c r="AB66" s="49">
        <f>VLOOKUP(A66,Enforcements!$C$7:$J$32,8,0)</f>
        <v>231147</v>
      </c>
      <c r="AC66" s="49" t="str">
        <f>VLOOKUP(A66,Enforcements!$C$7:$E$32,3,0)</f>
        <v>SWITCH UNKNOWN</v>
      </c>
    </row>
    <row r="67" spans="1:29" s="2" customFormat="1" x14ac:dyDescent="0.25">
      <c r="A67" s="79" t="s">
        <v>370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293</v>
      </c>
      <c r="I67" s="25">
        <v>42549.484247685185</v>
      </c>
      <c r="J67" s="43">
        <v>0</v>
      </c>
      <c r="K67" s="43" t="str">
        <f>IF(ISEVEN(B67),(B67-1)&amp;"/"&amp;B67,B67&amp;"/"&amp;(B67+1))</f>
        <v>4043/4044</v>
      </c>
      <c r="L67" s="43" t="str">
        <f>VLOOKUP(A67,'Trips&amp;Operators'!$C$1:$E$10000,3,FALSE)</f>
        <v>SPECTOR</v>
      </c>
      <c r="M67" s="11">
        <f>I67-F67</f>
        <v>2.7777777773735579E-2</v>
      </c>
      <c r="N67" s="12">
        <f>24*60*SUM($M67:$M67)</f>
        <v>39.999999994179234</v>
      </c>
      <c r="O67" s="12"/>
      <c r="P67" s="12"/>
      <c r="Q67" s="44"/>
      <c r="R67" s="44"/>
      <c r="S67" s="70">
        <f>SUM(U67:U67)/12</f>
        <v>1</v>
      </c>
      <c r="T67" s="2" t="str">
        <f>IF(ISEVEN(LEFT(A67,3)),"Southbound","NorthBound")</f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4.5499999999999999E-2</v>
      </c>
      <c r="Z67" s="48">
        <f>RIGHT(H67,LEN(H67)-4)/10000</f>
        <v>23.331</v>
      </c>
      <c r="AA67" s="48">
        <f>ABS(Z67-Y67)</f>
        <v>23.285499999999999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79" t="s">
        <v>371</v>
      </c>
      <c r="B68" s="43">
        <v>4043</v>
      </c>
      <c r="C68" s="43" t="s">
        <v>60</v>
      </c>
      <c r="D68" s="43" t="s">
        <v>237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>IF(ISEVEN(B68),(B68-1)&amp;"/"&amp;B68,B68&amp;"/"&amp;(B68+1))</f>
        <v>4043/4044</v>
      </c>
      <c r="L68" s="43" t="str">
        <f>VLOOKUP(A68,'Trips&amp;Operators'!$C$1:$E$10000,3,FALSE)</f>
        <v>SPECTOR</v>
      </c>
      <c r="M68" s="11">
        <f>I68-F68</f>
        <v>3.2650462962919846E-2</v>
      </c>
      <c r="N68" s="12">
        <f>24*60*SUM($M68:$M68)</f>
        <v>47.016666666604578</v>
      </c>
      <c r="O68" s="12"/>
      <c r="P68" s="12"/>
      <c r="Q68" s="44"/>
      <c r="R68" s="44"/>
      <c r="S68" s="70">
        <f>SUM(U68:U68)/12</f>
        <v>1</v>
      </c>
      <c r="T68" s="2" t="str">
        <f>IF(ISEVEN(LEFT(A68,3)),"Southbound","NorthBound")</f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23.2987</v>
      </c>
      <c r="Z68" s="48">
        <f>RIGHT(H68,LEN(H68)-4)/10000</f>
        <v>1.47E-2</v>
      </c>
      <c r="AA68" s="48">
        <f>ABS(Z68-Y68)</f>
        <v>23.283999999999999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79" t="s">
        <v>372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373</v>
      </c>
      <c r="I69" s="25">
        <v>42549.494768518518</v>
      </c>
      <c r="J69" s="43">
        <v>1</v>
      </c>
      <c r="K69" s="43" t="str">
        <f>IF(ISEVEN(B69),(B69-1)&amp;"/"&amp;B69,B69&amp;"/"&amp;(B69+1))</f>
        <v>4025/4026</v>
      </c>
      <c r="L69" s="43" t="str">
        <f>VLOOKUP(A69,'Trips&amp;Operators'!$C$1:$E$10000,3,FALSE)</f>
        <v>SHOOK</v>
      </c>
      <c r="M69" s="11">
        <f>I69-F69</f>
        <v>2.7337962965248153E-2</v>
      </c>
      <c r="N69" s="12">
        <f>24*60*SUM($M69:$M69)</f>
        <v>39.36666666995734</v>
      </c>
      <c r="O69" s="12"/>
      <c r="P69" s="12"/>
      <c r="Q69" s="44"/>
      <c r="R69" s="44"/>
      <c r="S69" s="70">
        <f>SUM(U69:U69)/12</f>
        <v>1</v>
      </c>
      <c r="T69" s="2" t="str">
        <f>IF(ISEVEN(LEFT(A69,3)),"Southbound","NorthBound")</f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>IF(AA69&lt;23,"Y","N")</f>
        <v>N</v>
      </c>
      <c r="X69" s="48">
        <f>VALUE(LEFT(A69,3))-VALUE(LEFT(A68,3))</f>
        <v>1</v>
      </c>
      <c r="Y69" s="48">
        <f>RIGHT(D69,LEN(D69)-4)/10000</f>
        <v>4.58E-2</v>
      </c>
      <c r="Z69" s="48">
        <f>RIGHT(H69,LEN(H69)-4)/10000</f>
        <v>23.335999999999999</v>
      </c>
      <c r="AA69" s="48">
        <f>ABS(Z69-Y69)</f>
        <v>23.290199999999999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79" t="s">
        <v>374</v>
      </c>
      <c r="B70" s="43">
        <v>4026</v>
      </c>
      <c r="C70" s="43" t="s">
        <v>60</v>
      </c>
      <c r="D70" s="43" t="s">
        <v>375</v>
      </c>
      <c r="E70" s="25">
        <v>42549.505046296297</v>
      </c>
      <c r="F70" s="25">
        <v>42549.506354166668</v>
      </c>
      <c r="G70" s="31">
        <v>1</v>
      </c>
      <c r="H70" s="25" t="s">
        <v>376</v>
      </c>
      <c r="I70" s="25">
        <v>42549.523912037039</v>
      </c>
      <c r="J70" s="43">
        <v>0</v>
      </c>
      <c r="K70" s="43" t="str">
        <f>IF(ISEVEN(B70),(B70-1)&amp;"/"&amp;B70,B70&amp;"/"&amp;(B70+1))</f>
        <v>4025/4026</v>
      </c>
      <c r="L70" s="43" t="str">
        <f>VLOOKUP(A70,'Trips&amp;Operators'!$C$1:$E$10000,3,FALSE)</f>
        <v>SHOOK</v>
      </c>
      <c r="M70" s="11">
        <f>I70-F70</f>
        <v>1.7557870371092577E-2</v>
      </c>
      <c r="N70" s="12"/>
      <c r="O70" s="12"/>
      <c r="P70" s="12">
        <f>24*60*SUM($M70:$M70)</f>
        <v>25.28333333437331</v>
      </c>
      <c r="Q70" s="44"/>
      <c r="R70" s="44" t="s">
        <v>644</v>
      </c>
      <c r="S70" s="70">
        <f>SUM(U70:U70)/12</f>
        <v>0.16666666666666666</v>
      </c>
      <c r="T70" s="2" t="str">
        <f>IF(ISEVEN(LEFT(A70,3)),"Southbound","NorthBound")</f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>IF(AA70&lt;23,"Y","N")</f>
        <v>Y</v>
      </c>
      <c r="X70" s="48">
        <f>VALUE(LEFT(A70,3))-VALUE(LEFT(A69,3))</f>
        <v>1</v>
      </c>
      <c r="Y70" s="48">
        <f>RIGHT(D70,LEN(D70)-4)/10000</f>
        <v>23.304400000000001</v>
      </c>
      <c r="Z70" s="48">
        <f>RIGHT(H70,LEN(H70)-4)/10000</f>
        <v>7.9112999999999998</v>
      </c>
      <c r="AA70" s="48">
        <f>ABS(Z70-Y70)</f>
        <v>15.3931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79" t="s">
        <v>377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378</v>
      </c>
      <c r="I71" s="25">
        <v>42549.489502314813</v>
      </c>
      <c r="J71" s="43">
        <v>1</v>
      </c>
      <c r="K71" s="43" t="str">
        <f>IF(ISEVEN(B71),(B71-1)&amp;"/"&amp;B71,B71&amp;"/"&amp;(B71+1))</f>
        <v>4041/4042</v>
      </c>
      <c r="L71" s="43" t="str">
        <f>VLOOKUP(A71,'Trips&amp;Operators'!$C$1:$E$10000,3,FALSE)</f>
        <v>LOCKLEAR</v>
      </c>
      <c r="M71" s="11">
        <f>I71-F71</f>
        <v>1.0381944441178348E-2</v>
      </c>
      <c r="N71" s="12"/>
      <c r="O71" s="12"/>
      <c r="P71" s="12">
        <f>24*60*SUM($M71:$M71)</f>
        <v>14.949999995296821</v>
      </c>
      <c r="Q71" s="44"/>
      <c r="R71" s="44" t="s">
        <v>644</v>
      </c>
      <c r="S71" s="70">
        <f>SUM(U71:U71)/12</f>
        <v>0.66666666666666663</v>
      </c>
      <c r="T71" s="2" t="str">
        <f>IF(ISEVEN(LEFT(A71,3)),"Southbound","NorthBound")</f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>IF(AA71&lt;23,"Y","N")</f>
        <v>Y</v>
      </c>
      <c r="X71" s="48">
        <f>VALUE(LEFT(A71,3))-VALUE(LEFT(A70,3))</f>
        <v>1</v>
      </c>
      <c r="Y71" s="48">
        <f>RIGHT(D71,LEN(D71)-4)/10000</f>
        <v>4.6199999999999998E-2</v>
      </c>
      <c r="Z71" s="48">
        <f>RIGHT(H71,LEN(H71)-4)/10000</f>
        <v>6.2919</v>
      </c>
      <c r="AA71" s="48">
        <f>ABS(Z71-Y71)</f>
        <v>6.2457000000000003</v>
      </c>
      <c r="AB71" s="49">
        <f>VLOOKUP(A71,Enforcements!$C$7:$J$32,8,0)</f>
        <v>63068</v>
      </c>
      <c r="AC71" s="49" t="str">
        <f>VLOOKUP(A71,Enforcements!$C$7:$E$32,3,0)</f>
        <v>GRADE CROSSING</v>
      </c>
    </row>
    <row r="72" spans="1:29" s="2" customFormat="1" x14ac:dyDescent="0.25">
      <c r="A72" s="79" t="s">
        <v>379</v>
      </c>
      <c r="B72" s="43">
        <v>4041</v>
      </c>
      <c r="C72" s="43" t="s">
        <v>60</v>
      </c>
      <c r="D72" s="43" t="s">
        <v>349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>IF(ISEVEN(B72),(B72-1)&amp;"/"&amp;B72,B72&amp;"/"&amp;(B72+1))</f>
        <v>4041/4042</v>
      </c>
      <c r="L72" s="43" t="str">
        <f>VLOOKUP(A72,'Trips&amp;Operators'!$C$1:$E$10000,3,FALSE)</f>
        <v>LOCKLEAR</v>
      </c>
      <c r="M72" s="11">
        <f>I72-F72</f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>SUM(U72:U72)/12</f>
        <v>1</v>
      </c>
      <c r="T72" s="2" t="str">
        <f>IF(ISEVEN(LEFT(A72,3)),"Southbound","NorthBound")</f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23.3019</v>
      </c>
      <c r="Z72" s="48">
        <f>RIGHT(H72,LEN(H72)-4)/10000</f>
        <v>1.4999999999999999E-2</v>
      </c>
      <c r="AA72" s="48">
        <f>ABS(Z72-Y72)</f>
        <v>23.286899999999999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79" t="s">
        <v>380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381</v>
      </c>
      <c r="I73" s="25">
        <v>42549.498969907407</v>
      </c>
      <c r="J73" s="43">
        <v>0</v>
      </c>
      <c r="K73" s="43" t="str">
        <f>IF(ISEVEN(B73),(B73-1)&amp;"/"&amp;B73,B73&amp;"/"&amp;(B73+1))</f>
        <v>4017/4018</v>
      </c>
      <c r="L73" s="43" t="str">
        <f>VLOOKUP(A73,'Trips&amp;Operators'!$C$1:$E$10000,3,FALSE)</f>
        <v>DAVIS</v>
      </c>
      <c r="M73" s="11">
        <f>I73-F73</f>
        <v>1.247685185080627E-2</v>
      </c>
      <c r="N73" s="12"/>
      <c r="O73" s="12"/>
      <c r="P73" s="12">
        <f>24*60*SUM($M73:$M73)</f>
        <v>17.966666665161029</v>
      </c>
      <c r="Q73" s="44"/>
      <c r="R73" s="44" t="s">
        <v>644</v>
      </c>
      <c r="S73" s="70">
        <f>SUM(U73:U73)/12</f>
        <v>0.5</v>
      </c>
      <c r="T73" s="2" t="str">
        <f>IF(ISEVEN(LEFT(A73,3)),"Southbound","NorthBound")</f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>IF(AA73&lt;23,"Y","N")</f>
        <v>Y</v>
      </c>
      <c r="X73" s="48">
        <f>VALUE(LEFT(A73,3))-VALUE(LEFT(A72,3))</f>
        <v>1</v>
      </c>
      <c r="Y73" s="48">
        <f>RIGHT(D73,LEN(D73)-4)/10000</f>
        <v>4.7100000000000003E-2</v>
      </c>
      <c r="Z73" s="48">
        <f>RIGHT(H73,LEN(H73)-4)/10000</f>
        <v>5.7202000000000002</v>
      </c>
      <c r="AA73" s="48">
        <f>ABS(Z73-Y73)</f>
        <v>5.6730999999999998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79" t="s">
        <v>382</v>
      </c>
      <c r="B74" s="43">
        <v>4017</v>
      </c>
      <c r="C74" s="43" t="s">
        <v>60</v>
      </c>
      <c r="D74" s="43" t="s">
        <v>383</v>
      </c>
      <c r="E74" s="25">
        <v>42549.526423611111</v>
      </c>
      <c r="F74" s="25">
        <v>42549.527465277781</v>
      </c>
      <c r="G74" s="31">
        <v>1</v>
      </c>
      <c r="H74" s="25" t="s">
        <v>384</v>
      </c>
      <c r="I74" s="25">
        <v>42549.558865740742</v>
      </c>
      <c r="J74" s="43">
        <v>1</v>
      </c>
      <c r="K74" s="43" t="str">
        <f>IF(ISEVEN(B74),(B74-1)&amp;"/"&amp;B74,B74&amp;"/"&amp;(B74+1))</f>
        <v>4017/4018</v>
      </c>
      <c r="L74" s="43" t="str">
        <f>VLOOKUP(A74,'Trips&amp;Operators'!$C$1:$E$10000,3,FALSE)</f>
        <v>DAVIS</v>
      </c>
      <c r="M74" s="11">
        <f>I74-F74</f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>SUM(U74:U74)/12</f>
        <v>1</v>
      </c>
      <c r="T74" s="2" t="str">
        <f>IF(ISEVEN(LEFT(A74,3)),"Southbound","NorthBound")</f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23.295000000000002</v>
      </c>
      <c r="Z74" s="48">
        <f>RIGHT(H74,LEN(H74)-4)/10000</f>
        <v>0.11940000000000001</v>
      </c>
      <c r="AA74" s="48">
        <f>ABS(Z74-Y74)</f>
        <v>23.175600000000003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79" t="s">
        <v>385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>IF(ISEVEN(B75),(B75-1)&amp;"/"&amp;B75,B75&amp;"/"&amp;(B75+1))</f>
        <v>4019/4020</v>
      </c>
      <c r="L75" s="43" t="str">
        <f>VLOOKUP(A75,'Trips&amp;Operators'!$C$1:$E$10000,3,FALSE)</f>
        <v>STAMBAUGH</v>
      </c>
      <c r="M75" s="11">
        <f>I75-F75</f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>SUM(U75:U75)/12</f>
        <v>1</v>
      </c>
      <c r="T75" s="2" t="str">
        <f>IF(ISEVEN(LEFT(A75,3)),"Southbound","NorthBound")</f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4.4699999999999997E-2</v>
      </c>
      <c r="Z75" s="48">
        <f>RIGHT(H75,LEN(H75)-4)/10000</f>
        <v>23.331199999999999</v>
      </c>
      <c r="AA75" s="48">
        <f>ABS(Z75-Y75)</f>
        <v>23.2865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79" t="s">
        <v>386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>IF(ISEVEN(B76),(B76-1)&amp;"/"&amp;B76,B76&amp;"/"&amp;(B76+1))</f>
        <v>4019/4020</v>
      </c>
      <c r="L76" s="43" t="str">
        <f>VLOOKUP(A76,'Trips&amp;Operators'!$C$1:$E$10000,3,FALSE)</f>
        <v>STAMBAUGH</v>
      </c>
      <c r="M76" s="11">
        <f>I76-F76</f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>SUM(U76:U76)/12</f>
        <v>1</v>
      </c>
      <c r="T76" s="2" t="str">
        <f>IF(ISEVEN(LEFT(A76,3)),"Southbound","NorthBound")</f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23.299099999999999</v>
      </c>
      <c r="Z76" s="48">
        <f>RIGHT(H76,LEN(H76)-4)/10000</f>
        <v>1.4999999999999999E-2</v>
      </c>
      <c r="AA76" s="48">
        <f>ABS(Z76-Y76)</f>
        <v>23.284099999999999</v>
      </c>
      <c r="AB76" s="49">
        <f>VLOOKUP(A76,Enforcements!$C$7:$J$32,8,0)</f>
        <v>15167</v>
      </c>
      <c r="AC76" s="49" t="str">
        <f>VLOOKUP(A76,Enforcements!$C$7:$E$32,3,0)</f>
        <v>PERMANENT SPEED RESTRICTION</v>
      </c>
    </row>
    <row r="77" spans="1:29" s="2" customFormat="1" ht="16.5" customHeight="1" x14ac:dyDescent="0.25">
      <c r="A77" s="80" t="s">
        <v>387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388</v>
      </c>
      <c r="I77" s="25">
        <v>42549.539722222224</v>
      </c>
      <c r="J77" s="43">
        <v>0</v>
      </c>
      <c r="K77" s="43" t="str">
        <f>IF(ISEVEN(B77),(B77-1)&amp;"/"&amp;B77,B77&amp;"/"&amp;(B77+1))</f>
        <v>4023/4024</v>
      </c>
      <c r="L77" s="43" t="str">
        <f>VLOOKUP(A77,'Trips&amp;Operators'!$C$1:$E$10000,3,FALSE)</f>
        <v>YOUNG</v>
      </c>
      <c r="M77" s="11">
        <f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>SUM(U77:U77)/12</f>
        <v>1</v>
      </c>
      <c r="T77" s="2" t="str">
        <f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4.4200000000000003E-2</v>
      </c>
      <c r="Z77" s="48">
        <f>RIGHT(H77,LEN(H77)-4)/10000</f>
        <v>23.331800000000001</v>
      </c>
      <c r="AA77" s="48">
        <f>ABS(Z77-Y77)</f>
        <v>23.287600000000001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x14ac:dyDescent="0.25">
      <c r="A78" s="79" t="s">
        <v>389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390</v>
      </c>
      <c r="I78" s="25">
        <v>42549.5781712963</v>
      </c>
      <c r="J78" s="43">
        <v>0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YOUNG</v>
      </c>
      <c r="M78" s="11">
        <f>I78-F78</f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>SUM(U78:U78)/12</f>
        <v>1</v>
      </c>
      <c r="T78" s="2" t="str">
        <f>IF(ISEVEN(LEFT(A78,3)),"Southbound","NorthBound")</f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>IF(AA78&lt;23,"Y","N")</f>
        <v>N</v>
      </c>
      <c r="X78" s="48">
        <f>VALUE(LEFT(A78,3))-VALUE(LEFT(A77,3))</f>
        <v>1</v>
      </c>
      <c r="Y78" s="48">
        <f>RIGHT(D78,LEN(D78)-4)/10000</f>
        <v>23.3003</v>
      </c>
      <c r="Z78" s="48">
        <f>RIGHT(H78,LEN(H78)-4)/10000</f>
        <v>1.7999999999999999E-2</v>
      </c>
      <c r="AA78" s="48">
        <f>ABS(Z78-Y78)</f>
        <v>23.282299999999999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79" t="s">
        <v>391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>IF(ISEVEN(B79),(B79-1)&amp;"/"&amp;B79,B79&amp;"/"&amp;(B79+1))</f>
        <v>4027/4028</v>
      </c>
      <c r="L79" s="43" t="str">
        <f>VLOOKUP(A79,'Trips&amp;Operators'!$C$1:$E$10000,3,FALSE)</f>
        <v>BONDS</v>
      </c>
      <c r="M79" s="11">
        <f>I79-F79</f>
        <v>1.261574070667848E-3</v>
      </c>
      <c r="N79" s="12"/>
      <c r="O79" s="12"/>
      <c r="P79" s="12">
        <f>24*60*SUM($M79:$M79)</f>
        <v>1.8166666617617011</v>
      </c>
      <c r="Q79" s="44"/>
      <c r="R79" s="44" t="s">
        <v>644</v>
      </c>
      <c r="S79" s="70">
        <f>SUM(U79:U79)/12</f>
        <v>0</v>
      </c>
      <c r="T79" s="2" t="str">
        <f>IF(ISEVEN(LEFT(A79,3)),"Southbound","NorthBound")</f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>IF(AA79&lt;23,"Y","N")</f>
        <v>Y</v>
      </c>
      <c r="X79" s="48">
        <f>VALUE(LEFT(A79,3))-VALUE(LEFT(A78,3))</f>
        <v>1</v>
      </c>
      <c r="Y79" s="48">
        <f>RIGHT(D79,LEN(D79)-4)/10000</f>
        <v>4.6199999999999998E-2</v>
      </c>
      <c r="Z79" s="48">
        <f>RIGHT(H79,LEN(H79)-4)/10000</f>
        <v>4.7300000000000002E-2</v>
      </c>
      <c r="AA79" s="48">
        <f>ABS(Z79-Y79)</f>
        <v>1.1000000000000038E-3</v>
      </c>
      <c r="AB79" s="49" t="e">
        <f>VLOOKUP(A79,Enforcements!$C$7:$J$32,8,0)</f>
        <v>#N/A</v>
      </c>
      <c r="AC79" s="49" t="e">
        <f>VLOOKUP(A79,Enforcements!$C$7:$E$32,3,0)</f>
        <v>#N/A</v>
      </c>
    </row>
    <row r="80" spans="1:29" s="2" customFormat="1" x14ac:dyDescent="0.25">
      <c r="A80" s="79" t="s">
        <v>392</v>
      </c>
      <c r="B80" s="43">
        <v>4028</v>
      </c>
      <c r="C80" s="43" t="s">
        <v>60</v>
      </c>
      <c r="D80" s="43" t="s">
        <v>393</v>
      </c>
      <c r="E80" s="25">
        <v>42549.552754629629</v>
      </c>
      <c r="F80" s="25">
        <v>42549.553587962961</v>
      </c>
      <c r="G80" s="31">
        <v>1</v>
      </c>
      <c r="H80" s="25" t="s">
        <v>234</v>
      </c>
      <c r="I80" s="25">
        <v>42549.586469907408</v>
      </c>
      <c r="J80" s="43">
        <v>1</v>
      </c>
      <c r="K80" s="43" t="str">
        <f>IF(ISEVEN(B80),(B80-1)&amp;"/"&amp;B80,B80&amp;"/"&amp;(B80+1))</f>
        <v>4027/4028</v>
      </c>
      <c r="L80" s="43" t="str">
        <f>VLOOKUP(A80,'Trips&amp;Operators'!$C$1:$E$10000,3,FALSE)</f>
        <v>BONDS</v>
      </c>
      <c r="M80" s="11">
        <f>I80-F80</f>
        <v>3.2881944447581191E-2</v>
      </c>
      <c r="N80" s="12">
        <f>24*60*SUM($M80:$M80)</f>
        <v>47.350000004516914</v>
      </c>
      <c r="O80" s="12"/>
      <c r="P80" s="12"/>
      <c r="Q80" s="44"/>
      <c r="R80" s="44"/>
      <c r="S80" s="70">
        <f>SUM(U80:U80)/12</f>
        <v>1</v>
      </c>
      <c r="T80" s="2" t="str">
        <f>IF(ISEVEN(LEFT(A80,3)),"Southbound","NorthBound")</f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>IF(AA80&lt;23,"Y","N")</f>
        <v>N</v>
      </c>
      <c r="X80" s="48">
        <f>VALUE(LEFT(A80,3))-VALUE(LEFT(A79,3))</f>
        <v>1</v>
      </c>
      <c r="Y80" s="48">
        <f>RIGHT(D80,LEN(D80)-4)/10000</f>
        <v>23.301500000000001</v>
      </c>
      <c r="Z80" s="48">
        <f>RIGHT(H80,LEN(H80)-4)/10000</f>
        <v>0.11749999999999999</v>
      </c>
      <c r="AA80" s="48">
        <f>ABS(Z80-Y80)</f>
        <v>23.184000000000001</v>
      </c>
      <c r="AB80" s="49">
        <f>VLOOKUP(A80,Enforcements!$C$7:$J$32,8,0)</f>
        <v>191108</v>
      </c>
      <c r="AC80" s="49" t="str">
        <f>VLOOKUP(A80,Enforcements!$C$7:$E$32,3,0)</f>
        <v>PERMANENT SPEED RESTRICTION</v>
      </c>
    </row>
    <row r="81" spans="1:29" s="2" customFormat="1" x14ac:dyDescent="0.25">
      <c r="A81" s="79" t="s">
        <v>394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>IF(ISEVEN(B81),(B81-1)&amp;"/"&amp;B81,B81&amp;"/"&amp;(B81+1))</f>
        <v>4043/4044</v>
      </c>
      <c r="L81" s="43" t="str">
        <f>VLOOKUP(A81,'Trips&amp;Operators'!$C$1:$E$10000,3,FALSE)</f>
        <v>REBOLETTI</v>
      </c>
      <c r="M81" s="11">
        <f>I81-F81</f>
        <v>2.9247685182781424E-2</v>
      </c>
      <c r="N81" s="12">
        <f>24*60*SUM($M81:$M81)</f>
        <v>42.116666663205251</v>
      </c>
      <c r="O81" s="12"/>
      <c r="P81" s="12"/>
      <c r="Q81" s="44"/>
      <c r="R81" s="44"/>
      <c r="S81" s="70">
        <f>SUM(U81:U81)/12</f>
        <v>1</v>
      </c>
      <c r="T81" s="2" t="str">
        <f>IF(ISEVEN(LEFT(A81,3)),"Southbound","NorthBound")</f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>IF(AA81&lt;23,"Y","N")</f>
        <v>N</v>
      </c>
      <c r="X81" s="48">
        <f>VALUE(LEFT(A81,3))-VALUE(LEFT(A80,3))</f>
        <v>1</v>
      </c>
      <c r="Y81" s="48">
        <f>RIGHT(D81,LEN(D81)-4)/10000</f>
        <v>4.5100000000000001E-2</v>
      </c>
      <c r="Z81" s="48">
        <f>RIGHT(H81,LEN(H81)-4)/10000</f>
        <v>23.330300000000001</v>
      </c>
      <c r="AA81" s="48">
        <f>ABS(Z81-Y81)</f>
        <v>23.2852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79" t="s">
        <v>395</v>
      </c>
      <c r="B82" s="43">
        <v>4043</v>
      </c>
      <c r="C82" s="43" t="s">
        <v>60</v>
      </c>
      <c r="D82" s="43" t="s">
        <v>245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>IF(ISEVEN(B82),(B82-1)&amp;"/"&amp;B82,B82&amp;"/"&amp;(B82+1))</f>
        <v>4043/4044</v>
      </c>
      <c r="L82" s="43" t="str">
        <f>VLOOKUP(A82,'Trips&amp;Operators'!$C$1:$E$10000,3,FALSE)</f>
        <v>REBOLETTI</v>
      </c>
      <c r="M82" s="11">
        <f>I82-F82</f>
        <v>3.2233796300715767E-2</v>
      </c>
      <c r="N82" s="12">
        <f>24*60*SUM($M82:$M82)</f>
        <v>46.416666673030704</v>
      </c>
      <c r="O82" s="12"/>
      <c r="P82" s="12"/>
      <c r="Q82" s="44"/>
      <c r="R82" s="44"/>
      <c r="S82" s="70">
        <f>SUM(U82:U82)/12</f>
        <v>1</v>
      </c>
      <c r="T82" s="2" t="str">
        <f>IF(ISEVEN(LEFT(A82,3)),"Southbound","NorthBound")</f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23.297999999999998</v>
      </c>
      <c r="Z82" s="48">
        <f>RIGHT(H82,LEN(H82)-4)/10000</f>
        <v>1.4500000000000001E-2</v>
      </c>
      <c r="AA82" s="48">
        <f>ABS(Z82-Y82)</f>
        <v>23.283499999999997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79" t="s">
        <v>396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397</v>
      </c>
      <c r="I83" s="25">
        <v>42549.567719907405</v>
      </c>
      <c r="J83" s="43">
        <v>1</v>
      </c>
      <c r="K83" s="43" t="str">
        <f>IF(ISEVEN(B83),(B83-1)&amp;"/"&amp;B83,B83&amp;"/"&amp;(B83+1))</f>
        <v>4025/4026</v>
      </c>
      <c r="L83" s="43" t="str">
        <f>VLOOKUP(A83,'Trips&amp;Operators'!$C$1:$E$10000,3,FALSE)</f>
        <v>SHOOK</v>
      </c>
      <c r="M83" s="11">
        <f>I83-F83</f>
        <v>2.5682870371383615E-2</v>
      </c>
      <c r="N83" s="12">
        <f>24*60*SUM($M83:$M83)</f>
        <v>36.983333334792405</v>
      </c>
      <c r="O83" s="12"/>
      <c r="P83" s="12"/>
      <c r="Q83" s="44"/>
      <c r="R83" s="44"/>
      <c r="S83" s="70">
        <f>SUM(U83:U83)/12</f>
        <v>1</v>
      </c>
      <c r="T83" s="2" t="str">
        <f>IF(ISEVEN(LEFT(A83,3)),"Southbound","NorthBound")</f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4.6699999999999998E-2</v>
      </c>
      <c r="Z83" s="48">
        <f>RIGHT(H83,LEN(H83)-4)/10000</f>
        <v>23.338699999999999</v>
      </c>
      <c r="AA83" s="48">
        <f>ABS(Z83-Y83)</f>
        <v>23.291999999999998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79" t="s">
        <v>398</v>
      </c>
      <c r="B84" s="43">
        <v>4026</v>
      </c>
      <c r="C84" s="43" t="s">
        <v>60</v>
      </c>
      <c r="D84" s="43" t="s">
        <v>259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>IF(ISEVEN(B84),(B84-1)&amp;"/"&amp;B84,B84&amp;"/"&amp;(B84+1))</f>
        <v>4025/4026</v>
      </c>
      <c r="L84" s="43" t="str">
        <f>VLOOKUP(A84,'Trips&amp;Operators'!$C$1:$E$10000,3,FALSE)</f>
        <v>SHOOK</v>
      </c>
      <c r="M84" s="11">
        <f>I84-F84</f>
        <v>2.7766203696955927E-2</v>
      </c>
      <c r="N84" s="12">
        <f>24*60*SUM($M84:$M84)</f>
        <v>39.983333323616534</v>
      </c>
      <c r="O84" s="12"/>
      <c r="P84" s="12"/>
      <c r="Q84" s="44"/>
      <c r="R84" s="44"/>
      <c r="S84" s="70">
        <f>SUM(U84:U84)/12</f>
        <v>1</v>
      </c>
      <c r="T84" s="2" t="str">
        <f>IF(ISEVEN(LEFT(A84,3)),"Southbound","NorthBound")</f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23.3049</v>
      </c>
      <c r="Z84" s="48">
        <f>RIGHT(H84,LEN(H84)-4)/10000</f>
        <v>1.6E-2</v>
      </c>
      <c r="AA84" s="48">
        <f>ABS(Z84-Y84)</f>
        <v>23.288900000000002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79" t="s">
        <v>399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>IF(ISEVEN(B85),(B85-1)&amp;"/"&amp;B85,B85&amp;"/"&amp;(B85+1))</f>
        <v>4041/4042</v>
      </c>
      <c r="L85" s="43" t="str">
        <f>VLOOKUP(A85,'Trips&amp;Operators'!$C$1:$E$10000,3,FALSE)</f>
        <v>LOCKLEAR</v>
      </c>
      <c r="M85" s="11">
        <f>I85-F85</f>
        <v>2.6805555557075422E-2</v>
      </c>
      <c r="N85" s="12">
        <f>24*60*SUM($M85:$M85)</f>
        <v>38.600000002188608</v>
      </c>
      <c r="O85" s="12"/>
      <c r="P85" s="12"/>
      <c r="Q85" s="44"/>
      <c r="R85" s="44"/>
      <c r="S85" s="70">
        <f>SUM(U85:U85)/12</f>
        <v>1</v>
      </c>
      <c r="T85" s="2" t="str">
        <f>IF(ISEVEN(LEFT(A85,3)),"Southbound","NorthBound")</f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>IF(AA85&lt;23,"Y","N")</f>
        <v>N</v>
      </c>
      <c r="X85" s="48">
        <f>VALUE(LEFT(A85,3))-VALUE(LEFT(A84,3))</f>
        <v>1</v>
      </c>
      <c r="Y85" s="48">
        <f>RIGHT(D85,LEN(D85)-4)/10000</f>
        <v>4.53E-2</v>
      </c>
      <c r="Z85" s="48">
        <f>RIGHT(H85,LEN(H85)-4)/10000</f>
        <v>23.329699999999999</v>
      </c>
      <c r="AA85" s="48">
        <f>ABS(Z85-Y85)</f>
        <v>23.284399999999998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79" t="s">
        <v>400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258</v>
      </c>
      <c r="I86" s="25">
        <v>42549.617210648146</v>
      </c>
      <c r="J86" s="43">
        <v>0</v>
      </c>
      <c r="K86" s="43" t="str">
        <f>IF(ISEVEN(B86),(B86-1)&amp;"/"&amp;B86,B86&amp;"/"&amp;(B86+1))</f>
        <v>4041/4042</v>
      </c>
      <c r="L86" s="43" t="str">
        <f>VLOOKUP(A86,'Trips&amp;Operators'!$C$1:$E$10000,3,FALSE)</f>
        <v>LOCKLEAR</v>
      </c>
      <c r="M86" s="11">
        <f>I86-F86</f>
        <v>2.8356481481750961E-2</v>
      </c>
      <c r="N86" s="12">
        <f>24*60*SUM($M86:$M86)</f>
        <v>40.833333333721384</v>
      </c>
      <c r="O86" s="12"/>
      <c r="P86" s="12"/>
      <c r="Q86" s="44"/>
      <c r="R86" s="44"/>
      <c r="S86" s="70">
        <f>SUM(U86:U86)/12</f>
        <v>1</v>
      </c>
      <c r="T86" s="2" t="str">
        <f>IF(ISEVEN(LEFT(A86,3)),"Southbound","NorthBound")</f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>IF(AA86&lt;23,"Y","N")</f>
        <v>N</v>
      </c>
      <c r="X86" s="48">
        <f>VALUE(LEFT(A86,3))-VALUE(LEFT(A85,3))</f>
        <v>1</v>
      </c>
      <c r="Y86" s="48">
        <f>RIGHT(D86,LEN(D86)-4)/10000</f>
        <v>23.3005</v>
      </c>
      <c r="Z86" s="48">
        <f>RIGHT(H86,LEN(H86)-4)/10000</f>
        <v>1.7399999999999999E-2</v>
      </c>
      <c r="AA86" s="48">
        <f>ABS(Z86-Y86)</f>
        <v>23.283100000000001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79" t="s">
        <v>401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293</v>
      </c>
      <c r="I87" s="25">
        <v>42549.590509259258</v>
      </c>
      <c r="J87" s="43">
        <v>0</v>
      </c>
      <c r="K87" s="43" t="str">
        <f>IF(ISEVEN(B87),(B87-1)&amp;"/"&amp;B87,B87&amp;"/"&amp;(B87+1))</f>
        <v>4011/4012</v>
      </c>
      <c r="L87" s="43" t="str">
        <f>VLOOKUP(A87,'Trips&amp;Operators'!$C$1:$E$10000,3,FALSE)</f>
        <v>DAVIS</v>
      </c>
      <c r="M87" s="11">
        <f>I87-F87</f>
        <v>2.7118055557366461E-2</v>
      </c>
      <c r="N87" s="12">
        <f>24*60*SUM($M87:$M87)</f>
        <v>39.050000002607703</v>
      </c>
      <c r="O87" s="12"/>
      <c r="P87" s="12"/>
      <c r="Q87" s="44"/>
      <c r="R87" s="44"/>
      <c r="S87" s="70">
        <f>SUM(U87:U87)/12</f>
        <v>1</v>
      </c>
      <c r="T87" s="2" t="str">
        <f>IF(ISEVEN(LEFT(A87,3)),"Southbound","NorthBound")</f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4.5699999999999998E-2</v>
      </c>
      <c r="Z87" s="48">
        <f>RIGHT(H87,LEN(H87)-4)/10000</f>
        <v>23.331</v>
      </c>
      <c r="AA87" s="48">
        <f>ABS(Z87-Y87)</f>
        <v>23.285299999999999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79" t="s">
        <v>402</v>
      </c>
      <c r="B88" s="43">
        <v>4012</v>
      </c>
      <c r="C88" s="43" t="s">
        <v>60</v>
      </c>
      <c r="D88" s="43" t="s">
        <v>237</v>
      </c>
      <c r="E88" s="25">
        <v>42549.60052083333</v>
      </c>
      <c r="F88" s="25">
        <v>42549.601736111108</v>
      </c>
      <c r="G88" s="31">
        <v>1</v>
      </c>
      <c r="H88" s="25" t="s">
        <v>240</v>
      </c>
      <c r="I88" s="25">
        <v>42549.629004629627</v>
      </c>
      <c r="J88" s="43">
        <v>0</v>
      </c>
      <c r="K88" s="43" t="str">
        <f>IF(ISEVEN(B88),(B88-1)&amp;"/"&amp;B88,B88&amp;"/"&amp;(B88+1))</f>
        <v>4011/4012</v>
      </c>
      <c r="L88" s="43" t="str">
        <f>VLOOKUP(A88,'Trips&amp;Operators'!$C$1:$E$10000,3,FALSE)</f>
        <v>DAVIS</v>
      </c>
      <c r="M88" s="11">
        <f>I88-F88</f>
        <v>2.7268518519122154E-2</v>
      </c>
      <c r="N88" s="12">
        <f>24*60*SUM($M88:$M88)</f>
        <v>39.266666667535901</v>
      </c>
      <c r="O88" s="12"/>
      <c r="P88" s="12"/>
      <c r="Q88" s="44"/>
      <c r="R88" s="44"/>
      <c r="S88" s="70">
        <f>SUM(U88:U88)/12</f>
        <v>1</v>
      </c>
      <c r="T88" s="2" t="str">
        <f>IF(ISEVEN(LEFT(A88,3)),"Southbound","NorthBound")</f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23.2987</v>
      </c>
      <c r="Z88" s="48">
        <f>RIGHT(H88,LEN(H88)-4)/10000</f>
        <v>1.5599999999999999E-2</v>
      </c>
      <c r="AA88" s="48">
        <f>ABS(Z88-Y88)</f>
        <v>23.283100000000001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79" t="s">
        <v>403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>IF(ISEVEN(B89),(B89-1)&amp;"/"&amp;B89,B89&amp;"/"&amp;(B89+1))</f>
        <v>4019/4020</v>
      </c>
      <c r="L89" s="43" t="str">
        <f>VLOOKUP(A89,'Trips&amp;Operators'!$C$1:$E$10000,3,FALSE)</f>
        <v>STAMBAUGH</v>
      </c>
      <c r="M89" s="11">
        <f>I89-F89</f>
        <v>3.0347222222189885E-2</v>
      </c>
      <c r="N89" s="12">
        <f>24*60*SUM($M89:$M89)</f>
        <v>43.699999999953434</v>
      </c>
      <c r="O89" s="12"/>
      <c r="P89" s="12"/>
      <c r="Q89" s="44"/>
      <c r="R89" s="44"/>
      <c r="S89" s="70">
        <f>SUM(U89:U89)/12</f>
        <v>1</v>
      </c>
      <c r="T89" s="2" t="str">
        <f>IF(ISEVEN(LEFT(A89,3)),"Southbound","NorthBound")</f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4.4200000000000003E-2</v>
      </c>
      <c r="Z89" s="48">
        <v>23.32</v>
      </c>
      <c r="AA89" s="48">
        <f>ABS(Z89-Y89)</f>
        <v>23.2758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79" t="s">
        <v>404</v>
      </c>
      <c r="B90" s="43">
        <v>4019</v>
      </c>
      <c r="C90" s="43" t="s">
        <v>60</v>
      </c>
      <c r="D90" s="43" t="s">
        <v>405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>IF(ISEVEN(B90),(B90-1)&amp;"/"&amp;B90,B90&amp;"/"&amp;(B90+1))</f>
        <v>4019/4020</v>
      </c>
      <c r="L90" s="43" t="str">
        <f>VLOOKUP(A90,'Trips&amp;Operators'!$C$1:$E$10000,3,FALSE)</f>
        <v>STAMBAUGH</v>
      </c>
      <c r="M90" s="11">
        <f>I90-F90</f>
        <v>3.2604166663077194E-2</v>
      </c>
      <c r="N90" s="12">
        <f>24*60*SUM($M90:$M90)</f>
        <v>46.94999999483116</v>
      </c>
      <c r="O90" s="12"/>
      <c r="P90" s="12"/>
      <c r="Q90" s="44"/>
      <c r="R90" s="44"/>
      <c r="S90" s="70">
        <f>SUM(U90:U90)/12</f>
        <v>1</v>
      </c>
      <c r="T90" s="2" t="str">
        <f>IF(ISEVEN(LEFT(A90,3)),"Southbound","NorthBound")</f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23.297799999999999</v>
      </c>
      <c r="Z90" s="48">
        <f>RIGHT(H90,LEN(H90)-4)/10000</f>
        <v>1.41E-2</v>
      </c>
      <c r="AA90" s="48">
        <f>ABS(Z90-Y90)</f>
        <v>23.2837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79" t="s">
        <v>406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>IF(ISEVEN(B91),(B91-1)&amp;"/"&amp;B91,B91&amp;"/"&amp;(B91+1))</f>
        <v>4023/4024</v>
      </c>
      <c r="L91" s="43" t="str">
        <f>VLOOKUP(A91,'Trips&amp;Operators'!$C$1:$E$10000,3,FALSE)</f>
        <v>YOUNG</v>
      </c>
      <c r="M91" s="11">
        <f>I91-F91</f>
        <v>3.4849537041736767E-2</v>
      </c>
      <c r="N91" s="12">
        <f>24*60*SUM($M91:$M91)</f>
        <v>50.183333340100944</v>
      </c>
      <c r="O91" s="12"/>
      <c r="P91" s="12"/>
      <c r="Q91" s="44"/>
      <c r="R91" s="44"/>
      <c r="S91" s="70">
        <f>SUM(U91:U91)/12</f>
        <v>1</v>
      </c>
      <c r="T91" s="2" t="str">
        <f>IF(ISEVEN(LEFT(A91,3)),"Southbound","NorthBound")</f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4.6699999999999998E-2</v>
      </c>
      <c r="Z91" s="48">
        <f>RIGHT(H91,LEN(H91)-4)/10000</f>
        <v>23.332100000000001</v>
      </c>
      <c r="AA91" s="48">
        <f>ABS(Z91-Y91)</f>
        <v>23.285399999999999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79" t="s">
        <v>407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260</v>
      </c>
      <c r="I92" s="25">
        <v>42549.65420138889</v>
      </c>
      <c r="J92" s="43">
        <v>0</v>
      </c>
      <c r="K92" s="43" t="str">
        <f>IF(ISEVEN(B92),(B92-1)&amp;"/"&amp;B92,B92&amp;"/"&amp;(B92+1))</f>
        <v>4023/4024</v>
      </c>
      <c r="L92" s="43" t="str">
        <f>VLOOKUP(A92,'Trips&amp;Operators'!$C$1:$E$10000,3,FALSE)</f>
        <v>YOUNG</v>
      </c>
      <c r="M92" s="11">
        <f>I92-F92</f>
        <v>3.2106481485243421E-2</v>
      </c>
      <c r="N92" s="12">
        <f>24*60*SUM($M92:$M92)</f>
        <v>46.233333338750526</v>
      </c>
      <c r="O92" s="12"/>
      <c r="P92" s="12"/>
      <c r="Q92" s="44"/>
      <c r="R92" s="44"/>
      <c r="S92" s="70">
        <f>SUM(U92:U92)/12</f>
        <v>1</v>
      </c>
      <c r="T92" s="2" t="str">
        <f>IF(ISEVEN(LEFT(A92,3)),"Southbound","NorthBound")</f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23.299399999999999</v>
      </c>
      <c r="Z92" s="48">
        <f>RIGHT(H92,LEN(H92)-4)/10000</f>
        <v>2.01E-2</v>
      </c>
      <c r="AA92" s="48">
        <f>ABS(Z92-Y92)</f>
        <v>23.279299999999999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79" t="s">
        <v>408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388</v>
      </c>
      <c r="I93" s="25">
        <v>42549.620185185187</v>
      </c>
      <c r="J93" s="43">
        <v>1</v>
      </c>
      <c r="K93" s="43" t="str">
        <f>IF(ISEVEN(B93),(B93-1)&amp;"/"&amp;B93,B93&amp;"/"&amp;(B93+1))</f>
        <v>4017/4018</v>
      </c>
      <c r="L93" s="43" t="str">
        <f>VLOOKUP(A93,'Trips&amp;Operators'!$C$1:$E$10000,3,FALSE)</f>
        <v>BONDS</v>
      </c>
      <c r="M93" s="11">
        <f>I93-F93</f>
        <v>2.8113425927585922E-2</v>
      </c>
      <c r="N93" s="12">
        <f>24*60*SUM($M93:$M93)</f>
        <v>40.483333335723728</v>
      </c>
      <c r="O93" s="12"/>
      <c r="P93" s="12"/>
      <c r="Q93" s="44"/>
      <c r="R93" s="44"/>
      <c r="S93" s="70">
        <f>SUM(U93:U93)/12</f>
        <v>1</v>
      </c>
      <c r="T93" s="2" t="str">
        <f>IF(ISEVEN(LEFT(A93,3)),"Southbound","NorthBound")</f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4.6399999999999997E-2</v>
      </c>
      <c r="Z93" s="48">
        <f>RIGHT(H93,LEN(H93)-4)/10000</f>
        <v>23.331800000000001</v>
      </c>
      <c r="AA93" s="48">
        <f>ABS(Z93-Y93)</f>
        <v>23.285400000000003</v>
      </c>
      <c r="AB93" s="49">
        <f>VLOOKUP(A93,Enforcements!$C$7:$J$32,8,0)</f>
        <v>63068</v>
      </c>
      <c r="AC93" s="49" t="str">
        <f>VLOOKUP(A93,Enforcements!$C$7:$E$32,3,0)</f>
        <v>GRADE CROSSING</v>
      </c>
    </row>
    <row r="94" spans="1:29" s="2" customFormat="1" x14ac:dyDescent="0.25">
      <c r="A94" s="79" t="s">
        <v>409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>IF(ISEVEN(B94),(B94-1)&amp;"/"&amp;B94,B94&amp;"/"&amp;(B94+1))</f>
        <v>4017/4018</v>
      </c>
      <c r="L94" s="43" t="str">
        <f>VLOOKUP(A94,'Trips&amp;Operators'!$C$1:$E$10000,3,FALSE)</f>
        <v>BONDS</v>
      </c>
      <c r="M94" s="11">
        <f>I94-F94</f>
        <v>3.1967592592991423E-2</v>
      </c>
      <c r="N94" s="12">
        <f>24*60*SUM($M94:$M94)</f>
        <v>46.033333333907649</v>
      </c>
      <c r="O94" s="12"/>
      <c r="P94" s="12"/>
      <c r="Q94" s="44"/>
      <c r="R94" s="44"/>
      <c r="S94" s="70">
        <f>SUM(U94:U94)/12</f>
        <v>1</v>
      </c>
      <c r="T94" s="2" t="str">
        <f>IF(ISEVEN(LEFT(A94,3)),"Southbound","NorthBound")</f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>IF(AA94&lt;23,"Y","N")</f>
        <v>N</v>
      </c>
      <c r="X94" s="48">
        <f>VALUE(LEFT(A94,3))-VALUE(LEFT(A93,3))</f>
        <v>1</v>
      </c>
      <c r="Y94" s="48">
        <f>RIGHT(D94,LEN(D94)-4)/10000</f>
        <v>23.3005</v>
      </c>
      <c r="Z94" s="48">
        <f>RIGHT(H94,LEN(H94)-4)/10000</f>
        <v>1.4500000000000001E-2</v>
      </c>
      <c r="AA94" s="48">
        <f>ABS(Z94-Y94)</f>
        <v>23.285999999999998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79" t="s">
        <v>410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266</v>
      </c>
      <c r="I95" s="25">
        <v>42549.630150462966</v>
      </c>
      <c r="J95" s="43">
        <v>0</v>
      </c>
      <c r="K95" s="43" t="str">
        <f>IF(ISEVEN(B95),(B95-1)&amp;"/"&amp;B95,B95&amp;"/"&amp;(B95+1))</f>
        <v>4043/4044</v>
      </c>
      <c r="L95" s="43" t="str">
        <f>VLOOKUP(A95,'Trips&amp;Operators'!$C$1:$E$10000,3,FALSE)</f>
        <v>REBOLETTI</v>
      </c>
      <c r="M95" s="11">
        <f>I95-F95</f>
        <v>2.9456018521159422E-2</v>
      </c>
      <c r="N95" s="12">
        <f>24*60*SUM($M95:$M95)</f>
        <v>42.416666670469567</v>
      </c>
      <c r="O95" s="12"/>
      <c r="P95" s="12"/>
      <c r="Q95" s="44"/>
      <c r="R95" s="44"/>
      <c r="S95" s="70">
        <f>SUM(U95:U95)/12</f>
        <v>1</v>
      </c>
      <c r="T95" s="2" t="str">
        <f>IF(ISEVEN(LEFT(A95,3)),"Southbound","NorthBound")</f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>IF(AA95&lt;23,"Y","N")</f>
        <v>N</v>
      </c>
      <c r="X95" s="48">
        <f>VALUE(LEFT(A95,3))-VALUE(LEFT(A94,3))</f>
        <v>1</v>
      </c>
      <c r="Y95" s="48">
        <f>RIGHT(D95,LEN(D95)-4)/10000</f>
        <v>4.4900000000000002E-2</v>
      </c>
      <c r="Z95" s="48">
        <f>RIGHT(H95,LEN(H95)-4)/10000</f>
        <v>23.330200000000001</v>
      </c>
      <c r="AA95" s="48">
        <f>ABS(Z95-Y95)</f>
        <v>23.285300000000003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79" t="s">
        <v>411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>IF(ISEVEN(B96),(B96-1)&amp;"/"&amp;B96,B96&amp;"/"&amp;(B96+1))</f>
        <v>4043/4044</v>
      </c>
      <c r="L96" s="43" t="str">
        <f>VLOOKUP(A96,'Trips&amp;Operators'!$C$1:$E$10000,3,FALSE)</f>
        <v>REBOLETTI</v>
      </c>
      <c r="M96" s="11">
        <f>I96-F96</f>
        <v>3.4363425926130731E-2</v>
      </c>
      <c r="N96" s="12">
        <f>24*60*SUM($M96:$M96)</f>
        <v>49.483333333628252</v>
      </c>
      <c r="O96" s="12"/>
      <c r="P96" s="12"/>
      <c r="Q96" s="44"/>
      <c r="R96" s="44"/>
      <c r="S96" s="70">
        <f>SUM(U96:U96)/12</f>
        <v>1</v>
      </c>
      <c r="T96" s="2" t="str">
        <f>IF(ISEVEN(LEFT(A96,3)),"Southbound","NorthBound")</f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>IF(AA96&lt;23,"Y","N")</f>
        <v>N</v>
      </c>
      <c r="X96" s="48">
        <f>VALUE(LEFT(A96,3))-VALUE(LEFT(A95,3))</f>
        <v>1</v>
      </c>
      <c r="Y96" s="48">
        <f>RIGHT(D96,LEN(D96)-4)/10000</f>
        <v>23.299099999999999</v>
      </c>
      <c r="Z96" s="48">
        <f>RIGHT(H96,LEN(H96)-4)/10000</f>
        <v>1.49E-2</v>
      </c>
      <c r="AA96" s="48">
        <f>ABS(Z96-Y96)</f>
        <v>23.284199999999998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79" t="s">
        <v>412</v>
      </c>
      <c r="B97" s="43">
        <v>4025</v>
      </c>
      <c r="C97" s="43" t="s">
        <v>60</v>
      </c>
      <c r="D97" s="43" t="s">
        <v>247</v>
      </c>
      <c r="E97" s="25">
        <v>42549.609537037039</v>
      </c>
      <c r="F97" s="25">
        <v>42549.610682870371</v>
      </c>
      <c r="G97" s="31">
        <v>1</v>
      </c>
      <c r="H97" s="25" t="s">
        <v>413</v>
      </c>
      <c r="I97" s="25">
        <v>42549.641087962962</v>
      </c>
      <c r="J97" s="43">
        <v>0</v>
      </c>
      <c r="K97" s="43" t="str">
        <f>IF(ISEVEN(B97),(B97-1)&amp;"/"&amp;B97,B97&amp;"/"&amp;(B97+1))</f>
        <v>4025/4026</v>
      </c>
      <c r="L97" s="43" t="str">
        <f>VLOOKUP(A97,'Trips&amp;Operators'!$C$1:$E$10000,3,FALSE)</f>
        <v>SHOOK</v>
      </c>
      <c r="M97" s="11">
        <f>I97-F97</f>
        <v>3.0405092591536231E-2</v>
      </c>
      <c r="N97" s="12">
        <f>24*60*SUM($M97:$M97)</f>
        <v>43.783333331812173</v>
      </c>
      <c r="O97" s="12"/>
      <c r="P97" s="12"/>
      <c r="Q97" s="44"/>
      <c r="R97" s="44"/>
      <c r="S97" s="70">
        <f>SUM(U97:U97)/12</f>
        <v>1</v>
      </c>
      <c r="T97" s="2" t="str">
        <f>IF(ISEVEN(LEFT(A97,3)),"Southbound","NorthBound")</f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>IF(AA97&lt;23,"Y","N")</f>
        <v>N</v>
      </c>
      <c r="X97" s="48">
        <f>VALUE(LEFT(A97,3))-VALUE(LEFT(A96,3))</f>
        <v>1</v>
      </c>
      <c r="Y97" s="48">
        <f>RIGHT(D97,LEN(D97)-4)/10000</f>
        <v>4.82E-2</v>
      </c>
      <c r="Z97" s="48">
        <f>RIGHT(H97,LEN(H97)-4)/10000</f>
        <v>23.332999999999998</v>
      </c>
      <c r="AA97" s="48">
        <f>ABS(Z97-Y97)</f>
        <v>23.284799999999997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79" t="s">
        <v>414</v>
      </c>
      <c r="B98" s="43">
        <v>4026</v>
      </c>
      <c r="C98" s="43" t="s">
        <v>60</v>
      </c>
      <c r="D98" s="43" t="s">
        <v>262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>IF(ISEVEN(B98),(B98-1)&amp;"/"&amp;B98,B98&amp;"/"&amp;(B98+1))</f>
        <v>4025/4026</v>
      </c>
      <c r="L98" s="43" t="str">
        <f>VLOOKUP(A98,'Trips&amp;Operators'!$C$1:$E$10000,3,FALSE)</f>
        <v>SHOOK</v>
      </c>
      <c r="M98" s="11">
        <f>I98-F98</f>
        <v>3.1979166669771075E-2</v>
      </c>
      <c r="N98" s="12">
        <f>24*60*SUM($M98:$M98)</f>
        <v>46.050000004470348</v>
      </c>
      <c r="O98" s="12"/>
      <c r="P98" s="12"/>
      <c r="Q98" s="44"/>
      <c r="R98" s="44"/>
      <c r="S98" s="70">
        <f>SUM(U98:U98)/12</f>
        <v>1</v>
      </c>
      <c r="T98" s="2" t="str">
        <f>IF(ISEVEN(LEFT(A98,3)),"Southbound","NorthBound")</f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>IF(AA98&lt;23,"Y","N")</f>
        <v>N</v>
      </c>
      <c r="X98" s="48">
        <f>VALUE(LEFT(A98,3))-VALUE(LEFT(A97,3))</f>
        <v>1</v>
      </c>
      <c r="Y98" s="48">
        <f>RIGHT(D98,LEN(D98)-4)/10000</f>
        <v>23.301300000000001</v>
      </c>
      <c r="Z98" s="48">
        <f>RIGHT(H98,LEN(H98)-4)/10000</f>
        <v>1.49E-2</v>
      </c>
      <c r="AA98" s="48">
        <f>ABS(Z98-Y98)</f>
        <v>23.2864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79" t="s">
        <v>415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>IF(ISEVEN(B99),(B99-1)&amp;"/"&amp;B99,B99&amp;"/"&amp;(B99+1))</f>
        <v>4041/4042</v>
      </c>
      <c r="L99" s="43" t="str">
        <f>VLOOKUP(A99,'Trips&amp;Operators'!$C$1:$E$10000,3,FALSE)</f>
        <v>LOCKLEAR</v>
      </c>
      <c r="M99" s="11">
        <f>I99-F99</f>
        <v>1.631944440305233E-3</v>
      </c>
      <c r="N99" s="12"/>
      <c r="O99" s="12"/>
      <c r="P99" s="12">
        <f>24*60*SUM($M99:$M100)</f>
        <v>2.3499999940395355</v>
      </c>
      <c r="Q99" s="44"/>
      <c r="R99" s="44" t="s">
        <v>645</v>
      </c>
      <c r="S99" s="70">
        <f>SUM(U99:U99)/12</f>
        <v>0</v>
      </c>
      <c r="T99" s="2" t="str">
        <f>IF(ISEVEN(LEFT(A99,3)),"Southbound","NorthBound")</f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>IF(AA99&lt;23,"Y","N")</f>
        <v>Y</v>
      </c>
      <c r="X99" s="48">
        <f>VALUE(LEFT(A99,3))-VALUE(LEFT(A98,3))</f>
        <v>1</v>
      </c>
      <c r="Y99" s="48">
        <f>RIGHT(D99,LEN(D99)-4)/10000</f>
        <v>4.7100000000000003E-2</v>
      </c>
      <c r="Z99" s="48">
        <f>RIGHT(H99,LEN(H99)-4)/10000</f>
        <v>4.7100000000000003E-2</v>
      </c>
      <c r="AA99" s="48">
        <f>ABS(Z99-Y99)</f>
        <v>0</v>
      </c>
      <c r="AB99" s="49">
        <f>VLOOKUP(A99,Enforcements!$C$7:$J$32,8,0)</f>
        <v>108508</v>
      </c>
      <c r="AC99" s="49" t="str">
        <f>VLOOKUP(A99,Enforcements!$C$7:$E$32,3,0)</f>
        <v>EQUIPMENT RESTRICTION</v>
      </c>
    </row>
    <row r="100" spans="1:29" s="2" customFormat="1" x14ac:dyDescent="0.25">
      <c r="A100" s="79" t="s">
        <v>415</v>
      </c>
      <c r="B100" s="43">
        <v>4042</v>
      </c>
      <c r="C100" s="43" t="s">
        <v>60</v>
      </c>
      <c r="D100" s="43" t="s">
        <v>135</v>
      </c>
      <c r="E100" s="25">
        <v>42549.623067129629</v>
      </c>
      <c r="F100" s="25">
        <v>42549.625671296293</v>
      </c>
      <c r="G100" s="31">
        <v>3</v>
      </c>
      <c r="H100" s="25" t="s">
        <v>135</v>
      </c>
      <c r="I100" s="25">
        <v>42549.625671296293</v>
      </c>
      <c r="J100" s="43">
        <v>0</v>
      </c>
      <c r="K100" s="43" t="str">
        <f>IF(ISEVEN(B100),(B100-1)&amp;"/"&amp;B100,B100&amp;"/"&amp;(B100+1))</f>
        <v>4041/4042</v>
      </c>
      <c r="L100" s="43" t="str">
        <f>VLOOKUP(A100,'Trips&amp;Operators'!$C$1:$E$10000,3,FALSE)</f>
        <v>LOCKLEAR</v>
      </c>
      <c r="M100" s="11">
        <f>I100-F100</f>
        <v>0</v>
      </c>
      <c r="N100" s="12"/>
      <c r="O100" s="12"/>
      <c r="P100" s="12"/>
      <c r="Q100" s="44"/>
      <c r="R100" s="44"/>
      <c r="S100" s="70">
        <f>SUM(U100:U100)/12</f>
        <v>0</v>
      </c>
      <c r="T100" s="2" t="str">
        <f>IF(ISEVEN(LEFT(A100,3)),"Southbound","NorthBound")</f>
        <v>NorthBound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48" t="str">
        <f>IF(AA100&lt;23,"Y","N")</f>
        <v>Y</v>
      </c>
      <c r="X100" s="48">
        <f>VALUE(LEFT(A100,3))-VALUE(LEFT(A99,3))</f>
        <v>0</v>
      </c>
      <c r="Y100" s="48">
        <f>RIGHT(D100,LEN(D100)-4)/10000</f>
        <v>4.7100000000000003E-2</v>
      </c>
      <c r="Z100" s="48">
        <f>RIGHT(H100,LEN(H100)-4)/10000</f>
        <v>4.7100000000000003E-2</v>
      </c>
      <c r="AA100" s="48">
        <f>ABS(Z100-Y100)</f>
        <v>0</v>
      </c>
      <c r="AB100" s="49">
        <f>VLOOKUP(A100,Enforcements!$C$7:$J$32,8,0)</f>
        <v>108508</v>
      </c>
      <c r="AC100" s="49" t="str">
        <f>VLOOKUP(A100,Enforcements!$C$7:$E$32,3,0)</f>
        <v>EQUIPMENT RESTRICTION</v>
      </c>
    </row>
    <row r="101" spans="1:29" s="2" customFormat="1" x14ac:dyDescent="0.25">
      <c r="A101" s="79" t="s">
        <v>416</v>
      </c>
      <c r="B101" s="43">
        <v>4041</v>
      </c>
      <c r="C101" s="43" t="s">
        <v>60</v>
      </c>
      <c r="D101" s="43" t="s">
        <v>309</v>
      </c>
      <c r="E101" s="25">
        <v>42549.662673611114</v>
      </c>
      <c r="F101" s="25">
        <v>42549.663541666669</v>
      </c>
      <c r="G101" s="31">
        <v>1</v>
      </c>
      <c r="H101" s="25" t="s">
        <v>417</v>
      </c>
      <c r="I101" s="25">
        <v>42549.689131944448</v>
      </c>
      <c r="J101" s="43">
        <v>0</v>
      </c>
      <c r="K101" s="43" t="str">
        <f>IF(ISEVEN(B101),(B101-1)&amp;"/"&amp;B101,B101&amp;"/"&amp;(B101+1))</f>
        <v>4041/4042</v>
      </c>
      <c r="L101" s="43" t="str">
        <f>VLOOKUP(A101,'Trips&amp;Operators'!$C$1:$E$10000,3,FALSE)</f>
        <v>LOCKLEAR</v>
      </c>
      <c r="M101" s="11">
        <f>I101-F101</f>
        <v>2.5590277778974269E-2</v>
      </c>
      <c r="N101" s="12">
        <f>24*60*SUM($M101:$M101)</f>
        <v>36.850000001722947</v>
      </c>
      <c r="O101" s="12"/>
      <c r="P101" s="12"/>
      <c r="Q101" s="44"/>
      <c r="R101" s="44"/>
      <c r="S101" s="70">
        <f>SUM(U101:U101)/12</f>
        <v>1</v>
      </c>
      <c r="T101" s="2" t="str">
        <f>IF(ISEVEN(LEFT(A101,3)),"Southbound","NorthBound")</f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48" t="str">
        <f>IF(AA101&lt;23,"Y","N")</f>
        <v>N</v>
      </c>
      <c r="X101" s="48">
        <f>VALUE(LEFT(A101,3))-VALUE(LEFT(A100,3))</f>
        <v>1</v>
      </c>
      <c r="Y101" s="48">
        <f>RIGHT(D101,LEN(D101)-4)/10000</f>
        <v>23.301100000000002</v>
      </c>
      <c r="Z101" s="48">
        <f>RIGHT(H101,LEN(H101)-4)/10000</f>
        <v>0.16</v>
      </c>
      <c r="AA101" s="48">
        <f>ABS(Z101-Y101)</f>
        <v>23.141100000000002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79" t="s">
        <v>418</v>
      </c>
      <c r="B102" s="43">
        <v>4011</v>
      </c>
      <c r="C102" s="43" t="s">
        <v>60</v>
      </c>
      <c r="D102" s="43" t="s">
        <v>297</v>
      </c>
      <c r="E102" s="25">
        <v>42549.631597222222</v>
      </c>
      <c r="F102" s="25">
        <v>42549.632754629631</v>
      </c>
      <c r="G102" s="31">
        <v>1</v>
      </c>
      <c r="H102" s="25" t="s">
        <v>419</v>
      </c>
      <c r="I102" s="25">
        <v>42549.653275462966</v>
      </c>
      <c r="J102" s="43">
        <v>0</v>
      </c>
      <c r="K102" s="43" t="str">
        <f>IF(ISEVEN(B102),(B102-1)&amp;"/"&amp;B102,B102&amp;"/"&amp;(B102+1))</f>
        <v>4011/4012</v>
      </c>
      <c r="L102" s="43" t="str">
        <f>VLOOKUP(A102,'Trips&amp;Operators'!$C$1:$E$10000,3,FALSE)</f>
        <v>DAVIS</v>
      </c>
      <c r="M102" s="11">
        <f>I102-F102</f>
        <v>2.0520833335467614E-2</v>
      </c>
      <c r="N102" s="12"/>
      <c r="O102" s="12"/>
      <c r="P102" s="12">
        <f>24*60*SUM($M102:$M102)</f>
        <v>29.550000003073364</v>
      </c>
      <c r="Q102" s="44"/>
      <c r="R102" s="44" t="s">
        <v>645</v>
      </c>
      <c r="S102" s="70">
        <f>SUM(U102:U102)/12</f>
        <v>1</v>
      </c>
      <c r="T102" s="2" t="str">
        <f>IF(ISEVEN(LEFT(A102,3)),"Southbound","NorthBound")</f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2" s="48" t="str">
        <f>IF(AA102&lt;23,"Y","N")</f>
        <v>Y</v>
      </c>
      <c r="X102" s="48">
        <f>VALUE(LEFT(A102,3))-VALUE(LEFT(A101,3))</f>
        <v>1</v>
      </c>
      <c r="Y102" s="48">
        <f>RIGHT(D102,LEN(D102)-4)/10000</f>
        <v>4.6899999999999997E-2</v>
      </c>
      <c r="Z102" s="48">
        <f>RIGHT(H102,LEN(H102)-4)/10000</f>
        <v>12.4664</v>
      </c>
      <c r="AA102" s="48">
        <f>ABS(Z102-Y102)</f>
        <v>12.419499999999999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66" t="s">
        <v>614</v>
      </c>
      <c r="B103" s="43">
        <v>4012</v>
      </c>
      <c r="C103" s="43"/>
      <c r="D103" s="43"/>
      <c r="E103" s="25"/>
      <c r="F103" s="25">
        <v>42549.672858796293</v>
      </c>
      <c r="G103" s="25"/>
      <c r="H103" s="25"/>
      <c r="I103" s="25">
        <v>42549.674861111111</v>
      </c>
      <c r="J103" s="43"/>
      <c r="K103" s="43" t="str">
        <f>IF(ISEVEN(B103),(B103-1)&amp;"/"&amp;B103,B103&amp;"/"&amp;(B103+1))</f>
        <v>4011/4012</v>
      </c>
      <c r="L103" s="43" t="str">
        <f>VLOOKUP(A103,'Trips&amp;Operators'!$C$1:$E$10000,3,FALSE)</f>
        <v>DAVIS</v>
      </c>
      <c r="M103" s="11">
        <f>I103-F103</f>
        <v>2.0023148172185756E-3</v>
      </c>
      <c r="N103" s="12"/>
      <c r="O103" s="12"/>
      <c r="P103" s="12">
        <f>24*60*SUM($M103:$M103)</f>
        <v>2.8833333367947489</v>
      </c>
      <c r="Q103" s="44"/>
      <c r="R103" s="44" t="s">
        <v>645</v>
      </c>
      <c r="S103" s="70">
        <f>SUM(U103:U103)/12</f>
        <v>0</v>
      </c>
      <c r="T103" s="2" t="str">
        <f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0</v>
      </c>
      <c r="V103" s="48" t="e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#VALUE!</v>
      </c>
      <c r="W103" s="48" t="e">
        <f>IF(AA103&lt;23,"Y","N")</f>
        <v>#VALUE!</v>
      </c>
      <c r="X103" s="48" t="e">
        <f>VALUE(LEFT(A103,3))-VALUE(LEFT(#REF!,3))</f>
        <v>#REF!</v>
      </c>
      <c r="Y103" s="48" t="e">
        <f>RIGHT(D103,LEN(D103)-4)/10000</f>
        <v>#VALUE!</v>
      </c>
      <c r="Z103" s="48" t="e">
        <f>RIGHT(H103,LEN(H103)-4)/10000</f>
        <v>#VALUE!</v>
      </c>
      <c r="AA103" s="48" t="e">
        <f>ABS(Z103-Y103)</f>
        <v>#VALUE!</v>
      </c>
      <c r="AB103" s="49">
        <f>VLOOKUP(A103,Enforcements!$C$7:$J$32,8,0)</f>
        <v>68497</v>
      </c>
      <c r="AC103" s="49" t="str">
        <f>VLOOKUP(A103,Enforcements!$C$7:$E$32,3,0)</f>
        <v>EQUIPMENT RESTRICTION</v>
      </c>
    </row>
    <row r="104" spans="1:29" s="2" customFormat="1" x14ac:dyDescent="0.25">
      <c r="A104" s="79" t="s">
        <v>420</v>
      </c>
      <c r="B104" s="43">
        <v>4020</v>
      </c>
      <c r="C104" s="43" t="s">
        <v>60</v>
      </c>
      <c r="D104" s="43" t="s">
        <v>101</v>
      </c>
      <c r="E104" s="25">
        <v>42549.641736111109</v>
      </c>
      <c r="F104" s="25">
        <v>42549.64298611111</v>
      </c>
      <c r="G104" s="25">
        <v>1</v>
      </c>
      <c r="H104" s="25" t="s">
        <v>93</v>
      </c>
      <c r="I104" s="25">
        <v>42549.671875</v>
      </c>
      <c r="J104" s="43">
        <v>0</v>
      </c>
      <c r="K104" s="43" t="str">
        <f>IF(ISEVEN(B104),(B104-1)&amp;"/"&amp;B104,B104&amp;"/"&amp;(B104+1))</f>
        <v>4019/4020</v>
      </c>
      <c r="L104" s="43" t="str">
        <f>VLOOKUP(A104,'Trips&amp;Operators'!$C$1:$E$10000,3,FALSE)</f>
        <v>STAMBAUGH</v>
      </c>
      <c r="M104" s="11">
        <f>I104-F104</f>
        <v>2.8888888889923692E-2</v>
      </c>
      <c r="N104" s="12">
        <f>24*60*SUM($M104:$M104)</f>
        <v>41.600000001490116</v>
      </c>
      <c r="O104" s="12"/>
      <c r="P104" s="12"/>
      <c r="Q104" s="44"/>
      <c r="R104" s="44"/>
      <c r="S104" s="70">
        <f>SUM(U104:U104)/12</f>
        <v>1</v>
      </c>
      <c r="T104" s="2" t="str">
        <f>IF(ISEVEN(LEFT(A104,3)),"Southbound","NorthBound")</f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>IF(AA104&lt;23,"Y","N")</f>
        <v>N</v>
      </c>
      <c r="X104" s="48">
        <f>VALUE(LEFT(A104,3))-VALUE(LEFT(A103,3))</f>
        <v>1</v>
      </c>
      <c r="Y104" s="48">
        <f>RIGHT(D104,LEN(D104)-4)/10000</f>
        <v>4.5499999999999999E-2</v>
      </c>
      <c r="Z104" s="48">
        <f>RIGHT(H104,LEN(H104)-4)/10000</f>
        <v>23.329499999999999</v>
      </c>
      <c r="AA104" s="48">
        <f>ABS(Z104-Y104)</f>
        <v>23.283999999999999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79" t="s">
        <v>421</v>
      </c>
      <c r="B105" s="43">
        <v>4019</v>
      </c>
      <c r="C105" s="43" t="s">
        <v>60</v>
      </c>
      <c r="D105" s="43" t="s">
        <v>244</v>
      </c>
      <c r="E105" s="25">
        <v>42549.680497685185</v>
      </c>
      <c r="F105" s="25">
        <v>42549.681145833332</v>
      </c>
      <c r="G105" s="25">
        <v>0</v>
      </c>
      <c r="H105" s="25" t="s">
        <v>137</v>
      </c>
      <c r="I105" s="25">
        <v>42549.718206018515</v>
      </c>
      <c r="J105" s="43">
        <v>1</v>
      </c>
      <c r="K105" s="43" t="str">
        <f>IF(ISEVEN(B105),(B105-1)&amp;"/"&amp;B105,B105&amp;"/"&amp;(B105+1))</f>
        <v>4019/4020</v>
      </c>
      <c r="L105" s="43" t="str">
        <f>VLOOKUP(A105,'Trips&amp;Operators'!$C$1:$E$10000,3,FALSE)</f>
        <v>STAMBAUGH</v>
      </c>
      <c r="M105" s="11">
        <f>I105-F105</f>
        <v>3.7060185182781424E-2</v>
      </c>
      <c r="N105" s="12">
        <f>24*60*SUM($M105:$M105)</f>
        <v>53.366666663205251</v>
      </c>
      <c r="O105" s="12"/>
      <c r="P105" s="12"/>
      <c r="Q105" s="44"/>
      <c r="R105" s="44"/>
      <c r="S105" s="70">
        <f>SUM(U105:U105)/12</f>
        <v>1</v>
      </c>
      <c r="T105" s="2" t="str">
        <f>IF(ISEVEN(LEFT(A105,3)),"Southbound","NorthBound")</f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>IF(AA105&lt;23,"Y","N")</f>
        <v>N</v>
      </c>
      <c r="X105" s="48">
        <f>VALUE(LEFT(A105,3))-VALUE(LEFT(A104,3))</f>
        <v>1</v>
      </c>
      <c r="Y105" s="48">
        <f>RIGHT(D105,LEN(D105)-4)/10000</f>
        <v>23.2989</v>
      </c>
      <c r="Z105" s="48">
        <f>RIGHT(H105,LEN(H105)-4)/10000</f>
        <v>1.43E-2</v>
      </c>
      <c r="AA105" s="48">
        <f>ABS(Z105-Y105)</f>
        <v>23.284600000000001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79" t="s">
        <v>422</v>
      </c>
      <c r="B106" s="43">
        <v>4024</v>
      </c>
      <c r="C106" s="43" t="s">
        <v>60</v>
      </c>
      <c r="D106" s="43" t="s">
        <v>423</v>
      </c>
      <c r="E106" s="25">
        <v>42549.658067129632</v>
      </c>
      <c r="F106" s="25">
        <v>42549.659363425926</v>
      </c>
      <c r="G106" s="25">
        <v>1</v>
      </c>
      <c r="H106" s="25" t="s">
        <v>105</v>
      </c>
      <c r="I106" s="25">
        <v>42549.689479166664</v>
      </c>
      <c r="J106" s="43">
        <v>2</v>
      </c>
      <c r="K106" s="43" t="str">
        <f>IF(ISEVEN(B106),(B106-1)&amp;"/"&amp;B106,B106&amp;"/"&amp;(B106+1))</f>
        <v>4023/4024</v>
      </c>
      <c r="L106" s="43" t="str">
        <f>VLOOKUP(A106,'Trips&amp;Operators'!$C$1:$E$10000,3,FALSE)</f>
        <v>YOUNG</v>
      </c>
      <c r="M106" s="11">
        <f>I106-F106</f>
        <v>3.011574073752854E-2</v>
      </c>
      <c r="N106" s="12">
        <f>24*60*SUM($M106:$M106)</f>
        <v>43.366666662041098</v>
      </c>
      <c r="O106" s="12"/>
      <c r="P106" s="12"/>
      <c r="Q106" s="44"/>
      <c r="R106" s="44"/>
      <c r="S106" s="70">
        <f>SUM(U106:U106)/12</f>
        <v>1</v>
      </c>
      <c r="T106" s="2" t="str">
        <f>IF(ISEVEN(LEFT(A106,3)),"Southbound","NorthBound")</f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6" s="48" t="str">
        <f>IF(AA106&lt;23,"Y","N")</f>
        <v>N</v>
      </c>
      <c r="X106" s="48">
        <f>VALUE(LEFT(A106,3))-VALUE(LEFT(A105,3))</f>
        <v>1</v>
      </c>
      <c r="Y106" s="48">
        <f>RIGHT(D106,LEN(D106)-4)/10000</f>
        <v>5.5899999999999998E-2</v>
      </c>
      <c r="Z106" s="48">
        <f>RIGHT(H106,LEN(H106)-4)/10000</f>
        <v>23.3307</v>
      </c>
      <c r="AA106" s="48">
        <f>ABS(Z106-Y106)</f>
        <v>23.274799999999999</v>
      </c>
      <c r="AB106" s="49">
        <f>VLOOKUP(A106,Enforcements!$C$7:$J$32,8,0)</f>
        <v>27333</v>
      </c>
      <c r="AC106" s="49" t="str">
        <f>VLOOKUP(A106,Enforcements!$C$7:$E$32,3,0)</f>
        <v>PERMANENT SPEED RESTRICTION</v>
      </c>
    </row>
    <row r="107" spans="1:29" s="2" customFormat="1" x14ac:dyDescent="0.25">
      <c r="A107" s="79" t="s">
        <v>424</v>
      </c>
      <c r="B107" s="43">
        <v>4023</v>
      </c>
      <c r="C107" s="43" t="s">
        <v>60</v>
      </c>
      <c r="D107" s="43" t="s">
        <v>155</v>
      </c>
      <c r="E107" s="25">
        <v>42549.694166666668</v>
      </c>
      <c r="F107" s="25">
        <v>42549.695509259262</v>
      </c>
      <c r="G107" s="25">
        <v>1</v>
      </c>
      <c r="H107" s="25" t="s">
        <v>425</v>
      </c>
      <c r="I107" s="25">
        <v>42549.696932870371</v>
      </c>
      <c r="J107" s="43">
        <v>0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YOUNG</v>
      </c>
      <c r="M107" s="11">
        <f>I107-F107</f>
        <v>1.4236111092031933E-3</v>
      </c>
      <c r="N107" s="12"/>
      <c r="O107" s="12"/>
      <c r="P107" s="12">
        <f>24*60*SUM($M107:$M108)</f>
        <v>18.033333336934447</v>
      </c>
      <c r="Q107" s="44"/>
      <c r="R107" s="44" t="s">
        <v>646</v>
      </c>
      <c r="S107" s="70">
        <f>SUM(U107:U107)/12</f>
        <v>0</v>
      </c>
      <c r="T107" s="2" t="str">
        <f>IF(ISEVEN(LEFT(A107,3)),"Southbound","NorthBound")</f>
        <v>Southbound</v>
      </c>
      <c r="U107" s="2">
        <f>COUNTIFS(Variables!$M$2:$M$19,IF(T107="NorthBound","&gt;=","&lt;=")&amp;Y107,Variables!$M$2:$M$19,IF(T107="NorthBound","&lt;=","&gt;=")&amp;Z107)</f>
        <v>0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>IF(AA107&lt;23,"Y","N")</f>
        <v>Y</v>
      </c>
      <c r="X107" s="48">
        <f>VALUE(LEFT(A107,3))-VALUE(LEFT(A106,3))</f>
        <v>1</v>
      </c>
      <c r="Y107" s="48">
        <f>RIGHT(D107,LEN(D107)-4)/10000</f>
        <v>23.299399999999999</v>
      </c>
      <c r="Z107" s="48">
        <f>RIGHT(H107,LEN(H107)-4)/10000</f>
        <v>23.215499999999999</v>
      </c>
      <c r="AA107" s="48">
        <f>ABS(Z107-Y107)</f>
        <v>8.3899999999999864E-2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79" t="s">
        <v>424</v>
      </c>
      <c r="B108" s="43">
        <v>4023</v>
      </c>
      <c r="C108" s="43" t="s">
        <v>60</v>
      </c>
      <c r="D108" s="43" t="s">
        <v>426</v>
      </c>
      <c r="E108" s="25">
        <v>42549.715821759259</v>
      </c>
      <c r="F108" s="25">
        <v>42549.716527777775</v>
      </c>
      <c r="G108" s="25">
        <v>1</v>
      </c>
      <c r="H108" s="25" t="s">
        <v>427</v>
      </c>
      <c r="I108" s="25">
        <v>42549.727627314816</v>
      </c>
      <c r="J108" s="43">
        <v>0</v>
      </c>
      <c r="K108" s="43" t="str">
        <f>IF(ISEVEN(B108),(B108-1)&amp;"/"&amp;B108,B108&amp;"/"&amp;(B108+1))</f>
        <v>4023/4024</v>
      </c>
      <c r="L108" s="43" t="str">
        <f>VLOOKUP(A108,'Trips&amp;Operators'!$C$1:$E$10000,3,FALSE)</f>
        <v>YOUNG</v>
      </c>
      <c r="M108" s="11">
        <f>I108-F108</f>
        <v>1.1099537041445728E-2</v>
      </c>
      <c r="N108" s="12"/>
      <c r="O108" s="12"/>
      <c r="P108" s="12"/>
      <c r="Q108" s="44"/>
      <c r="R108" s="44"/>
      <c r="S108" s="70">
        <f>SUM(U108:U108)/12</f>
        <v>0.75</v>
      </c>
      <c r="T108" s="2" t="str">
        <f>IF(ISEVEN(LEFT(A108,3)),"Southbound","NorthBound")</f>
        <v>Southbound</v>
      </c>
      <c r="U108" s="2">
        <f>COUNTIFS(Variables!$M$2:$M$19,IF(T108="NorthBound","&gt;=","&lt;=")&amp;Y108,Variables!$M$2:$M$19,IF(T108="NorthBound","&lt;=","&gt;=")&amp;Z108)</f>
        <v>9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8" s="48" t="str">
        <f>IF(AA108&lt;23,"Y","N")</f>
        <v>Y</v>
      </c>
      <c r="X108" s="48">
        <f>VALUE(LEFT(A108,3))-VALUE(LEFT(A107,3))</f>
        <v>0</v>
      </c>
      <c r="Y108" s="48">
        <f>RIGHT(D108,LEN(D108)-4)/10000</f>
        <v>6.4185999999999996</v>
      </c>
      <c r="Z108" s="48">
        <f>RIGHT(H108,LEN(H108)-4)/10000</f>
        <v>2.12E-2</v>
      </c>
      <c r="AA108" s="48">
        <f>ABS(Z108-Y108)</f>
        <v>6.3973999999999993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79" t="s">
        <v>428</v>
      </c>
      <c r="B109" s="43">
        <v>4018</v>
      </c>
      <c r="C109" s="43" t="s">
        <v>60</v>
      </c>
      <c r="D109" s="43" t="s">
        <v>76</v>
      </c>
      <c r="E109" s="25">
        <v>42549.66300925926</v>
      </c>
      <c r="F109" s="25">
        <v>42549.663831018515</v>
      </c>
      <c r="G109" s="25">
        <v>1</v>
      </c>
      <c r="H109" s="25" t="s">
        <v>230</v>
      </c>
      <c r="I109" s="25">
        <v>42549.700694444444</v>
      </c>
      <c r="J109" s="43">
        <v>2</v>
      </c>
      <c r="K109" s="43" t="str">
        <f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>I109-F109</f>
        <v>3.6863425928459037E-2</v>
      </c>
      <c r="N109" s="12">
        <f>24*60*SUM($M109:$M109)</f>
        <v>53.083333336981013</v>
      </c>
      <c r="O109" s="12"/>
      <c r="P109" s="12"/>
      <c r="Q109" s="44"/>
      <c r="R109" s="44"/>
      <c r="S109" s="70">
        <f>SUM(U109:U109)/12</f>
        <v>1</v>
      </c>
      <c r="T109" s="2" t="str">
        <f>IF(ISEVEN(LEFT(A109,3)),"Southbound","NorthBound")</f>
        <v>NorthBound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4.53E-2</v>
      </c>
      <c r="Z109" s="48">
        <f>RIGHT(H109,LEN(H109)-4)/10000</f>
        <v>23.327999999999999</v>
      </c>
      <c r="AA109" s="48">
        <f>ABS(Z109-Y109)</f>
        <v>23.282699999999998</v>
      </c>
      <c r="AB109" s="49">
        <f>VLOOKUP(A109,Enforcements!$C$7:$J$32,8,0)</f>
        <v>63068</v>
      </c>
      <c r="AC109" s="49" t="str">
        <f>VLOOKUP(A109,Enforcements!$C$7:$E$32,3,0)</f>
        <v>GRADE CROSSING</v>
      </c>
    </row>
    <row r="110" spans="1:29" s="2" customFormat="1" x14ac:dyDescent="0.25">
      <c r="A110" s="79" t="s">
        <v>429</v>
      </c>
      <c r="B110" s="43">
        <v>4017</v>
      </c>
      <c r="C110" s="43" t="s">
        <v>60</v>
      </c>
      <c r="D110" s="43" t="s">
        <v>239</v>
      </c>
      <c r="E110" s="25">
        <v>42549.704016203701</v>
      </c>
      <c r="F110" s="25">
        <v>42549.704942129632</v>
      </c>
      <c r="G110" s="25">
        <v>1</v>
      </c>
      <c r="H110" s="25" t="s">
        <v>106</v>
      </c>
      <c r="I110" s="25">
        <v>42549.733912037038</v>
      </c>
      <c r="J110" s="43">
        <v>1</v>
      </c>
      <c r="K110" s="43" t="str">
        <f>IF(ISEVEN(B110),(B110-1)&amp;"/"&amp;B110,B110&amp;"/"&amp;(B110+1))</f>
        <v>4017/4018</v>
      </c>
      <c r="L110" s="43" t="str">
        <f>VLOOKUP(A110,'Trips&amp;Operators'!$C$1:$E$10000,3,FALSE)</f>
        <v>BONDS</v>
      </c>
      <c r="M110" s="11">
        <f>I110-F110</f>
        <v>2.8969907405553386E-2</v>
      </c>
      <c r="N110" s="12">
        <f>24*60*SUM($M110:$M110)</f>
        <v>41.716666663996875</v>
      </c>
      <c r="O110" s="12"/>
      <c r="P110" s="12"/>
      <c r="Q110" s="44"/>
      <c r="R110" s="44"/>
      <c r="S110" s="70">
        <f>SUM(U110:U110)/12</f>
        <v>1</v>
      </c>
      <c r="T110" s="2" t="str">
        <f>IF(ISEVEN(LEFT(A110,3)),"Southbound","NorthBound")</f>
        <v>Southbound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0" s="48" t="str">
        <f>IF(AA110&lt;23,"Y","N")</f>
        <v>N</v>
      </c>
      <c r="X110" s="48">
        <f>VALUE(LEFT(A110,3))-VALUE(LEFT(A109,3))</f>
        <v>1</v>
      </c>
      <c r="Y110" s="48">
        <f>RIGHT(D110,LEN(D110)-4)/10000</f>
        <v>23.2988</v>
      </c>
      <c r="Z110" s="48">
        <f>RIGHT(H110,LEN(H110)-4)/10000</f>
        <v>1.4999999999999999E-2</v>
      </c>
      <c r="AA110" s="48">
        <f>ABS(Z110-Y110)</f>
        <v>23.283799999999999</v>
      </c>
      <c r="AB110" s="49">
        <f>VLOOKUP(A110,Enforcements!$C$7:$J$32,8,0)</f>
        <v>58301</v>
      </c>
      <c r="AC110" s="49" t="str">
        <f>VLOOKUP(A110,Enforcements!$C$7:$E$32,3,0)</f>
        <v>GRADE CROSSING</v>
      </c>
    </row>
    <row r="111" spans="1:29" s="2" customFormat="1" x14ac:dyDescent="0.25">
      <c r="A111" s="79" t="s">
        <v>430</v>
      </c>
      <c r="B111" s="43">
        <v>4044</v>
      </c>
      <c r="C111" s="43" t="s">
        <v>60</v>
      </c>
      <c r="D111" s="43" t="s">
        <v>165</v>
      </c>
      <c r="E111" s="25">
        <v>42549.674305555556</v>
      </c>
      <c r="F111" s="25">
        <v>42549.675347222219</v>
      </c>
      <c r="G111" s="25">
        <v>1</v>
      </c>
      <c r="H111" s="25" t="s">
        <v>266</v>
      </c>
      <c r="I111" s="25">
        <v>42549.707256944443</v>
      </c>
      <c r="J111" s="43">
        <v>0</v>
      </c>
      <c r="K111" s="43" t="str">
        <f>IF(ISEVEN(B111),(B111-1)&amp;"/"&amp;B111,B111&amp;"/"&amp;(B111+1))</f>
        <v>4043/4044</v>
      </c>
      <c r="L111" s="43" t="str">
        <f>VLOOKUP(A111,'Trips&amp;Operators'!$C$1:$E$10000,3,FALSE)</f>
        <v>REBOLETTI</v>
      </c>
      <c r="M111" s="11">
        <f>I111-F111</f>
        <v>3.1909722223645076E-2</v>
      </c>
      <c r="N111" s="12">
        <f>24*60*SUM($M111:$M111)</f>
        <v>45.95000000204891</v>
      </c>
      <c r="O111" s="12"/>
      <c r="P111" s="12"/>
      <c r="Q111" s="44"/>
      <c r="R111" s="44"/>
      <c r="S111" s="70">
        <f>SUM(U111:U111)/12</f>
        <v>1</v>
      </c>
      <c r="T111" s="2" t="str">
        <f>IF(ISEVEN(LEFT(A111,3)),"Southbound","NorthBound")</f>
        <v>NorthBound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4.4200000000000003E-2</v>
      </c>
      <c r="Z111" s="48">
        <f>RIGHT(H111,LEN(H111)-4)/10000</f>
        <v>23.330200000000001</v>
      </c>
      <c r="AA111" s="48">
        <f>ABS(Z111-Y111)</f>
        <v>23.286000000000001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79" t="s">
        <v>431</v>
      </c>
      <c r="B112" s="43">
        <v>4043</v>
      </c>
      <c r="C112" s="43" t="s">
        <v>60</v>
      </c>
      <c r="D112" s="43" t="s">
        <v>187</v>
      </c>
      <c r="E112" s="25">
        <v>42549.711782407408</v>
      </c>
      <c r="F112" s="25">
        <v>42549.71292824074</v>
      </c>
      <c r="G112" s="25">
        <v>1</v>
      </c>
      <c r="H112" s="25" t="s">
        <v>192</v>
      </c>
      <c r="I112" s="25">
        <v>42549.746493055558</v>
      </c>
      <c r="J112" s="43">
        <v>1</v>
      </c>
      <c r="K112" s="43" t="str">
        <f>IF(ISEVEN(B112),(B112-1)&amp;"/"&amp;B112,B112&amp;"/"&amp;(B112+1))</f>
        <v>4043/4044</v>
      </c>
      <c r="L112" s="43" t="str">
        <f>VLOOKUP(A112,'Trips&amp;Operators'!$C$1:$E$10000,3,FALSE)</f>
        <v>REBOLETTI</v>
      </c>
      <c r="M112" s="11">
        <f>I112-F112</f>
        <v>3.3564814817509614E-2</v>
      </c>
      <c r="N112" s="12">
        <f>24*60*SUM($M112:$M112)</f>
        <v>48.333333337213844</v>
      </c>
      <c r="O112" s="12"/>
      <c r="P112" s="12"/>
      <c r="Q112" s="44"/>
      <c r="R112" s="44"/>
      <c r="S112" s="70">
        <f>SUM(U112:U112)/12</f>
        <v>1</v>
      </c>
      <c r="T112" s="2" t="str">
        <f>IF(ISEVEN(LEFT(A112,3)),"Southbound","NorthBound")</f>
        <v>Southbound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23.298100000000002</v>
      </c>
      <c r="Z112" s="48">
        <f>RIGHT(H112,LEN(H112)-4)/10000</f>
        <v>1.7600000000000001E-2</v>
      </c>
      <c r="AA112" s="48">
        <f>ABS(Z112-Y112)</f>
        <v>23.2805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79" t="s">
        <v>432</v>
      </c>
      <c r="B113" s="43">
        <v>4025</v>
      </c>
      <c r="C113" s="43" t="s">
        <v>60</v>
      </c>
      <c r="D113" s="43" t="s">
        <v>67</v>
      </c>
      <c r="E113" s="25">
        <v>42549.685902777775</v>
      </c>
      <c r="F113" s="25">
        <v>42549.686956018515</v>
      </c>
      <c r="G113" s="25">
        <v>1</v>
      </c>
      <c r="H113" s="25" t="s">
        <v>231</v>
      </c>
      <c r="I113" s="25">
        <v>42549.718692129631</v>
      </c>
      <c r="J113" s="43">
        <v>0</v>
      </c>
      <c r="K113" s="43" t="str">
        <f>IF(ISEVEN(B113),(B113-1)&amp;"/"&amp;B113,B113&amp;"/"&amp;(B113+1))</f>
        <v>4025/4026</v>
      </c>
      <c r="L113" s="43" t="str">
        <f>VLOOKUP(A113,'Trips&amp;Operators'!$C$1:$E$10000,3,FALSE)</f>
        <v>SHOOK</v>
      </c>
      <c r="M113" s="11">
        <f>I113-F113</f>
        <v>3.1736111115606036E-2</v>
      </c>
      <c r="N113" s="12">
        <f>24*60*SUM($M113:$M113)</f>
        <v>45.700000006472692</v>
      </c>
      <c r="O113" s="12"/>
      <c r="P113" s="12"/>
      <c r="Q113" s="44"/>
      <c r="R113" s="44"/>
      <c r="S113" s="70">
        <f>SUM(U113:U113)/12</f>
        <v>1</v>
      </c>
      <c r="T113" s="2" t="str">
        <f>IF(ISEVEN(LEFT(A113,3)),"Southbound","NorthBound")</f>
        <v>NorthBound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4.5999999999999999E-2</v>
      </c>
      <c r="Z113" s="48">
        <f>RIGHT(H113,LEN(H113)-4)/10000</f>
        <v>23.329899999999999</v>
      </c>
      <c r="AA113" s="48">
        <f>ABS(Z113-Y113)</f>
        <v>23.283899999999999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79" t="s">
        <v>433</v>
      </c>
      <c r="B114" s="43">
        <v>4026</v>
      </c>
      <c r="C114" s="43" t="s">
        <v>60</v>
      </c>
      <c r="D114" s="43" t="s">
        <v>434</v>
      </c>
      <c r="E114" s="25">
        <v>42549.723368055558</v>
      </c>
      <c r="F114" s="25">
        <v>42549.725069444445</v>
      </c>
      <c r="G114" s="25">
        <v>2</v>
      </c>
      <c r="H114" s="25" t="s">
        <v>240</v>
      </c>
      <c r="I114" s="25">
        <v>42549.75540509259</v>
      </c>
      <c r="J114" s="43">
        <v>0</v>
      </c>
      <c r="K114" s="43" t="str">
        <f>IF(ISEVEN(B114),(B114-1)&amp;"/"&amp;B114,B114&amp;"/"&amp;(B114+1))</f>
        <v>4025/4026</v>
      </c>
      <c r="L114" s="43" t="str">
        <f>VLOOKUP(A114,'Trips&amp;Operators'!$C$1:$E$10000,3,FALSE)</f>
        <v>SHOOK</v>
      </c>
      <c r="M114" s="11">
        <f>I114-F114</f>
        <v>3.0335648145410232E-2</v>
      </c>
      <c r="N114" s="12">
        <f>24*60*SUM($M114:$M114)</f>
        <v>43.683333329390734</v>
      </c>
      <c r="O114" s="12"/>
      <c r="P114" s="12"/>
      <c r="Q114" s="44"/>
      <c r="R114" s="44"/>
      <c r="S114" s="70">
        <f>SUM(U114:U114)/12</f>
        <v>1</v>
      </c>
      <c r="T114" s="2" t="str">
        <f>IF(ISEVEN(LEFT(A114,3)),"Southbound","NorthBound")</f>
        <v>Southbound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23.299800000000001</v>
      </c>
      <c r="Z114" s="48">
        <f>RIGHT(H114,LEN(H114)-4)/10000</f>
        <v>1.5599999999999999E-2</v>
      </c>
      <c r="AA114" s="48">
        <f>ABS(Z114-Y114)</f>
        <v>23.284200000000002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79" t="s">
        <v>435</v>
      </c>
      <c r="B115" s="43">
        <v>4027</v>
      </c>
      <c r="C115" s="43" t="s">
        <v>60</v>
      </c>
      <c r="D115" s="43" t="s">
        <v>436</v>
      </c>
      <c r="E115" s="25">
        <v>42549.695914351854</v>
      </c>
      <c r="F115" s="25">
        <v>42549.696817129632</v>
      </c>
      <c r="G115" s="25">
        <v>1</v>
      </c>
      <c r="H115" s="25" t="s">
        <v>152</v>
      </c>
      <c r="I115" s="25">
        <v>42549.724120370367</v>
      </c>
      <c r="J115" s="43">
        <v>0</v>
      </c>
      <c r="K115" s="43" t="str">
        <f>IF(ISEVEN(B115),(B115-1)&amp;"/"&amp;B115,B115&amp;"/"&amp;(B115+1))</f>
        <v>4027/4028</v>
      </c>
      <c r="L115" s="43" t="str">
        <f>VLOOKUP(A115,'Trips&amp;Operators'!$C$1:$E$10000,3,FALSE)</f>
        <v>LOCKLEAR</v>
      </c>
      <c r="M115" s="11">
        <f>I115-F115</f>
        <v>2.7303240734909195E-2</v>
      </c>
      <c r="N115" s="12">
        <f>24*60*SUM($M115:$M115)</f>
        <v>39.316666658269241</v>
      </c>
      <c r="O115" s="12"/>
      <c r="P115" s="12"/>
      <c r="Q115" s="44"/>
      <c r="R115" s="44"/>
      <c r="S115" s="70">
        <f>SUM(U115:U115)/12</f>
        <v>1</v>
      </c>
      <c r="T115" s="2" t="str">
        <f>IF(ISEVEN(LEFT(A115,3)),"Southbound","NorthBound")</f>
        <v>NorthBound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7.5399999999999995E-2</v>
      </c>
      <c r="Z115" s="48">
        <f>RIGHT(H115,LEN(H115)-4)/10000</f>
        <v>23.331199999999999</v>
      </c>
      <c r="AA115" s="48">
        <f>ABS(Z115-Y115)</f>
        <v>23.255800000000001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79" t="s">
        <v>437</v>
      </c>
      <c r="B116" s="43">
        <v>4028</v>
      </c>
      <c r="C116" s="43" t="s">
        <v>60</v>
      </c>
      <c r="D116" s="43" t="s">
        <v>320</v>
      </c>
      <c r="E116" s="25">
        <v>42549.733460648145</v>
      </c>
      <c r="F116" s="25">
        <v>42549.7346875</v>
      </c>
      <c r="G116" s="25">
        <v>1</v>
      </c>
      <c r="H116" s="25" t="s">
        <v>99</v>
      </c>
      <c r="I116" s="25">
        <v>42549.763923611114</v>
      </c>
      <c r="J116" s="43">
        <v>0</v>
      </c>
      <c r="K116" s="43" t="str">
        <f>IF(ISEVEN(B116),(B116-1)&amp;"/"&amp;B116,B116&amp;"/"&amp;(B116+1))</f>
        <v>4027/4028</v>
      </c>
      <c r="L116" s="43" t="str">
        <f>VLOOKUP(A116,'Trips&amp;Operators'!$C$1:$E$10000,3,FALSE)</f>
        <v>LOCKLEAR</v>
      </c>
      <c r="M116" s="11">
        <f>I116-F116</f>
        <v>2.923611111327773E-2</v>
      </c>
      <c r="N116" s="12">
        <f>24*60*SUM($M116:$M116)</f>
        <v>42.100000003119931</v>
      </c>
      <c r="O116" s="12"/>
      <c r="P116" s="12"/>
      <c r="Q116" s="44"/>
      <c r="R116" s="44"/>
      <c r="S116" s="70">
        <f>SUM(U116:U116)/12</f>
        <v>1</v>
      </c>
      <c r="T116" s="2" t="str">
        <f>IF(ISEVEN(LEFT(A116,3)),"Southbound","NorthBound")</f>
        <v>Southbound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48" t="str">
        <f>IF(AA116&lt;23,"Y","N")</f>
        <v>N</v>
      </c>
      <c r="X116" s="48">
        <f>VALUE(LEFT(A116,3))-VALUE(LEFT(A115,3))</f>
        <v>1</v>
      </c>
      <c r="Y116" s="48">
        <f>RIGHT(D116,LEN(D116)-4)/10000</f>
        <v>23.3</v>
      </c>
      <c r="Z116" s="48">
        <f>RIGHT(H116,LEN(H116)-4)/10000</f>
        <v>1.7000000000000001E-2</v>
      </c>
      <c r="AA116" s="48">
        <f>ABS(Z116-Y116)</f>
        <v>23.283000000000001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79" t="s">
        <v>438</v>
      </c>
      <c r="B117" s="43">
        <v>4031</v>
      </c>
      <c r="C117" s="43" t="s">
        <v>60</v>
      </c>
      <c r="D117" s="43" t="s">
        <v>150</v>
      </c>
      <c r="E117" s="25">
        <v>42549.701435185183</v>
      </c>
      <c r="F117" s="25">
        <v>42549.702893518515</v>
      </c>
      <c r="G117" s="25">
        <v>2</v>
      </c>
      <c r="H117" s="25" t="s">
        <v>102</v>
      </c>
      <c r="I117" s="25">
        <v>42549.735868055555</v>
      </c>
      <c r="J117" s="43">
        <v>4</v>
      </c>
      <c r="K117" s="43" t="str">
        <f>IF(ISEVEN(B117),(B117-1)&amp;"/"&amp;B117,B117&amp;"/"&amp;(B117+1))</f>
        <v>4031/4032</v>
      </c>
      <c r="L117" s="43" t="str">
        <f>VLOOKUP(A117,'Trips&amp;Operators'!$C$1:$E$10000,3,FALSE)</f>
        <v>STRICKLAND</v>
      </c>
      <c r="M117" s="11">
        <f>I117-F117</f>
        <v>3.2974537039990537E-2</v>
      </c>
      <c r="N117" s="12">
        <f>24*60*SUM($M117:$M117)</f>
        <v>47.483333337586373</v>
      </c>
      <c r="O117" s="12"/>
      <c r="P117" s="12"/>
      <c r="Q117" s="44"/>
      <c r="R117" s="44" t="s">
        <v>647</v>
      </c>
      <c r="S117" s="70">
        <f>SUM(U117:U117)/12</f>
        <v>1</v>
      </c>
      <c r="T117" s="2" t="str">
        <f>IF(ISEVEN(LEFT(A117,3)),"Southbound","NorthBound")</f>
        <v>NorthBound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4.5100000000000001E-2</v>
      </c>
      <c r="Z117" s="48">
        <v>23.3307</v>
      </c>
      <c r="AA117" s="48">
        <f>ABS(Z117-Y117)</f>
        <v>23.285599999999999</v>
      </c>
      <c r="AB117" s="49">
        <f>VLOOKUP(A117,Enforcements!$C$7:$J$32,8,0)</f>
        <v>63309</v>
      </c>
      <c r="AC117" s="49" t="str">
        <f>VLOOKUP(A117,Enforcements!$C$7:$E$32,3,0)</f>
        <v>GRADE CROSSING</v>
      </c>
    </row>
    <row r="118" spans="1:29" x14ac:dyDescent="0.25">
      <c r="A118" s="79" t="s">
        <v>439</v>
      </c>
      <c r="B118" s="43">
        <v>4032</v>
      </c>
      <c r="C118" s="43" t="s">
        <v>60</v>
      </c>
      <c r="D118" s="43" t="s">
        <v>107</v>
      </c>
      <c r="E118" s="25">
        <v>42549.738888888889</v>
      </c>
      <c r="F118" s="25">
        <v>42549.741990740738</v>
      </c>
      <c r="G118" s="25">
        <v>4</v>
      </c>
      <c r="H118" s="25" t="s">
        <v>106</v>
      </c>
      <c r="I118" s="25">
        <v>42549.775752314818</v>
      </c>
      <c r="J118" s="43">
        <v>0</v>
      </c>
      <c r="K118" s="43" t="str">
        <f>IF(ISEVEN(B118),(B118-1)&amp;"/"&amp;B118,B118&amp;"/"&amp;(B118+1))</f>
        <v>4031/4032</v>
      </c>
      <c r="L118" s="43" t="str">
        <f>VLOOKUP(A118,'Trips&amp;Operators'!$C$1:$E$10000,3,FALSE)</f>
        <v>STRICKLAND</v>
      </c>
      <c r="M118" s="11">
        <f>I118-F118</f>
        <v>3.3761574079107959E-2</v>
      </c>
      <c r="N118" s="12">
        <f>24*60*SUM($M118:$M118)</f>
        <v>48.616666673915461</v>
      </c>
      <c r="O118" s="12"/>
      <c r="P118" s="12"/>
      <c r="Q118" s="44"/>
      <c r="R118" s="44"/>
      <c r="S118" s="70">
        <f>SUM(U118:U118)/12</f>
        <v>1</v>
      </c>
      <c r="T118" s="2" t="str">
        <f>IF(ISEVEN(LEFT(A118,3)),"Southbound","NorthBound")</f>
        <v>Southbound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23.2986</v>
      </c>
      <c r="Z118" s="48">
        <f>RIGHT(H118,LEN(H118)-4)/10000</f>
        <v>1.4999999999999999E-2</v>
      </c>
      <c r="AA118" s="48">
        <f>ABS(Z118-Y118)</f>
        <v>23.2836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x14ac:dyDescent="0.25">
      <c r="A119" s="79" t="s">
        <v>440</v>
      </c>
      <c r="B119" s="43">
        <v>4020</v>
      </c>
      <c r="C119" s="43" t="s">
        <v>60</v>
      </c>
      <c r="D119" s="43" t="s">
        <v>441</v>
      </c>
      <c r="E119" s="25">
        <v>42549.720439814817</v>
      </c>
      <c r="F119" s="25">
        <v>42549.721446759257</v>
      </c>
      <c r="G119" s="25">
        <v>1</v>
      </c>
      <c r="H119" s="25" t="s">
        <v>360</v>
      </c>
      <c r="I119" s="25">
        <v>42549.753379629627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LEVERE</v>
      </c>
      <c r="M119" s="11">
        <f>I119-F119</f>
        <v>3.1932870369928423E-2</v>
      </c>
      <c r="N119" s="12">
        <f>24*60*SUM($M119:$M119)</f>
        <v>45.98333333269693</v>
      </c>
      <c r="O119" s="12"/>
      <c r="P119" s="12"/>
      <c r="Q119" s="44"/>
      <c r="R119" s="44"/>
      <c r="S119" s="70">
        <f>SUM(U119:U119)/12</f>
        <v>1</v>
      </c>
      <c r="T119" s="2" t="str">
        <f>IF(ISEVEN(LEFT(A119,3)),"Southbound","NorthBound")</f>
        <v>NorthBound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4.3499999999999997E-2</v>
      </c>
      <c r="Z119" s="48">
        <f>RIGHT(H119,LEN(H119)-4)/10000</f>
        <v>23.327000000000002</v>
      </c>
      <c r="AA119" s="48">
        <f>ABS(Z119-Y119)</f>
        <v>23.2835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79" t="s">
        <v>442</v>
      </c>
      <c r="B120" s="43">
        <v>4019</v>
      </c>
      <c r="C120" s="43" t="s">
        <v>60</v>
      </c>
      <c r="D120" s="43" t="s">
        <v>256</v>
      </c>
      <c r="E120" s="25">
        <v>42549.754791666666</v>
      </c>
      <c r="F120" s="25">
        <v>42549.756122685183</v>
      </c>
      <c r="G120" s="25">
        <v>1</v>
      </c>
      <c r="H120" s="25" t="s">
        <v>166</v>
      </c>
      <c r="I120" s="25">
        <v>42549.787245370368</v>
      </c>
      <c r="J120" s="43">
        <v>0</v>
      </c>
      <c r="K120" s="43" t="str">
        <f>IF(ISEVEN(B120),(B120-1)&amp;"/"&amp;B120,B120&amp;"/"&amp;(B120+1))</f>
        <v>4019/4020</v>
      </c>
      <c r="L120" s="43" t="str">
        <f>VLOOKUP(A120,'Trips&amp;Operators'!$C$1:$E$10000,3,FALSE)</f>
        <v>LEVERE</v>
      </c>
      <c r="M120" s="11">
        <f>I120-F120</f>
        <v>3.1122685184527654E-2</v>
      </c>
      <c r="N120" s="12">
        <f>24*60*SUM($M120:$M120)</f>
        <v>44.816666665719822</v>
      </c>
      <c r="O120" s="12"/>
      <c r="P120" s="12"/>
      <c r="Q120" s="44"/>
      <c r="R120" s="44"/>
      <c r="S120" s="70">
        <f>SUM(U120:U120)/12</f>
        <v>1</v>
      </c>
      <c r="T120" s="2" t="str">
        <f>IF(ISEVEN(LEFT(A120,3)),"Southbound","NorthBound")</f>
        <v>Southbound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23.296800000000001</v>
      </c>
      <c r="Z120" s="48">
        <f>RIGHT(H120,LEN(H120)-4)/10000</f>
        <v>1.6500000000000001E-2</v>
      </c>
      <c r="AA120" s="48">
        <f>ABS(Z120-Y120)</f>
        <v>23.2803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79" t="s">
        <v>443</v>
      </c>
      <c r="B121" s="43">
        <v>4024</v>
      </c>
      <c r="C121" s="43" t="s">
        <v>60</v>
      </c>
      <c r="D121" s="43" t="s">
        <v>444</v>
      </c>
      <c r="E121" s="25">
        <v>42549.729733796295</v>
      </c>
      <c r="F121" s="25">
        <v>42549.730682870373</v>
      </c>
      <c r="G121" s="25">
        <v>1</v>
      </c>
      <c r="H121" s="25" t="s">
        <v>189</v>
      </c>
      <c r="I121" s="25">
        <v>42549.762731481482</v>
      </c>
      <c r="J121" s="43">
        <v>1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YOUNG</v>
      </c>
      <c r="M121" s="11">
        <f>I121-F121</f>
        <v>3.2048611108621117E-2</v>
      </c>
      <c r="N121" s="12">
        <f>24*60*SUM($M121:$M121)</f>
        <v>46.149999996414408</v>
      </c>
      <c r="O121" s="12"/>
      <c r="P121" s="12"/>
      <c r="Q121" s="44"/>
      <c r="R121" s="44"/>
      <c r="S121" s="70">
        <f>SUM(U121:U121)/12</f>
        <v>1</v>
      </c>
      <c r="T121" s="2" t="str">
        <f>IF(ISEVEN(LEFT(A121,3)),"Southbound","NorthBound")</f>
        <v>NorthBound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5.0200000000000002E-2</v>
      </c>
      <c r="Z121" s="48">
        <f>RIGHT(H121,LEN(H121)-4)/10000</f>
        <v>23.330100000000002</v>
      </c>
      <c r="AA121" s="48">
        <f>ABS(Z121-Y121)</f>
        <v>23.279900000000001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x14ac:dyDescent="0.25">
      <c r="A122" s="79" t="s">
        <v>445</v>
      </c>
      <c r="B122" s="43">
        <v>4023</v>
      </c>
      <c r="C122" s="43" t="s">
        <v>60</v>
      </c>
      <c r="D122" s="43" t="s">
        <v>69</v>
      </c>
      <c r="E122" s="25">
        <v>42549.767557870371</v>
      </c>
      <c r="F122" s="25">
        <v>42549.768287037034</v>
      </c>
      <c r="G122" s="25">
        <v>1</v>
      </c>
      <c r="H122" s="25" t="s">
        <v>137</v>
      </c>
      <c r="I122" s="25">
        <v>42549.800706018519</v>
      </c>
      <c r="J122" s="43">
        <v>1</v>
      </c>
      <c r="K122" s="43" t="str">
        <f>IF(ISEVEN(B122),(B122-1)&amp;"/"&amp;B122,B122&amp;"/"&amp;(B122+1))</f>
        <v>4023/4024</v>
      </c>
      <c r="L122" s="43" t="str">
        <f>VLOOKUP(A122,'Trips&amp;Operators'!$C$1:$E$10000,3,FALSE)</f>
        <v>YOUNG</v>
      </c>
      <c r="M122" s="11">
        <f>I122-F122</f>
        <v>3.2418981485534459E-2</v>
      </c>
      <c r="N122" s="12">
        <f>24*60*SUM($M122:$M122)</f>
        <v>46.683333339169621</v>
      </c>
      <c r="O122" s="12"/>
      <c r="P122" s="12"/>
      <c r="Q122" s="44"/>
      <c r="R122" s="44"/>
      <c r="S122" s="70">
        <f>SUM(U122:U122)/12</f>
        <v>1</v>
      </c>
      <c r="T122" s="2" t="str">
        <f>IF(ISEVEN(LEFT(A122,3)),"Southbound","NorthBound")</f>
        <v>Southbound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23.297699999999999</v>
      </c>
      <c r="Z122" s="48">
        <f>RIGHT(H122,LEN(H122)-4)/10000</f>
        <v>1.43E-2</v>
      </c>
      <c r="AA122" s="48">
        <f>ABS(Z122-Y122)</f>
        <v>23.2834</v>
      </c>
      <c r="AB122" s="49">
        <f>VLOOKUP(A122,Enforcements!$C$7:$J$32,8,0)</f>
        <v>58301</v>
      </c>
      <c r="AC122" s="49" t="str">
        <f>VLOOKUP(A122,Enforcements!$C$7:$E$32,3,0)</f>
        <v>GRADE CROSSING</v>
      </c>
    </row>
    <row r="123" spans="1:29" x14ac:dyDescent="0.25">
      <c r="A123" s="79" t="s">
        <v>446</v>
      </c>
      <c r="B123" s="43">
        <v>4018</v>
      </c>
      <c r="C123" s="43" t="s">
        <v>60</v>
      </c>
      <c r="D123" s="43" t="s">
        <v>150</v>
      </c>
      <c r="E123" s="25">
        <v>42549.73673611111</v>
      </c>
      <c r="F123" s="25">
        <v>42549.73741898148</v>
      </c>
      <c r="G123" s="25">
        <v>0</v>
      </c>
      <c r="H123" s="25" t="s">
        <v>189</v>
      </c>
      <c r="I123" s="25">
        <v>42549.772592592592</v>
      </c>
      <c r="J123" s="43">
        <v>0</v>
      </c>
      <c r="K123" s="43" t="str">
        <f>IF(ISEVEN(B123),(B123-1)&amp;"/"&amp;B123,B123&amp;"/"&amp;(B123+1))</f>
        <v>4017/4018</v>
      </c>
      <c r="L123" s="43" t="str">
        <f>VLOOKUP(A123,'Trips&amp;Operators'!$C$1:$E$10000,3,FALSE)</f>
        <v>MOSES</v>
      </c>
      <c r="M123" s="11">
        <f>I123-F123</f>
        <v>3.51736111115315E-2</v>
      </c>
      <c r="N123" s="12">
        <f>24*60*SUM($M123:$M123)</f>
        <v>50.65000000060536</v>
      </c>
      <c r="O123" s="12"/>
      <c r="P123" s="12"/>
      <c r="Q123" s="44"/>
      <c r="R123" s="44"/>
      <c r="S123" s="70">
        <f>SUM(U123:U123)/12</f>
        <v>1</v>
      </c>
      <c r="T123" s="2" t="str">
        <f>IF(ISEVEN(LEFT(A123,3)),"Southbound","NorthBound")</f>
        <v>NorthBound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48" t="str">
        <f>IF(AA123&lt;23,"Y","N")</f>
        <v>N</v>
      </c>
      <c r="X123" s="48">
        <f>VALUE(LEFT(A123,3))-VALUE(LEFT(A122,3))</f>
        <v>1</v>
      </c>
      <c r="Y123" s="48">
        <f>RIGHT(D123,LEN(D123)-4)/10000</f>
        <v>4.5100000000000001E-2</v>
      </c>
      <c r="Z123" s="48">
        <f>RIGHT(H123,LEN(H123)-4)/10000</f>
        <v>23.330100000000002</v>
      </c>
      <c r="AA123" s="48">
        <f>ABS(Z123-Y123)</f>
        <v>23.285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79" t="s">
        <v>447</v>
      </c>
      <c r="B124" s="43">
        <v>4017</v>
      </c>
      <c r="C124" s="43" t="s">
        <v>60</v>
      </c>
      <c r="D124" s="43" t="s">
        <v>405</v>
      </c>
      <c r="E124" s="25">
        <v>42549.776863425926</v>
      </c>
      <c r="F124" s="25">
        <v>42549.778356481482</v>
      </c>
      <c r="G124" s="25">
        <v>2</v>
      </c>
      <c r="H124" s="25" t="s">
        <v>73</v>
      </c>
      <c r="I124" s="25">
        <v>42549.807789351849</v>
      </c>
      <c r="J124" s="43">
        <v>0</v>
      </c>
      <c r="K124" s="43" t="str">
        <f>IF(ISEVEN(B124),(B124-1)&amp;"/"&amp;B124,B124&amp;"/"&amp;(B124+1))</f>
        <v>4017/4018</v>
      </c>
      <c r="L124" s="43" t="str">
        <f>VLOOKUP(A124,'Trips&amp;Operators'!$C$1:$E$10000,3,FALSE)</f>
        <v>MOSES</v>
      </c>
      <c r="M124" s="11">
        <f>I124-F124</f>
        <v>2.9432870367600117E-2</v>
      </c>
      <c r="N124" s="12">
        <f>24*60*SUM($M124:$M124)</f>
        <v>42.383333329344168</v>
      </c>
      <c r="O124" s="12"/>
      <c r="P124" s="12"/>
      <c r="Q124" s="44"/>
      <c r="R124" s="44"/>
      <c r="S124" s="70">
        <f>SUM(U124:U124)/12</f>
        <v>1</v>
      </c>
      <c r="T124" s="2" t="str">
        <f>IF(ISEVEN(LEFT(A124,3)),"Southbound","NorthBound")</f>
        <v>Southbound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48" t="str">
        <f>IF(AA124&lt;23,"Y","N")</f>
        <v>N</v>
      </c>
      <c r="X124" s="48">
        <f>VALUE(LEFT(A124,3))-VALUE(LEFT(A123,3))</f>
        <v>1</v>
      </c>
      <c r="Y124" s="48">
        <f>RIGHT(D124,LEN(D124)-4)/10000</f>
        <v>23.297799999999999</v>
      </c>
      <c r="Z124" s="48">
        <f>RIGHT(H124,LEN(H124)-4)/10000</f>
        <v>1.49E-2</v>
      </c>
      <c r="AA124" s="48">
        <f>ABS(Z124-Y124)</f>
        <v>23.282899999999998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79" t="s">
        <v>448</v>
      </c>
      <c r="B125" s="43">
        <v>4044</v>
      </c>
      <c r="C125" s="43" t="s">
        <v>60</v>
      </c>
      <c r="D125" s="43" t="s">
        <v>449</v>
      </c>
      <c r="E125" s="25">
        <v>42549.748356481483</v>
      </c>
      <c r="F125" s="25">
        <v>42549.749293981484</v>
      </c>
      <c r="G125" s="25">
        <v>1</v>
      </c>
      <c r="H125" s="25" t="s">
        <v>147</v>
      </c>
      <c r="I125" s="25">
        <v>42549.777453703704</v>
      </c>
      <c r="J125" s="43">
        <v>0</v>
      </c>
      <c r="K125" s="43" t="str">
        <f>IF(ISEVEN(B125),(B125-1)&amp;"/"&amp;B125,B125&amp;"/"&amp;(B125+1))</f>
        <v>4043/4044</v>
      </c>
      <c r="L125" s="43" t="str">
        <f>VLOOKUP(A125,'Trips&amp;Operators'!$C$1:$E$10000,3,FALSE)</f>
        <v>REBOLETTI</v>
      </c>
      <c r="M125" s="11">
        <f>I125-F125</f>
        <v>2.8159722220152617E-2</v>
      </c>
      <c r="N125" s="12">
        <f>24*60*SUM($M125:$M125)</f>
        <v>40.549999997019768</v>
      </c>
      <c r="O125" s="12"/>
      <c r="P125" s="12"/>
      <c r="Q125" s="44"/>
      <c r="R125" s="44"/>
      <c r="S125" s="70">
        <f>SUM(U125:U125)/12</f>
        <v>1</v>
      </c>
      <c r="T125" s="2" t="str">
        <f>IF(ISEVEN(LEFT(A125,3)),"Southbound","NorthBound")</f>
        <v>NorthBound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5" s="48" t="str">
        <f>IF(AA125&lt;23,"Y","N")</f>
        <v>N</v>
      </c>
      <c r="X125" s="48">
        <f>VALUE(LEFT(A125,3))-VALUE(LEFT(A124,3))</f>
        <v>1</v>
      </c>
      <c r="Y125" s="48">
        <f>RIGHT(D125,LEN(D125)-4)/10000</f>
        <v>4.8000000000000001E-2</v>
      </c>
      <c r="Z125" s="48">
        <f>RIGHT(H125,LEN(H125)-4)/10000</f>
        <v>23.3293</v>
      </c>
      <c r="AA125" s="48">
        <f>ABS(Z125-Y125)</f>
        <v>23.281300000000002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79" t="s">
        <v>450</v>
      </c>
      <c r="B126" s="43">
        <v>4043</v>
      </c>
      <c r="C126" s="43" t="s">
        <v>60</v>
      </c>
      <c r="D126" s="43" t="s">
        <v>244</v>
      </c>
      <c r="E126" s="25">
        <v>42549.782453703701</v>
      </c>
      <c r="F126" s="25">
        <v>42549.783576388887</v>
      </c>
      <c r="G126" s="25">
        <v>1</v>
      </c>
      <c r="H126" s="25" t="s">
        <v>169</v>
      </c>
      <c r="I126" s="25">
        <v>42549.818124999998</v>
      </c>
      <c r="J126" s="43">
        <v>0</v>
      </c>
      <c r="K126" s="43" t="str">
        <f>IF(ISEVEN(B126),(B126-1)&amp;"/"&amp;B126,B126&amp;"/"&amp;(B126+1))</f>
        <v>4043/4044</v>
      </c>
      <c r="L126" s="43" t="str">
        <f>VLOOKUP(A126,'Trips&amp;Operators'!$C$1:$E$10000,3,FALSE)</f>
        <v>REBOLETTI</v>
      </c>
      <c r="M126" s="11">
        <f>I126-F126</f>
        <v>3.4548611110949423E-2</v>
      </c>
      <c r="N126" s="12">
        <f>24*60*SUM($M126:$M126)</f>
        <v>49.749999999767169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Southbound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23.2989</v>
      </c>
      <c r="Z126" s="48">
        <f>RIGHT(H126,LEN(H126)-4)/10000</f>
        <v>1.67E-2</v>
      </c>
      <c r="AA126" s="48">
        <f>ABS(Z126-Y126)</f>
        <v>23.2822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79" t="s">
        <v>451</v>
      </c>
      <c r="B127" s="43">
        <v>4025</v>
      </c>
      <c r="C127" s="43" t="s">
        <v>60</v>
      </c>
      <c r="D127" s="43" t="s">
        <v>138</v>
      </c>
      <c r="E127" s="25">
        <v>42549.757928240739</v>
      </c>
      <c r="F127" s="25">
        <v>42549.759004629632</v>
      </c>
      <c r="G127" s="25">
        <v>1</v>
      </c>
      <c r="H127" s="25" t="s">
        <v>105</v>
      </c>
      <c r="I127" s="25">
        <v>42549.787928240738</v>
      </c>
      <c r="J127" s="43">
        <v>1</v>
      </c>
      <c r="K127" s="43" t="str">
        <f>IF(ISEVEN(B127),(B127-1)&amp;"/"&amp;B127,B127&amp;"/"&amp;(B127+1))</f>
        <v>4025/4026</v>
      </c>
      <c r="L127" s="43" t="str">
        <f>VLOOKUP(A127,'Trips&amp;Operators'!$C$1:$E$10000,3,FALSE)</f>
        <v>ADANE</v>
      </c>
      <c r="M127" s="11">
        <f>I127-F127</f>
        <v>2.8923611105710734E-2</v>
      </c>
      <c r="N127" s="12">
        <f>24*60*SUM($M127:$M127)</f>
        <v>41.649999992223457</v>
      </c>
      <c r="O127" s="12"/>
      <c r="P127" s="12"/>
      <c r="Q127" s="44"/>
      <c r="R127" s="44"/>
      <c r="S127" s="70">
        <f>SUM(U127:U127)/12</f>
        <v>1</v>
      </c>
      <c r="T127" s="2" t="str">
        <f>IF(ISEVEN(LEFT(A127,3)),"Southbound","NorthBound")</f>
        <v>NorthBound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7" s="48" t="str">
        <f>IF(AA127&lt;23,"Y","N")</f>
        <v>N</v>
      </c>
      <c r="X127" s="48">
        <f>VALUE(LEFT(A127,3))-VALUE(LEFT(A126,3))</f>
        <v>1</v>
      </c>
      <c r="Y127" s="48">
        <f>RIGHT(D127,LEN(D127)-4)/10000</f>
        <v>4.7500000000000001E-2</v>
      </c>
      <c r="Z127" s="48">
        <f>RIGHT(H127,LEN(H127)-4)/10000</f>
        <v>23.3307</v>
      </c>
      <c r="AA127" s="48">
        <f>ABS(Z127-Y127)</f>
        <v>23.283200000000001</v>
      </c>
      <c r="AB127" s="49">
        <f>VLOOKUP(A127,Enforcements!$C$7:$J$32,8,0)</f>
        <v>224578</v>
      </c>
      <c r="AC127" s="49" t="str">
        <f>VLOOKUP(A127,Enforcements!$C$7:$E$32,3,0)</f>
        <v>PERMANENT SPEED RESTRICTION</v>
      </c>
    </row>
    <row r="128" spans="1:29" x14ac:dyDescent="0.25">
      <c r="A128" s="79" t="s">
        <v>452</v>
      </c>
      <c r="B128" s="43">
        <v>4026</v>
      </c>
      <c r="C128" s="43" t="s">
        <v>60</v>
      </c>
      <c r="D128" s="43" t="s">
        <v>107</v>
      </c>
      <c r="E128" s="25">
        <v>42549.795659722222</v>
      </c>
      <c r="F128" s="25">
        <v>42549.7969212963</v>
      </c>
      <c r="G128" s="25">
        <v>1</v>
      </c>
      <c r="H128" s="25" t="s">
        <v>453</v>
      </c>
      <c r="I128" s="25">
        <v>42549.817430555559</v>
      </c>
      <c r="J128" s="43">
        <v>0</v>
      </c>
      <c r="K128" s="43" t="str">
        <f>IF(ISEVEN(B128),(B128-1)&amp;"/"&amp;B128,B128&amp;"/"&amp;(B128+1))</f>
        <v>4025/4026</v>
      </c>
      <c r="L128" s="43" t="str">
        <f>VLOOKUP(A128,'Trips&amp;Operators'!$C$1:$E$10000,3,FALSE)</f>
        <v>ADANE</v>
      </c>
      <c r="M128" s="11">
        <f>I128-F128</f>
        <v>2.0509259258687962E-2</v>
      </c>
      <c r="N128" s="12"/>
      <c r="O128" s="12"/>
      <c r="P128" s="12">
        <f>24*60*SUM($M128:$M129)</f>
        <v>40.216666669584811</v>
      </c>
      <c r="Q128" s="44"/>
      <c r="R128" s="44" t="s">
        <v>648</v>
      </c>
      <c r="S128" s="70">
        <f>SUM(U128:U128)/12</f>
        <v>0.33333333333333331</v>
      </c>
      <c r="T128" s="2" t="str">
        <f>IF(ISEVEN(LEFT(A128,3)),"Southbound","NorthBound")</f>
        <v>Southbound</v>
      </c>
      <c r="U128" s="2">
        <f>COUNTIFS(Variables!$M$2:$M$19,IF(T128="NorthBound","&gt;=","&lt;=")&amp;Y128,Variables!$M$2:$M$19,IF(T128="NorthBound","&lt;=","&gt;=")&amp;Z128)</f>
        <v>4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>IF(AA128&lt;23,"Y","N")</f>
        <v>Y</v>
      </c>
      <c r="X128" s="48">
        <f>VALUE(LEFT(A128,3))-VALUE(LEFT(A127,3))</f>
        <v>1</v>
      </c>
      <c r="Y128" s="48">
        <f>RIGHT(D128,LEN(D128)-4)/10000</f>
        <v>23.2986</v>
      </c>
      <c r="Z128" s="48">
        <f>RIGHT(H128,LEN(H128)-4)/10000</f>
        <v>6.0144000000000002</v>
      </c>
      <c r="AA128" s="48">
        <f>ABS(Z128-Y128)</f>
        <v>17.284199999999998</v>
      </c>
      <c r="AB128" s="49">
        <f>VLOOKUP(A128,Enforcements!$C$7:$J$32,8,0)</f>
        <v>15167</v>
      </c>
      <c r="AC128" s="49" t="str">
        <f>VLOOKUP(A128,Enforcements!$C$7:$E$32,3,0)</f>
        <v>PERMANENT SPEED RESTRICTION</v>
      </c>
    </row>
    <row r="129" spans="1:29" x14ac:dyDescent="0.25">
      <c r="A129" s="79" t="s">
        <v>452</v>
      </c>
      <c r="B129" s="43">
        <v>4026</v>
      </c>
      <c r="C129" s="43" t="s">
        <v>60</v>
      </c>
      <c r="D129" s="43" t="s">
        <v>454</v>
      </c>
      <c r="E129" s="25">
        <v>42549.822094907409</v>
      </c>
      <c r="F129" s="25">
        <v>42549.822800925926</v>
      </c>
      <c r="G129" s="25">
        <v>1</v>
      </c>
      <c r="H129" s="25" t="s">
        <v>240</v>
      </c>
      <c r="I129" s="25">
        <v>42549.83021990741</v>
      </c>
      <c r="J129" s="43">
        <v>1</v>
      </c>
      <c r="K129" s="43" t="str">
        <f>IF(ISEVEN(B129),(B129-1)&amp;"/"&amp;B129,B129&amp;"/"&amp;(B129+1))</f>
        <v>4025/4026</v>
      </c>
      <c r="L129" s="43" t="str">
        <f>VLOOKUP(A129,'Trips&amp;Operators'!$C$1:$E$10000,3,FALSE)</f>
        <v>ADANE</v>
      </c>
      <c r="M129" s="11">
        <f>I129-F129</f>
        <v>7.4189814840792678E-3</v>
      </c>
      <c r="N129" s="12"/>
      <c r="O129" s="12"/>
      <c r="P129" s="12"/>
      <c r="Q129" s="44"/>
      <c r="R129" s="44"/>
      <c r="S129" s="70">
        <f>SUM(U129:U129)/12</f>
        <v>0.25</v>
      </c>
      <c r="T129" s="2" t="str">
        <f>IF(ISEVEN(LEFT(A129,3)),"Southbound","NorthBound")</f>
        <v>Southbound</v>
      </c>
      <c r="U129" s="2">
        <f>COUNTIFS(Variables!$M$2:$M$19,IF(T129="NorthBound","&gt;=","&lt;=")&amp;Y129,Variables!$M$2:$M$19,IF(T129="NorthBound","&lt;=","&gt;=")&amp;Z129)</f>
        <v>3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9" s="48" t="str">
        <f>IF(AA129&lt;23,"Y","N")</f>
        <v>Y</v>
      </c>
      <c r="X129" s="48">
        <f>VALUE(LEFT(A129,3))-VALUE(LEFT(A128,3))</f>
        <v>0</v>
      </c>
      <c r="Y129" s="48">
        <f>RIGHT(D129,LEN(D129)-4)/10000</f>
        <v>3.6772999999999998</v>
      </c>
      <c r="Z129" s="48">
        <f>RIGHT(H129,LEN(H129)-4)/10000</f>
        <v>1.5599999999999999E-2</v>
      </c>
      <c r="AA129" s="48">
        <f>ABS(Z129-Y129)</f>
        <v>3.6616999999999997</v>
      </c>
      <c r="AB129" s="49">
        <f>VLOOKUP(A129,Enforcements!$C$7:$J$32,8,0)</f>
        <v>15167</v>
      </c>
      <c r="AC129" s="49" t="str">
        <f>VLOOKUP(A129,Enforcements!$C$7:$E$32,3,0)</f>
        <v>PERMANENT SPEED RESTRICTION</v>
      </c>
    </row>
    <row r="130" spans="1:29" x14ac:dyDescent="0.25">
      <c r="A130" s="43" t="s">
        <v>455</v>
      </c>
      <c r="B130" s="43">
        <v>4027</v>
      </c>
      <c r="C130" s="43" t="s">
        <v>60</v>
      </c>
      <c r="D130" s="43" t="s">
        <v>458</v>
      </c>
      <c r="E130" s="25">
        <v>42549.768738425926</v>
      </c>
      <c r="F130" s="25">
        <v>42549.770601851851</v>
      </c>
      <c r="G130" s="25">
        <v>2</v>
      </c>
      <c r="H130" s="25" t="s">
        <v>459</v>
      </c>
      <c r="I130" s="25">
        <v>42549.771886574075</v>
      </c>
      <c r="J130" s="43">
        <v>0</v>
      </c>
      <c r="K130" s="43" t="str">
        <f>IF(ISEVEN(B130),(B130-1)&amp;"/"&amp;B130,B130&amp;"/"&amp;(B130+1))</f>
        <v>4027/4028</v>
      </c>
      <c r="L130" s="43" t="str">
        <f>VLOOKUP(A130,'Trips&amp;Operators'!$C$1:$E$10000,3,FALSE)</f>
        <v>BARTLETT</v>
      </c>
      <c r="M130" s="11">
        <f>I130-F130</f>
        <v>1.2847222242271528E-3</v>
      </c>
      <c r="N130" s="12"/>
      <c r="O130" s="12"/>
      <c r="P130" s="12">
        <f>24*60*SUM($M130:$M131)</f>
        <v>42.416666670469567</v>
      </c>
      <c r="Q130" s="44"/>
      <c r="R130" s="44" t="s">
        <v>649</v>
      </c>
      <c r="S130" s="70">
        <f>SUM(U130:U130)/12</f>
        <v>0</v>
      </c>
      <c r="T130" s="2" t="str">
        <f>IF(ISEVEN(LEFT(A130,3)),"Southbound","NorthBound")</f>
        <v>NorthBound</v>
      </c>
      <c r="U130" s="2">
        <f>COUNTIFS(Variables!$M$2:$M$19,IF(T130="NorthBound","&gt;=","&lt;=")&amp;Y130,Variables!$M$2:$M$19,IF(T130="NorthBound","&lt;=","&gt;=")&amp;Z130)</f>
        <v>0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>IF(AA130&lt;23,"Y","N")</f>
        <v>Y</v>
      </c>
      <c r="X130" s="48">
        <f>VALUE(LEFT(A130,3))-VALUE(LEFT(A129,3))</f>
        <v>1</v>
      </c>
      <c r="Y130" s="48">
        <f>RIGHT(D130,LEN(D130)-4)/10000</f>
        <v>4.8899999999999999E-2</v>
      </c>
      <c r="Z130" s="48">
        <f>RIGHT(H130,LEN(H130)-4)/10000</f>
        <v>6.3500000000000001E-2</v>
      </c>
      <c r="AA130" s="48">
        <f>ABS(Z130-Y130)</f>
        <v>1.4600000000000002E-2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79" t="s">
        <v>455</v>
      </c>
      <c r="B131" s="43">
        <v>4027</v>
      </c>
      <c r="C131" s="43" t="s">
        <v>60</v>
      </c>
      <c r="D131" s="43" t="s">
        <v>456</v>
      </c>
      <c r="E131" s="25">
        <v>42549.774363425924</v>
      </c>
      <c r="F131" s="25">
        <v>42549.775000000001</v>
      </c>
      <c r="G131" s="25">
        <v>0</v>
      </c>
      <c r="H131" s="25" t="s">
        <v>457</v>
      </c>
      <c r="I131" s="25">
        <v>42549.803171296298</v>
      </c>
      <c r="J131" s="43">
        <v>0</v>
      </c>
      <c r="K131" s="43" t="str">
        <f>IF(ISEVEN(B131),(B131-1)&amp;"/"&amp;B131,B131&amp;"/"&amp;(B131+1))</f>
        <v>4027/4028</v>
      </c>
      <c r="L131" s="43" t="str">
        <f>VLOOKUP(A131,'Trips&amp;Operators'!$C$1:$E$10000,3,FALSE)</f>
        <v>BARTLETT</v>
      </c>
      <c r="M131" s="11">
        <f>I131-F131</f>
        <v>2.8171296296932269E-2</v>
      </c>
      <c r="N131" s="12"/>
      <c r="O131" s="12"/>
      <c r="P131" s="12"/>
      <c r="Q131" s="44"/>
      <c r="R131" s="44"/>
      <c r="S131" s="70">
        <f>SUM(U131:U131)/12</f>
        <v>1</v>
      </c>
      <c r="T131" s="2" t="str">
        <f>IF(ISEVEN(LEFT(A131,3)),"Southbound","NorthBound")</f>
        <v>NorthBound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48" t="str">
        <f>IF(AA131&lt;23,"Y","N")</f>
        <v>Y</v>
      </c>
      <c r="X131" s="48">
        <f>VALUE(LEFT(A131,3))-VALUE(LEFT(A130,3))</f>
        <v>0</v>
      </c>
      <c r="Y131" s="48">
        <f>RIGHT(D131,LEN(D131)-4)/10000</f>
        <v>1.9113</v>
      </c>
      <c r="Z131" s="48">
        <f>RIGHT(H131,LEN(H131)-4)/10000</f>
        <v>23.328800000000001</v>
      </c>
      <c r="AA131" s="48">
        <f>ABS(Z131-Y131)</f>
        <v>21.4175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460</v>
      </c>
      <c r="B132" s="43">
        <v>4028</v>
      </c>
      <c r="C132" s="43" t="s">
        <v>60</v>
      </c>
      <c r="D132" s="43" t="s">
        <v>235</v>
      </c>
      <c r="E132" s="25">
        <v>42549.807708333334</v>
      </c>
      <c r="F132" s="25">
        <v>42549.809212962966</v>
      </c>
      <c r="G132" s="25">
        <v>2</v>
      </c>
      <c r="H132" s="25" t="s">
        <v>87</v>
      </c>
      <c r="I132" s="25">
        <v>42549.839733796296</v>
      </c>
      <c r="J132" s="43">
        <v>0</v>
      </c>
      <c r="K132" s="43" t="str">
        <f>IF(ISEVEN(B132),(B132-1)&amp;"/"&amp;B132,B132&amp;"/"&amp;(B132+1))</f>
        <v>4027/4028</v>
      </c>
      <c r="L132" s="43" t="str">
        <f>VLOOKUP(A132,'Trips&amp;Operators'!$C$1:$E$10000,3,FALSE)</f>
        <v>BARTLETT</v>
      </c>
      <c r="M132" s="11">
        <f>I132-F132</f>
        <v>3.0520833330228925E-2</v>
      </c>
      <c r="N132" s="12">
        <f>24*60*SUM($M132:$M132)</f>
        <v>43.949999995529652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Southbound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23.2959</v>
      </c>
      <c r="Z132" s="48">
        <f>RIGHT(H132,LEN(H132)-4)/10000</f>
        <v>1.61E-2</v>
      </c>
      <c r="AA132" s="48">
        <f>ABS(Z132-Y132)</f>
        <v>23.279799999999998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x14ac:dyDescent="0.25">
      <c r="A133" s="43" t="s">
        <v>461</v>
      </c>
      <c r="B133" s="43">
        <v>4020</v>
      </c>
      <c r="C133" s="43" t="s">
        <v>60</v>
      </c>
      <c r="D133" s="43" t="s">
        <v>102</v>
      </c>
      <c r="E133" s="25">
        <v>42549.7891087963</v>
      </c>
      <c r="F133" s="25">
        <v>42549.790034722224</v>
      </c>
      <c r="G133" s="25">
        <v>1</v>
      </c>
      <c r="H133" s="25" t="s">
        <v>230</v>
      </c>
      <c r="I133" s="25">
        <v>42549.818194444444</v>
      </c>
      <c r="J133" s="43">
        <v>0</v>
      </c>
      <c r="K133" s="43" t="str">
        <f>IF(ISEVEN(B133),(B133-1)&amp;"/"&amp;B133,B133&amp;"/"&amp;(B133+1))</f>
        <v>4019/4020</v>
      </c>
      <c r="L133" s="43" t="str">
        <f>VLOOKUP(A133,'Trips&amp;Operators'!$C$1:$E$10000,3,FALSE)</f>
        <v>LEVERE</v>
      </c>
      <c r="M133" s="11">
        <f>I133-F133</f>
        <v>2.8159722220152617E-2</v>
      </c>
      <c r="N133" s="12">
        <f>24*60*SUM($M133:$M133)</f>
        <v>40.549999997019768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NorthBound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48" t="str">
        <f>IF(AA133&lt;23,"Y","N")</f>
        <v>N</v>
      </c>
      <c r="X133" s="48">
        <f>VALUE(LEFT(A133,3))-VALUE(LEFT(A132,3))</f>
        <v>1</v>
      </c>
      <c r="Y133" s="48">
        <f>RIGHT(D133,LEN(D133)-4)/10000</f>
        <v>4.6699999999999998E-2</v>
      </c>
      <c r="Z133" s="48">
        <f>RIGHT(H133,LEN(H133)-4)/10000</f>
        <v>23.327999999999999</v>
      </c>
      <c r="AA133" s="48">
        <f>ABS(Z133-Y133)</f>
        <v>23.281299999999998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462</v>
      </c>
      <c r="B134" s="43">
        <v>4019</v>
      </c>
      <c r="C134" s="43" t="s">
        <v>60</v>
      </c>
      <c r="D134" s="43" t="s">
        <v>463</v>
      </c>
      <c r="E134" s="25">
        <v>42549.822534722225</v>
      </c>
      <c r="F134" s="25">
        <v>42549.823657407411</v>
      </c>
      <c r="G134" s="25">
        <v>1</v>
      </c>
      <c r="H134" s="25" t="s">
        <v>240</v>
      </c>
      <c r="I134" s="25">
        <v>42549.858738425923</v>
      </c>
      <c r="J134" s="43">
        <v>0</v>
      </c>
      <c r="K134" s="43" t="str">
        <f>IF(ISEVEN(B134),(B134-1)&amp;"/"&amp;B134,B134&amp;"/"&amp;(B134+1))</f>
        <v>4019/4020</v>
      </c>
      <c r="L134" s="43" t="str">
        <f>VLOOKUP(A134,'Trips&amp;Operators'!$C$1:$E$10000,3,FALSE)</f>
        <v>LEVERE</v>
      </c>
      <c r="M134" s="11">
        <f>I134-F134</f>
        <v>3.5081018511846196E-2</v>
      </c>
      <c r="N134" s="12">
        <f>24*60*SUM($M134:$M134)</f>
        <v>50.516666657058522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Southbound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23.2957</v>
      </c>
      <c r="Z134" s="48">
        <f>RIGHT(H134,LEN(H134)-4)/10000</f>
        <v>1.5599999999999999E-2</v>
      </c>
      <c r="AA134" s="48">
        <f>ABS(Z134-Y134)</f>
        <v>23.280100000000001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464</v>
      </c>
      <c r="B135" s="43">
        <v>4018</v>
      </c>
      <c r="C135" s="43" t="s">
        <v>60</v>
      </c>
      <c r="D135" s="43" t="s">
        <v>79</v>
      </c>
      <c r="E135" s="25">
        <v>42549.810601851852</v>
      </c>
      <c r="F135" s="25">
        <v>42549.811226851853</v>
      </c>
      <c r="G135" s="25">
        <v>0</v>
      </c>
      <c r="H135" s="25" t="s">
        <v>145</v>
      </c>
      <c r="I135" s="25">
        <v>42549.839189814818</v>
      </c>
      <c r="J135" s="43">
        <v>0</v>
      </c>
      <c r="K135" s="43" t="str">
        <f>IF(ISEVEN(B135),(B135-1)&amp;"/"&amp;B135,B135&amp;"/"&amp;(B135+1))</f>
        <v>4017/4018</v>
      </c>
      <c r="L135" s="43" t="str">
        <f>VLOOKUP(A135,'Trips&amp;Operators'!$C$1:$E$10000,3,FALSE)</f>
        <v>MOSES</v>
      </c>
      <c r="M135" s="11">
        <f>I135-F135</f>
        <v>2.7962962965830229E-2</v>
      </c>
      <c r="N135" s="12">
        <f>24*60*SUM($M135:$M135)</f>
        <v>40.26666667079553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NorthBound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4.58E-2</v>
      </c>
      <c r="Z135" s="48">
        <f>RIGHT(H135,LEN(H135)-4)/10000</f>
        <v>23.33</v>
      </c>
      <c r="AA135" s="48">
        <f>ABS(Z135-Y135)</f>
        <v>23.284199999999998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465</v>
      </c>
      <c r="B136" s="43">
        <v>4017</v>
      </c>
      <c r="C136" s="43" t="s">
        <v>60</v>
      </c>
      <c r="D136" s="43" t="s">
        <v>466</v>
      </c>
      <c r="E136" s="25">
        <v>42549.848773148151</v>
      </c>
      <c r="F136" s="25">
        <v>42549.849861111114</v>
      </c>
      <c r="G136" s="25">
        <v>1</v>
      </c>
      <c r="H136" s="25" t="s">
        <v>167</v>
      </c>
      <c r="I136" s="25">
        <v>42549.877800925926</v>
      </c>
      <c r="J136" s="43">
        <v>0</v>
      </c>
      <c r="K136" s="43" t="str">
        <f>IF(ISEVEN(B136),(B136-1)&amp;"/"&amp;B136,B136&amp;"/"&amp;(B136+1))</f>
        <v>4017/4018</v>
      </c>
      <c r="L136" s="43" t="str">
        <f>VLOOKUP(A136,'Trips&amp;Operators'!$C$1:$E$10000,3,FALSE)</f>
        <v>MOSES</v>
      </c>
      <c r="M136" s="11">
        <f>I136-F136</f>
        <v>2.7939814812270924E-2</v>
      </c>
      <c r="N136" s="12">
        <f>24*60*SUM($M136:$M136)</f>
        <v>40.233333329670131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Southbound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23.297599999999999</v>
      </c>
      <c r="Z136" s="48">
        <f>RIGHT(H136,LEN(H136)-4)/10000</f>
        <v>1.54E-2</v>
      </c>
      <c r="AA136" s="48">
        <f>ABS(Z136-Y136)</f>
        <v>23.2822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467</v>
      </c>
      <c r="B137" s="43">
        <v>4025</v>
      </c>
      <c r="C137" s="43" t="s">
        <v>60</v>
      </c>
      <c r="D137" s="43" t="s">
        <v>468</v>
      </c>
      <c r="E137" s="25">
        <v>42549.831550925926</v>
      </c>
      <c r="F137" s="25">
        <v>42549.832499999997</v>
      </c>
      <c r="G137" s="25">
        <v>1</v>
      </c>
      <c r="H137" s="25" t="s">
        <v>189</v>
      </c>
      <c r="I137" s="25">
        <v>42549.859699074077</v>
      </c>
      <c r="J137" s="43">
        <v>0</v>
      </c>
      <c r="K137" s="43" t="str">
        <f>IF(ISEVEN(B137),(B137-1)&amp;"/"&amp;B137,B137&amp;"/"&amp;(B137+1))</f>
        <v>4025/4026</v>
      </c>
      <c r="L137" s="43" t="str">
        <f>VLOOKUP(A137,'Trips&amp;Operators'!$C$1:$E$10000,3,FALSE)</f>
        <v>ADANE</v>
      </c>
      <c r="M137" s="11">
        <f>I137-F137</f>
        <v>2.7199074080272112E-2</v>
      </c>
      <c r="N137" s="12">
        <f>24*60*SUM($M137:$M137)</f>
        <v>39.166666675591841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NorthBound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4.3700000000000003E-2</v>
      </c>
      <c r="Z137" s="48">
        <f>RIGHT(H137,LEN(H137)-4)/10000</f>
        <v>23.330100000000002</v>
      </c>
      <c r="AA137" s="48">
        <f>ABS(Z137-Y137)</f>
        <v>23.2864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469</v>
      </c>
      <c r="B138" s="43">
        <v>4026</v>
      </c>
      <c r="C138" s="43" t="s">
        <v>60</v>
      </c>
      <c r="D138" s="43" t="s">
        <v>151</v>
      </c>
      <c r="E138" s="25">
        <v>42549.867476851854</v>
      </c>
      <c r="F138" s="25">
        <v>42549.868842592594</v>
      </c>
      <c r="G138" s="25">
        <v>1</v>
      </c>
      <c r="H138" s="25" t="s">
        <v>73</v>
      </c>
      <c r="I138" s="25">
        <v>42549.899039351854</v>
      </c>
      <c r="J138" s="43">
        <v>0</v>
      </c>
      <c r="K138" s="43" t="str">
        <f>IF(ISEVEN(B138),(B138-1)&amp;"/"&amp;B138,B138&amp;"/"&amp;(B138+1))</f>
        <v>4025/4026</v>
      </c>
      <c r="L138" s="43" t="str">
        <f>VLOOKUP(A138,'Trips&amp;Operators'!$C$1:$E$10000,3,FALSE)</f>
        <v>ADANE</v>
      </c>
      <c r="M138" s="11">
        <f>I138-F138</f>
        <v>3.0196759260434192E-2</v>
      </c>
      <c r="N138" s="12">
        <f>24*60*SUM($M138:$M138)</f>
        <v>43.483333335025236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Southbound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23.2973</v>
      </c>
      <c r="Z138" s="48">
        <f>RIGHT(H138,LEN(H138)-4)/10000</f>
        <v>1.49E-2</v>
      </c>
      <c r="AA138" s="48">
        <f>ABS(Z138-Y138)</f>
        <v>23.282399999999999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470</v>
      </c>
      <c r="B139" s="43">
        <v>4027</v>
      </c>
      <c r="C139" s="43" t="s">
        <v>60</v>
      </c>
      <c r="D139" s="43" t="s">
        <v>67</v>
      </c>
      <c r="E139" s="25">
        <v>42549.847870370373</v>
      </c>
      <c r="F139" s="25">
        <v>42549.84888888889</v>
      </c>
      <c r="G139" s="25">
        <v>1</v>
      </c>
      <c r="H139" s="25" t="s">
        <v>330</v>
      </c>
      <c r="I139" s="25">
        <v>42549.881678240738</v>
      </c>
      <c r="J139" s="43">
        <v>0</v>
      </c>
      <c r="K139" s="43" t="str">
        <f>IF(ISEVEN(B139),(B139-1)&amp;"/"&amp;B139,B139&amp;"/"&amp;(B139+1))</f>
        <v>4027/4028</v>
      </c>
      <c r="L139" s="43" t="str">
        <f>VLOOKUP(A139,'Trips&amp;Operators'!$C$1:$E$10000,3,FALSE)</f>
        <v>BARTLETT</v>
      </c>
      <c r="M139" s="11">
        <f>I139-F139</f>
        <v>3.2789351847895887E-2</v>
      </c>
      <c r="N139" s="12">
        <f>24*60*SUM($M139:$M139)</f>
        <v>47.216666660970077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NorthBound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4.5999999999999999E-2</v>
      </c>
      <c r="Z139" s="48">
        <f>RIGHT(H139,LEN(H139)-4)/10000</f>
        <v>23.328700000000001</v>
      </c>
      <c r="AA139" s="48">
        <f>ABS(Z139-Y139)</f>
        <v>23.282700000000002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471</v>
      </c>
      <c r="B140" s="43">
        <v>4028</v>
      </c>
      <c r="C140" s="43" t="s">
        <v>60</v>
      </c>
      <c r="D140" s="43" t="s">
        <v>472</v>
      </c>
      <c r="E140" s="25">
        <v>42549.889270833337</v>
      </c>
      <c r="F140" s="25">
        <v>42549.891099537039</v>
      </c>
      <c r="G140" s="25">
        <v>2</v>
      </c>
      <c r="H140" s="25" t="s">
        <v>87</v>
      </c>
      <c r="I140" s="25">
        <v>42549.921851851854</v>
      </c>
      <c r="J140" s="43">
        <v>0</v>
      </c>
      <c r="K140" s="43" t="str">
        <f>IF(ISEVEN(B140),(B140-1)&amp;"/"&amp;B140,B140&amp;"/"&amp;(B140+1))</f>
        <v>4027/4028</v>
      </c>
      <c r="L140" s="43" t="str">
        <f>VLOOKUP(A140,'Trips&amp;Operators'!$C$1:$E$10000,3,FALSE)</f>
        <v>BARTLETT</v>
      </c>
      <c r="M140" s="11">
        <f>I140-F140</f>
        <v>3.0752314814890269E-2</v>
      </c>
      <c r="N140" s="12">
        <f>24*60*SUM($M140:$M140)</f>
        <v>44.283333333441988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Southbound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23.297000000000001</v>
      </c>
      <c r="Z140" s="48">
        <f>RIGHT(H140,LEN(H140)-4)/10000</f>
        <v>1.61E-2</v>
      </c>
      <c r="AA140" s="48">
        <f>ABS(Z140-Y140)</f>
        <v>23.280899999999999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473</v>
      </c>
      <c r="B141" s="43">
        <v>4020</v>
      </c>
      <c r="C141" s="43" t="s">
        <v>60</v>
      </c>
      <c r="D141" s="43" t="s">
        <v>67</v>
      </c>
      <c r="E141" s="25">
        <v>42549.861388888887</v>
      </c>
      <c r="F141" s="25">
        <v>42549.862245370372</v>
      </c>
      <c r="G141" s="25">
        <v>1</v>
      </c>
      <c r="H141" s="25" t="s">
        <v>100</v>
      </c>
      <c r="I141" s="25">
        <v>42549.901516203703</v>
      </c>
      <c r="J141" s="43">
        <v>0</v>
      </c>
      <c r="K141" s="43" t="str">
        <f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>I141-F141</f>
        <v>3.927083333110204E-2</v>
      </c>
      <c r="N141" s="12">
        <f>24*60*SUM($M141:$M141)</f>
        <v>56.549999996786937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NorthBound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4.5999999999999999E-2</v>
      </c>
      <c r="Z141" s="48">
        <f>RIGHT(H141,LEN(H141)-4)/10000</f>
        <v>23.3291</v>
      </c>
      <c r="AA141" s="48">
        <f>ABS(Z141-Y141)</f>
        <v>23.283100000000001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474</v>
      </c>
      <c r="B142" s="43">
        <v>4019</v>
      </c>
      <c r="C142" s="43" t="s">
        <v>60</v>
      </c>
      <c r="D142" s="43" t="s">
        <v>256</v>
      </c>
      <c r="E142" s="25">
        <v>42549.905821759261</v>
      </c>
      <c r="F142" s="25">
        <v>42549.906851851854</v>
      </c>
      <c r="G142" s="25">
        <v>1</v>
      </c>
      <c r="H142" s="25" t="s">
        <v>95</v>
      </c>
      <c r="I142" s="25">
        <v>42549.941030092596</v>
      </c>
      <c r="J142" s="43">
        <v>1</v>
      </c>
      <c r="K142" s="43" t="str">
        <f>IF(ISEVEN(B142),(B142-1)&amp;"/"&amp;B142,B142&amp;"/"&amp;(B142+1))</f>
        <v>4019/4020</v>
      </c>
      <c r="L142" s="43" t="str">
        <f>VLOOKUP(A142,'Trips&amp;Operators'!$C$1:$E$10000,3,FALSE)</f>
        <v>LEVERE</v>
      </c>
      <c r="M142" s="11">
        <f>I142-F142</f>
        <v>3.4178240741312038E-2</v>
      </c>
      <c r="N142" s="12">
        <f>24*60*SUM($M142:$M142)</f>
        <v>49.216666667489335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Southbound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23.296800000000001</v>
      </c>
      <c r="Z142" s="48">
        <f>RIGHT(H142,LEN(H142)-4)/10000</f>
        <v>1.5800000000000002E-2</v>
      </c>
      <c r="AA142" s="48">
        <f>ABS(Z142-Y142)</f>
        <v>23.281000000000002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475</v>
      </c>
      <c r="B143" s="43">
        <v>4018</v>
      </c>
      <c r="C143" s="43" t="s">
        <v>60</v>
      </c>
      <c r="D143" s="43" t="s">
        <v>236</v>
      </c>
      <c r="E143" s="25">
        <v>42549.890972222223</v>
      </c>
      <c r="F143" s="25">
        <v>42549.891770833332</v>
      </c>
      <c r="G143" s="25">
        <v>1</v>
      </c>
      <c r="H143" s="25" t="s">
        <v>345</v>
      </c>
      <c r="I143" s="25">
        <v>42549.921354166669</v>
      </c>
      <c r="J143" s="43">
        <v>0</v>
      </c>
      <c r="K143" s="43" t="str">
        <f>IF(ISEVEN(B143),(B143-1)&amp;"/"&amp;B143,B143&amp;"/"&amp;(B143+1))</f>
        <v>4017/4018</v>
      </c>
      <c r="L143" s="43" t="str">
        <f>VLOOKUP(A143,'Trips&amp;Operators'!$C$1:$E$10000,3,FALSE)</f>
        <v>MOSES</v>
      </c>
      <c r="M143" s="11">
        <f>I143-F143</f>
        <v>2.9583333336631767E-2</v>
      </c>
      <c r="N143" s="12">
        <f>24*60*SUM($M143:$M143)</f>
        <v>42.600000004749745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4.4600000000000001E-2</v>
      </c>
      <c r="Z143" s="48">
        <f>RIGHT(H143,LEN(H143)-4)/10000</f>
        <v>23.328399999999998</v>
      </c>
      <c r="AA143" s="48">
        <f>ABS(Z143-Y143)</f>
        <v>23.283799999999999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476</v>
      </c>
      <c r="B144" s="43">
        <v>4017</v>
      </c>
      <c r="C144" s="43" t="s">
        <v>60</v>
      </c>
      <c r="D144" s="43" t="s">
        <v>144</v>
      </c>
      <c r="E144" s="25">
        <v>42549.93109953704</v>
      </c>
      <c r="F144" s="25">
        <v>42549.932025462964</v>
      </c>
      <c r="G144" s="25">
        <v>1</v>
      </c>
      <c r="H144" s="25" t="s">
        <v>240</v>
      </c>
      <c r="I144" s="25">
        <v>42549.960879629631</v>
      </c>
      <c r="J144" s="43">
        <v>1</v>
      </c>
      <c r="K144" s="43" t="str">
        <f>IF(ISEVEN(B144),(B144-1)&amp;"/"&amp;B144,B144&amp;"/"&amp;(B144+1))</f>
        <v>4017/4018</v>
      </c>
      <c r="L144" s="43" t="str">
        <f>VLOOKUP(A144,'Trips&amp;Operators'!$C$1:$E$10000,3,FALSE)</f>
        <v>MOSES</v>
      </c>
      <c r="M144" s="11">
        <f>I144-F144</f>
        <v>2.8854166666860692E-2</v>
      </c>
      <c r="N144" s="12">
        <f>24*60*SUM($M144:$M144)</f>
        <v>41.550000000279397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48" t="str">
        <f>IF(AA144&lt;23,"Y","N")</f>
        <v>N</v>
      </c>
      <c r="X144" s="48">
        <f>VALUE(LEFT(A144,3))-VALUE(LEFT(A143,3))</f>
        <v>1</v>
      </c>
      <c r="Y144" s="48">
        <f>RIGHT(D144,LEN(D144)-4)/10000</f>
        <v>23.296900000000001</v>
      </c>
      <c r="Z144" s="48">
        <f>RIGHT(H144,LEN(H144)-4)/10000</f>
        <v>1.5599999999999999E-2</v>
      </c>
      <c r="AA144" s="48">
        <f>ABS(Z144-Y144)</f>
        <v>23.281300000000002</v>
      </c>
      <c r="AB144" s="49">
        <f>VLOOKUP(A144,Enforcements!$C$7:$J$32,8,0)</f>
        <v>231147</v>
      </c>
      <c r="AC144" s="49" t="str">
        <f>VLOOKUP(A144,Enforcements!$C$7:$E$32,3,0)</f>
        <v>SIGNAL</v>
      </c>
    </row>
    <row r="145" spans="1:29" x14ac:dyDescent="0.25">
      <c r="A145" s="43" t="s">
        <v>477</v>
      </c>
      <c r="B145" s="43">
        <v>4025</v>
      </c>
      <c r="C145" s="43" t="s">
        <v>60</v>
      </c>
      <c r="D145" s="43" t="s">
        <v>179</v>
      </c>
      <c r="E145" s="25">
        <v>42549.911620370367</v>
      </c>
      <c r="F145" s="25">
        <v>42549.912627314814</v>
      </c>
      <c r="G145" s="25">
        <v>1</v>
      </c>
      <c r="H145" s="25" t="s">
        <v>177</v>
      </c>
      <c r="I145" s="25">
        <v>42549.941770833335</v>
      </c>
      <c r="J145" s="43">
        <v>0</v>
      </c>
      <c r="K145" s="43" t="str">
        <f>IF(ISEVEN(B145),(B145-1)&amp;"/"&amp;B145,B145&amp;"/"&amp;(B145+1))</f>
        <v>4025/4026</v>
      </c>
      <c r="L145" s="43" t="str">
        <f>VLOOKUP(A145,'Trips&amp;Operators'!$C$1:$E$10000,3,FALSE)</f>
        <v>ADANE</v>
      </c>
      <c r="M145" s="11">
        <f>I145-F145</f>
        <v>2.9143518520868383E-2</v>
      </c>
      <c r="N145" s="12">
        <f>24*60*SUM($M145:$M145)</f>
        <v>41.966666670050472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48" t="str">
        <f>IF(AA145&lt;23,"Y","N")</f>
        <v>N</v>
      </c>
      <c r="X145" s="48">
        <f>VALUE(LEFT(A145,3))-VALUE(LEFT(A144,3))</f>
        <v>1</v>
      </c>
      <c r="Y145" s="48">
        <f>RIGHT(D145,LEN(D145)-4)/10000</f>
        <v>4.4900000000000002E-2</v>
      </c>
      <c r="Z145" s="48">
        <f>RIGHT(H145,LEN(H145)-4)/10000</f>
        <v>23.3278</v>
      </c>
      <c r="AA145" s="48">
        <f>ABS(Z145-Y145)</f>
        <v>23.282900000000001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42" customFormat="1" x14ac:dyDescent="0.25">
      <c r="A146" s="43" t="s">
        <v>478</v>
      </c>
      <c r="B146" s="43">
        <v>4026</v>
      </c>
      <c r="C146" s="43" t="s">
        <v>60</v>
      </c>
      <c r="D146" s="43" t="s">
        <v>245</v>
      </c>
      <c r="E146" s="25">
        <v>42549.950914351852</v>
      </c>
      <c r="F146" s="25">
        <v>42549.951898148145</v>
      </c>
      <c r="G146" s="25">
        <v>1</v>
      </c>
      <c r="H146" s="25" t="s">
        <v>65</v>
      </c>
      <c r="I146" s="25">
        <v>42549.984317129631</v>
      </c>
      <c r="J146" s="43">
        <v>0</v>
      </c>
      <c r="K146" s="43" t="str">
        <f>IF(ISEVEN(B146),(B146-1)&amp;"/"&amp;B146,B146&amp;"/"&amp;(B146+1))</f>
        <v>4025/4026</v>
      </c>
      <c r="L146" s="43" t="str">
        <f>VLOOKUP(A146,'Trips&amp;Operators'!$C$1:$E$10000,3,FALSE)</f>
        <v>ADANE</v>
      </c>
      <c r="M146" s="11">
        <f>I146-F146</f>
        <v>3.2418981485534459E-2</v>
      </c>
      <c r="N146" s="12">
        <f>24*60*SUM($M146:$M146)</f>
        <v>46.683333339169621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48" t="str">
        <f>IF(AA146&lt;23,"Y","N")</f>
        <v>N</v>
      </c>
      <c r="X146" s="48">
        <f>VALUE(LEFT(A146,3))-VALUE(LEFT(A145,3))</f>
        <v>1</v>
      </c>
      <c r="Y146" s="48">
        <f>RIGHT(D146,LEN(D146)-4)/10000</f>
        <v>23.297999999999998</v>
      </c>
      <c r="Z146" s="48">
        <f>RIGHT(H146,LEN(H146)-4)/10000</f>
        <v>1.47E-2</v>
      </c>
      <c r="AA146" s="48">
        <f>ABS(Z146-Y146)</f>
        <v>23.283299999999997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42" customFormat="1" x14ac:dyDescent="0.25">
      <c r="A147" s="43" t="s">
        <v>479</v>
      </c>
      <c r="B147" s="43">
        <v>4027</v>
      </c>
      <c r="C147" s="43" t="s">
        <v>60</v>
      </c>
      <c r="D147" s="43" t="s">
        <v>480</v>
      </c>
      <c r="E147" s="25">
        <v>42549.935844907406</v>
      </c>
      <c r="F147" s="25">
        <v>42549.937141203707</v>
      </c>
      <c r="G147" s="25">
        <v>1</v>
      </c>
      <c r="H147" s="25" t="s">
        <v>481</v>
      </c>
      <c r="I147" s="25">
        <v>42549.966053240743</v>
      </c>
      <c r="J147" s="43">
        <v>1</v>
      </c>
      <c r="K147" s="43" t="str">
        <f>IF(ISEVEN(B147),(B147-1)&amp;"/"&amp;B147,B147&amp;"/"&amp;(B147+1))</f>
        <v>4027/4028</v>
      </c>
      <c r="L147" s="43" t="str">
        <f>VLOOKUP(A147,'Trips&amp;Operators'!$C$1:$E$10000,3,FALSE)</f>
        <v>BARTLETT</v>
      </c>
      <c r="M147" s="11">
        <f>I147-F147</f>
        <v>2.8912037036207039E-2</v>
      </c>
      <c r="N147" s="12">
        <f>24*60*SUM($M147:$M147)</f>
        <v>41.633333332138136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7" s="48" t="str">
        <f>IF(AA147&lt;23,"Y","N")</f>
        <v>N</v>
      </c>
      <c r="X147" s="48">
        <f>VALUE(LEFT(A147,3))-VALUE(LEFT(A146,3))</f>
        <v>1</v>
      </c>
      <c r="Y147" s="48">
        <f>RIGHT(D147,LEN(D147)-4)/10000</f>
        <v>5.1999999999999998E-2</v>
      </c>
      <c r="Z147" s="48">
        <f>RIGHT(H147,LEN(H147)-4)/10000</f>
        <v>23.326599999999999</v>
      </c>
      <c r="AA147" s="48">
        <f>ABS(Z147-Y147)</f>
        <v>23.2746</v>
      </c>
      <c r="AB147" s="49">
        <f>VLOOKUP(A147,Enforcements!$C$7:$J$32,8,0)</f>
        <v>42779</v>
      </c>
      <c r="AC147" s="49" t="str">
        <f>VLOOKUP(A147,Enforcements!$C$7:$E$32,3,0)</f>
        <v>GRADE CROSSING</v>
      </c>
    </row>
    <row r="148" spans="1:29" s="42" customFormat="1" x14ac:dyDescent="0.25">
      <c r="A148" s="43" t="s">
        <v>633</v>
      </c>
      <c r="B148" s="43">
        <v>4028</v>
      </c>
      <c r="C148" s="43" t="s">
        <v>60</v>
      </c>
      <c r="D148" s="43" t="s">
        <v>250</v>
      </c>
      <c r="E148" s="25">
        <v>42549.973611111112</v>
      </c>
      <c r="F148" s="25">
        <v>42549.974606481483</v>
      </c>
      <c r="G148" s="25">
        <v>1</v>
      </c>
      <c r="H148" s="25" t="s">
        <v>643</v>
      </c>
      <c r="I148" s="25">
        <v>42550.005891203706</v>
      </c>
      <c r="J148" s="43">
        <v>0</v>
      </c>
      <c r="K148" s="43" t="str">
        <f>IF(ISEVEN(B148),(B148-1)&amp;"/"&amp;B148,B148&amp;"/"&amp;(B148+1))</f>
        <v>4027/4028</v>
      </c>
      <c r="L148" s="43" t="str">
        <f>VLOOKUP(A148,'Trips&amp;Operators'!$C$1:$E$10000,3,FALSE)</f>
        <v>BARTLETT</v>
      </c>
      <c r="M148" s="11">
        <f>I148-F148</f>
        <v>3.1284722223063E-2</v>
      </c>
      <c r="N148" s="12">
        <f>24*60*SUM($M148:$M148)</f>
        <v>45.050000001210719</v>
      </c>
      <c r="O148" s="12"/>
      <c r="P148" s="12"/>
      <c r="Q148" s="44"/>
      <c r="R148" s="44"/>
      <c r="S148" s="70">
        <f>SUM(U148:U148)/12</f>
        <v>1</v>
      </c>
      <c r="T148" s="2" t="str">
        <f>IF(ISEVEN(LEFT(A148,3)),"Southbound","NorthBound")</f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https://search-rtdc-monitor-bjffxe2xuh6vdkpspy63sjmuny.us-east-1.es.amazonaws.com/_plugin/kibana/#/discover/Steve-Slow-Train-Analysis-(2080s-and-2083s)?_g=(refreshInterval:(display:Off,section:0,value:0),time:(from:'2016-06-28 23:21:00-0600',mode:absolute,to:'2016-06-29 00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8" s="48" t="str">
        <f>IF(AA148&lt;23,"Y","N")</f>
        <v>N</v>
      </c>
      <c r="X148" s="48">
        <f>VALUE(LEFT(A148,3))-VALUE(LEFT(A147,3))</f>
        <v>1</v>
      </c>
      <c r="Y148" s="48">
        <f>RIGHT(D148,LEN(D148)-4)/10000</f>
        <v>23.296700000000001</v>
      </c>
      <c r="Z148" s="48">
        <f>RIGHT(H148,LEN(H148)-4)/10000</f>
        <v>1.78E-2</v>
      </c>
      <c r="AA148" s="48">
        <f>ABS(Z148-Y148)</f>
        <v>23.2789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s="42" customFormat="1" x14ac:dyDescent="0.25">
      <c r="A149" s="43" t="s">
        <v>482</v>
      </c>
      <c r="B149" s="43">
        <v>4020</v>
      </c>
      <c r="C149" s="43" t="s">
        <v>60</v>
      </c>
      <c r="D149" s="43" t="s">
        <v>101</v>
      </c>
      <c r="E149" s="25">
        <v>42549.950162037036</v>
      </c>
      <c r="F149" s="25">
        <v>42549.951574074075</v>
      </c>
      <c r="G149" s="25">
        <v>2</v>
      </c>
      <c r="H149" s="25" t="s">
        <v>307</v>
      </c>
      <c r="I149" s="25">
        <v>42549.986388888887</v>
      </c>
      <c r="J149" s="43">
        <v>0</v>
      </c>
      <c r="K149" s="43" t="str">
        <f>IF(ISEVEN(B149),(B149-1)&amp;"/"&amp;B149,B149&amp;"/"&amp;(B149+1))</f>
        <v>4019/4020</v>
      </c>
      <c r="L149" s="43" t="str">
        <f>VLOOKUP(A149,'Trips&amp;Operators'!$C$1:$E$10000,3,FALSE)</f>
        <v>LEVERE</v>
      </c>
      <c r="M149" s="11">
        <f>I149-F149</f>
        <v>3.481481481139781E-2</v>
      </c>
      <c r="N149" s="12">
        <f>24*60*SUM($M149:$M149)</f>
        <v>50.133333328412846</v>
      </c>
      <c r="O149" s="12"/>
      <c r="P149" s="12"/>
      <c r="Q149" s="44"/>
      <c r="R149" s="44"/>
      <c r="S149" s="70">
        <f>SUM(U149:U149)/12</f>
        <v>1</v>
      </c>
      <c r="T149" s="2" t="str">
        <f>IF(ISEVEN(LEFT(A149,3)),"Southbound","NorthBound")</f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48" t="str">
        <f>IF(AA149&lt;23,"Y","N")</f>
        <v>N</v>
      </c>
      <c r="X149" s="48">
        <f>VALUE(LEFT(A149,3))-VALUE(LEFT(A148,3))</f>
        <v>1</v>
      </c>
      <c r="Y149" s="48">
        <f>RIGHT(D149,LEN(D149)-4)/10000</f>
        <v>4.5499999999999999E-2</v>
      </c>
      <c r="Z149" s="48">
        <f>RIGHT(H149,LEN(H149)-4)/10000</f>
        <v>23.331600000000002</v>
      </c>
      <c r="AA149" s="48">
        <f>ABS(Z149-Y149)</f>
        <v>23.286100000000001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s="42" customFormat="1" x14ac:dyDescent="0.25">
      <c r="A150" s="43" t="s">
        <v>619</v>
      </c>
      <c r="B150" s="43">
        <v>4019</v>
      </c>
      <c r="C150" s="43" t="s">
        <v>60</v>
      </c>
      <c r="D150" s="43" t="s">
        <v>641</v>
      </c>
      <c r="E150" s="25">
        <v>42549.991423611114</v>
      </c>
      <c r="F150" s="25">
        <v>42549.992407407408</v>
      </c>
      <c r="G150" s="25">
        <v>1</v>
      </c>
      <c r="H150" s="25" t="s">
        <v>642</v>
      </c>
      <c r="I150" s="25">
        <v>42550.02412037037</v>
      </c>
      <c r="J150" s="43">
        <v>0</v>
      </c>
      <c r="K150" s="43" t="str">
        <f>IF(ISEVEN(B150),(B150-1)&amp;"/"&amp;B150,B150&amp;"/"&amp;(B150+1))</f>
        <v>4019/4020</v>
      </c>
      <c r="L150" s="43" t="str">
        <f>VLOOKUP(A150,'Trips&amp;Operators'!$C$1:$E$10000,3,FALSE)</f>
        <v>LEVERE</v>
      </c>
      <c r="M150" s="11">
        <f>I150-F150</f>
        <v>3.1712962962046731E-2</v>
      </c>
      <c r="N150" s="12">
        <f>24*60*SUM($M150:$M150)</f>
        <v>45.666666665347293</v>
      </c>
      <c r="O150" s="12"/>
      <c r="P150" s="12"/>
      <c r="Q150" s="44"/>
      <c r="R150" s="44"/>
      <c r="S150" s="70">
        <f>SUM(U150:U150)/12</f>
        <v>1</v>
      </c>
      <c r="T150" s="2" t="str">
        <f>IF(ISEVEN(LEFT(A150,3)),"Southbound","NorthBound")</f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https://search-rtdc-monitor-bjffxe2xuh6vdkpspy63sjmuny.us-east-1.es.amazonaws.com/_plugin/kibana/#/discover/Steve-Slow-Train-Analysis-(2080s-and-2083s)?_g=(refreshInterval:(display:Off,section:0,value:0),time:(from:'2016-06-28 23:46:39-0600',mode:absolute,to:'2016-06-29 00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48" t="str">
        <f>IF(AA150&lt;23,"Y","N")</f>
        <v>N</v>
      </c>
      <c r="X150" s="48">
        <f>VALUE(LEFT(A150,3))-VALUE(LEFT(A149,3))</f>
        <v>1</v>
      </c>
      <c r="Y150" s="48">
        <f>RIGHT(D150,LEN(D150)-4)/10000</f>
        <v>23.295500000000001</v>
      </c>
      <c r="Z150" s="48">
        <f>RIGHT(H150,LEN(H150)-4)/10000</f>
        <v>1.6299999999999999E-2</v>
      </c>
      <c r="AA150" s="48">
        <f>ABS(Z150-Y150)</f>
        <v>23.279199999999999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42" customFormat="1" x14ac:dyDescent="0.25">
      <c r="A151" s="43" t="s">
        <v>630</v>
      </c>
      <c r="B151" s="43">
        <v>4018</v>
      </c>
      <c r="C151" s="43" t="s">
        <v>60</v>
      </c>
      <c r="D151" s="43" t="s">
        <v>71</v>
      </c>
      <c r="E151" s="25">
        <v>42549.972997685189</v>
      </c>
      <c r="F151" s="25">
        <v>42549.973692129628</v>
      </c>
      <c r="G151" s="25">
        <v>1</v>
      </c>
      <c r="H151" s="25" t="s">
        <v>147</v>
      </c>
      <c r="I151" s="25">
        <v>42550.004305555558</v>
      </c>
      <c r="J151" s="43">
        <v>0</v>
      </c>
      <c r="K151" s="43" t="str">
        <f>IF(ISEVEN(B151),(B151-1)&amp;"/"&amp;B151,B151&amp;"/"&amp;(B151+1))</f>
        <v>4017/4018</v>
      </c>
      <c r="L151" s="43" t="str">
        <f>VLOOKUP(A151,'Trips&amp;Operators'!$C$1:$E$10000,3,FALSE)</f>
        <v>MOSES</v>
      </c>
      <c r="M151" s="11">
        <f>I151-F151</f>
        <v>3.0613425929914229E-2</v>
      </c>
      <c r="N151" s="12">
        <f>24*60*SUM($M151:$M151)</f>
        <v>44.083333339076489</v>
      </c>
      <c r="O151" s="12"/>
      <c r="P151" s="12"/>
      <c r="Q151" s="44"/>
      <c r="R151" s="44"/>
      <c r="S151" s="70">
        <f>SUM(U151:U151)/12</f>
        <v>1</v>
      </c>
      <c r="T151" s="2" t="str">
        <f>IF(ISEVEN(LEFT(A151,3)),"Southbound","NorthBound")</f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https://search-rtdc-monitor-bjffxe2xuh6vdkpspy63sjmuny.us-east-1.es.amazonaws.com/_plugin/kibana/#/discover/Steve-Slow-Train-Analysis-(2080s-and-2083s)?_g=(refreshInterval:(display:Off,section:0,value:0),time:(from:'2016-06-28 23:20:07-0600',mode:absolute,to:'2016-06-29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48" t="str">
        <f>IF(AA151&lt;23,"Y","N")</f>
        <v>N</v>
      </c>
      <c r="X151" s="48">
        <f>VALUE(LEFT(A151,3))-VALUE(LEFT(A150,3))</f>
        <v>1</v>
      </c>
      <c r="Y151" s="48">
        <f>RIGHT(D151,LEN(D151)-4)/10000</f>
        <v>4.5699999999999998E-2</v>
      </c>
      <c r="Z151" s="48">
        <f>RIGHT(H151,LEN(H151)-4)/10000</f>
        <v>23.3293</v>
      </c>
      <c r="AA151" s="48">
        <f>ABS(Z151-Y151)</f>
        <v>23.2836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s="42" customFormat="1" x14ac:dyDescent="0.25">
      <c r="A152" s="43" t="s">
        <v>629</v>
      </c>
      <c r="B152" s="43">
        <v>4017</v>
      </c>
      <c r="C152" s="43" t="s">
        <v>60</v>
      </c>
      <c r="D152" s="43" t="s">
        <v>640</v>
      </c>
      <c r="E152" s="25">
        <v>42550.012291666666</v>
      </c>
      <c r="F152" s="25">
        <v>42550.013356481482</v>
      </c>
      <c r="G152" s="25">
        <v>1</v>
      </c>
      <c r="H152" s="25" t="s">
        <v>73</v>
      </c>
      <c r="I152" s="25">
        <v>42550.044189814813</v>
      </c>
      <c r="J152" s="43">
        <v>0</v>
      </c>
      <c r="K152" s="43" t="str">
        <f>IF(ISEVEN(B152),(B152-1)&amp;"/"&amp;B152,B152&amp;"/"&amp;(B152+1))</f>
        <v>4017/4018</v>
      </c>
      <c r="L152" s="43" t="str">
        <f>VLOOKUP(A152,'Trips&amp;Operators'!$C$1:$E$10000,3,FALSE)</f>
        <v>MOSES</v>
      </c>
      <c r="M152" s="11">
        <f>I152-F152</f>
        <v>3.0833333330519963E-2</v>
      </c>
      <c r="N152" s="12">
        <f>24*60*SUM($M152:$M152)</f>
        <v>44.399999995948747</v>
      </c>
      <c r="O152" s="12"/>
      <c r="P152" s="12"/>
      <c r="Q152" s="44"/>
      <c r="R152" s="44"/>
      <c r="S152" s="70">
        <f>SUM(U152:U152)/12</f>
        <v>1</v>
      </c>
      <c r="T152" s="2" t="str">
        <f>IF(ISEVEN(LEFT(A152,3)),"Southbound","NorthBound")</f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https://search-rtdc-monitor-bjffxe2xuh6vdkpspy63sjmuny.us-east-1.es.amazonaws.com/_plugin/kibana/#/discover/Steve-Slow-Train-Analysis-(2080s-and-2083s)?_g=(refreshInterval:(display:Off,section:0,value:0),time:(from:'2016-06-29 00:16:42-0600',mode:absolute,to:'2016-06-29 01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48" t="str">
        <f>IF(AA152&lt;23,"Y","N")</f>
        <v>N</v>
      </c>
      <c r="X152" s="48">
        <f>VALUE(LEFT(A152,3))-VALUE(LEFT(A151,3))</f>
        <v>1</v>
      </c>
      <c r="Y152" s="48">
        <f>RIGHT(D152,LEN(D152)-4)/10000</f>
        <v>23.296500000000002</v>
      </c>
      <c r="Z152" s="48">
        <f>RIGHT(H152,LEN(H152)-4)/10000</f>
        <v>1.49E-2</v>
      </c>
      <c r="AA152" s="48">
        <f>ABS(Z152-Y152)</f>
        <v>23.281600000000001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s="42" customFormat="1" x14ac:dyDescent="0.25">
      <c r="A153" s="43" t="s">
        <v>617</v>
      </c>
      <c r="B153" s="43">
        <v>4025</v>
      </c>
      <c r="C153" s="43" t="s">
        <v>60</v>
      </c>
      <c r="D153" s="43" t="s">
        <v>71</v>
      </c>
      <c r="E153" s="25">
        <v>42549.993101851855</v>
      </c>
      <c r="F153" s="25">
        <v>42549.994212962964</v>
      </c>
      <c r="G153" s="25">
        <v>1</v>
      </c>
      <c r="H153" s="25" t="s">
        <v>147</v>
      </c>
      <c r="I153" s="25">
        <v>42550.027777777781</v>
      </c>
      <c r="J153" s="43">
        <v>0</v>
      </c>
      <c r="K153" s="43" t="str">
        <f>IF(ISEVEN(B153),(B153-1)&amp;"/"&amp;B153,B153&amp;"/"&amp;(B153+1))</f>
        <v>4025/4026</v>
      </c>
      <c r="L153" s="43" t="str">
        <f>VLOOKUP(A153,'Trips&amp;Operators'!$C$1:$E$10000,3,FALSE)</f>
        <v>ADANE</v>
      </c>
      <c r="M153" s="11">
        <f>I153-F153</f>
        <v>3.3564814817509614E-2</v>
      </c>
      <c r="N153" s="12">
        <f>24*60*SUM($M153:$M153)</f>
        <v>48.333333337213844</v>
      </c>
      <c r="O153" s="12"/>
      <c r="P153" s="12"/>
      <c r="Q153" s="44"/>
      <c r="R153" s="44"/>
      <c r="S153" s="70">
        <f>SUM(U153:U153)/12</f>
        <v>1</v>
      </c>
      <c r="T153" s="2" t="str">
        <f>IF(ISEVEN(LEFT(A153,3)),"Southbound","NorthBound")</f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https://search-rtdc-monitor-bjffxe2xuh6vdkpspy63sjmuny.us-east-1.es.amazonaws.com/_plugin/kibana/#/discover/Steve-Slow-Train-Analysis-(2080s-and-2083s)?_g=(refreshInterval:(display:Off,section:0,value:0),time:(from:'2016-06-28 23:49:04-0600',mode:absolute,to:'2016-06-29 00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48" t="str">
        <f>IF(AA153&lt;23,"Y","N")</f>
        <v>N</v>
      </c>
      <c r="X153" s="48">
        <f>VALUE(LEFT(A153,3))-VALUE(LEFT(A152,3))</f>
        <v>1</v>
      </c>
      <c r="Y153" s="48">
        <f>RIGHT(D153,LEN(D153)-4)/10000</f>
        <v>4.5699999999999998E-2</v>
      </c>
      <c r="Z153" s="48">
        <f>RIGHT(H153,LEN(H153)-4)/10000</f>
        <v>23.3293</v>
      </c>
      <c r="AA153" s="48">
        <f>ABS(Z153-Y153)</f>
        <v>23.2836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s="42" customFormat="1" x14ac:dyDescent="0.25">
      <c r="A154" s="43" t="s">
        <v>622</v>
      </c>
      <c r="B154" s="43">
        <v>4026</v>
      </c>
      <c r="C154" s="43" t="s">
        <v>60</v>
      </c>
      <c r="D154" s="43" t="s">
        <v>151</v>
      </c>
      <c r="E154" s="25">
        <v>42550.038194444445</v>
      </c>
      <c r="F154" s="25">
        <v>42550.039131944446</v>
      </c>
      <c r="G154" s="25">
        <v>1</v>
      </c>
      <c r="H154" s="25" t="s">
        <v>639</v>
      </c>
      <c r="I154" s="25">
        <v>42550.065775462965</v>
      </c>
      <c r="J154" s="43">
        <v>1</v>
      </c>
      <c r="K154" s="43" t="str">
        <f>IF(ISEVEN(B154),(B154-1)&amp;"/"&amp;B154,B154&amp;"/"&amp;(B154+1))</f>
        <v>4025/4026</v>
      </c>
      <c r="L154" s="43" t="str">
        <f>VLOOKUP(A154,'Trips&amp;Operators'!$C$1:$E$10000,3,FALSE)</f>
        <v>ADANE</v>
      </c>
      <c r="M154" s="11">
        <f>I154-F154</f>
        <v>2.6643518518540077E-2</v>
      </c>
      <c r="N154" s="12">
        <f>24*60*SUM($M154:$M154)</f>
        <v>38.366666666697711</v>
      </c>
      <c r="O154" s="12"/>
      <c r="P154" s="12"/>
      <c r="Q154" s="44"/>
      <c r="R154" s="44"/>
      <c r="S154" s="70">
        <f>SUM(U154:U154)/12</f>
        <v>1</v>
      </c>
      <c r="T154" s="2" t="str">
        <f>IF(ISEVEN(LEFT(A154,3)),"Southbound","NorthBound")</f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https://search-rtdc-monitor-bjffxe2xuh6vdkpspy63sjmuny.us-east-1.es.amazonaws.com/_plugin/kibana/#/discover/Steve-Slow-Train-Analysis-(2080s-and-2083s)?_g=(refreshInterval:(display:Off,section:0,value:0),time:(from:'2016-06-29 00:54:00-0600',mode:absolute,to:'2016-06-29 01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48" t="str">
        <f>IF(AA154&lt;23,"Y","N")</f>
        <v>N</v>
      </c>
      <c r="X154" s="48">
        <f t="shared" ref="X154:X158" si="0">VALUE(LEFT(A154,3))-VALUE(LEFT(A153,3))</f>
        <v>1</v>
      </c>
      <c r="Y154" s="48">
        <f>RIGHT(D154,LEN(D154)-4)/10000</f>
        <v>23.2973</v>
      </c>
      <c r="Z154" s="48">
        <f>RIGHT(H154,LEN(H154)-4)/10000</f>
        <v>1.3899999999999999E-2</v>
      </c>
      <c r="AA154" s="48">
        <f>ABS(Z154-Y154)</f>
        <v>23.2834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s="42" customFormat="1" x14ac:dyDescent="0.25">
      <c r="A155" s="87" t="s">
        <v>621</v>
      </c>
      <c r="B155" s="43">
        <v>4027</v>
      </c>
      <c r="C155" s="43"/>
      <c r="D155" s="43"/>
      <c r="E155" s="25"/>
      <c r="F155" s="25">
        <v>42550.012291666666</v>
      </c>
      <c r="G155" s="25"/>
      <c r="H155" s="25"/>
      <c r="I155" s="25">
        <v>42550.016203703701</v>
      </c>
      <c r="J155" s="43"/>
      <c r="K155" s="43" t="str">
        <f>IF(ISEVEN(B155),(B155-1)&amp;"/"&amp;B155,B155&amp;"/"&amp;(B155+1))</f>
        <v>4027/4028</v>
      </c>
      <c r="L155" s="43" t="str">
        <f>VLOOKUP(A155,'Trips&amp;Operators'!$C$1:$E$10000,3,FALSE)</f>
        <v>BARTLETT</v>
      </c>
      <c r="M155" s="11">
        <f>I155-F155</f>
        <v>3.9120370347518474E-3</v>
      </c>
      <c r="N155" s="12"/>
      <c r="O155" s="12"/>
      <c r="P155" s="12">
        <f>24*60*SUM($M155:$M155)</f>
        <v>5.6333333300426602</v>
      </c>
      <c r="Q155" s="44"/>
      <c r="R155" s="44" t="s">
        <v>645</v>
      </c>
      <c r="S155" s="70">
        <f>SUM(U155:U155)/12</f>
        <v>0</v>
      </c>
      <c r="T155" s="2" t="str">
        <f>IF(ISEVEN(LEFT(A155,3)),"Southbound","NorthBound")</f>
        <v>NorthBound</v>
      </c>
      <c r="U155" s="2">
        <f>COUNTIFS(Variables!$M$2:$M$19,IF(T155="NorthBound","&gt;=","&lt;=")&amp;Y155,Variables!$M$2:$M$19,IF(T155="NorthBound","&lt;=","&gt;=")&amp;Z155)</f>
        <v>0</v>
      </c>
      <c r="V155" s="48" t="e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#VALUE!</v>
      </c>
      <c r="W155" s="48" t="e">
        <f>IF(AA155&lt;23,"Y","N")</f>
        <v>#VALUE!</v>
      </c>
      <c r="X155" s="48">
        <f t="shared" si="0"/>
        <v>1</v>
      </c>
      <c r="Y155" s="48" t="e">
        <f>RIGHT(D155,LEN(D155)-4)/10000</f>
        <v>#VALUE!</v>
      </c>
      <c r="Z155" s="48" t="e">
        <f>RIGHT(H155,LEN(H155)-4)/10000</f>
        <v>#VALUE!</v>
      </c>
      <c r="AA155" s="48" t="e">
        <f>ABS(Z155-Y155)</f>
        <v>#VALUE!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s="42" customFormat="1" x14ac:dyDescent="0.25">
      <c r="A156" s="43" t="s">
        <v>631</v>
      </c>
      <c r="B156" s="43">
        <v>4028</v>
      </c>
      <c r="C156" s="43" t="s">
        <v>60</v>
      </c>
      <c r="D156" s="43" t="s">
        <v>155</v>
      </c>
      <c r="E156" s="25">
        <v>42550.056284722225</v>
      </c>
      <c r="F156" s="25">
        <v>42550.05704861111</v>
      </c>
      <c r="G156" s="25">
        <v>1</v>
      </c>
      <c r="H156" s="25" t="s">
        <v>169</v>
      </c>
      <c r="I156" s="25">
        <v>42550.088113425925</v>
      </c>
      <c r="J156" s="43">
        <v>0</v>
      </c>
      <c r="K156" s="43" t="str">
        <f>IF(ISEVEN(B156),(B156-1)&amp;"/"&amp;B156,B156&amp;"/"&amp;(B156+1))</f>
        <v>4027/4028</v>
      </c>
      <c r="L156" s="43" t="str">
        <f>VLOOKUP(A156,'Trips&amp;Operators'!$C$1:$E$10000,3,FALSE)</f>
        <v>BARTLETT</v>
      </c>
      <c r="M156" s="11">
        <f>I156-F156</f>
        <v>3.1064814815181307E-2</v>
      </c>
      <c r="N156" s="12">
        <f>24*60*SUM($M156:$M156)</f>
        <v>44.733333333861083</v>
      </c>
      <c r="O156" s="12"/>
      <c r="P156" s="12"/>
      <c r="Q156" s="44"/>
      <c r="R156" s="44"/>
      <c r="S156" s="70">
        <f>SUM(U156:U156)/12</f>
        <v>1</v>
      </c>
      <c r="T156" s="2" t="str">
        <f>IF(ISEVEN(LEFT(A156,3)),"Southbound","NorthBound")</f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https://search-rtdc-monitor-bjffxe2xuh6vdkpspy63sjmuny.us-east-1.es.amazonaws.com/_plugin/kibana/#/discover/Steve-Slow-Train-Analysis-(2080s-and-2083s)?_g=(refreshInterval:(display:Off,section:0,value:0),time:(from:'2016-06-29 01:20:03-0600',mode:absolute,to:'2016-06-29 02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6" s="48" t="str">
        <f>IF(AA156&lt;23,"Y","N")</f>
        <v>N</v>
      </c>
      <c r="X156" s="48">
        <f t="shared" si="0"/>
        <v>1</v>
      </c>
      <c r="Y156" s="48">
        <f>RIGHT(D156,LEN(D156)-4)/10000</f>
        <v>23.299399999999999</v>
      </c>
      <c r="Z156" s="48">
        <f>RIGHT(H156,LEN(H156)-4)/10000</f>
        <v>1.67E-2</v>
      </c>
      <c r="AA156" s="48">
        <f>ABS(Z156-Y156)</f>
        <v>23.282699999999998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s="42" customFormat="1" x14ac:dyDescent="0.25">
      <c r="A157" s="43" t="s">
        <v>483</v>
      </c>
      <c r="B157" s="43">
        <v>4039</v>
      </c>
      <c r="C157" s="43" t="s">
        <v>60</v>
      </c>
      <c r="D157" s="43" t="s">
        <v>484</v>
      </c>
      <c r="E157" s="25">
        <v>42549.217499999999</v>
      </c>
      <c r="F157" s="25">
        <v>42549.218194444446</v>
      </c>
      <c r="G157" s="25">
        <v>0</v>
      </c>
      <c r="H157" s="25" t="s">
        <v>485</v>
      </c>
      <c r="I157" s="25">
        <v>42549.227037037039</v>
      </c>
      <c r="J157" s="43">
        <v>0</v>
      </c>
      <c r="K157" s="43" t="str">
        <f t="shared" ref="K141:K174" si="1">IF(ISEVEN(B157),(B157-1)&amp;"/"&amp;B157,B157&amp;"/"&amp;(B157+1))</f>
        <v>4039/4040</v>
      </c>
      <c r="L157" s="43" t="str">
        <f>VLOOKUP(A157,'Trips&amp;Operators'!$C$1:$E$10000,3,FALSE)</f>
        <v>HELVIE</v>
      </c>
      <c r="M157" s="11">
        <f t="shared" ref="M141:M174" si="2">I157-F157</f>
        <v>8.8425925932824612E-3</v>
      </c>
      <c r="N157" s="12">
        <f t="shared" ref="N131:P164" si="3">24*60*SUM($M157:$M157)</f>
        <v>12.733333334326744</v>
      </c>
      <c r="O157" s="12"/>
      <c r="P157" s="12"/>
      <c r="Q157" s="44"/>
      <c r="R157" s="44"/>
      <c r="S157" s="70">
        <f t="shared" ref="S141:S174" si="4">SUM(U157:U157)/12</f>
        <v>0.58333333333333337</v>
      </c>
      <c r="T157" s="2" t="str">
        <f t="shared" ref="T141:T174" si="5">IF(ISEVEN(LEFT(A157,3)),"Southbound","NorthBound")</f>
        <v>Southbound</v>
      </c>
      <c r="U157" s="2">
        <f>COUNTIFS(Variables!$M$2:$M$19,IF(T157="NorthBound","&gt;=","&lt;=")&amp;Y157,Variables!$M$2:$M$19,IF(T157="NorthBound","&lt;=","&gt;=")&amp;Z157)</f>
        <v>7</v>
      </c>
      <c r="V157" s="48" t="str">
        <f t="shared" ref="V141:V174" si="6"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48" t="str">
        <f t="shared" ref="W157:W202" si="7">IF(AA157&lt;5.5,"Y","N")</f>
        <v>N</v>
      </c>
      <c r="X157" s="48">
        <f t="shared" si="0"/>
        <v>556</v>
      </c>
      <c r="Y157" s="48">
        <f t="shared" ref="Y141:Y174" si="8">RIGHT(D157,LEN(D157)-4)/10000</f>
        <v>5.8624000000000001</v>
      </c>
      <c r="Z157" s="48">
        <f t="shared" ref="Z156:Z187" si="9">RIGHT(H157,LEN(H157)-4)/10000</f>
        <v>8.3900000000000002E-2</v>
      </c>
      <c r="AA157" s="48">
        <f t="shared" ref="AA141:AA174" si="10">ABS(Z157-Y157)</f>
        <v>5.7785000000000002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s="42" customFormat="1" x14ac:dyDescent="0.25">
      <c r="A158" s="43" t="s">
        <v>486</v>
      </c>
      <c r="B158" s="43">
        <v>4040</v>
      </c>
      <c r="C158" s="43" t="s">
        <v>60</v>
      </c>
      <c r="D158" s="43" t="s">
        <v>487</v>
      </c>
      <c r="E158" s="25">
        <v>42549.237870370373</v>
      </c>
      <c r="F158" s="25">
        <v>42549.23883101852</v>
      </c>
      <c r="G158" s="25">
        <v>1</v>
      </c>
      <c r="H158" s="25" t="s">
        <v>488</v>
      </c>
      <c r="I158" s="25">
        <v>42549.252951388888</v>
      </c>
      <c r="J158" s="43">
        <v>0</v>
      </c>
      <c r="K158" s="43" t="str">
        <f t="shared" si="1"/>
        <v>4039/4040</v>
      </c>
      <c r="L158" s="43" t="str">
        <f>VLOOKUP(A158,'Trips&amp;Operators'!$C$1:$E$10000,3,FALSE)</f>
        <v>HELVIE</v>
      </c>
      <c r="M158" s="11">
        <f t="shared" si="2"/>
        <v>1.4120370367891155E-2</v>
      </c>
      <c r="N158" s="12">
        <f t="shared" si="3"/>
        <v>20.333333329763263</v>
      </c>
      <c r="O158" s="12"/>
      <c r="P158" s="12"/>
      <c r="Q158" s="44"/>
      <c r="R158" s="44"/>
      <c r="S158" s="70">
        <f t="shared" si="4"/>
        <v>0.66666666666666663</v>
      </c>
      <c r="T158" s="2" t="str">
        <f t="shared" si="5"/>
        <v>NorthBound</v>
      </c>
      <c r="U158" s="2">
        <f>COUNTIFS(Variables!$M$2:$M$19,IF(T158="NorthBound","&gt;=","&lt;=")&amp;Y158,Variables!$M$2:$M$19,IF(T158="NorthBound","&lt;=","&gt;=")&amp;Z158)</f>
        <v>8</v>
      </c>
      <c r="V158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8" s="48" t="str">
        <f t="shared" si="7"/>
        <v>N</v>
      </c>
      <c r="X158" s="48">
        <f t="shared" si="0"/>
        <v>1</v>
      </c>
      <c r="Y158" s="48">
        <f t="shared" si="8"/>
        <v>0.1137</v>
      </c>
      <c r="Z158" s="48">
        <f t="shared" si="9"/>
        <v>5.8924000000000003</v>
      </c>
      <c r="AA158" s="48">
        <f t="shared" si="10"/>
        <v>5.7787000000000006</v>
      </c>
      <c r="AB158" s="49" t="e">
        <f>VLOOKUP(A158,Enforcements!$C$7:$J$32,8,0)</f>
        <v>#N/A</v>
      </c>
      <c r="AC158" s="49" t="e">
        <f>VLOOKUP(A158,Enforcements!$C$7:$E$32,3,0)</f>
        <v>#N/A</v>
      </c>
    </row>
    <row r="159" spans="1:29" x14ac:dyDescent="0.25">
      <c r="A159" s="43" t="s">
        <v>489</v>
      </c>
      <c r="B159" s="43">
        <v>4039</v>
      </c>
      <c r="C159" s="43" t="s">
        <v>60</v>
      </c>
      <c r="D159" s="43" t="s">
        <v>490</v>
      </c>
      <c r="E159" s="25">
        <v>42549.254155092596</v>
      </c>
      <c r="F159" s="25">
        <v>42549.255046296297</v>
      </c>
      <c r="G159" s="25">
        <v>1</v>
      </c>
      <c r="H159" s="25" t="s">
        <v>491</v>
      </c>
      <c r="I159" s="25">
        <v>42549.266724537039</v>
      </c>
      <c r="J159" s="43">
        <v>0</v>
      </c>
      <c r="K159" s="43" t="str">
        <f t="shared" si="1"/>
        <v>4039/4040</v>
      </c>
      <c r="L159" s="43" t="str">
        <f>VLOOKUP(A159,'Trips&amp;Operators'!$C$1:$E$10000,3,FALSE)</f>
        <v>HELVIE</v>
      </c>
      <c r="M159" s="11">
        <f t="shared" si="2"/>
        <v>1.1678240742185153E-2</v>
      </c>
      <c r="N159" s="12">
        <f t="shared" si="3"/>
        <v>16.81666666874662</v>
      </c>
      <c r="O159" s="12"/>
      <c r="P159" s="12"/>
      <c r="Q159" s="44"/>
      <c r="R159" s="44"/>
      <c r="S159" s="70">
        <f t="shared" si="4"/>
        <v>0.58333333333333337</v>
      </c>
      <c r="T159" s="2" t="str">
        <f t="shared" si="5"/>
        <v>Southbound</v>
      </c>
      <c r="U159" s="2">
        <f>COUNTIFS(Variables!$M$2:$M$19,IF(T159="NorthBound","&gt;=","&lt;=")&amp;Y159,Variables!$M$2:$M$19,IF(T159="NorthBound","&lt;=","&gt;=")&amp;Z159)</f>
        <v>7</v>
      </c>
      <c r="V159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9" s="48" t="str">
        <f t="shared" si="7"/>
        <v>N</v>
      </c>
      <c r="X159" s="48">
        <f t="shared" ref="X158:X189" si="11">VALUE(LEFT(A159,3))-VALUE(LEFT(A158,3))</f>
        <v>1</v>
      </c>
      <c r="Y159" s="48">
        <f t="shared" si="8"/>
        <v>5.8604000000000003</v>
      </c>
      <c r="Z159" s="48">
        <f t="shared" si="9"/>
        <v>8.1100000000000005E-2</v>
      </c>
      <c r="AA159" s="48">
        <f t="shared" si="10"/>
        <v>5.7793000000000001</v>
      </c>
      <c r="AB159" s="49" t="e">
        <f>VLOOKUP(A159,Enforcements!$C$7:$J$32,8,0)</f>
        <v>#N/A</v>
      </c>
      <c r="AC159" s="49" t="e">
        <f>VLOOKUP(A159,Enforcements!$C$7:$E$32,3,0)</f>
        <v>#N/A</v>
      </c>
    </row>
    <row r="160" spans="1:29" x14ac:dyDescent="0.25">
      <c r="A160" s="43" t="s">
        <v>492</v>
      </c>
      <c r="B160" s="43">
        <v>4029</v>
      </c>
      <c r="C160" s="43" t="s">
        <v>60</v>
      </c>
      <c r="D160" s="43" t="s">
        <v>493</v>
      </c>
      <c r="E160" s="25">
        <v>42549.263703703706</v>
      </c>
      <c r="F160" s="25">
        <v>42549.266400462962</v>
      </c>
      <c r="G160" s="25">
        <v>3</v>
      </c>
      <c r="H160" s="25" t="s">
        <v>494</v>
      </c>
      <c r="I160" s="25">
        <v>42549.277395833335</v>
      </c>
      <c r="J160" s="43">
        <v>1</v>
      </c>
      <c r="K160" s="43" t="str">
        <f t="shared" si="1"/>
        <v>4029/4030</v>
      </c>
      <c r="L160" s="43" t="str">
        <f>VLOOKUP(A160,'Trips&amp;Operators'!$C$1:$E$10000,3,FALSE)</f>
        <v>YORK</v>
      </c>
      <c r="M160" s="11">
        <f t="shared" si="2"/>
        <v>1.099537037225673E-2</v>
      </c>
      <c r="N160" s="12">
        <f t="shared" si="3"/>
        <v>15.833333336049691</v>
      </c>
      <c r="O160" s="12"/>
      <c r="P160" s="12"/>
      <c r="Q160" s="44"/>
      <c r="R160" s="44"/>
      <c r="S160" s="70">
        <f t="shared" si="4"/>
        <v>0.66666666666666663</v>
      </c>
      <c r="T160" s="2" t="str">
        <f t="shared" si="5"/>
        <v>NorthBound</v>
      </c>
      <c r="U160" s="2">
        <f>COUNTIFS(Variables!$M$2:$M$19,IF(T160="NorthBound","&gt;=","&lt;=")&amp;Y160,Variables!$M$2:$M$19,IF(T160="NorthBound","&lt;=","&gt;=")&amp;Z160)</f>
        <v>8</v>
      </c>
      <c r="V160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0" s="48" t="str">
        <f t="shared" si="7"/>
        <v>N</v>
      </c>
      <c r="X160" s="48">
        <f t="shared" si="11"/>
        <v>1</v>
      </c>
      <c r="Y160" s="48">
        <f t="shared" si="8"/>
        <v>4.4999999999999998E-2</v>
      </c>
      <c r="Z160" s="48">
        <f t="shared" si="9"/>
        <v>5.8914</v>
      </c>
      <c r="AA160" s="48">
        <f t="shared" si="10"/>
        <v>5.8464</v>
      </c>
      <c r="AB160" s="49" t="e">
        <f>VLOOKUP(A160,Enforcements!$C$7:$J$32,8,0)</f>
        <v>#N/A</v>
      </c>
      <c r="AC160" s="49" t="e">
        <f>VLOOKUP(A160,Enforcements!$C$7:$E$32,3,0)</f>
        <v>#N/A</v>
      </c>
    </row>
    <row r="161" spans="1:29" x14ac:dyDescent="0.25">
      <c r="A161" s="43" t="s">
        <v>495</v>
      </c>
      <c r="B161" s="43">
        <v>4030</v>
      </c>
      <c r="C161" s="43" t="s">
        <v>60</v>
      </c>
      <c r="D161" s="43" t="s">
        <v>496</v>
      </c>
      <c r="E161" s="25">
        <v>42549.280034722222</v>
      </c>
      <c r="F161" s="25">
        <v>42549.281099537038</v>
      </c>
      <c r="G161" s="25">
        <v>1</v>
      </c>
      <c r="H161" s="25" t="s">
        <v>497</v>
      </c>
      <c r="I161" s="25">
        <v>42549.292511574073</v>
      </c>
      <c r="J161" s="43">
        <v>0</v>
      </c>
      <c r="K161" s="43" t="str">
        <f t="shared" si="1"/>
        <v>4029/4030</v>
      </c>
      <c r="L161" s="43" t="str">
        <f>VLOOKUP(A161,'Trips&amp;Operators'!$C$1:$E$10000,3,FALSE)</f>
        <v>YORK</v>
      </c>
      <c r="M161" s="11">
        <f t="shared" si="2"/>
        <v>1.1412037034460809E-2</v>
      </c>
      <c r="N161" s="12">
        <f t="shared" si="3"/>
        <v>16.433333329623565</v>
      </c>
      <c r="O161" s="12"/>
      <c r="P161" s="12"/>
      <c r="Q161" s="44"/>
      <c r="R161" s="44"/>
      <c r="S161" s="70">
        <f t="shared" si="4"/>
        <v>0.58333333333333337</v>
      </c>
      <c r="T161" s="2" t="str">
        <f t="shared" si="5"/>
        <v>Southbound</v>
      </c>
      <c r="U161" s="2">
        <f>COUNTIFS(Variables!$M$2:$M$19,IF(T161="NorthBound","&gt;=","&lt;=")&amp;Y161,Variables!$M$2:$M$19,IF(T161="NorthBound","&lt;=","&gt;=")&amp;Z161)</f>
        <v>7</v>
      </c>
      <c r="V161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1" s="48" t="str">
        <f t="shared" si="7"/>
        <v>N</v>
      </c>
      <c r="X161" s="48">
        <f t="shared" si="11"/>
        <v>1</v>
      </c>
      <c r="Y161" s="48">
        <f t="shared" si="8"/>
        <v>5.8601999999999999</v>
      </c>
      <c r="Z161" s="48">
        <f t="shared" si="9"/>
        <v>7.9000000000000001E-2</v>
      </c>
      <c r="AA161" s="48">
        <f t="shared" si="10"/>
        <v>5.7812000000000001</v>
      </c>
      <c r="AB161" s="49" t="e">
        <f>VLOOKUP(A161,Enforcements!$C$7:$J$32,8,0)</f>
        <v>#N/A</v>
      </c>
      <c r="AC161" s="49" t="e">
        <f>VLOOKUP(A161,Enforcements!$C$7:$E$32,3,0)</f>
        <v>#N/A</v>
      </c>
    </row>
    <row r="162" spans="1:29" x14ac:dyDescent="0.25">
      <c r="A162" s="43" t="s">
        <v>498</v>
      </c>
      <c r="B162" s="43">
        <v>4040</v>
      </c>
      <c r="C162" s="43" t="s">
        <v>60</v>
      </c>
      <c r="D162" s="43" t="s">
        <v>499</v>
      </c>
      <c r="E162" s="25">
        <v>42549.279745370368</v>
      </c>
      <c r="F162" s="25">
        <v>42549.280648148146</v>
      </c>
      <c r="G162" s="25">
        <v>1</v>
      </c>
      <c r="H162" s="25" t="s">
        <v>500</v>
      </c>
      <c r="I162" s="25">
        <v>42549.294571759259</v>
      </c>
      <c r="J162" s="43">
        <v>0</v>
      </c>
      <c r="K162" s="43" t="str">
        <f t="shared" si="1"/>
        <v>4039/4040</v>
      </c>
      <c r="L162" s="43" t="str">
        <f>VLOOKUP(A162,'Trips&amp;Operators'!$C$1:$E$10000,3,FALSE)</f>
        <v>HELVIE</v>
      </c>
      <c r="M162" s="11">
        <f t="shared" si="2"/>
        <v>1.3923611113568768E-2</v>
      </c>
      <c r="N162" s="12">
        <f t="shared" si="3"/>
        <v>20.050000003539026</v>
      </c>
      <c r="O162" s="12"/>
      <c r="P162" s="12"/>
      <c r="Q162" s="44"/>
      <c r="R162" s="44"/>
      <c r="S162" s="70">
        <f t="shared" si="4"/>
        <v>0.66666666666666663</v>
      </c>
      <c r="T162" s="2" t="str">
        <f t="shared" si="5"/>
        <v>NorthBound</v>
      </c>
      <c r="U162" s="2">
        <f>COUNTIFS(Variables!$M$2:$M$19,IF(T162="NorthBound","&gt;=","&lt;=")&amp;Y162,Variables!$M$2:$M$19,IF(T162="NorthBound","&lt;=","&gt;=")&amp;Z162)</f>
        <v>8</v>
      </c>
      <c r="V162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2" s="48" t="str">
        <f t="shared" si="7"/>
        <v>N</v>
      </c>
      <c r="X162" s="48">
        <f t="shared" si="11"/>
        <v>1</v>
      </c>
      <c r="Y162" s="48">
        <f t="shared" si="8"/>
        <v>0.11210000000000001</v>
      </c>
      <c r="Z162" s="48">
        <f t="shared" si="9"/>
        <v>5.8940999999999999</v>
      </c>
      <c r="AA162" s="48">
        <f t="shared" si="10"/>
        <v>5.782</v>
      </c>
      <c r="AB162" s="49" t="e">
        <f>VLOOKUP(A162,Enforcements!$C$7:$J$32,8,0)</f>
        <v>#N/A</v>
      </c>
      <c r="AC162" s="49" t="e">
        <f>VLOOKUP(A162,Enforcements!$C$7:$E$32,3,0)</f>
        <v>#N/A</v>
      </c>
    </row>
    <row r="163" spans="1:29" x14ac:dyDescent="0.25">
      <c r="A163" s="43" t="s">
        <v>501</v>
      </c>
      <c r="B163" s="43">
        <v>4039</v>
      </c>
      <c r="C163" s="43" t="s">
        <v>60</v>
      </c>
      <c r="D163" s="43" t="s">
        <v>502</v>
      </c>
      <c r="E163" s="25">
        <v>42549.295543981483</v>
      </c>
      <c r="F163" s="25">
        <v>42549.296423611115</v>
      </c>
      <c r="G163" s="25">
        <v>1</v>
      </c>
      <c r="H163" s="25" t="s">
        <v>503</v>
      </c>
      <c r="I163" s="25">
        <v>42549.309293981481</v>
      </c>
      <c r="J163" s="43">
        <v>1</v>
      </c>
      <c r="K163" s="43" t="str">
        <f t="shared" si="1"/>
        <v>4039/4040</v>
      </c>
      <c r="L163" s="43" t="str">
        <f>VLOOKUP(A163,'Trips&amp;Operators'!$C$1:$E$10000,3,FALSE)</f>
        <v>HELVIE</v>
      </c>
      <c r="M163" s="11">
        <f t="shared" si="2"/>
        <v>1.2870370366727002E-2</v>
      </c>
      <c r="N163" s="12">
        <f t="shared" si="3"/>
        <v>18.533333328086883</v>
      </c>
      <c r="O163" s="12"/>
      <c r="P163" s="12"/>
      <c r="Q163" s="44"/>
      <c r="R163" s="44"/>
      <c r="S163" s="70">
        <f t="shared" si="4"/>
        <v>0.58333333333333337</v>
      </c>
      <c r="T163" s="2" t="str">
        <f t="shared" si="5"/>
        <v>Southbound</v>
      </c>
      <c r="U163" s="2">
        <f>COUNTIFS(Variables!$M$2:$M$19,IF(T163="NorthBound","&gt;=","&lt;=")&amp;Y163,Variables!$M$2:$M$19,IF(T163="NorthBound","&lt;=","&gt;=")&amp;Z163)</f>
        <v>7</v>
      </c>
      <c r="V163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3" s="48" t="str">
        <f t="shared" si="7"/>
        <v>N</v>
      </c>
      <c r="X163" s="48">
        <f t="shared" si="11"/>
        <v>1</v>
      </c>
      <c r="Y163" s="48">
        <f t="shared" si="8"/>
        <v>5.8609</v>
      </c>
      <c r="Z163" s="48">
        <f t="shared" si="9"/>
        <v>9.4500000000000001E-2</v>
      </c>
      <c r="AA163" s="48">
        <f t="shared" si="10"/>
        <v>5.7664</v>
      </c>
      <c r="AB163" s="49" t="e">
        <f>VLOOKUP(A163,Enforcements!$C$7:$J$32,8,0)</f>
        <v>#N/A</v>
      </c>
      <c r="AC163" s="49" t="e">
        <f>VLOOKUP(A163,Enforcements!$C$7:$E$32,3,0)</f>
        <v>#N/A</v>
      </c>
    </row>
    <row r="164" spans="1:29" x14ac:dyDescent="0.25">
      <c r="A164" s="81" t="s">
        <v>504</v>
      </c>
      <c r="B164" s="86">
        <v>4029</v>
      </c>
      <c r="C164" s="66" t="s">
        <v>60</v>
      </c>
      <c r="D164" s="66" t="s">
        <v>505</v>
      </c>
      <c r="E164" s="78">
        <v>42549.304375</v>
      </c>
      <c r="F164" s="25">
        <v>42549.305208333331</v>
      </c>
      <c r="G164" s="25">
        <v>1</v>
      </c>
      <c r="H164" s="25" t="s">
        <v>506</v>
      </c>
      <c r="I164" s="25">
        <v>42549.315821759257</v>
      </c>
      <c r="J164" s="43">
        <v>0</v>
      </c>
      <c r="K164" s="43" t="str">
        <f t="shared" si="1"/>
        <v>4029/4030</v>
      </c>
      <c r="L164" s="43" t="str">
        <f>VLOOKUP(A164,'Trips&amp;Operators'!$C$1:$E$10000,3,FALSE)</f>
        <v>YORK</v>
      </c>
      <c r="M164" s="11">
        <f t="shared" si="2"/>
        <v>1.0613425925839692E-2</v>
      </c>
      <c r="N164" s="12">
        <f t="shared" si="3"/>
        <v>15.283333333209157</v>
      </c>
      <c r="O164" s="12"/>
      <c r="P164" s="12"/>
      <c r="Q164" s="44"/>
      <c r="R164" s="44"/>
      <c r="S164" s="70">
        <f t="shared" si="4"/>
        <v>0.66666666666666663</v>
      </c>
      <c r="T164" s="2" t="str">
        <f t="shared" si="5"/>
        <v>NorthBound</v>
      </c>
      <c r="U164" s="2">
        <f>COUNTIFS(Variables!$M$2:$M$19,IF(T164="NorthBound","&gt;=","&lt;=")&amp;Y164,Variables!$M$2:$M$19,IF(T164="NorthBound","&lt;=","&gt;=")&amp;Z164)</f>
        <v>8</v>
      </c>
      <c r="V164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4" s="48" t="str">
        <f t="shared" si="7"/>
        <v>N</v>
      </c>
      <c r="X164" s="48">
        <f t="shared" si="11"/>
        <v>1</v>
      </c>
      <c r="Y164" s="48">
        <f t="shared" si="8"/>
        <v>0.10829999999999999</v>
      </c>
      <c r="Z164" s="48">
        <f t="shared" si="9"/>
        <v>5.8916000000000004</v>
      </c>
      <c r="AA164" s="48">
        <f t="shared" si="10"/>
        <v>5.7833000000000006</v>
      </c>
      <c r="AB164" s="49" t="e">
        <f>VLOOKUP(A164,Enforcements!$C$7:$J$32,8,0)</f>
        <v>#N/A</v>
      </c>
      <c r="AC164" s="49" t="e">
        <f>VLOOKUP(A164,Enforcements!$C$7:$E$32,3,0)</f>
        <v>#N/A</v>
      </c>
    </row>
    <row r="165" spans="1:29" x14ac:dyDescent="0.25">
      <c r="A165" s="81" t="s">
        <v>507</v>
      </c>
      <c r="B165" s="86">
        <v>4030</v>
      </c>
      <c r="C165" s="66" t="s">
        <v>60</v>
      </c>
      <c r="D165" s="66" t="s">
        <v>508</v>
      </c>
      <c r="E165" s="78">
        <v>42549.317025462966</v>
      </c>
      <c r="F165" s="25">
        <v>42549.318009259259</v>
      </c>
      <c r="G165" s="25">
        <v>1</v>
      </c>
      <c r="H165" s="25" t="s">
        <v>509</v>
      </c>
      <c r="I165" s="25">
        <v>42549.330150462964</v>
      </c>
      <c r="J165" s="43">
        <v>0</v>
      </c>
      <c r="K165" s="43" t="str">
        <f t="shared" si="1"/>
        <v>4029/4030</v>
      </c>
      <c r="L165" s="43" t="str">
        <f>VLOOKUP(A165,'Trips&amp;Operators'!$C$1:$E$10000,3,FALSE)</f>
        <v>YORK</v>
      </c>
      <c r="M165" s="11">
        <f t="shared" si="2"/>
        <v>1.2141203704231884E-2</v>
      </c>
      <c r="N165" s="12">
        <f t="shared" ref="N165:N196" si="12">24*60*SUM($M165:$M165)</f>
        <v>17.483333334093913</v>
      </c>
      <c r="O165" s="12"/>
      <c r="P165" s="12"/>
      <c r="Q165" s="44"/>
      <c r="R165" s="44"/>
      <c r="S165" s="70">
        <f t="shared" si="4"/>
        <v>0.58333333333333337</v>
      </c>
      <c r="T165" s="2" t="str">
        <f t="shared" si="5"/>
        <v>Southbound</v>
      </c>
      <c r="U165" s="2">
        <f>COUNTIFS(Variables!$M$2:$M$19,IF(T165="NorthBound","&gt;=","&lt;=")&amp;Y165,Variables!$M$2:$M$19,IF(T165="NorthBound","&lt;=","&gt;=")&amp;Z165)</f>
        <v>7</v>
      </c>
      <c r="V165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5" s="48" t="str">
        <f t="shared" si="7"/>
        <v>N</v>
      </c>
      <c r="X165" s="48">
        <f t="shared" si="11"/>
        <v>1</v>
      </c>
      <c r="Y165" s="48">
        <f t="shared" si="8"/>
        <v>5.8597999999999999</v>
      </c>
      <c r="Z165" s="48">
        <f t="shared" si="9"/>
        <v>7.7499999999999999E-2</v>
      </c>
      <c r="AA165" s="48">
        <f t="shared" si="10"/>
        <v>5.7823000000000002</v>
      </c>
      <c r="AB165" s="49" t="e">
        <f>VLOOKUP(A165,Enforcements!$C$7:$J$32,8,0)</f>
        <v>#N/A</v>
      </c>
      <c r="AC165" s="49" t="e">
        <f>VLOOKUP(A165,Enforcements!$C$7:$E$32,3,0)</f>
        <v>#N/A</v>
      </c>
    </row>
    <row r="166" spans="1:29" x14ac:dyDescent="0.25">
      <c r="A166" s="81" t="s">
        <v>510</v>
      </c>
      <c r="B166" s="86">
        <v>4040</v>
      </c>
      <c r="C166" s="66" t="s">
        <v>60</v>
      </c>
      <c r="D166" s="66" t="s">
        <v>511</v>
      </c>
      <c r="E166" s="78">
        <v>42549.321331018517</v>
      </c>
      <c r="F166" s="25">
        <v>42549.322268518517</v>
      </c>
      <c r="G166" s="25">
        <v>1</v>
      </c>
      <c r="H166" s="25" t="s">
        <v>488</v>
      </c>
      <c r="I166" s="25">
        <v>42549.335752314815</v>
      </c>
      <c r="J166" s="43">
        <v>0</v>
      </c>
      <c r="K166" s="43" t="str">
        <f t="shared" si="1"/>
        <v>4039/4040</v>
      </c>
      <c r="L166" s="43" t="str">
        <f>VLOOKUP(A166,'Trips&amp;Operators'!$C$1:$E$10000,3,FALSE)</f>
        <v>HELVIE</v>
      </c>
      <c r="M166" s="11">
        <f t="shared" si="2"/>
        <v>1.3483796297805384E-2</v>
      </c>
      <c r="N166" s="12">
        <f t="shared" si="12"/>
        <v>19.416666668839753</v>
      </c>
      <c r="O166" s="12"/>
      <c r="P166" s="12"/>
      <c r="Q166" s="44"/>
      <c r="R166" s="44"/>
      <c r="S166" s="70">
        <f t="shared" si="4"/>
        <v>0.66666666666666663</v>
      </c>
      <c r="T166" s="2" t="str">
        <f t="shared" si="5"/>
        <v>NorthBound</v>
      </c>
      <c r="U166" s="2">
        <f>COUNTIFS(Variables!$M$2:$M$19,IF(T166="NorthBound","&gt;=","&lt;=")&amp;Y166,Variables!$M$2:$M$19,IF(T166="NorthBound","&lt;=","&gt;=")&amp;Z166)</f>
        <v>8</v>
      </c>
      <c r="V166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6" s="48" t="str">
        <f t="shared" si="7"/>
        <v>N</v>
      </c>
      <c r="X166" s="48">
        <f t="shared" si="11"/>
        <v>1</v>
      </c>
      <c r="Y166" s="48">
        <f t="shared" si="8"/>
        <v>0.12609999999999999</v>
      </c>
      <c r="Z166" s="48">
        <f t="shared" si="9"/>
        <v>5.8924000000000003</v>
      </c>
      <c r="AA166" s="48">
        <f t="shared" si="10"/>
        <v>5.7663000000000002</v>
      </c>
      <c r="AB166" s="49" t="e">
        <f>VLOOKUP(A166,Enforcements!$C$7:$J$32,8,0)</f>
        <v>#N/A</v>
      </c>
      <c r="AC166" s="49" t="e">
        <f>VLOOKUP(A166,Enforcements!$C$7:$E$32,3,0)</f>
        <v>#N/A</v>
      </c>
    </row>
    <row r="167" spans="1:29" x14ac:dyDescent="0.25">
      <c r="A167" s="81" t="s">
        <v>512</v>
      </c>
      <c r="B167" s="86">
        <v>4039</v>
      </c>
      <c r="C167" s="66" t="s">
        <v>60</v>
      </c>
      <c r="D167" s="66" t="s">
        <v>513</v>
      </c>
      <c r="E167" s="78">
        <v>42549.337118055555</v>
      </c>
      <c r="F167" s="25">
        <v>42549.338020833333</v>
      </c>
      <c r="G167" s="25">
        <v>1</v>
      </c>
      <c r="H167" s="25" t="s">
        <v>514</v>
      </c>
      <c r="I167" s="25">
        <v>42549.351331018515</v>
      </c>
      <c r="J167" s="43">
        <v>0</v>
      </c>
      <c r="K167" s="43" t="str">
        <f t="shared" si="1"/>
        <v>4039/4040</v>
      </c>
      <c r="L167" s="43" t="str">
        <f>VLOOKUP(A167,'Trips&amp;Operators'!$C$1:$E$10000,3,FALSE)</f>
        <v>HELVIE</v>
      </c>
      <c r="M167" s="11">
        <f t="shared" si="2"/>
        <v>1.3310185182490386E-2</v>
      </c>
      <c r="N167" s="12">
        <f t="shared" si="12"/>
        <v>19.166666662786156</v>
      </c>
      <c r="O167" s="12"/>
      <c r="P167" s="12"/>
      <c r="Q167" s="44"/>
      <c r="R167" s="44"/>
      <c r="S167" s="70">
        <f t="shared" si="4"/>
        <v>0.58333333333333337</v>
      </c>
      <c r="T167" s="2" t="str">
        <f t="shared" si="5"/>
        <v>Southbound</v>
      </c>
      <c r="U167" s="2">
        <f>COUNTIFS(Variables!$M$2:$M$19,IF(T167="NorthBound","&gt;=","&lt;=")&amp;Y167,Variables!$M$2:$M$19,IF(T167="NorthBound","&lt;=","&gt;=")&amp;Z167)</f>
        <v>7</v>
      </c>
      <c r="V167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7" s="48" t="str">
        <f t="shared" si="7"/>
        <v>N</v>
      </c>
      <c r="X167" s="48">
        <f t="shared" si="11"/>
        <v>1</v>
      </c>
      <c r="Y167" s="48">
        <f t="shared" si="8"/>
        <v>5.8593999999999999</v>
      </c>
      <c r="Z167" s="48">
        <f t="shared" si="9"/>
        <v>9.2999999999999999E-2</v>
      </c>
      <c r="AA167" s="48">
        <f t="shared" si="10"/>
        <v>5.7664</v>
      </c>
      <c r="AB167" s="49" t="e">
        <f>VLOOKUP(A167,Enforcements!$C$7:$J$32,8,0)</f>
        <v>#N/A</v>
      </c>
      <c r="AC167" s="49" t="e">
        <f>VLOOKUP(A167,Enforcements!$C$7:$E$32,3,0)</f>
        <v>#N/A</v>
      </c>
    </row>
    <row r="168" spans="1:29" x14ac:dyDescent="0.25">
      <c r="A168" s="81" t="s">
        <v>515</v>
      </c>
      <c r="B168" s="86">
        <v>4029</v>
      </c>
      <c r="C168" s="66" t="s">
        <v>60</v>
      </c>
      <c r="D168" s="66" t="s">
        <v>516</v>
      </c>
      <c r="E168" s="78">
        <v>42549.344930555555</v>
      </c>
      <c r="F168" s="25">
        <v>42549.346122685187</v>
      </c>
      <c r="G168" s="25">
        <v>1</v>
      </c>
      <c r="H168" s="25" t="s">
        <v>517</v>
      </c>
      <c r="I168" s="25">
        <v>42549.360659722224</v>
      </c>
      <c r="J168" s="43">
        <v>3</v>
      </c>
      <c r="K168" s="43" t="str">
        <f t="shared" si="1"/>
        <v>4029/4030</v>
      </c>
      <c r="L168" s="43" t="str">
        <f>VLOOKUP(A168,'Trips&amp;Operators'!$C$1:$E$10000,3,FALSE)</f>
        <v>ACKERMAN</v>
      </c>
      <c r="M168" s="11">
        <f t="shared" si="2"/>
        <v>1.4537037037371192E-2</v>
      </c>
      <c r="N168" s="12">
        <f t="shared" si="12"/>
        <v>20.933333333814517</v>
      </c>
      <c r="O168" s="12"/>
      <c r="P168" s="12"/>
      <c r="Q168" s="44"/>
      <c r="R168" s="44"/>
      <c r="S168" s="70">
        <f t="shared" si="4"/>
        <v>0.66666666666666663</v>
      </c>
      <c r="T168" s="2" t="str">
        <f t="shared" si="5"/>
        <v>NorthBound</v>
      </c>
      <c r="U168" s="2">
        <f>COUNTIFS(Variables!$M$2:$M$19,IF(T168="NorthBound","&gt;=","&lt;=")&amp;Y168,Variables!$M$2:$M$19,IF(T168="NorthBound","&lt;=","&gt;=")&amp;Z168)</f>
        <v>8</v>
      </c>
      <c r="V168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8" s="48" t="str">
        <f t="shared" si="7"/>
        <v>N</v>
      </c>
      <c r="X168" s="48">
        <f t="shared" si="11"/>
        <v>1</v>
      </c>
      <c r="Y168" s="48">
        <f t="shared" si="8"/>
        <v>0.1074</v>
      </c>
      <c r="Z168" s="48">
        <f t="shared" si="9"/>
        <v>5.8954000000000004</v>
      </c>
      <c r="AA168" s="48">
        <f t="shared" si="10"/>
        <v>5.7880000000000003</v>
      </c>
      <c r="AB168" s="49" t="e">
        <f>VLOOKUP(A168,Enforcements!$C$7:$J$32,8,0)</f>
        <v>#N/A</v>
      </c>
      <c r="AC168" s="49" t="e">
        <f>VLOOKUP(A168,Enforcements!$C$7:$E$32,3,0)</f>
        <v>#N/A</v>
      </c>
    </row>
    <row r="169" spans="1:29" x14ac:dyDescent="0.25">
      <c r="A169" s="81" t="s">
        <v>518</v>
      </c>
      <c r="B169" s="86">
        <v>4030</v>
      </c>
      <c r="C169" s="66" t="s">
        <v>60</v>
      </c>
      <c r="D169" s="66" t="s">
        <v>484</v>
      </c>
      <c r="E169" s="78">
        <v>42549.361921296295</v>
      </c>
      <c r="F169" s="25">
        <v>42549.363067129627</v>
      </c>
      <c r="G169" s="25">
        <v>1</v>
      </c>
      <c r="H169" s="25" t="s">
        <v>519</v>
      </c>
      <c r="I169" s="25">
        <v>42549.375925925924</v>
      </c>
      <c r="J169" s="43">
        <v>0</v>
      </c>
      <c r="K169" s="43" t="str">
        <f t="shared" si="1"/>
        <v>4029/4030</v>
      </c>
      <c r="L169" s="43" t="str">
        <f>VLOOKUP(A169,'Trips&amp;Operators'!$C$1:$E$10000,3,FALSE)</f>
        <v>ACKERMAN</v>
      </c>
      <c r="M169" s="11">
        <f t="shared" si="2"/>
        <v>1.2858796297223307E-2</v>
      </c>
      <c r="N169" s="12">
        <f t="shared" si="12"/>
        <v>18.516666668001562</v>
      </c>
      <c r="O169" s="12"/>
      <c r="P169" s="12"/>
      <c r="Q169" s="44"/>
      <c r="R169" s="44"/>
      <c r="S169" s="70">
        <f t="shared" si="4"/>
        <v>0.58333333333333337</v>
      </c>
      <c r="T169" s="2" t="str">
        <f t="shared" si="5"/>
        <v>Southbound</v>
      </c>
      <c r="U169" s="2">
        <f>COUNTIFS(Variables!$M$2:$M$19,IF(T169="NorthBound","&gt;=","&lt;=")&amp;Y169,Variables!$M$2:$M$19,IF(T169="NorthBound","&lt;=","&gt;=")&amp;Z169)</f>
        <v>7</v>
      </c>
      <c r="V169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9" s="48" t="str">
        <f t="shared" si="7"/>
        <v>N</v>
      </c>
      <c r="X169" s="48">
        <f t="shared" si="11"/>
        <v>1</v>
      </c>
      <c r="Y169" s="48">
        <f t="shared" si="8"/>
        <v>5.8624000000000001</v>
      </c>
      <c r="Z169" s="48">
        <f t="shared" si="9"/>
        <v>6.8500000000000005E-2</v>
      </c>
      <c r="AA169" s="48">
        <f t="shared" si="10"/>
        <v>5.7938999999999998</v>
      </c>
      <c r="AB169" s="49" t="e">
        <f>VLOOKUP(A169,Enforcements!$C$7:$J$32,8,0)</f>
        <v>#N/A</v>
      </c>
      <c r="AC169" s="49" t="e">
        <f>VLOOKUP(A169,Enforcements!$C$7:$E$32,3,0)</f>
        <v>#N/A</v>
      </c>
    </row>
    <row r="170" spans="1:29" x14ac:dyDescent="0.25">
      <c r="A170" s="81" t="s">
        <v>520</v>
      </c>
      <c r="B170" s="86">
        <v>4029</v>
      </c>
      <c r="C170" s="66" t="s">
        <v>60</v>
      </c>
      <c r="D170" s="66" t="s">
        <v>521</v>
      </c>
      <c r="E170" s="78">
        <v>42549.3828587963</v>
      </c>
      <c r="F170" s="25">
        <v>42549.383726851855</v>
      </c>
      <c r="G170" s="25">
        <v>1</v>
      </c>
      <c r="H170" s="25" t="s">
        <v>488</v>
      </c>
      <c r="I170" s="25">
        <v>42549.399837962963</v>
      </c>
      <c r="J170" s="43">
        <v>0</v>
      </c>
      <c r="K170" s="43" t="str">
        <f t="shared" si="1"/>
        <v>4029/4030</v>
      </c>
      <c r="L170" s="43" t="str">
        <f>VLOOKUP(A170,'Trips&amp;Operators'!$C$1:$E$10000,3,FALSE)</f>
        <v>ACKERMAN</v>
      </c>
      <c r="M170" s="11">
        <f t="shared" si="2"/>
        <v>1.6111111108330078E-2</v>
      </c>
      <c r="N170" s="12">
        <f t="shared" si="12"/>
        <v>23.199999995995313</v>
      </c>
      <c r="O170" s="12"/>
      <c r="P170" s="12"/>
      <c r="Q170" s="44"/>
      <c r="R170" s="44"/>
      <c r="S170" s="70">
        <f t="shared" si="4"/>
        <v>0.66666666666666663</v>
      </c>
      <c r="T170" s="2" t="str">
        <f t="shared" si="5"/>
        <v>NorthBound</v>
      </c>
      <c r="U170" s="2">
        <f>COUNTIFS(Variables!$M$2:$M$19,IF(T170="NorthBound","&gt;=","&lt;=")&amp;Y170,Variables!$M$2:$M$19,IF(T170="NorthBound","&lt;=","&gt;=")&amp;Z170)</f>
        <v>8</v>
      </c>
      <c r="V170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0" s="48" t="str">
        <f t="shared" si="7"/>
        <v>N</v>
      </c>
      <c r="X170" s="48">
        <f t="shared" si="11"/>
        <v>1</v>
      </c>
      <c r="Y170" s="48">
        <f t="shared" si="8"/>
        <v>9.9000000000000005E-2</v>
      </c>
      <c r="Z170" s="48">
        <f t="shared" si="9"/>
        <v>5.8924000000000003</v>
      </c>
      <c r="AA170" s="48">
        <f t="shared" si="10"/>
        <v>5.7934000000000001</v>
      </c>
      <c r="AB170" s="49" t="e">
        <f>VLOOKUP(A170,Enforcements!$C$7:$J$32,8,0)</f>
        <v>#N/A</v>
      </c>
      <c r="AC170" s="49" t="e">
        <f>VLOOKUP(A170,Enforcements!$C$7:$E$32,3,0)</f>
        <v>#N/A</v>
      </c>
    </row>
    <row r="171" spans="1:29" x14ac:dyDescent="0.25">
      <c r="A171" s="81" t="s">
        <v>522</v>
      </c>
      <c r="B171" s="86">
        <v>4030</v>
      </c>
      <c r="C171" s="66" t="s">
        <v>60</v>
      </c>
      <c r="D171" s="66" t="s">
        <v>490</v>
      </c>
      <c r="E171" s="78">
        <v>42549.402916666666</v>
      </c>
      <c r="F171" s="25">
        <v>42549.40384259259</v>
      </c>
      <c r="G171" s="25">
        <v>1</v>
      </c>
      <c r="H171" s="25" t="s">
        <v>523</v>
      </c>
      <c r="I171" s="25">
        <v>42549.413842592592</v>
      </c>
      <c r="J171" s="43">
        <v>0</v>
      </c>
      <c r="K171" s="43" t="str">
        <f t="shared" si="1"/>
        <v>4029/4030</v>
      </c>
      <c r="L171" s="43" t="str">
        <f>VLOOKUP(A171,'Trips&amp;Operators'!$C$1:$E$10000,3,FALSE)</f>
        <v>ACKERMAN</v>
      </c>
      <c r="M171" s="11">
        <f t="shared" si="2"/>
        <v>1.0000000002037268E-2</v>
      </c>
      <c r="N171" s="12">
        <f t="shared" si="12"/>
        <v>14.400000002933666</v>
      </c>
      <c r="O171" s="12"/>
      <c r="P171" s="12"/>
      <c r="Q171" s="44"/>
      <c r="R171" s="44"/>
      <c r="S171" s="70">
        <f t="shared" si="4"/>
        <v>0.58333333333333337</v>
      </c>
      <c r="T171" s="2" t="str">
        <f t="shared" si="5"/>
        <v>Southbound</v>
      </c>
      <c r="U171" s="2">
        <f>COUNTIFS(Variables!$M$2:$M$19,IF(T171="NorthBound","&gt;=","&lt;=")&amp;Y171,Variables!$M$2:$M$19,IF(T171="NorthBound","&lt;=","&gt;=")&amp;Z171)</f>
        <v>7</v>
      </c>
      <c r="V171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1" s="48" t="str">
        <f t="shared" si="7"/>
        <v>N</v>
      </c>
      <c r="X171" s="48">
        <f t="shared" si="11"/>
        <v>1</v>
      </c>
      <c r="Y171" s="48">
        <f t="shared" si="8"/>
        <v>5.8604000000000003</v>
      </c>
      <c r="Z171" s="48">
        <f t="shared" si="9"/>
        <v>6.9099999999999995E-2</v>
      </c>
      <c r="AA171" s="48">
        <f t="shared" si="10"/>
        <v>5.7913000000000006</v>
      </c>
      <c r="AB171" s="49" t="e">
        <f>VLOOKUP(A171,Enforcements!$C$7:$J$32,8,0)</f>
        <v>#N/A</v>
      </c>
      <c r="AC171" s="49" t="e">
        <f>VLOOKUP(A171,Enforcements!$C$7:$E$32,3,0)</f>
        <v>#N/A</v>
      </c>
    </row>
    <row r="172" spans="1:29" x14ac:dyDescent="0.25">
      <c r="A172" s="81" t="s">
        <v>524</v>
      </c>
      <c r="B172" s="86">
        <v>4029</v>
      </c>
      <c r="C172" s="66" t="s">
        <v>60</v>
      </c>
      <c r="D172" s="66" t="s">
        <v>525</v>
      </c>
      <c r="E172" s="78">
        <v>42549.417002314818</v>
      </c>
      <c r="F172" s="25">
        <v>42549.418032407404</v>
      </c>
      <c r="G172" s="25">
        <v>1</v>
      </c>
      <c r="H172" s="25" t="s">
        <v>526</v>
      </c>
      <c r="I172" s="25">
        <v>42549.440439814818</v>
      </c>
      <c r="J172" s="43">
        <v>1</v>
      </c>
      <c r="K172" s="43" t="str">
        <f t="shared" si="1"/>
        <v>4029/4030</v>
      </c>
      <c r="L172" s="43" t="str">
        <f>VLOOKUP(A172,'Trips&amp;Operators'!$C$1:$E$10000,3,FALSE)</f>
        <v>YORK</v>
      </c>
      <c r="M172" s="11">
        <f t="shared" si="2"/>
        <v>2.2407407413993496E-2</v>
      </c>
      <c r="N172" s="12">
        <f t="shared" si="12"/>
        <v>32.266666676150635</v>
      </c>
      <c r="O172" s="12"/>
      <c r="P172" s="12"/>
      <c r="Q172" s="44"/>
      <c r="R172" s="44"/>
      <c r="S172" s="70">
        <f t="shared" si="4"/>
        <v>0.66666666666666663</v>
      </c>
      <c r="T172" s="2" t="str">
        <f t="shared" si="5"/>
        <v>NorthBound</v>
      </c>
      <c r="U172" s="2">
        <f>COUNTIFS(Variables!$M$2:$M$19,IF(T172="NorthBound","&gt;=","&lt;=")&amp;Y172,Variables!$M$2:$M$19,IF(T172="NorthBound","&lt;=","&gt;=")&amp;Z172)</f>
        <v>8</v>
      </c>
      <c r="V172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2" s="48" t="str">
        <f t="shared" si="7"/>
        <v>N</v>
      </c>
      <c r="X172" s="48">
        <f t="shared" si="11"/>
        <v>1</v>
      </c>
      <c r="Y172" s="48">
        <f t="shared" si="8"/>
        <v>9.9299999999999999E-2</v>
      </c>
      <c r="Z172" s="48">
        <f t="shared" si="9"/>
        <v>5.8901000000000003</v>
      </c>
      <c r="AA172" s="48">
        <f t="shared" si="10"/>
        <v>5.7907999999999999</v>
      </c>
      <c r="AB172" s="49" t="e">
        <f>VLOOKUP(A172,Enforcements!$C$7:$J$32,8,0)</f>
        <v>#N/A</v>
      </c>
      <c r="AC172" s="49" t="e">
        <f>VLOOKUP(A172,Enforcements!$C$7:$E$32,3,0)</f>
        <v>#N/A</v>
      </c>
    </row>
    <row r="173" spans="1:29" x14ac:dyDescent="0.25">
      <c r="A173" s="81" t="s">
        <v>527</v>
      </c>
      <c r="B173" s="86">
        <v>4030</v>
      </c>
      <c r="C173" s="66" t="s">
        <v>60</v>
      </c>
      <c r="D173" s="66" t="s">
        <v>528</v>
      </c>
      <c r="E173" s="78">
        <v>42549.441643518519</v>
      </c>
      <c r="F173" s="25">
        <v>42549.442557870374</v>
      </c>
      <c r="G173" s="25">
        <v>1</v>
      </c>
      <c r="H173" s="25" t="s">
        <v>529</v>
      </c>
      <c r="I173" s="25">
        <v>42549.454502314817</v>
      </c>
      <c r="J173" s="43">
        <v>0</v>
      </c>
      <c r="K173" s="43" t="str">
        <f t="shared" si="1"/>
        <v>4029/4030</v>
      </c>
      <c r="L173" s="43" t="str">
        <f>VLOOKUP(A173,'Trips&amp;Operators'!$C$1:$E$10000,3,FALSE)</f>
        <v>YORK</v>
      </c>
      <c r="M173" s="11">
        <f t="shared" si="2"/>
        <v>1.1944444442633539E-2</v>
      </c>
      <c r="N173" s="12">
        <f t="shared" si="12"/>
        <v>17.199999997392297</v>
      </c>
      <c r="O173" s="12"/>
      <c r="P173" s="12"/>
      <c r="Q173" s="44"/>
      <c r="R173" s="44"/>
      <c r="S173" s="70">
        <f t="shared" si="4"/>
        <v>0.58333333333333337</v>
      </c>
      <c r="T173" s="2" t="str">
        <f t="shared" si="5"/>
        <v>Southbound</v>
      </c>
      <c r="U173" s="2">
        <f>COUNTIFS(Variables!$M$2:$M$19,IF(T173="NorthBound","&gt;=","&lt;=")&amp;Y173,Variables!$M$2:$M$19,IF(T173="NorthBound","&lt;=","&gt;=")&amp;Z173)</f>
        <v>7</v>
      </c>
      <c r="V173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3" s="48" t="str">
        <f t="shared" si="7"/>
        <v>N</v>
      </c>
      <c r="X173" s="48">
        <f t="shared" si="11"/>
        <v>1</v>
      </c>
      <c r="Y173" s="48">
        <f t="shared" si="8"/>
        <v>5.8590999999999998</v>
      </c>
      <c r="Z173" s="48">
        <f t="shared" si="9"/>
        <v>7.3300000000000004E-2</v>
      </c>
      <c r="AA173" s="48">
        <f t="shared" si="10"/>
        <v>5.7858000000000001</v>
      </c>
      <c r="AB173" s="49" t="e">
        <f>VLOOKUP(A173,Enforcements!$C$7:$J$32,8,0)</f>
        <v>#N/A</v>
      </c>
      <c r="AC173" s="49" t="e">
        <f>VLOOKUP(A173,Enforcements!$C$7:$E$32,3,0)</f>
        <v>#N/A</v>
      </c>
    </row>
    <row r="174" spans="1:29" x14ac:dyDescent="0.25">
      <c r="A174" s="81" t="s">
        <v>530</v>
      </c>
      <c r="B174" s="86">
        <v>4029</v>
      </c>
      <c r="C174" s="66" t="s">
        <v>60</v>
      </c>
      <c r="D174" s="66" t="s">
        <v>531</v>
      </c>
      <c r="E174" s="78">
        <v>42549.467638888891</v>
      </c>
      <c r="F174" s="25">
        <v>42549.4684837963</v>
      </c>
      <c r="G174" s="25">
        <v>1</v>
      </c>
      <c r="H174" s="25" t="s">
        <v>532</v>
      </c>
      <c r="I174" s="25">
        <v>42549.482442129629</v>
      </c>
      <c r="J174" s="43">
        <v>0</v>
      </c>
      <c r="K174" s="43" t="str">
        <f t="shared" si="1"/>
        <v>4029/4030</v>
      </c>
      <c r="L174" s="43" t="str">
        <f>VLOOKUP(A174,'Trips&amp;Operators'!$C$1:$E$10000,3,FALSE)</f>
        <v>YORK</v>
      </c>
      <c r="M174" s="11">
        <f t="shared" si="2"/>
        <v>1.395833332935581E-2</v>
      </c>
      <c r="N174" s="12">
        <f t="shared" si="12"/>
        <v>20.099999994272366</v>
      </c>
      <c r="O174" s="12"/>
      <c r="P174" s="12"/>
      <c r="Q174" s="44"/>
      <c r="R174" s="44"/>
      <c r="S174" s="70">
        <f t="shared" si="4"/>
        <v>0.66666666666666663</v>
      </c>
      <c r="T174" s="2" t="str">
        <f t="shared" si="5"/>
        <v>NorthBound</v>
      </c>
      <c r="U174" s="2">
        <f>COUNTIFS(Variables!$M$2:$M$19,IF(T174="NorthBound","&gt;=","&lt;=")&amp;Y174,Variables!$M$2:$M$19,IF(T174="NorthBound","&lt;=","&gt;=")&amp;Z174)</f>
        <v>8</v>
      </c>
      <c r="V174" s="48" t="str">
        <f t="shared" si="6"/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4" s="48" t="str">
        <f t="shared" si="7"/>
        <v>N</v>
      </c>
      <c r="X174" s="48">
        <f t="shared" si="11"/>
        <v>1</v>
      </c>
      <c r="Y174" s="48">
        <f t="shared" si="8"/>
        <v>0.1021</v>
      </c>
      <c r="Z174" s="48">
        <f t="shared" si="9"/>
        <v>5.8920000000000003</v>
      </c>
      <c r="AA174" s="48">
        <f t="shared" si="10"/>
        <v>5.7899000000000003</v>
      </c>
      <c r="AB174" s="49" t="e">
        <f>VLOOKUP(A174,Enforcements!$C$7:$J$32,8,0)</f>
        <v>#N/A</v>
      </c>
      <c r="AC174" s="49" t="e">
        <f>VLOOKUP(A174,Enforcements!$C$7:$E$32,3,0)</f>
        <v>#N/A</v>
      </c>
    </row>
    <row r="175" spans="1:29" x14ac:dyDescent="0.25">
      <c r="A175" s="81" t="s">
        <v>533</v>
      </c>
      <c r="B175" s="86">
        <v>4030</v>
      </c>
      <c r="C175" s="66" t="s">
        <v>60</v>
      </c>
      <c r="D175" s="66" t="s">
        <v>534</v>
      </c>
      <c r="E175" s="78">
        <v>42549.485000000001</v>
      </c>
      <c r="F175" s="25">
        <v>42549.485937500001</v>
      </c>
      <c r="G175" s="25">
        <v>1</v>
      </c>
      <c r="H175" s="25" t="s">
        <v>535</v>
      </c>
      <c r="I175" s="25">
        <v>42549.495740740742</v>
      </c>
      <c r="J175" s="43">
        <v>0</v>
      </c>
      <c r="K175" s="43" t="str">
        <f t="shared" ref="K175:K207" si="13">IF(ISEVEN(B175),(B175-1)&amp;"/"&amp;B175,B175&amp;"/"&amp;(B175+1))</f>
        <v>4029/4030</v>
      </c>
      <c r="L175" s="43" t="str">
        <f>VLOOKUP(A175,'Trips&amp;Operators'!$C$1:$E$10000,3,FALSE)</f>
        <v>YORK</v>
      </c>
      <c r="M175" s="11">
        <f t="shared" ref="M175:M207" si="14">I175-F175</f>
        <v>9.8032407404389232E-3</v>
      </c>
      <c r="N175" s="12">
        <f t="shared" si="12"/>
        <v>14.116666666232049</v>
      </c>
      <c r="O175" s="12"/>
      <c r="P175" s="12"/>
      <c r="Q175" s="44"/>
      <c r="R175" s="44"/>
      <c r="S175" s="70">
        <f t="shared" ref="S175:S207" si="15">SUM(U175:U175)/12</f>
        <v>0.58333333333333337</v>
      </c>
      <c r="T175" s="2" t="str">
        <f t="shared" ref="T175:T207" si="16">IF(ISEVEN(LEFT(A175,3)),"Southbound","NorthBound")</f>
        <v>Southbound</v>
      </c>
      <c r="U175" s="2">
        <f>COUNTIFS(Variables!$M$2:$M$19,IF(T175="NorthBound","&gt;=","&lt;=")&amp;Y175,Variables!$M$2:$M$19,IF(T175="NorthBound","&lt;=","&gt;=")&amp;Z175)</f>
        <v>7</v>
      </c>
      <c r="V175" s="48" t="str">
        <f t="shared" ref="V175:V207" si="17">"https://search-rtdc-monitor-bjffxe2xuh6vdkpspy63sjmuny.us-east-1.es.amazonaws.com/_plugin/kibana/#/discover/Steve-Slow-Train-Analysis-(2080s-and-2083s)?_g=(refreshInterval:(display:Off,section:0,value:0),time:(from:'"&amp;TEXT(E175-1/24/60,"yyyy-MM-DD hh:mm:ss")&amp;"-0600',mode:absolute,to:'"&amp;TEXT(I175+1/24/60,"yyyy-MM-DD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175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5" s="48" t="str">
        <f t="shared" si="7"/>
        <v>N</v>
      </c>
      <c r="X175" s="48">
        <f t="shared" si="11"/>
        <v>1</v>
      </c>
      <c r="Y175" s="48">
        <f t="shared" ref="Y175:Y207" si="18">RIGHT(D175,LEN(D175)-4)/10000</f>
        <v>5.8608000000000002</v>
      </c>
      <c r="Z175" s="48">
        <f t="shared" si="9"/>
        <v>6.9800000000000001E-2</v>
      </c>
      <c r="AA175" s="48">
        <f t="shared" ref="AA175:AA206" si="19">ABS(Z175-Y175)</f>
        <v>5.7910000000000004</v>
      </c>
      <c r="AB175" s="49" t="e">
        <f>VLOOKUP(A175,Enforcements!$C$7:$J$32,8,0)</f>
        <v>#N/A</v>
      </c>
      <c r="AC175" s="49" t="e">
        <f>VLOOKUP(A175,Enforcements!$C$7:$E$32,3,0)</f>
        <v>#N/A</v>
      </c>
    </row>
    <row r="176" spans="1:29" x14ac:dyDescent="0.25">
      <c r="A176" s="81" t="s">
        <v>536</v>
      </c>
      <c r="B176" s="86">
        <v>4029</v>
      </c>
      <c r="C176" s="66" t="s">
        <v>60</v>
      </c>
      <c r="D176" s="66" t="s">
        <v>537</v>
      </c>
      <c r="E176" s="78">
        <v>42549.513090277775</v>
      </c>
      <c r="F176" s="25">
        <v>42549.51394675926</v>
      </c>
      <c r="G176" s="25">
        <v>1</v>
      </c>
      <c r="H176" s="25" t="s">
        <v>494</v>
      </c>
      <c r="I176" s="25">
        <v>42549.523368055554</v>
      </c>
      <c r="J176" s="43">
        <v>0</v>
      </c>
      <c r="K176" s="43" t="str">
        <f t="shared" si="13"/>
        <v>4029/4030</v>
      </c>
      <c r="L176" s="43" t="str">
        <f>VLOOKUP(A176,'Trips&amp;Operators'!$C$1:$E$10000,3,FALSE)</f>
        <v>YORK</v>
      </c>
      <c r="M176" s="11">
        <f t="shared" si="14"/>
        <v>9.4212962940218858E-3</v>
      </c>
      <c r="N176" s="12">
        <f t="shared" si="12"/>
        <v>13.566666663391516</v>
      </c>
      <c r="O176" s="12"/>
      <c r="P176" s="12"/>
      <c r="Q176" s="44"/>
      <c r="R176" s="44"/>
      <c r="S176" s="70">
        <f t="shared" si="15"/>
        <v>0.66666666666666663</v>
      </c>
      <c r="T176" s="2" t="str">
        <f t="shared" si="16"/>
        <v>NorthBound</v>
      </c>
      <c r="U176" s="2">
        <f>COUNTIFS(Variables!$M$2:$M$19,IF(T176="NorthBound","&gt;=","&lt;=")&amp;Y176,Variables!$M$2:$M$19,IF(T176="NorthBound","&lt;=","&gt;=")&amp;Z176)</f>
        <v>8</v>
      </c>
      <c r="V17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6" s="48" t="str">
        <f t="shared" si="7"/>
        <v>N</v>
      </c>
      <c r="X176" s="48">
        <f t="shared" si="11"/>
        <v>1</v>
      </c>
      <c r="Y176" s="48">
        <f t="shared" si="18"/>
        <v>9.8100000000000007E-2</v>
      </c>
      <c r="Z176" s="48">
        <f t="shared" si="9"/>
        <v>5.8914</v>
      </c>
      <c r="AA176" s="48">
        <f t="shared" si="19"/>
        <v>5.7933000000000003</v>
      </c>
      <c r="AB176" s="49" t="e">
        <f>VLOOKUP(A176,Enforcements!$C$7:$J$32,8,0)</f>
        <v>#N/A</v>
      </c>
      <c r="AC176" s="49" t="e">
        <f>VLOOKUP(A176,Enforcements!$C$7:$E$32,3,0)</f>
        <v>#N/A</v>
      </c>
    </row>
    <row r="177" spans="1:29" x14ac:dyDescent="0.25">
      <c r="A177" s="81" t="s">
        <v>538</v>
      </c>
      <c r="B177" s="86">
        <v>4030</v>
      </c>
      <c r="C177" s="66" t="s">
        <v>60</v>
      </c>
      <c r="D177" s="66" t="s">
        <v>490</v>
      </c>
      <c r="E177" s="78">
        <v>42549.52547453704</v>
      </c>
      <c r="F177" s="25">
        <v>42549.526296296295</v>
      </c>
      <c r="G177" s="25">
        <v>1</v>
      </c>
      <c r="H177" s="25" t="s">
        <v>539</v>
      </c>
      <c r="I177" s="25">
        <v>42549.537314814814</v>
      </c>
      <c r="J177" s="43">
        <v>0</v>
      </c>
      <c r="K177" s="43" t="str">
        <f t="shared" si="13"/>
        <v>4029/4030</v>
      </c>
      <c r="L177" s="43" t="str">
        <f>VLOOKUP(A177,'Trips&amp;Operators'!$C$1:$E$10000,3,FALSE)</f>
        <v>YORK</v>
      </c>
      <c r="M177" s="11">
        <f t="shared" si="14"/>
        <v>1.1018518518540077E-2</v>
      </c>
      <c r="N177" s="12">
        <f t="shared" si="12"/>
        <v>15.866666666697711</v>
      </c>
      <c r="O177" s="12"/>
      <c r="P177" s="12"/>
      <c r="Q177" s="44"/>
      <c r="R177" s="44"/>
      <c r="S177" s="70">
        <f t="shared" si="15"/>
        <v>0.58333333333333337</v>
      </c>
      <c r="T177" s="2" t="str">
        <f t="shared" si="16"/>
        <v>Southbound</v>
      </c>
      <c r="U177" s="2">
        <f>COUNTIFS(Variables!$M$2:$M$19,IF(T177="NorthBound","&gt;=","&lt;=")&amp;Y177,Variables!$M$2:$M$19,IF(T177="NorthBound","&lt;=","&gt;=")&amp;Z177)</f>
        <v>7</v>
      </c>
      <c r="V17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7" s="48" t="str">
        <f t="shared" si="7"/>
        <v>N</v>
      </c>
      <c r="X177" s="48">
        <f t="shared" si="11"/>
        <v>1</v>
      </c>
      <c r="Y177" s="48">
        <f t="shared" si="18"/>
        <v>5.8604000000000003</v>
      </c>
      <c r="Z177" s="48">
        <f t="shared" si="9"/>
        <v>9.2899999999999996E-2</v>
      </c>
      <c r="AA177" s="48">
        <f t="shared" si="19"/>
        <v>5.7675000000000001</v>
      </c>
      <c r="AB177" s="49" t="e">
        <f>VLOOKUP(A177,Enforcements!$C$7:$J$32,8,0)</f>
        <v>#N/A</v>
      </c>
      <c r="AC177" s="49" t="e">
        <f>VLOOKUP(A177,Enforcements!$C$7:$E$32,3,0)</f>
        <v>#N/A</v>
      </c>
    </row>
    <row r="178" spans="1:29" x14ac:dyDescent="0.25">
      <c r="A178" s="81" t="s">
        <v>540</v>
      </c>
      <c r="B178" s="86">
        <v>4029</v>
      </c>
      <c r="C178" s="66" t="s">
        <v>60</v>
      </c>
      <c r="D178" s="66" t="s">
        <v>541</v>
      </c>
      <c r="E178" s="78">
        <v>42549.553124999999</v>
      </c>
      <c r="F178" s="25">
        <v>42549.553912037038</v>
      </c>
      <c r="G178" s="25">
        <v>1</v>
      </c>
      <c r="H178" s="25" t="s">
        <v>542</v>
      </c>
      <c r="I178" s="25">
        <v>42549.564988425926</v>
      </c>
      <c r="J178" s="43">
        <v>1</v>
      </c>
      <c r="K178" s="43" t="str">
        <f t="shared" si="13"/>
        <v>4029/4030</v>
      </c>
      <c r="L178" s="43" t="str">
        <f>VLOOKUP(A178,'Trips&amp;Operators'!$C$1:$E$10000,3,FALSE)</f>
        <v>YORK</v>
      </c>
      <c r="M178" s="11">
        <f t="shared" si="14"/>
        <v>1.1076388887886424E-2</v>
      </c>
      <c r="N178" s="12">
        <f t="shared" si="12"/>
        <v>15.94999999855645</v>
      </c>
      <c r="O178" s="12"/>
      <c r="P178" s="12"/>
      <c r="Q178" s="44"/>
      <c r="R178" s="44"/>
      <c r="S178" s="70">
        <f t="shared" si="15"/>
        <v>0.66666666666666663</v>
      </c>
      <c r="T178" s="2" t="str">
        <f t="shared" si="16"/>
        <v>NorthBound</v>
      </c>
      <c r="U178" s="2">
        <f>COUNTIFS(Variables!$M$2:$M$19,IF(T178="NorthBound","&gt;=","&lt;=")&amp;Y178,Variables!$M$2:$M$19,IF(T178="NorthBound","&lt;=","&gt;=")&amp;Z178)</f>
        <v>8</v>
      </c>
      <c r="V17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8" s="48" t="str">
        <f t="shared" si="7"/>
        <v>N</v>
      </c>
      <c r="X178" s="48">
        <f t="shared" si="11"/>
        <v>1</v>
      </c>
      <c r="Y178" s="48">
        <f t="shared" si="18"/>
        <v>0.1237</v>
      </c>
      <c r="Z178" s="48">
        <f t="shared" si="9"/>
        <v>5.8921999999999999</v>
      </c>
      <c r="AA178" s="48">
        <f t="shared" si="19"/>
        <v>5.7684999999999995</v>
      </c>
      <c r="AB178" s="49" t="e">
        <f>VLOOKUP(A178,Enforcements!$C$7:$J$32,8,0)</f>
        <v>#N/A</v>
      </c>
      <c r="AC178" s="49" t="e">
        <f>VLOOKUP(A178,Enforcements!$C$7:$E$32,3,0)</f>
        <v>#N/A</v>
      </c>
    </row>
    <row r="179" spans="1:29" x14ac:dyDescent="0.25">
      <c r="A179" s="81" t="s">
        <v>543</v>
      </c>
      <c r="B179" s="86">
        <v>4030</v>
      </c>
      <c r="C179" s="66" t="s">
        <v>60</v>
      </c>
      <c r="D179" s="66" t="s">
        <v>544</v>
      </c>
      <c r="E179" s="78">
        <v>42549.566342592596</v>
      </c>
      <c r="F179" s="25">
        <v>42549.567060185182</v>
      </c>
      <c r="G179" s="25">
        <v>1</v>
      </c>
      <c r="H179" s="25" t="s">
        <v>545</v>
      </c>
      <c r="I179" s="25">
        <v>42549.578634259262</v>
      </c>
      <c r="J179" s="43">
        <v>0</v>
      </c>
      <c r="K179" s="43" t="str">
        <f t="shared" si="13"/>
        <v>4029/4030</v>
      </c>
      <c r="L179" s="43" t="str">
        <f>VLOOKUP(A179,'Trips&amp;Operators'!$C$1:$E$10000,3,FALSE)</f>
        <v>YORK</v>
      </c>
      <c r="M179" s="11">
        <f t="shared" si="14"/>
        <v>1.1574074080272112E-2</v>
      </c>
      <c r="N179" s="12">
        <f t="shared" si="12"/>
        <v>16.666666675591841</v>
      </c>
      <c r="O179" s="12"/>
      <c r="P179" s="12"/>
      <c r="Q179" s="44"/>
      <c r="R179" s="44"/>
      <c r="S179" s="70">
        <f t="shared" si="15"/>
        <v>0.58333333333333337</v>
      </c>
      <c r="T179" s="2" t="str">
        <f t="shared" si="16"/>
        <v>Southbound</v>
      </c>
      <c r="U179" s="2">
        <f>COUNTIFS(Variables!$M$2:$M$19,IF(T179="NorthBound","&gt;=","&lt;=")&amp;Y179,Variables!$M$2:$M$19,IF(T179="NorthBound","&lt;=","&gt;=")&amp;Z179)</f>
        <v>7</v>
      </c>
      <c r="V17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9" s="48" t="str">
        <f t="shared" si="7"/>
        <v>N</v>
      </c>
      <c r="X179" s="48">
        <f t="shared" si="11"/>
        <v>1</v>
      </c>
      <c r="Y179" s="48">
        <f t="shared" si="18"/>
        <v>5.8605999999999998</v>
      </c>
      <c r="Z179" s="48">
        <f t="shared" si="9"/>
        <v>8.43E-2</v>
      </c>
      <c r="AA179" s="48">
        <f t="shared" si="19"/>
        <v>5.7763</v>
      </c>
      <c r="AB179" s="49" t="e">
        <f>VLOOKUP(A179,Enforcements!$C$7:$J$32,8,0)</f>
        <v>#N/A</v>
      </c>
      <c r="AC179" s="49" t="e">
        <f>VLOOKUP(A179,Enforcements!$C$7:$E$32,3,0)</f>
        <v>#N/A</v>
      </c>
    </row>
    <row r="180" spans="1:29" x14ac:dyDescent="0.25">
      <c r="A180" s="81" t="s">
        <v>546</v>
      </c>
      <c r="B180" s="86">
        <v>4029</v>
      </c>
      <c r="C180" s="66" t="s">
        <v>60</v>
      </c>
      <c r="D180" s="66" t="s">
        <v>547</v>
      </c>
      <c r="E180" s="78">
        <v>42549.584710648145</v>
      </c>
      <c r="F180" s="25">
        <v>42549.586828703701</v>
      </c>
      <c r="G180" s="25">
        <v>3</v>
      </c>
      <c r="H180" s="25" t="s">
        <v>548</v>
      </c>
      <c r="I180" s="25">
        <v>42549.608055555553</v>
      </c>
      <c r="J180" s="43">
        <v>2</v>
      </c>
      <c r="K180" s="43" t="str">
        <f t="shared" si="13"/>
        <v>4029/4030</v>
      </c>
      <c r="L180" s="43" t="str">
        <f>VLOOKUP(A180,'Trips&amp;Operators'!$C$1:$E$10000,3,FALSE)</f>
        <v>LYNN</v>
      </c>
      <c r="M180" s="11">
        <f t="shared" si="14"/>
        <v>2.1226851851679385E-2</v>
      </c>
      <c r="N180" s="12">
        <f t="shared" si="12"/>
        <v>30.566666666418314</v>
      </c>
      <c r="O180" s="12"/>
      <c r="P180" s="12"/>
      <c r="Q180" s="44"/>
      <c r="R180" s="44"/>
      <c r="S180" s="70">
        <f t="shared" si="15"/>
        <v>0.66666666666666663</v>
      </c>
      <c r="T180" s="2" t="str">
        <f t="shared" si="16"/>
        <v>NorthBound</v>
      </c>
      <c r="U180" s="2">
        <f>COUNTIFS(Variables!$M$2:$M$19,IF(T180="NorthBound","&gt;=","&lt;=")&amp;Y180,Variables!$M$2:$M$19,IF(T180="NorthBound","&lt;=","&gt;=")&amp;Z180)</f>
        <v>8</v>
      </c>
      <c r="V18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0" s="48" t="str">
        <f t="shared" si="7"/>
        <v>N</v>
      </c>
      <c r="X180" s="48">
        <f t="shared" si="11"/>
        <v>1</v>
      </c>
      <c r="Y180" s="48">
        <f t="shared" si="18"/>
        <v>0.1128</v>
      </c>
      <c r="Z180" s="48">
        <f t="shared" si="9"/>
        <v>5.8910999999999998</v>
      </c>
      <c r="AA180" s="48">
        <f t="shared" si="19"/>
        <v>5.7782999999999998</v>
      </c>
      <c r="AB180" s="49" t="e">
        <f>VLOOKUP(A180,Enforcements!$C$7:$J$32,8,0)</f>
        <v>#N/A</v>
      </c>
      <c r="AC180" s="49" t="e">
        <f>VLOOKUP(A180,Enforcements!$C$7:$E$32,3,0)</f>
        <v>#N/A</v>
      </c>
    </row>
    <row r="181" spans="1:29" x14ac:dyDescent="0.25">
      <c r="A181" s="81" t="s">
        <v>549</v>
      </c>
      <c r="B181" s="86">
        <v>4030</v>
      </c>
      <c r="C181" s="66" t="s">
        <v>60</v>
      </c>
      <c r="D181" s="66" t="s">
        <v>550</v>
      </c>
      <c r="E181" s="78">
        <v>42549.608807870369</v>
      </c>
      <c r="F181" s="25">
        <v>42549.6096412037</v>
      </c>
      <c r="G181" s="25">
        <v>1</v>
      </c>
      <c r="H181" s="25" t="s">
        <v>551</v>
      </c>
      <c r="I181" s="25">
        <v>42549.623738425929</v>
      </c>
      <c r="J181" s="43">
        <v>1</v>
      </c>
      <c r="K181" s="43" t="str">
        <f t="shared" si="13"/>
        <v>4029/4030</v>
      </c>
      <c r="L181" s="43" t="str">
        <f>VLOOKUP(A181,'Trips&amp;Operators'!$C$1:$E$10000,3,FALSE)</f>
        <v>STORY</v>
      </c>
      <c r="M181" s="11">
        <f t="shared" si="14"/>
        <v>1.4097222228883766E-2</v>
      </c>
      <c r="N181" s="12">
        <f t="shared" si="12"/>
        <v>20.300000009592623</v>
      </c>
      <c r="O181" s="12"/>
      <c r="P181" s="12"/>
      <c r="Q181" s="44"/>
      <c r="R181" s="44"/>
      <c r="S181" s="70">
        <f t="shared" si="15"/>
        <v>0.58333333333333337</v>
      </c>
      <c r="T181" s="2" t="str">
        <f t="shared" si="16"/>
        <v>Southbound</v>
      </c>
      <c r="U181" s="2">
        <f>COUNTIFS(Variables!$M$2:$M$19,IF(T181="NorthBound","&gt;=","&lt;=")&amp;Y181,Variables!$M$2:$M$19,IF(T181="NorthBound","&lt;=","&gt;=")&amp;Z181)</f>
        <v>7</v>
      </c>
      <c r="V18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1" s="48" t="str">
        <f t="shared" si="7"/>
        <v>N</v>
      </c>
      <c r="X181" s="48">
        <f t="shared" si="11"/>
        <v>1</v>
      </c>
      <c r="Y181" s="48">
        <f t="shared" si="18"/>
        <v>5.8586999999999998</v>
      </c>
      <c r="Z181" s="48">
        <f t="shared" si="9"/>
        <v>6.2899999999999998E-2</v>
      </c>
      <c r="AA181" s="48">
        <f t="shared" si="19"/>
        <v>5.7957999999999998</v>
      </c>
      <c r="AB181" s="49" t="e">
        <f>VLOOKUP(A181,Enforcements!$C$7:$J$32,8,0)</f>
        <v>#N/A</v>
      </c>
      <c r="AC181" s="49" t="e">
        <f>VLOOKUP(A181,Enforcements!$C$7:$E$32,3,0)</f>
        <v>#N/A</v>
      </c>
    </row>
    <row r="182" spans="1:29" x14ac:dyDescent="0.25">
      <c r="A182" s="81" t="s">
        <v>552</v>
      </c>
      <c r="B182" s="86">
        <v>4029</v>
      </c>
      <c r="C182" s="66" t="s">
        <v>60</v>
      </c>
      <c r="D182" s="66" t="s">
        <v>553</v>
      </c>
      <c r="E182" s="78">
        <v>42549.633379629631</v>
      </c>
      <c r="F182" s="25">
        <v>42549.634259259263</v>
      </c>
      <c r="G182" s="25">
        <v>1</v>
      </c>
      <c r="H182" s="25" t="s">
        <v>554</v>
      </c>
      <c r="I182" s="25">
        <v>42549.649641203701</v>
      </c>
      <c r="J182" s="43">
        <v>1</v>
      </c>
      <c r="K182" s="43" t="str">
        <f t="shared" si="13"/>
        <v>4029/4030</v>
      </c>
      <c r="L182" s="43" t="str">
        <f>VLOOKUP(A182,'Trips&amp;Operators'!$C$1:$E$10000,3,FALSE)</f>
        <v>LYNN</v>
      </c>
      <c r="M182" s="11">
        <f t="shared" si="14"/>
        <v>1.5381944438559003E-2</v>
      </c>
      <c r="N182" s="12">
        <f t="shared" si="12"/>
        <v>22.149999991524965</v>
      </c>
      <c r="O182" s="12"/>
      <c r="P182" s="12"/>
      <c r="Q182" s="44"/>
      <c r="R182" s="44"/>
      <c r="S182" s="70">
        <f t="shared" si="15"/>
        <v>0.66666666666666663</v>
      </c>
      <c r="T182" s="2" t="str">
        <f t="shared" si="16"/>
        <v>NorthBound</v>
      </c>
      <c r="U182" s="2">
        <f>COUNTIFS(Variables!$M$2:$M$19,IF(T182="NorthBound","&gt;=","&lt;=")&amp;Y182,Variables!$M$2:$M$19,IF(T182="NorthBound","&lt;=","&gt;=")&amp;Z182)</f>
        <v>8</v>
      </c>
      <c r="V18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2" s="48" t="str">
        <f t="shared" si="7"/>
        <v>N</v>
      </c>
      <c r="X182" s="48">
        <f t="shared" si="11"/>
        <v>1</v>
      </c>
      <c r="Y182" s="48">
        <f t="shared" si="18"/>
        <v>9.2200000000000004E-2</v>
      </c>
      <c r="Z182" s="48">
        <f t="shared" si="9"/>
        <v>5.8906999999999998</v>
      </c>
      <c r="AA182" s="48">
        <f t="shared" si="19"/>
        <v>5.7984999999999998</v>
      </c>
      <c r="AB182" s="49" t="e">
        <f>VLOOKUP(A182,Enforcements!$C$7:$J$32,8,0)</f>
        <v>#N/A</v>
      </c>
      <c r="AC182" s="49" t="e">
        <f>VLOOKUP(A182,Enforcements!$C$7:$E$32,3,0)</f>
        <v>#N/A</v>
      </c>
    </row>
    <row r="183" spans="1:29" x14ac:dyDescent="0.25">
      <c r="A183" s="81" t="s">
        <v>555</v>
      </c>
      <c r="B183" s="86">
        <v>4030</v>
      </c>
      <c r="C183" s="66" t="s">
        <v>60</v>
      </c>
      <c r="D183" s="66" t="s">
        <v>556</v>
      </c>
      <c r="E183" s="78">
        <v>42549.650891203702</v>
      </c>
      <c r="F183" s="25">
        <v>42549.651828703703</v>
      </c>
      <c r="G183" s="25">
        <v>1</v>
      </c>
      <c r="H183" s="25" t="s">
        <v>557</v>
      </c>
      <c r="I183" s="25">
        <v>42549.664560185185</v>
      </c>
      <c r="J183" s="43">
        <v>0</v>
      </c>
      <c r="K183" s="43" t="str">
        <f t="shared" si="13"/>
        <v>4029/4030</v>
      </c>
      <c r="L183" s="43" t="str">
        <f>VLOOKUP(A183,'Trips&amp;Operators'!$C$1:$E$10000,3,FALSE)</f>
        <v>STORY</v>
      </c>
      <c r="M183" s="11">
        <f t="shared" si="14"/>
        <v>1.2731481481750961E-2</v>
      </c>
      <c r="N183" s="12">
        <f t="shared" si="12"/>
        <v>18.333333333721384</v>
      </c>
      <c r="O183" s="12"/>
      <c r="P183" s="12"/>
      <c r="Q183" s="44"/>
      <c r="R183" s="44"/>
      <c r="S183" s="70">
        <f t="shared" si="15"/>
        <v>0.58333333333333337</v>
      </c>
      <c r="T183" s="2" t="str">
        <f t="shared" si="16"/>
        <v>Southbound</v>
      </c>
      <c r="U183" s="2">
        <f>COUNTIFS(Variables!$M$2:$M$19,IF(T183="NorthBound","&gt;=","&lt;=")&amp;Y183,Variables!$M$2:$M$19,IF(T183="NorthBound","&lt;=","&gt;=")&amp;Z183)</f>
        <v>7</v>
      </c>
      <c r="V18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3" s="48" t="str">
        <f t="shared" si="7"/>
        <v>N</v>
      </c>
      <c r="X183" s="48">
        <f t="shared" si="11"/>
        <v>1</v>
      </c>
      <c r="Y183" s="48">
        <f t="shared" si="18"/>
        <v>5.8589000000000002</v>
      </c>
      <c r="Z183" s="48">
        <f t="shared" si="9"/>
        <v>0.1709</v>
      </c>
      <c r="AA183" s="48">
        <f t="shared" si="19"/>
        <v>5.6880000000000006</v>
      </c>
      <c r="AB183" s="49" t="e">
        <f>VLOOKUP(A183,Enforcements!$C$7:$J$32,8,0)</f>
        <v>#N/A</v>
      </c>
      <c r="AC183" s="49" t="e">
        <f>VLOOKUP(A183,Enforcements!$C$7:$E$32,3,0)</f>
        <v>#N/A</v>
      </c>
    </row>
    <row r="184" spans="1:29" x14ac:dyDescent="0.25">
      <c r="A184" s="81" t="s">
        <v>558</v>
      </c>
      <c r="B184" s="86">
        <v>4040</v>
      </c>
      <c r="C184" s="66" t="s">
        <v>60</v>
      </c>
      <c r="D184" s="66" t="s">
        <v>559</v>
      </c>
      <c r="E184" s="78">
        <v>42549.653344907405</v>
      </c>
      <c r="F184" s="25">
        <v>42549.654768518521</v>
      </c>
      <c r="G184" s="25">
        <v>2</v>
      </c>
      <c r="H184" s="25" t="s">
        <v>560</v>
      </c>
      <c r="I184" s="25">
        <v>42549.669930555552</v>
      </c>
      <c r="J184" s="43">
        <v>0</v>
      </c>
      <c r="K184" s="43" t="str">
        <f t="shared" si="13"/>
        <v>4039/4040</v>
      </c>
      <c r="L184" s="43" t="str">
        <f>VLOOKUP(A184,'Trips&amp;Operators'!$C$1:$E$10000,3,FALSE)</f>
        <v>DE LA ROSA</v>
      </c>
      <c r="M184" s="11">
        <f t="shared" si="14"/>
        <v>1.5162037030677311E-2</v>
      </c>
      <c r="N184" s="12">
        <f t="shared" si="12"/>
        <v>21.833333324175328</v>
      </c>
      <c r="O184" s="12"/>
      <c r="P184" s="12"/>
      <c r="Q184" s="44"/>
      <c r="R184" s="44"/>
      <c r="S184" s="70">
        <f t="shared" si="15"/>
        <v>0.66666666666666663</v>
      </c>
      <c r="T184" s="2" t="str">
        <f t="shared" si="16"/>
        <v>NorthBound</v>
      </c>
      <c r="U184" s="2">
        <f>COUNTIFS(Variables!$M$2:$M$19,IF(T184="NorthBound","&gt;=","&lt;=")&amp;Y184,Variables!$M$2:$M$19,IF(T184="NorthBound","&lt;=","&gt;=")&amp;Z184)</f>
        <v>8</v>
      </c>
      <c r="V18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4" s="48" t="str">
        <f t="shared" si="7"/>
        <v>N</v>
      </c>
      <c r="X184" s="48">
        <f t="shared" si="11"/>
        <v>1</v>
      </c>
      <c r="Y184" s="48">
        <f t="shared" si="18"/>
        <v>9.2299999999999993E-2</v>
      </c>
      <c r="Z184" s="48">
        <f t="shared" si="9"/>
        <v>5.8897000000000004</v>
      </c>
      <c r="AA184" s="48">
        <f t="shared" si="19"/>
        <v>5.7974000000000006</v>
      </c>
      <c r="AB184" s="49" t="e">
        <f>VLOOKUP(A184,Enforcements!$C$7:$J$32,8,0)</f>
        <v>#N/A</v>
      </c>
      <c r="AC184" s="49" t="e">
        <f>VLOOKUP(A184,Enforcements!$C$7:$E$32,3,0)</f>
        <v>#N/A</v>
      </c>
    </row>
    <row r="185" spans="1:29" x14ac:dyDescent="0.25">
      <c r="A185" s="81" t="s">
        <v>561</v>
      </c>
      <c r="B185" s="86">
        <v>4039</v>
      </c>
      <c r="C185" s="66" t="s">
        <v>60</v>
      </c>
      <c r="D185" s="66" t="s">
        <v>562</v>
      </c>
      <c r="E185" s="78">
        <v>42549.670590277776</v>
      </c>
      <c r="F185" s="25">
        <v>42549.671678240738</v>
      </c>
      <c r="G185" s="25">
        <v>1</v>
      </c>
      <c r="H185" s="25" t="s">
        <v>563</v>
      </c>
      <c r="I185" s="25">
        <v>42549.686874999999</v>
      </c>
      <c r="J185" s="43">
        <v>1</v>
      </c>
      <c r="K185" s="43" t="str">
        <f t="shared" si="13"/>
        <v>4039/4040</v>
      </c>
      <c r="L185" s="43" t="str">
        <f>VLOOKUP(A185,'Trips&amp;Operators'!$C$1:$E$10000,3,FALSE)</f>
        <v>DE LA ROSA</v>
      </c>
      <c r="M185" s="11">
        <f t="shared" si="14"/>
        <v>1.5196759261016268E-2</v>
      </c>
      <c r="N185" s="12">
        <f t="shared" si="12"/>
        <v>21.883333335863426</v>
      </c>
      <c r="O185" s="12"/>
      <c r="P185" s="12"/>
      <c r="Q185" s="44"/>
      <c r="R185" s="44"/>
      <c r="S185" s="70">
        <f t="shared" si="15"/>
        <v>0.58333333333333337</v>
      </c>
      <c r="T185" s="2" t="str">
        <f t="shared" si="16"/>
        <v>Southbound</v>
      </c>
      <c r="U185" s="2">
        <f>COUNTIFS(Variables!$M$2:$M$19,IF(T185="NorthBound","&gt;=","&lt;=")&amp;Y185,Variables!$M$2:$M$19,IF(T185="NorthBound","&lt;=","&gt;=")&amp;Z185)</f>
        <v>7</v>
      </c>
      <c r="V18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5" s="48" t="str">
        <f t="shared" si="7"/>
        <v>N</v>
      </c>
      <c r="X185" s="48">
        <f t="shared" si="11"/>
        <v>1</v>
      </c>
      <c r="Y185" s="48">
        <f t="shared" si="18"/>
        <v>5.8581000000000003</v>
      </c>
      <c r="Z185" s="48">
        <f t="shared" si="9"/>
        <v>7.3999999999999996E-2</v>
      </c>
      <c r="AA185" s="48">
        <f t="shared" si="19"/>
        <v>5.7841000000000005</v>
      </c>
      <c r="AB185" s="49" t="e">
        <f>VLOOKUP(A185,Enforcements!$C$7:$J$32,8,0)</f>
        <v>#N/A</v>
      </c>
      <c r="AC185" s="49" t="e">
        <f>VLOOKUP(A185,Enforcements!$C$7:$E$32,3,0)</f>
        <v>#N/A</v>
      </c>
    </row>
    <row r="186" spans="1:29" x14ac:dyDescent="0.25">
      <c r="A186" s="81" t="s">
        <v>564</v>
      </c>
      <c r="B186" s="86">
        <v>4029</v>
      </c>
      <c r="C186" s="66" t="s">
        <v>60</v>
      </c>
      <c r="D186" s="66" t="s">
        <v>565</v>
      </c>
      <c r="E186" s="78">
        <v>42549.679710648146</v>
      </c>
      <c r="F186" s="25">
        <v>42549.680439814816</v>
      </c>
      <c r="G186" s="25">
        <v>1</v>
      </c>
      <c r="H186" s="25" t="s">
        <v>566</v>
      </c>
      <c r="I186" s="25">
        <v>42549.690671296295</v>
      </c>
      <c r="J186" s="43">
        <v>1</v>
      </c>
      <c r="K186" s="43" t="str">
        <f t="shared" si="13"/>
        <v>4029/4030</v>
      </c>
      <c r="L186" s="43" t="str">
        <f>VLOOKUP(A186,'Trips&amp;Operators'!$C$1:$E$10000,3,FALSE)</f>
        <v>LYNN</v>
      </c>
      <c r="M186" s="11">
        <f t="shared" si="14"/>
        <v>1.0231481479422655E-2</v>
      </c>
      <c r="N186" s="12">
        <f t="shared" si="12"/>
        <v>14.733333330368623</v>
      </c>
      <c r="O186" s="12"/>
      <c r="P186" s="12"/>
      <c r="Q186" s="44"/>
      <c r="R186" s="44"/>
      <c r="S186" s="70">
        <f t="shared" si="15"/>
        <v>0.66666666666666663</v>
      </c>
      <c r="T186" s="2" t="str">
        <f t="shared" si="16"/>
        <v>NorthBound</v>
      </c>
      <c r="U186" s="2">
        <f>COUNTIFS(Variables!$M$2:$M$19,IF(T186="NorthBound","&gt;=","&lt;=")&amp;Y186,Variables!$M$2:$M$19,IF(T186="NorthBound","&lt;=","&gt;=")&amp;Z186)</f>
        <v>8</v>
      </c>
      <c r="V18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6" s="48" t="str">
        <f t="shared" si="7"/>
        <v>N</v>
      </c>
      <c r="X186" s="48">
        <f t="shared" si="11"/>
        <v>1</v>
      </c>
      <c r="Y186" s="48">
        <f t="shared" si="18"/>
        <v>9.01E-2</v>
      </c>
      <c r="Z186" s="48">
        <f t="shared" si="9"/>
        <v>5.8891999999999998</v>
      </c>
      <c r="AA186" s="48">
        <f t="shared" si="19"/>
        <v>5.7991000000000001</v>
      </c>
      <c r="AB186" s="49" t="e">
        <f>VLOOKUP(A186,Enforcements!$C$7:$J$32,8,0)</f>
        <v>#N/A</v>
      </c>
      <c r="AC186" s="49" t="e">
        <f>VLOOKUP(A186,Enforcements!$C$7:$E$32,3,0)</f>
        <v>#N/A</v>
      </c>
    </row>
    <row r="187" spans="1:29" x14ac:dyDescent="0.25">
      <c r="A187" s="81" t="s">
        <v>567</v>
      </c>
      <c r="B187" s="86">
        <v>4030</v>
      </c>
      <c r="C187" s="66" t="s">
        <v>60</v>
      </c>
      <c r="D187" s="66" t="s">
        <v>568</v>
      </c>
      <c r="E187" s="78">
        <v>42549.691365740742</v>
      </c>
      <c r="F187" s="25">
        <v>42549.692060185182</v>
      </c>
      <c r="G187" s="25">
        <v>1</v>
      </c>
      <c r="H187" s="25" t="s">
        <v>569</v>
      </c>
      <c r="I187" s="25">
        <v>42549.705127314817</v>
      </c>
      <c r="J187" s="43">
        <v>0</v>
      </c>
      <c r="K187" s="43" t="str">
        <f t="shared" si="13"/>
        <v>4029/4030</v>
      </c>
      <c r="L187" s="43" t="str">
        <f>VLOOKUP(A187,'Trips&amp;Operators'!$C$1:$E$10000,3,FALSE)</f>
        <v>LYNN</v>
      </c>
      <c r="M187" s="11">
        <f t="shared" si="14"/>
        <v>1.3067129635601304E-2</v>
      </c>
      <c r="N187" s="12">
        <f t="shared" si="12"/>
        <v>18.816666675265878</v>
      </c>
      <c r="O187" s="12"/>
      <c r="P187" s="12"/>
      <c r="Q187" s="44"/>
      <c r="R187" s="44"/>
      <c r="S187" s="70">
        <f t="shared" si="15"/>
        <v>0.58333333333333337</v>
      </c>
      <c r="T187" s="2" t="str">
        <f t="shared" si="16"/>
        <v>Southbound</v>
      </c>
      <c r="U187" s="2">
        <f>COUNTIFS(Variables!$M$2:$M$19,IF(T187="NorthBound","&gt;=","&lt;=")&amp;Y187,Variables!$M$2:$M$19,IF(T187="NorthBound","&lt;=","&gt;=")&amp;Z187)</f>
        <v>7</v>
      </c>
      <c r="V18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7" s="48" t="str">
        <f t="shared" si="7"/>
        <v>N</v>
      </c>
      <c r="X187" s="48">
        <f t="shared" si="11"/>
        <v>1</v>
      </c>
      <c r="Y187" s="48">
        <f t="shared" si="18"/>
        <v>5.8570000000000002</v>
      </c>
      <c r="Z187" s="48">
        <f t="shared" si="9"/>
        <v>7.0099999999999996E-2</v>
      </c>
      <c r="AA187" s="48">
        <f t="shared" si="19"/>
        <v>5.7869000000000002</v>
      </c>
      <c r="AB187" s="49" t="e">
        <f>VLOOKUP(A187,Enforcements!$C$7:$J$32,8,0)</f>
        <v>#N/A</v>
      </c>
      <c r="AC187" s="49" t="e">
        <f>VLOOKUP(A187,Enforcements!$C$7:$E$32,3,0)</f>
        <v>#N/A</v>
      </c>
    </row>
    <row r="188" spans="1:29" x14ac:dyDescent="0.25">
      <c r="A188" s="81" t="s">
        <v>570</v>
      </c>
      <c r="B188" s="86">
        <v>4040</v>
      </c>
      <c r="C188" s="66" t="s">
        <v>60</v>
      </c>
      <c r="D188" s="66" t="s">
        <v>571</v>
      </c>
      <c r="E188" s="78">
        <v>42549.697812500002</v>
      </c>
      <c r="F188" s="25">
        <v>42549.699270833335</v>
      </c>
      <c r="G188" s="25">
        <v>2</v>
      </c>
      <c r="H188" s="25" t="s">
        <v>532</v>
      </c>
      <c r="I188" s="25">
        <v>42549.712141203701</v>
      </c>
      <c r="J188" s="43">
        <v>1</v>
      </c>
      <c r="K188" s="43" t="str">
        <f t="shared" si="13"/>
        <v>4039/4040</v>
      </c>
      <c r="L188" s="43" t="str">
        <f>VLOOKUP(A188,'Trips&amp;Operators'!$C$1:$E$10000,3,FALSE)</f>
        <v>ALONZO</v>
      </c>
      <c r="M188" s="11">
        <f t="shared" si="14"/>
        <v>1.2870370366727002E-2</v>
      </c>
      <c r="N188" s="12">
        <f t="shared" si="12"/>
        <v>18.533333328086883</v>
      </c>
      <c r="O188" s="12"/>
      <c r="P188" s="12"/>
      <c r="Q188" s="44"/>
      <c r="R188" s="44"/>
      <c r="S188" s="70">
        <f t="shared" si="15"/>
        <v>0.66666666666666663</v>
      </c>
      <c r="T188" s="2" t="str">
        <f t="shared" si="16"/>
        <v>NorthBound</v>
      </c>
      <c r="U188" s="2">
        <f>COUNTIFS(Variables!$M$2:$M$19,IF(T188="NorthBound","&gt;=","&lt;=")&amp;Y188,Variables!$M$2:$M$19,IF(T188="NorthBound","&lt;=","&gt;=")&amp;Z188)</f>
        <v>8</v>
      </c>
      <c r="V18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8" s="48" t="str">
        <f t="shared" si="7"/>
        <v>N</v>
      </c>
      <c r="X188" s="48">
        <f t="shared" si="11"/>
        <v>1</v>
      </c>
      <c r="Y188" s="48">
        <f t="shared" si="18"/>
        <v>0.1023</v>
      </c>
      <c r="Z188" s="48">
        <f t="shared" ref="Z188:Z207" si="20">RIGHT(H188,LEN(H188)-4)/10000</f>
        <v>5.8920000000000003</v>
      </c>
      <c r="AA188" s="48">
        <f t="shared" si="19"/>
        <v>5.7897000000000007</v>
      </c>
      <c r="AB188" s="49" t="e">
        <f>VLOOKUP(A188,Enforcements!$C$7:$J$32,8,0)</f>
        <v>#N/A</v>
      </c>
      <c r="AC188" s="49" t="e">
        <f>VLOOKUP(A188,Enforcements!$C$7:$E$32,3,0)</f>
        <v>#N/A</v>
      </c>
    </row>
    <row r="189" spans="1:29" x14ac:dyDescent="0.25">
      <c r="A189" s="81" t="s">
        <v>572</v>
      </c>
      <c r="B189" s="86">
        <v>4039</v>
      </c>
      <c r="C189" s="66" t="s">
        <v>60</v>
      </c>
      <c r="D189" s="66" t="s">
        <v>490</v>
      </c>
      <c r="E189" s="78">
        <v>42549.713946759257</v>
      </c>
      <c r="F189" s="25">
        <v>42549.715474537035</v>
      </c>
      <c r="G189" s="25">
        <v>2</v>
      </c>
      <c r="H189" s="25" t="s">
        <v>573</v>
      </c>
      <c r="I189" s="25">
        <v>42549.7262962963</v>
      </c>
      <c r="J189" s="43">
        <v>2</v>
      </c>
      <c r="K189" s="43" t="str">
        <f t="shared" si="13"/>
        <v>4039/4040</v>
      </c>
      <c r="L189" s="43" t="str">
        <f>VLOOKUP(A189,'Trips&amp;Operators'!$C$1:$E$10000,3,FALSE)</f>
        <v>ALONZO</v>
      </c>
      <c r="M189" s="11">
        <f t="shared" si="14"/>
        <v>1.082175926421769E-2</v>
      </c>
      <c r="N189" s="12">
        <f t="shared" si="12"/>
        <v>15.583333340473473</v>
      </c>
      <c r="O189" s="12"/>
      <c r="P189" s="12"/>
      <c r="Q189" s="44"/>
      <c r="R189" s="44"/>
      <c r="S189" s="70">
        <f t="shared" si="15"/>
        <v>0.58333333333333337</v>
      </c>
      <c r="T189" s="2" t="str">
        <f t="shared" si="16"/>
        <v>Southbound</v>
      </c>
      <c r="U189" s="2">
        <f>COUNTIFS(Variables!$M$2:$M$19,IF(T189="NorthBound","&gt;=","&lt;=")&amp;Y189,Variables!$M$2:$M$19,IF(T189="NorthBound","&lt;=","&gt;=")&amp;Z189)</f>
        <v>7</v>
      </c>
      <c r="V18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9" s="48" t="str">
        <f t="shared" si="7"/>
        <v>N</v>
      </c>
      <c r="X189" s="48">
        <f t="shared" si="11"/>
        <v>1</v>
      </c>
      <c r="Y189" s="48">
        <f t="shared" si="18"/>
        <v>5.8604000000000003</v>
      </c>
      <c r="Z189" s="48">
        <f t="shared" si="20"/>
        <v>7.0800000000000002E-2</v>
      </c>
      <c r="AA189" s="48">
        <f t="shared" si="19"/>
        <v>5.7896000000000001</v>
      </c>
      <c r="AB189" s="49" t="e">
        <f>VLOOKUP(A189,Enforcements!$C$7:$J$32,8,0)</f>
        <v>#N/A</v>
      </c>
      <c r="AC189" s="49" t="e">
        <f>VLOOKUP(A189,Enforcements!$C$7:$E$32,3,0)</f>
        <v>#N/A</v>
      </c>
    </row>
    <row r="190" spans="1:29" x14ac:dyDescent="0.25">
      <c r="A190" s="81" t="s">
        <v>574</v>
      </c>
      <c r="B190" s="86">
        <v>4029</v>
      </c>
      <c r="C190" s="66" t="s">
        <v>60</v>
      </c>
      <c r="D190" s="66" t="s">
        <v>537</v>
      </c>
      <c r="E190" s="78">
        <v>42549.71974537037</v>
      </c>
      <c r="F190" s="25">
        <v>42549.721053240741</v>
      </c>
      <c r="G190" s="25">
        <v>1</v>
      </c>
      <c r="H190" s="25" t="s">
        <v>554</v>
      </c>
      <c r="I190" s="25">
        <v>42549.733148148145</v>
      </c>
      <c r="J190" s="43">
        <v>2</v>
      </c>
      <c r="K190" s="43" t="str">
        <f t="shared" si="13"/>
        <v>4029/4030</v>
      </c>
      <c r="L190" s="43" t="str">
        <f>VLOOKUP(A190,'Trips&amp;Operators'!$C$1:$E$10000,3,FALSE)</f>
        <v>LYNN</v>
      </c>
      <c r="M190" s="11">
        <f t="shared" si="14"/>
        <v>1.2094907404389232E-2</v>
      </c>
      <c r="N190" s="12">
        <f t="shared" si="12"/>
        <v>17.416666662320495</v>
      </c>
      <c r="O190" s="12"/>
      <c r="P190" s="12"/>
      <c r="Q190" s="44"/>
      <c r="R190" s="44"/>
      <c r="S190" s="70">
        <f t="shared" si="15"/>
        <v>0.66666666666666663</v>
      </c>
      <c r="T190" s="2" t="str">
        <f t="shared" si="16"/>
        <v>NorthBound</v>
      </c>
      <c r="U190" s="2">
        <f>COUNTIFS(Variables!$M$2:$M$19,IF(T190="NorthBound","&gt;=","&lt;=")&amp;Y190,Variables!$M$2:$M$19,IF(T190="NorthBound","&lt;=","&gt;=")&amp;Z190)</f>
        <v>8</v>
      </c>
      <c r="V19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0" s="48" t="str">
        <f t="shared" si="7"/>
        <v>N</v>
      </c>
      <c r="X190" s="48">
        <f t="shared" ref="X190:X207" si="21">VALUE(LEFT(A190,3))-VALUE(LEFT(A189,3))</f>
        <v>1</v>
      </c>
      <c r="Y190" s="48">
        <f t="shared" si="18"/>
        <v>9.8100000000000007E-2</v>
      </c>
      <c r="Z190" s="48">
        <f t="shared" si="20"/>
        <v>5.8906999999999998</v>
      </c>
      <c r="AA190" s="48">
        <f t="shared" si="19"/>
        <v>5.7926000000000002</v>
      </c>
      <c r="AB190" s="49" t="e">
        <f>VLOOKUP(A190,Enforcements!$C$7:$J$32,8,0)</f>
        <v>#N/A</v>
      </c>
      <c r="AC190" s="49" t="e">
        <f>VLOOKUP(A190,Enforcements!$C$7:$E$32,3,0)</f>
        <v>#N/A</v>
      </c>
    </row>
    <row r="191" spans="1:29" x14ac:dyDescent="0.25">
      <c r="A191" s="81" t="s">
        <v>575</v>
      </c>
      <c r="B191" s="86">
        <v>4030</v>
      </c>
      <c r="C191" s="66" t="s">
        <v>60</v>
      </c>
      <c r="D191" s="66" t="s">
        <v>576</v>
      </c>
      <c r="E191" s="78">
        <v>42549.733900462961</v>
      </c>
      <c r="F191" s="25">
        <v>42549.735659722224</v>
      </c>
      <c r="G191" s="25">
        <v>2</v>
      </c>
      <c r="H191" s="25" t="s">
        <v>577</v>
      </c>
      <c r="I191" s="25">
        <v>42549.736319444448</v>
      </c>
      <c r="J191" s="43">
        <v>1</v>
      </c>
      <c r="K191" s="43" t="str">
        <f t="shared" si="13"/>
        <v>4029/4030</v>
      </c>
      <c r="L191" s="43" t="str">
        <f>VLOOKUP(A191,'Trips&amp;Operators'!$C$1:$E$10000,3,FALSE)</f>
        <v>STORY</v>
      </c>
      <c r="M191" s="11">
        <f t="shared" si="14"/>
        <v>6.5972222364507616E-4</v>
      </c>
      <c r="N191" s="12">
        <f t="shared" si="12"/>
        <v>0.95000000204890966</v>
      </c>
      <c r="O191" s="12"/>
      <c r="P191" s="12"/>
      <c r="Q191" s="44"/>
      <c r="R191" s="44"/>
      <c r="S191" s="70">
        <f t="shared" si="15"/>
        <v>0</v>
      </c>
      <c r="T191" s="2" t="str">
        <f t="shared" si="16"/>
        <v>Southbound</v>
      </c>
      <c r="U191" s="2">
        <f>COUNTIFS(Variables!$M$2:$M$19,IF(T191="NorthBound","&gt;=","&lt;=")&amp;Y191,Variables!$M$2:$M$19,IF(T191="NorthBound","&lt;=","&gt;=")&amp;Z191)</f>
        <v>0</v>
      </c>
      <c r="V19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1" s="48" t="str">
        <f t="shared" si="7"/>
        <v>Y</v>
      </c>
      <c r="X191" s="48">
        <f t="shared" si="21"/>
        <v>1</v>
      </c>
      <c r="Y191" s="48">
        <f t="shared" si="18"/>
        <v>5.8348000000000004</v>
      </c>
      <c r="Z191" s="48">
        <f t="shared" si="20"/>
        <v>5.8305999999999996</v>
      </c>
      <c r="AA191" s="48">
        <f t="shared" si="19"/>
        <v>4.2000000000008697E-3</v>
      </c>
      <c r="AB191" s="49" t="e">
        <f>VLOOKUP(A191,Enforcements!$C$7:$J$32,8,0)</f>
        <v>#N/A</v>
      </c>
      <c r="AC191" s="49" t="e">
        <f>VLOOKUP(A191,Enforcements!$C$7:$E$32,3,0)</f>
        <v>#N/A</v>
      </c>
    </row>
    <row r="192" spans="1:29" x14ac:dyDescent="0.25">
      <c r="A192" s="81" t="s">
        <v>578</v>
      </c>
      <c r="B192" s="86">
        <v>4040</v>
      </c>
      <c r="C192" s="66" t="s">
        <v>60</v>
      </c>
      <c r="D192" s="66" t="s">
        <v>579</v>
      </c>
      <c r="E192" s="78">
        <v>42549.733460648145</v>
      </c>
      <c r="F192" s="25">
        <v>42549.734652777777</v>
      </c>
      <c r="G192" s="25">
        <v>1</v>
      </c>
      <c r="H192" s="25" t="s">
        <v>494</v>
      </c>
      <c r="I192" s="25">
        <v>42549.753344907411</v>
      </c>
      <c r="J192" s="43">
        <v>0</v>
      </c>
      <c r="K192" s="43" t="str">
        <f t="shared" si="13"/>
        <v>4039/4040</v>
      </c>
      <c r="L192" s="43" t="str">
        <f>VLOOKUP(A192,'Trips&amp;Operators'!$C$1:$E$10000,3,FALSE)</f>
        <v>DE LA ROSA</v>
      </c>
      <c r="M192" s="11">
        <f t="shared" si="14"/>
        <v>1.8692129633564036E-2</v>
      </c>
      <c r="N192" s="12">
        <f t="shared" si="12"/>
        <v>26.916666672332212</v>
      </c>
      <c r="O192" s="12"/>
      <c r="P192" s="12"/>
      <c r="Q192" s="44"/>
      <c r="R192" s="44"/>
      <c r="S192" s="70">
        <f t="shared" si="15"/>
        <v>0.66666666666666663</v>
      </c>
      <c r="T192" s="2" t="str">
        <f t="shared" si="16"/>
        <v>NorthBound</v>
      </c>
      <c r="U192" s="2">
        <f>COUNTIFS(Variables!$M$2:$M$19,IF(T192="NorthBound","&gt;=","&lt;=")&amp;Y192,Variables!$M$2:$M$19,IF(T192="NorthBound","&lt;=","&gt;=")&amp;Z192)</f>
        <v>8</v>
      </c>
      <c r="V19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2" s="48" t="str">
        <f t="shared" si="7"/>
        <v>N</v>
      </c>
      <c r="X192" s="48">
        <f t="shared" si="21"/>
        <v>1</v>
      </c>
      <c r="Y192" s="48">
        <f t="shared" si="18"/>
        <v>0.1018</v>
      </c>
      <c r="Z192" s="48">
        <f t="shared" si="20"/>
        <v>5.8914</v>
      </c>
      <c r="AA192" s="48">
        <f t="shared" si="19"/>
        <v>5.7896000000000001</v>
      </c>
      <c r="AB192" s="49" t="e">
        <f>VLOOKUP(A192,Enforcements!$C$7:$J$32,8,0)</f>
        <v>#N/A</v>
      </c>
      <c r="AC192" s="49" t="e">
        <f>VLOOKUP(A192,Enforcements!$C$7:$E$32,3,0)</f>
        <v>#N/A</v>
      </c>
    </row>
    <row r="193" spans="1:29" x14ac:dyDescent="0.25">
      <c r="A193" s="81" t="s">
        <v>580</v>
      </c>
      <c r="B193" s="86">
        <v>4039</v>
      </c>
      <c r="C193" s="66" t="s">
        <v>60</v>
      </c>
      <c r="D193" s="66" t="s">
        <v>581</v>
      </c>
      <c r="E193" s="78">
        <v>42549.75509259259</v>
      </c>
      <c r="F193" s="25">
        <v>42549.756458333337</v>
      </c>
      <c r="G193" s="25">
        <v>1</v>
      </c>
      <c r="H193" s="25" t="s">
        <v>519</v>
      </c>
      <c r="I193" s="25">
        <v>42549.76866898148</v>
      </c>
      <c r="J193" s="43">
        <v>0</v>
      </c>
      <c r="K193" s="43" t="str">
        <f t="shared" si="13"/>
        <v>4039/4040</v>
      </c>
      <c r="L193" s="43" t="str">
        <f>VLOOKUP(A193,'Trips&amp;Operators'!$C$1:$E$10000,3,FALSE)</f>
        <v>DE LA ROSA</v>
      </c>
      <c r="M193" s="11">
        <f t="shared" si="14"/>
        <v>1.2210648143081926E-2</v>
      </c>
      <c r="N193" s="12">
        <f t="shared" si="12"/>
        <v>17.583333326037973</v>
      </c>
      <c r="O193" s="12"/>
      <c r="P193" s="12"/>
      <c r="Q193" s="44"/>
      <c r="R193" s="44"/>
      <c r="S193" s="70">
        <f t="shared" si="15"/>
        <v>0.58333333333333337</v>
      </c>
      <c r="T193" s="2" t="str">
        <f t="shared" si="16"/>
        <v>Southbound</v>
      </c>
      <c r="U193" s="2">
        <f>COUNTIFS(Variables!$M$2:$M$19,IF(T193="NorthBound","&gt;=","&lt;=")&amp;Y193,Variables!$M$2:$M$19,IF(T193="NorthBound","&lt;=","&gt;=")&amp;Z193)</f>
        <v>7</v>
      </c>
      <c r="V19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3" s="48" t="str">
        <f t="shared" si="7"/>
        <v>N</v>
      </c>
      <c r="X193" s="48">
        <f t="shared" si="21"/>
        <v>1</v>
      </c>
      <c r="Y193" s="48">
        <f t="shared" si="18"/>
        <v>5.8596000000000004</v>
      </c>
      <c r="Z193" s="48">
        <f t="shared" si="20"/>
        <v>6.8500000000000005E-2</v>
      </c>
      <c r="AA193" s="48">
        <f t="shared" si="19"/>
        <v>5.7911000000000001</v>
      </c>
      <c r="AB193" s="49" t="e">
        <f>VLOOKUP(A193,Enforcements!$C$7:$J$32,8,0)</f>
        <v>#N/A</v>
      </c>
      <c r="AC193" s="49" t="e">
        <f>VLOOKUP(A193,Enforcements!$C$7:$E$32,3,0)</f>
        <v>#N/A</v>
      </c>
    </row>
    <row r="194" spans="1:29" x14ac:dyDescent="0.25">
      <c r="A194" s="81" t="s">
        <v>582</v>
      </c>
      <c r="B194" s="86">
        <v>4029</v>
      </c>
      <c r="C194" s="66" t="s">
        <v>60</v>
      </c>
      <c r="D194" s="66" t="s">
        <v>583</v>
      </c>
      <c r="E194" s="78">
        <v>42549.758946759262</v>
      </c>
      <c r="F194" s="25">
        <v>42549.760347222225</v>
      </c>
      <c r="G194" s="25">
        <v>2</v>
      </c>
      <c r="H194" s="25" t="s">
        <v>584</v>
      </c>
      <c r="I194" s="25">
        <v>42549.773680555554</v>
      </c>
      <c r="J194" s="43">
        <v>1</v>
      </c>
      <c r="K194" s="43" t="str">
        <f t="shared" si="13"/>
        <v>4029/4030</v>
      </c>
      <c r="L194" s="43" t="str">
        <f>VLOOKUP(A194,'Trips&amp;Operators'!$C$1:$E$10000,3,FALSE)</f>
        <v>LYNN</v>
      </c>
      <c r="M194" s="11">
        <f t="shared" si="14"/>
        <v>1.3333333328773733E-2</v>
      </c>
      <c r="N194" s="12">
        <f t="shared" si="12"/>
        <v>19.199999993434176</v>
      </c>
      <c r="O194" s="12"/>
      <c r="P194" s="12"/>
      <c r="Q194" s="44"/>
      <c r="R194" s="44"/>
      <c r="S194" s="70">
        <f t="shared" si="15"/>
        <v>0.5</v>
      </c>
      <c r="T194" s="2" t="str">
        <f t="shared" si="16"/>
        <v>NorthBound</v>
      </c>
      <c r="U194" s="2">
        <f>COUNTIFS(Variables!$M$2:$M$19,IF(T194="NorthBound","&gt;=","&lt;=")&amp;Y194,Variables!$M$2:$M$19,IF(T194="NorthBound","&lt;=","&gt;=")&amp;Z194)</f>
        <v>6</v>
      </c>
      <c r="V19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4" s="48" t="str">
        <f t="shared" si="7"/>
        <v>N</v>
      </c>
      <c r="X194" s="48">
        <f t="shared" si="21"/>
        <v>1</v>
      </c>
      <c r="Y194" s="48">
        <f t="shared" si="18"/>
        <v>9.0200000000000002E-2</v>
      </c>
      <c r="Z194" s="48">
        <f t="shared" si="20"/>
        <v>5.7653999999999996</v>
      </c>
      <c r="AA194" s="48">
        <f t="shared" si="19"/>
        <v>5.6751999999999994</v>
      </c>
      <c r="AB194" s="49" t="e">
        <f>VLOOKUP(A194,Enforcements!$C$7:$J$32,8,0)</f>
        <v>#N/A</v>
      </c>
      <c r="AC194" s="49" t="e">
        <f>VLOOKUP(A194,Enforcements!$C$7:$E$32,3,0)</f>
        <v>#N/A</v>
      </c>
    </row>
    <row r="195" spans="1:29" x14ac:dyDescent="0.25">
      <c r="A195" s="81" t="s">
        <v>585</v>
      </c>
      <c r="B195" s="86">
        <v>4030</v>
      </c>
      <c r="C195" s="66" t="s">
        <v>60</v>
      </c>
      <c r="D195" s="66" t="s">
        <v>586</v>
      </c>
      <c r="E195" s="78">
        <v>42549.774953703702</v>
      </c>
      <c r="F195" s="25">
        <v>42549.775914351849</v>
      </c>
      <c r="G195" s="25">
        <v>1</v>
      </c>
      <c r="H195" s="25" t="s">
        <v>587</v>
      </c>
      <c r="I195" s="25">
        <v>42549.789143518516</v>
      </c>
      <c r="J195" s="43">
        <v>1</v>
      </c>
      <c r="K195" s="43" t="str">
        <f t="shared" si="13"/>
        <v>4029/4030</v>
      </c>
      <c r="L195" s="43" t="str">
        <f>VLOOKUP(A195,'Trips&amp;Operators'!$C$1:$E$10000,3,FALSE)</f>
        <v>STORY</v>
      </c>
      <c r="M195" s="11">
        <f t="shared" si="14"/>
        <v>1.3229166666860692E-2</v>
      </c>
      <c r="N195" s="12">
        <f t="shared" si="12"/>
        <v>19.050000000279397</v>
      </c>
      <c r="O195" s="12"/>
      <c r="P195" s="12"/>
      <c r="Q195" s="44"/>
      <c r="R195" s="44"/>
      <c r="S195" s="70">
        <f t="shared" si="15"/>
        <v>0.58333333333333337</v>
      </c>
      <c r="T195" s="2" t="str">
        <f t="shared" si="16"/>
        <v>Southbound</v>
      </c>
      <c r="U195" s="2">
        <f>COUNTIFS(Variables!$M$2:$M$19,IF(T195="NorthBound","&gt;=","&lt;=")&amp;Y195,Variables!$M$2:$M$19,IF(T195="NorthBound","&lt;=","&gt;=")&amp;Z195)</f>
        <v>7</v>
      </c>
      <c r="V19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5" s="48" t="str">
        <f t="shared" si="7"/>
        <v>N</v>
      </c>
      <c r="X195" s="48">
        <f t="shared" si="21"/>
        <v>1</v>
      </c>
      <c r="Y195" s="48">
        <f t="shared" si="18"/>
        <v>5.8592000000000004</v>
      </c>
      <c r="Z195" s="48">
        <f t="shared" si="20"/>
        <v>6.2600000000000003E-2</v>
      </c>
      <c r="AA195" s="48">
        <f t="shared" si="19"/>
        <v>5.7966000000000006</v>
      </c>
      <c r="AB195" s="49" t="e">
        <f>VLOOKUP(A195,Enforcements!$C$7:$J$32,8,0)</f>
        <v>#N/A</v>
      </c>
      <c r="AC195" s="49" t="e">
        <f>VLOOKUP(A195,Enforcements!$C$7:$E$32,3,0)</f>
        <v>#N/A</v>
      </c>
    </row>
    <row r="196" spans="1:29" x14ac:dyDescent="0.25">
      <c r="A196" s="81" t="s">
        <v>588</v>
      </c>
      <c r="B196" s="86">
        <v>4040</v>
      </c>
      <c r="C196" s="66" t="s">
        <v>60</v>
      </c>
      <c r="D196" s="66" t="s">
        <v>589</v>
      </c>
      <c r="E196" s="78">
        <v>42549.778935185182</v>
      </c>
      <c r="F196" s="25">
        <v>42549.780046296299</v>
      </c>
      <c r="G196" s="25">
        <v>1</v>
      </c>
      <c r="H196" s="25" t="s">
        <v>590</v>
      </c>
      <c r="I196" s="25">
        <v>42549.79451388889</v>
      </c>
      <c r="J196" s="43">
        <v>0</v>
      </c>
      <c r="K196" s="43" t="str">
        <f t="shared" si="13"/>
        <v>4039/4040</v>
      </c>
      <c r="L196" s="43" t="str">
        <f>VLOOKUP(A196,'Trips&amp;Operators'!$C$1:$E$10000,3,FALSE)</f>
        <v>DE LA ROSA</v>
      </c>
      <c r="M196" s="11">
        <f t="shared" si="14"/>
        <v>1.4467592591245193E-2</v>
      </c>
      <c r="N196" s="12">
        <f t="shared" si="12"/>
        <v>20.833333331393078</v>
      </c>
      <c r="O196" s="12"/>
      <c r="P196" s="12"/>
      <c r="Q196" s="44"/>
      <c r="R196" s="44"/>
      <c r="S196" s="70">
        <f t="shared" si="15"/>
        <v>0.66666666666666663</v>
      </c>
      <c r="T196" s="2" t="str">
        <f t="shared" si="16"/>
        <v>NorthBound</v>
      </c>
      <c r="U196" s="2">
        <f>COUNTIFS(Variables!$M$2:$M$19,IF(T196="NorthBound","&gt;=","&lt;=")&amp;Y196,Variables!$M$2:$M$19,IF(T196="NorthBound","&lt;=","&gt;=")&amp;Z196)</f>
        <v>8</v>
      </c>
      <c r="V19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6" s="48" t="str">
        <f t="shared" si="7"/>
        <v>N</v>
      </c>
      <c r="X196" s="48">
        <f t="shared" si="21"/>
        <v>1</v>
      </c>
      <c r="Y196" s="48">
        <f t="shared" si="18"/>
        <v>9.74E-2</v>
      </c>
      <c r="Z196" s="48">
        <f t="shared" si="20"/>
        <v>5.8895999999999997</v>
      </c>
      <c r="AA196" s="48">
        <f t="shared" si="19"/>
        <v>5.7921999999999993</v>
      </c>
      <c r="AB196" s="49" t="e">
        <f>VLOOKUP(A196,Enforcements!$C$7:$J$32,8,0)</f>
        <v>#N/A</v>
      </c>
      <c r="AC196" s="49" t="e">
        <f>VLOOKUP(A196,Enforcements!$C$7:$E$32,3,0)</f>
        <v>#N/A</v>
      </c>
    </row>
    <row r="197" spans="1:29" x14ac:dyDescent="0.25">
      <c r="A197" s="81" t="s">
        <v>591</v>
      </c>
      <c r="B197" s="86">
        <v>4030</v>
      </c>
      <c r="C197" s="66" t="s">
        <v>60</v>
      </c>
      <c r="D197" s="66" t="s">
        <v>592</v>
      </c>
      <c r="E197" s="78">
        <v>42549.816712962966</v>
      </c>
      <c r="F197" s="25">
        <v>42549.81763888889</v>
      </c>
      <c r="G197" s="25">
        <v>1</v>
      </c>
      <c r="H197" s="25" t="s">
        <v>593</v>
      </c>
      <c r="I197" s="25">
        <v>42549.830023148148</v>
      </c>
      <c r="J197" s="43">
        <v>1</v>
      </c>
      <c r="K197" s="43" t="str">
        <f t="shared" si="13"/>
        <v>4029/4030</v>
      </c>
      <c r="L197" s="43" t="str">
        <f>VLOOKUP(A197,'Trips&amp;Operators'!$C$1:$E$10000,3,FALSE)</f>
        <v>STORY</v>
      </c>
      <c r="M197" s="11">
        <f t="shared" si="14"/>
        <v>1.2384259258396924E-2</v>
      </c>
      <c r="N197" s="12">
        <f t="shared" ref="N197:N207" si="22">24*60*SUM($M197:$M197)</f>
        <v>17.83333333209157</v>
      </c>
      <c r="O197" s="12"/>
      <c r="P197" s="12"/>
      <c r="Q197" s="44"/>
      <c r="R197" s="44"/>
      <c r="S197" s="70">
        <f t="shared" si="15"/>
        <v>0.58333333333333337</v>
      </c>
      <c r="T197" s="2" t="str">
        <f t="shared" si="16"/>
        <v>Southbound</v>
      </c>
      <c r="U197" s="2">
        <f>COUNTIFS(Variables!$M$2:$M$19,IF(T197="NorthBound","&gt;=","&lt;=")&amp;Y197,Variables!$M$2:$M$19,IF(T197="NorthBound","&lt;=","&gt;=")&amp;Z197)</f>
        <v>7</v>
      </c>
      <c r="V19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7" s="48" t="str">
        <f t="shared" si="7"/>
        <v>N</v>
      </c>
      <c r="X197" s="48">
        <f t="shared" si="21"/>
        <v>1</v>
      </c>
      <c r="Y197" s="48">
        <f t="shared" si="18"/>
        <v>5.8582999999999998</v>
      </c>
      <c r="Z197" s="48">
        <f t="shared" si="20"/>
        <v>7.0599999999999996E-2</v>
      </c>
      <c r="AA197" s="48">
        <f t="shared" si="19"/>
        <v>5.7877000000000001</v>
      </c>
      <c r="AB197" s="49" t="e">
        <f>VLOOKUP(A197,Enforcements!$C$7:$J$32,8,0)</f>
        <v>#N/A</v>
      </c>
      <c r="AC197" s="49" t="e">
        <f>VLOOKUP(A197,Enforcements!$C$7:$E$32,3,0)</f>
        <v>#N/A</v>
      </c>
    </row>
    <row r="198" spans="1:29" x14ac:dyDescent="0.25">
      <c r="A198" s="81" t="s">
        <v>594</v>
      </c>
      <c r="B198" s="86">
        <v>4029</v>
      </c>
      <c r="C198" s="66" t="s">
        <v>60</v>
      </c>
      <c r="D198" s="66" t="s">
        <v>595</v>
      </c>
      <c r="E198" s="78">
        <v>42549.800740740742</v>
      </c>
      <c r="F198" s="25">
        <v>42549.802523148152</v>
      </c>
      <c r="G198" s="25">
        <v>2</v>
      </c>
      <c r="H198" s="25" t="s">
        <v>596</v>
      </c>
      <c r="I198" s="25">
        <v>42549.815740740742</v>
      </c>
      <c r="J198" s="43">
        <v>1</v>
      </c>
      <c r="K198" s="43" t="str">
        <f t="shared" si="13"/>
        <v>4029/4030</v>
      </c>
      <c r="L198" s="43" t="str">
        <f>VLOOKUP(A198,'Trips&amp;Operators'!$C$1:$E$10000,3,FALSE)</f>
        <v>LYNN</v>
      </c>
      <c r="M198" s="11">
        <f t="shared" si="14"/>
        <v>1.321759259008104E-2</v>
      </c>
      <c r="N198" s="12">
        <f t="shared" si="22"/>
        <v>19.033333329716697</v>
      </c>
      <c r="O198" s="12"/>
      <c r="P198" s="12"/>
      <c r="Q198" s="44"/>
      <c r="R198" s="44"/>
      <c r="S198" s="70">
        <f t="shared" si="15"/>
        <v>0.66666666666666663</v>
      </c>
      <c r="T198" s="2" t="str">
        <f t="shared" si="16"/>
        <v>NorthBound</v>
      </c>
      <c r="U198" s="2">
        <f>COUNTIFS(Variables!$M$2:$M$19,IF(T198="NorthBound","&gt;=","&lt;=")&amp;Y198,Variables!$M$2:$M$19,IF(T198="NorthBound","&lt;=","&gt;=")&amp;Z198)</f>
        <v>8</v>
      </c>
      <c r="V19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8" s="48" t="str">
        <f t="shared" si="7"/>
        <v>N</v>
      </c>
      <c r="X198" s="48">
        <f t="shared" si="21"/>
        <v>1</v>
      </c>
      <c r="Y198" s="48">
        <f t="shared" si="18"/>
        <v>9.0399999999999994E-2</v>
      </c>
      <c r="Z198" s="48">
        <f t="shared" si="20"/>
        <v>5.8912000000000004</v>
      </c>
      <c r="AA198" s="48">
        <f t="shared" si="19"/>
        <v>5.8008000000000006</v>
      </c>
      <c r="AB198" s="49" t="e">
        <f>VLOOKUP(A198,Enforcements!$C$7:$J$32,8,0)</f>
        <v>#N/A</v>
      </c>
      <c r="AC198" s="49" t="e">
        <f>VLOOKUP(A198,Enforcements!$C$7:$E$32,3,0)</f>
        <v>#N/A</v>
      </c>
    </row>
    <row r="199" spans="1:29" x14ac:dyDescent="0.25">
      <c r="A199" s="81" t="s">
        <v>597</v>
      </c>
      <c r="B199" s="86">
        <v>4030</v>
      </c>
      <c r="C199" s="66" t="s">
        <v>60</v>
      </c>
      <c r="D199" s="66" t="s">
        <v>598</v>
      </c>
      <c r="E199" s="78">
        <v>42549.857743055552</v>
      </c>
      <c r="F199" s="25">
        <v>42549.858506944445</v>
      </c>
      <c r="G199" s="25">
        <v>1</v>
      </c>
      <c r="H199" s="25">
        <v>8.5243055555555554</v>
      </c>
      <c r="I199" s="25">
        <v>42549.87296296296</v>
      </c>
      <c r="J199" s="43">
        <v>0</v>
      </c>
      <c r="K199" s="43" t="str">
        <f t="shared" si="13"/>
        <v>4029/4030</v>
      </c>
      <c r="L199" s="43" t="str">
        <f>VLOOKUP(A199,'Trips&amp;Operators'!$C$1:$E$10000,3,FALSE)</f>
        <v>STORY</v>
      </c>
      <c r="M199" s="11">
        <f t="shared" si="14"/>
        <v>1.4456018514465541E-2</v>
      </c>
      <c r="N199" s="12">
        <f t="shared" si="22"/>
        <v>20.816666660830379</v>
      </c>
      <c r="O199" s="12"/>
      <c r="P199" s="12"/>
      <c r="Q199" s="44"/>
      <c r="R199" s="44"/>
      <c r="S199" s="70">
        <f t="shared" si="15"/>
        <v>0</v>
      </c>
      <c r="T199" s="2" t="str">
        <f t="shared" si="16"/>
        <v>Southbound</v>
      </c>
      <c r="U199" s="2">
        <f>COUNTIFS(Variables!$M$2:$M$19,IF(T199="NorthBound","&gt;=","&lt;=")&amp;Y199,Variables!$M$2:$M$19,IF(T199="NorthBound","&lt;=","&gt;=")&amp;Z199)</f>
        <v>0</v>
      </c>
      <c r="V19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9" s="48" t="str">
        <f t="shared" si="7"/>
        <v>N</v>
      </c>
      <c r="X199" s="48">
        <f t="shared" si="21"/>
        <v>1</v>
      </c>
      <c r="Y199" s="48">
        <f t="shared" si="18"/>
        <v>5.8578999999999999</v>
      </c>
      <c r="Z199" s="48">
        <f t="shared" si="20"/>
        <v>43055555.555600002</v>
      </c>
      <c r="AA199" s="48">
        <f t="shared" si="19"/>
        <v>43055549.697700001</v>
      </c>
      <c r="AB199" s="49" t="e">
        <f>VLOOKUP(A199,Enforcements!$C$7:$J$32,8,0)</f>
        <v>#N/A</v>
      </c>
      <c r="AC199" s="49" t="e">
        <f>VLOOKUP(A199,Enforcements!$C$7:$E$32,3,0)</f>
        <v>#N/A</v>
      </c>
    </row>
    <row r="200" spans="1:29" x14ac:dyDescent="0.25">
      <c r="A200" s="81" t="s">
        <v>599</v>
      </c>
      <c r="B200" s="86">
        <v>4029</v>
      </c>
      <c r="C200" s="66" t="s">
        <v>60</v>
      </c>
      <c r="D200" s="66" t="s">
        <v>600</v>
      </c>
      <c r="E200" s="78">
        <v>42549.843495370369</v>
      </c>
      <c r="F200" s="25">
        <v>42549.844282407408</v>
      </c>
      <c r="G200" s="25">
        <v>1</v>
      </c>
      <c r="H200" s="25" t="s">
        <v>601</v>
      </c>
      <c r="I200" s="25">
        <v>42549.857060185182</v>
      </c>
      <c r="J200" s="43">
        <v>0</v>
      </c>
      <c r="K200" s="43" t="str">
        <f t="shared" si="13"/>
        <v>4029/4030</v>
      </c>
      <c r="L200" s="43" t="str">
        <f>VLOOKUP(A200,'Trips&amp;Operators'!$C$1:$E$10000,3,FALSE)</f>
        <v>LYNN</v>
      </c>
      <c r="M200" s="11">
        <f t="shared" si="14"/>
        <v>1.2777777774317656E-2</v>
      </c>
      <c r="N200" s="12">
        <f t="shared" si="22"/>
        <v>18.399999995017424</v>
      </c>
      <c r="O200" s="12"/>
      <c r="P200" s="12"/>
      <c r="Q200" s="44"/>
      <c r="R200" s="44"/>
      <c r="S200" s="70">
        <f t="shared" si="15"/>
        <v>0.66666666666666663</v>
      </c>
      <c r="T200" s="2" t="str">
        <f t="shared" si="16"/>
        <v>NorthBound</v>
      </c>
      <c r="U200" s="2">
        <f>COUNTIFS(Variables!$M$2:$M$19,IF(T200="NorthBound","&gt;=","&lt;=")&amp;Y200,Variables!$M$2:$M$19,IF(T200="NorthBound","&lt;=","&gt;=")&amp;Z200)</f>
        <v>8</v>
      </c>
      <c r="V20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0" s="48" t="str">
        <f t="shared" si="7"/>
        <v>N</v>
      </c>
      <c r="X200" s="48">
        <f t="shared" si="21"/>
        <v>1</v>
      </c>
      <c r="Y200" s="48">
        <f t="shared" si="18"/>
        <v>9.9699999999999997E-2</v>
      </c>
      <c r="Z200" s="48">
        <f t="shared" si="20"/>
        <v>5.8894000000000002</v>
      </c>
      <c r="AA200" s="48">
        <f t="shared" si="19"/>
        <v>5.7896999999999998</v>
      </c>
      <c r="AB200" s="49" t="e">
        <f>VLOOKUP(A200,Enforcements!$C$7:$J$32,8,0)</f>
        <v>#N/A</v>
      </c>
      <c r="AC200" s="49" t="e">
        <f>VLOOKUP(A200,Enforcements!$C$7:$E$32,3,0)</f>
        <v>#N/A</v>
      </c>
    </row>
    <row r="201" spans="1:29" x14ac:dyDescent="0.25">
      <c r="A201" s="81" t="s">
        <v>602</v>
      </c>
      <c r="B201" s="86">
        <v>4030</v>
      </c>
      <c r="C201" s="66" t="s">
        <v>60</v>
      </c>
      <c r="D201" s="66" t="s">
        <v>484</v>
      </c>
      <c r="E201" s="78">
        <v>42549.900289351855</v>
      </c>
      <c r="F201" s="25">
        <v>42549.901030092595</v>
      </c>
      <c r="G201" s="25">
        <v>1</v>
      </c>
      <c r="H201" s="25">
        <v>8.5368055555555546</v>
      </c>
      <c r="I201" s="25">
        <v>42549.914386574077</v>
      </c>
      <c r="J201" s="43">
        <v>0</v>
      </c>
      <c r="K201" s="43" t="str">
        <f t="shared" si="13"/>
        <v>4029/4030</v>
      </c>
      <c r="L201" s="43" t="str">
        <f>VLOOKUP(A201,'Trips&amp;Operators'!$C$1:$E$10000,3,FALSE)</f>
        <v>STORY</v>
      </c>
      <c r="M201" s="11">
        <f t="shared" si="14"/>
        <v>1.3356481482333038E-2</v>
      </c>
      <c r="N201" s="12">
        <f t="shared" si="22"/>
        <v>19.233333334559575</v>
      </c>
      <c r="O201" s="12"/>
      <c r="P201" s="12"/>
      <c r="Q201" s="44"/>
      <c r="R201" s="44"/>
      <c r="S201" s="70">
        <f t="shared" si="15"/>
        <v>0</v>
      </c>
      <c r="T201" s="2" t="str">
        <f t="shared" si="16"/>
        <v>Southbound</v>
      </c>
      <c r="U201" s="2">
        <f>COUNTIFS(Variables!$M$2:$M$19,IF(T201="NorthBound","&gt;=","&lt;=")&amp;Y201,Variables!$M$2:$M$19,IF(T201="NorthBound","&lt;=","&gt;=")&amp;Z201)</f>
        <v>0</v>
      </c>
      <c r="V20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1" s="48" t="str">
        <f t="shared" si="7"/>
        <v>N</v>
      </c>
      <c r="X201" s="48">
        <f t="shared" si="21"/>
        <v>1</v>
      </c>
      <c r="Y201" s="48">
        <f t="shared" si="18"/>
        <v>5.8624000000000001</v>
      </c>
      <c r="Z201" s="48">
        <f t="shared" si="20"/>
        <v>68055555.555500001</v>
      </c>
      <c r="AA201" s="48">
        <f t="shared" si="19"/>
        <v>68055549.693100005</v>
      </c>
      <c r="AB201" s="49" t="e">
        <f>VLOOKUP(A201,Enforcements!$C$7:$J$32,8,0)</f>
        <v>#N/A</v>
      </c>
      <c r="AC201" s="49" t="e">
        <f>VLOOKUP(A201,Enforcements!$C$7:$E$32,3,0)</f>
        <v>#N/A</v>
      </c>
    </row>
    <row r="202" spans="1:29" x14ac:dyDescent="0.25">
      <c r="A202" s="81" t="s">
        <v>603</v>
      </c>
      <c r="B202" s="86">
        <v>4029</v>
      </c>
      <c r="C202" s="66" t="s">
        <v>60</v>
      </c>
      <c r="D202" s="66" t="s">
        <v>604</v>
      </c>
      <c r="E202" s="78">
        <v>42549.881145833337</v>
      </c>
      <c r="F202" s="25">
        <v>42549.881909722222</v>
      </c>
      <c r="G202" s="25">
        <v>1</v>
      </c>
      <c r="H202" s="25" t="s">
        <v>605</v>
      </c>
      <c r="I202" s="25">
        <v>42549.899537037039</v>
      </c>
      <c r="J202" s="43">
        <v>0</v>
      </c>
      <c r="K202" s="43" t="str">
        <f t="shared" si="13"/>
        <v>4029/4030</v>
      </c>
      <c r="L202" s="43" t="str">
        <f>VLOOKUP(A202,'Trips&amp;Operators'!$C$1:$E$10000,3,FALSE)</f>
        <v>LYNN</v>
      </c>
      <c r="M202" s="11">
        <f t="shared" si="14"/>
        <v>1.7627314817218576E-2</v>
      </c>
      <c r="N202" s="12">
        <f t="shared" si="22"/>
        <v>25.383333336794749</v>
      </c>
      <c r="O202" s="12"/>
      <c r="P202" s="12"/>
      <c r="Q202" s="44"/>
      <c r="R202" s="44"/>
      <c r="S202" s="70">
        <f t="shared" si="15"/>
        <v>0.66666666666666663</v>
      </c>
      <c r="T202" s="2" t="str">
        <f t="shared" si="16"/>
        <v>NorthBound</v>
      </c>
      <c r="U202" s="2">
        <f>COUNTIFS(Variables!$M$2:$M$19,IF(T202="NorthBound","&gt;=","&lt;=")&amp;Y202,Variables!$M$2:$M$19,IF(T202="NorthBound","&lt;=","&gt;=")&amp;Z202)</f>
        <v>8</v>
      </c>
      <c r="V20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2" s="48" t="str">
        <f t="shared" si="7"/>
        <v>N</v>
      </c>
      <c r="X202" s="48">
        <f t="shared" si="21"/>
        <v>1</v>
      </c>
      <c r="Y202" s="48">
        <f t="shared" si="18"/>
        <v>3.3599999999999998E-2</v>
      </c>
      <c r="Z202" s="48">
        <f t="shared" si="20"/>
        <v>5.8939000000000004</v>
      </c>
      <c r="AA202" s="48">
        <f t="shared" si="19"/>
        <v>5.8603000000000005</v>
      </c>
      <c r="AB202" s="49" t="e">
        <f>VLOOKUP(A202,Enforcements!$C$7:$J$32,8,0)</f>
        <v>#N/A</v>
      </c>
      <c r="AC202" s="49" t="e">
        <f>VLOOKUP(A202,Enforcements!$C$7:$E$32,3,0)</f>
        <v>#N/A</v>
      </c>
    </row>
    <row r="203" spans="1:29" x14ac:dyDescent="0.25">
      <c r="A203" s="43" t="s">
        <v>606</v>
      </c>
      <c r="B203" s="43">
        <v>4029</v>
      </c>
      <c r="C203" s="43" t="s">
        <v>60</v>
      </c>
      <c r="D203" s="43" t="s">
        <v>607</v>
      </c>
      <c r="E203" s="25">
        <v>42549.928148148145</v>
      </c>
      <c r="F203" s="25">
        <v>42549.92895833333</v>
      </c>
      <c r="G203" s="25">
        <v>1</v>
      </c>
      <c r="H203" s="25" t="s">
        <v>608</v>
      </c>
      <c r="I203" s="25">
        <v>42549.942604166667</v>
      </c>
      <c r="J203" s="43">
        <v>1</v>
      </c>
      <c r="K203" s="43" t="str">
        <f t="shared" si="13"/>
        <v>4029/4030</v>
      </c>
      <c r="L203" s="43" t="str">
        <f>VLOOKUP(A203,'Trips&amp;Operators'!$C$1:$E$10000,3,FALSE)</f>
        <v>LYNN</v>
      </c>
      <c r="M203" s="11">
        <f t="shared" si="14"/>
        <v>1.3645833336340729E-2</v>
      </c>
      <c r="N203" s="12">
        <f t="shared" si="22"/>
        <v>19.65000000433065</v>
      </c>
      <c r="O203" s="12"/>
      <c r="P203" s="12"/>
      <c r="Q203" s="44"/>
      <c r="R203" s="44"/>
      <c r="S203" s="70">
        <f t="shared" si="15"/>
        <v>0.66666666666666663</v>
      </c>
      <c r="T203" s="2" t="str">
        <f t="shared" si="16"/>
        <v>NorthBound</v>
      </c>
      <c r="U203" s="2">
        <f>COUNTIFS(Variables!$M$2:$M$19,IF(T203="NorthBound","&gt;=","&lt;=")&amp;Y203,Variables!$M$2:$M$19,IF(T203="NorthBound","&lt;=","&gt;=")&amp;Z203)</f>
        <v>8</v>
      </c>
      <c r="V20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3" s="48" t="str">
        <f>IF(AA203&lt;23,"Y","N")</f>
        <v>Y</v>
      </c>
      <c r="X203" s="48">
        <f t="shared" si="21"/>
        <v>2</v>
      </c>
      <c r="Y203" s="48">
        <f t="shared" si="18"/>
        <v>3.6299999999999999E-2</v>
      </c>
      <c r="Z203" s="48">
        <f t="shared" si="20"/>
        <v>5.8905000000000003</v>
      </c>
      <c r="AA203" s="48">
        <f t="shared" si="19"/>
        <v>5.8542000000000005</v>
      </c>
      <c r="AB203" s="49" t="e">
        <f>VLOOKUP(A203,Enforcements!$C$7:$J$32,8,0)</f>
        <v>#N/A</v>
      </c>
      <c r="AC203" s="49" t="e">
        <f>VLOOKUP(A203,Enforcements!$C$7:$E$32,3,0)</f>
        <v>#N/A</v>
      </c>
    </row>
    <row r="204" spans="1:29" x14ac:dyDescent="0.25">
      <c r="A204" s="81" t="s">
        <v>606</v>
      </c>
      <c r="B204" s="86">
        <v>4029</v>
      </c>
      <c r="C204" s="66" t="s">
        <v>60</v>
      </c>
      <c r="D204" s="66" t="s">
        <v>607</v>
      </c>
      <c r="E204" s="78">
        <v>42549.928148148145</v>
      </c>
      <c r="F204" s="25">
        <v>42549.92895833333</v>
      </c>
      <c r="G204" s="25">
        <v>1</v>
      </c>
      <c r="H204" s="25" t="s">
        <v>608</v>
      </c>
      <c r="I204" s="25">
        <v>42549.942604166667</v>
      </c>
      <c r="J204" s="43">
        <v>1</v>
      </c>
      <c r="K204" s="43" t="str">
        <f t="shared" si="13"/>
        <v>4029/4030</v>
      </c>
      <c r="L204" s="43" t="str">
        <f>VLOOKUP(A204,'Trips&amp;Operators'!$C$1:$E$10000,3,FALSE)</f>
        <v>LYNN</v>
      </c>
      <c r="M204" s="11">
        <f t="shared" si="14"/>
        <v>1.3645833336340729E-2</v>
      </c>
      <c r="N204" s="12">
        <f t="shared" si="22"/>
        <v>19.65000000433065</v>
      </c>
      <c r="O204" s="12"/>
      <c r="P204" s="12"/>
      <c r="Q204" s="44"/>
      <c r="R204" s="44"/>
      <c r="S204" s="70">
        <f t="shared" si="15"/>
        <v>0.66666666666666663</v>
      </c>
      <c r="T204" s="2" t="str">
        <f t="shared" si="16"/>
        <v>NorthBound</v>
      </c>
      <c r="U204" s="2">
        <f>COUNTIFS(Variables!$M$2:$M$19,IF(T204="NorthBound","&gt;=","&lt;=")&amp;Y204,Variables!$M$2:$M$19,IF(T204="NorthBound","&lt;=","&gt;=")&amp;Z204)</f>
        <v>8</v>
      </c>
      <c r="V20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4" s="48" t="str">
        <f>IF(AA204&lt;5.5,"Y","N")</f>
        <v>N</v>
      </c>
      <c r="X204" s="48">
        <f t="shared" si="21"/>
        <v>0</v>
      </c>
      <c r="Y204" s="48">
        <f t="shared" si="18"/>
        <v>3.6299999999999999E-2</v>
      </c>
      <c r="Z204" s="48">
        <f t="shared" si="20"/>
        <v>5.8905000000000003</v>
      </c>
      <c r="AA204" s="48">
        <f t="shared" si="19"/>
        <v>5.8542000000000005</v>
      </c>
      <c r="AB204" s="49" t="e">
        <f>VLOOKUP(A204,Enforcements!$C$7:$J$32,8,0)</f>
        <v>#N/A</v>
      </c>
      <c r="AC204" s="49" t="e">
        <f>VLOOKUP(A204,Enforcements!$C$7:$E$32,3,0)</f>
        <v>#N/A</v>
      </c>
    </row>
    <row r="205" spans="1:29" x14ac:dyDescent="0.25">
      <c r="A205" s="81" t="s">
        <v>609</v>
      </c>
      <c r="B205" s="86">
        <v>4039</v>
      </c>
      <c r="C205" s="66" t="s">
        <v>60</v>
      </c>
      <c r="D205" s="66" t="s">
        <v>550</v>
      </c>
      <c r="E205" s="78">
        <v>42549.79546296296</v>
      </c>
      <c r="F205" s="25">
        <v>42549.796539351853</v>
      </c>
      <c r="G205" s="25">
        <v>1</v>
      </c>
      <c r="H205" s="25" t="s">
        <v>610</v>
      </c>
      <c r="I205" s="25">
        <v>42549.80673611111</v>
      </c>
      <c r="J205" s="43">
        <v>0</v>
      </c>
      <c r="K205" s="43" t="str">
        <f t="shared" si="13"/>
        <v>4039/4040</v>
      </c>
      <c r="L205" s="43" t="str">
        <f>VLOOKUP(A205,'Trips&amp;Operators'!$C$1:$E$10000,3,FALSE)</f>
        <v>DE LA ROSA</v>
      </c>
      <c r="M205" s="11">
        <f t="shared" si="14"/>
        <v>1.0196759256359655E-2</v>
      </c>
      <c r="N205" s="12">
        <f t="shared" si="22"/>
        <v>14.683333329157904</v>
      </c>
      <c r="O205" s="12"/>
      <c r="P205" s="12"/>
      <c r="Q205" s="44"/>
      <c r="R205" s="44"/>
      <c r="S205" s="70">
        <f t="shared" si="15"/>
        <v>0.5</v>
      </c>
      <c r="T205" s="2" t="str">
        <f t="shared" si="16"/>
        <v>Southbound</v>
      </c>
      <c r="U205" s="2">
        <f>COUNTIFS(Variables!$M$2:$M$19,IF(T205="NorthBound","&gt;=","&lt;=")&amp;Y205,Variables!$M$2:$M$19,IF(T205="NorthBound","&lt;=","&gt;=")&amp;Z205)</f>
        <v>6</v>
      </c>
      <c r="V20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5" s="48" t="str">
        <f>IF(AA205&lt;5.5,"Y","N")</f>
        <v>Y</v>
      </c>
      <c r="X205" s="48">
        <f t="shared" si="21"/>
        <v>59</v>
      </c>
      <c r="Y205" s="48">
        <f t="shared" si="18"/>
        <v>5.8586999999999998</v>
      </c>
      <c r="Z205" s="48">
        <f t="shared" si="20"/>
        <v>2.8822000000000001</v>
      </c>
      <c r="AA205" s="48">
        <f t="shared" si="19"/>
        <v>2.9764999999999997</v>
      </c>
      <c r="AB205" s="49" t="e">
        <f>VLOOKUP(A205,Enforcements!$C$7:$J$32,8,0)</f>
        <v>#N/A</v>
      </c>
      <c r="AC205" s="49" t="e">
        <f>VLOOKUP(A205,Enforcements!$C$7:$E$32,3,0)</f>
        <v>#N/A</v>
      </c>
    </row>
    <row r="206" spans="1:29" x14ac:dyDescent="0.25">
      <c r="A206" s="43" t="s">
        <v>611</v>
      </c>
      <c r="B206" s="43">
        <v>4030</v>
      </c>
      <c r="C206" s="43" t="s">
        <v>60</v>
      </c>
      <c r="D206" s="43" t="s">
        <v>556</v>
      </c>
      <c r="E206" s="25">
        <v>42549.943402777775</v>
      </c>
      <c r="F206" s="25">
        <v>42549.944537037038</v>
      </c>
      <c r="G206" s="25">
        <v>1</v>
      </c>
      <c r="H206" s="25" t="s">
        <v>612</v>
      </c>
      <c r="I206" s="25">
        <v>42549.95239583333</v>
      </c>
      <c r="J206" s="43">
        <v>0</v>
      </c>
      <c r="K206" s="43" t="str">
        <f t="shared" si="13"/>
        <v>4029/4030</v>
      </c>
      <c r="L206" s="43" t="str">
        <f>VLOOKUP(A206,'Trips&amp;Operators'!$C$1:$E$10000,3,FALSE)</f>
        <v>STORY</v>
      </c>
      <c r="M206" s="11">
        <f t="shared" si="14"/>
        <v>7.8587962925666943E-3</v>
      </c>
      <c r="N206" s="12">
        <f t="shared" si="22"/>
        <v>11.31666666129604</v>
      </c>
      <c r="O206" s="12"/>
      <c r="P206" s="12"/>
      <c r="Q206" s="44"/>
      <c r="R206" s="44"/>
      <c r="S206" s="70">
        <f t="shared" si="15"/>
        <v>0.58333333333333337</v>
      </c>
      <c r="T206" s="2" t="str">
        <f t="shared" si="16"/>
        <v>Southbound</v>
      </c>
      <c r="U206" s="2">
        <f>COUNTIFS(Variables!$M$2:$M$19,IF(T206="NorthBound","&gt;=","&lt;=")&amp;Y206,Variables!$M$2:$M$19,IF(T206="NorthBound","&lt;=","&gt;=")&amp;Z206)</f>
        <v>7</v>
      </c>
      <c r="V20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6" s="48" t="str">
        <f>IF(AA206&lt;23,"Y","N")</f>
        <v>Y</v>
      </c>
      <c r="X206" s="48">
        <f t="shared" si="21"/>
        <v>2</v>
      </c>
      <c r="Y206" s="48">
        <f t="shared" si="18"/>
        <v>5.8589000000000002</v>
      </c>
      <c r="Z206" s="48">
        <f t="shared" si="20"/>
        <v>2.1629</v>
      </c>
      <c r="AA206" s="48">
        <f t="shared" si="19"/>
        <v>3.6960000000000002</v>
      </c>
      <c r="AB206" s="49" t="e">
        <f>VLOOKUP(A206,Enforcements!$C$7:$J$32,8,0)</f>
        <v>#N/A</v>
      </c>
      <c r="AC206" s="49" t="e">
        <f>VLOOKUP(A206,Enforcements!$C$7:$E$32,3,0)</f>
        <v>#N/A</v>
      </c>
    </row>
    <row r="207" spans="1:29" x14ac:dyDescent="0.25">
      <c r="A207" s="81" t="s">
        <v>611</v>
      </c>
      <c r="B207" s="86">
        <v>4030</v>
      </c>
      <c r="C207" s="66" t="s">
        <v>60</v>
      </c>
      <c r="D207" s="66" t="s">
        <v>556</v>
      </c>
      <c r="E207" s="78">
        <v>42549.943402777775</v>
      </c>
      <c r="F207" s="25">
        <v>42549.944537037038</v>
      </c>
      <c r="G207" s="25">
        <v>1</v>
      </c>
      <c r="H207" s="25" t="s">
        <v>612</v>
      </c>
      <c r="I207" s="25">
        <v>42549.95239583333</v>
      </c>
      <c r="J207" s="43">
        <v>0</v>
      </c>
      <c r="K207" s="43" t="str">
        <f t="shared" si="13"/>
        <v>4029/4030</v>
      </c>
      <c r="L207" s="43" t="str">
        <f>VLOOKUP(A207,'Trips&amp;Operators'!$C$1:$E$10000,3,FALSE)</f>
        <v>STORY</v>
      </c>
      <c r="M207" s="11">
        <f t="shared" si="14"/>
        <v>7.8587962925666943E-3</v>
      </c>
      <c r="N207" s="12">
        <f t="shared" si="22"/>
        <v>11.31666666129604</v>
      </c>
      <c r="O207" s="12"/>
      <c r="P207" s="12"/>
      <c r="Q207" s="44"/>
      <c r="R207" s="44"/>
      <c r="S207" s="70">
        <f t="shared" si="15"/>
        <v>0.58333333333333337</v>
      </c>
      <c r="T207" s="2" t="str">
        <f t="shared" si="16"/>
        <v>Southbound</v>
      </c>
      <c r="U207" s="2">
        <f>COUNTIFS(Variables!$M$2:$M$19,IF(T207="NorthBound","&gt;=","&lt;=")&amp;Y207,Variables!$M$2:$M$19,IF(T207="NorthBound","&lt;=","&gt;=")&amp;Z207)</f>
        <v>7</v>
      </c>
      <c r="V20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7" s="48" t="str">
        <f>IF(AA207&lt;5.5,"Y","N")</f>
        <v>Y</v>
      </c>
      <c r="X207" s="48">
        <f t="shared" si="21"/>
        <v>0</v>
      </c>
      <c r="Y207" s="48">
        <f t="shared" si="18"/>
        <v>5.8589000000000002</v>
      </c>
      <c r="Z207" s="48">
        <f t="shared" si="20"/>
        <v>2.1629</v>
      </c>
      <c r="AA207" s="48">
        <f>ABS(Z207-Y207)</f>
        <v>3.6960000000000002</v>
      </c>
      <c r="AB207" s="49" t="e">
        <f>VLOOKUP(A207,Enforcements!$C$7:$J$32,8,0)</f>
        <v>#N/A</v>
      </c>
      <c r="AC207" s="49" t="e">
        <f>VLOOKUP(A207,Enforcements!$C$7:$E$32,3,0)</f>
        <v>#N/A</v>
      </c>
    </row>
    <row r="208" spans="1:29" x14ac:dyDescent="0.25">
      <c r="B208" s="42"/>
      <c r="C208" s="42"/>
      <c r="D208" s="42"/>
      <c r="J208" s="42"/>
    </row>
    <row r="209" spans="2:10" x14ac:dyDescent="0.25">
      <c r="B209" s="42"/>
      <c r="C209" s="42"/>
      <c r="D209" s="42"/>
      <c r="J209" s="42"/>
    </row>
    <row r="210" spans="2:10" x14ac:dyDescent="0.25">
      <c r="B210" s="42"/>
      <c r="C210" s="42"/>
      <c r="D210" s="42"/>
      <c r="J210" s="42"/>
    </row>
    <row r="211" spans="2:10" x14ac:dyDescent="0.25">
      <c r="B211" s="42"/>
      <c r="C211" s="42"/>
      <c r="D211" s="42"/>
      <c r="J211" s="42"/>
    </row>
    <row r="212" spans="2:10" x14ac:dyDescent="0.25">
      <c r="B212" s="42"/>
      <c r="C212" s="42"/>
      <c r="D212" s="42"/>
      <c r="J212" s="42"/>
    </row>
    <row r="213" spans="2:10" x14ac:dyDescent="0.25">
      <c r="B213" s="42"/>
      <c r="C213" s="42"/>
      <c r="D213" s="42"/>
      <c r="J213" s="42"/>
    </row>
    <row r="214" spans="2:10" x14ac:dyDescent="0.25">
      <c r="B214" s="42"/>
      <c r="C214" s="42"/>
      <c r="D214" s="42"/>
      <c r="J214" s="42"/>
    </row>
    <row r="215" spans="2:10" x14ac:dyDescent="0.25">
      <c r="B215" s="42"/>
      <c r="C215" s="42"/>
      <c r="D215" s="42"/>
      <c r="J215" s="42"/>
    </row>
    <row r="216" spans="2:10" x14ac:dyDescent="0.25">
      <c r="B216" s="42"/>
      <c r="C216" s="42"/>
      <c r="D216" s="42"/>
      <c r="J216" s="42"/>
    </row>
  </sheetData>
  <autoFilter ref="A12:AC166">
    <sortState ref="A13:AC196">
      <sortCondition ref="A12:A155"/>
    </sortState>
  </autoFilter>
  <sortState ref="A13:AC156">
    <sortCondition ref="A13:A156"/>
    <sortCondition ref="F13:F156"/>
  </sortState>
  <mergeCells count="4">
    <mergeCell ref="A11:P11"/>
    <mergeCell ref="I2:J2"/>
    <mergeCell ref="M2:O2"/>
    <mergeCell ref="I3:J3"/>
  </mergeCells>
  <conditionalFormatting sqref="W11:W12 W13:X1048576">
    <cfRule type="cellIs" dxfId="26" priority="72" operator="equal">
      <formula>"Y"</formula>
    </cfRule>
  </conditionalFormatting>
  <conditionalFormatting sqref="X13:X1048576">
    <cfRule type="cellIs" dxfId="25" priority="55" operator="greaterThan">
      <formula>1</formula>
    </cfRule>
  </conditionalFormatting>
  <conditionalFormatting sqref="X12:X1048576">
    <cfRule type="cellIs" dxfId="24" priority="52" operator="equal">
      <formula>0</formula>
    </cfRule>
  </conditionalFormatting>
  <conditionalFormatting sqref="A13:J13 L13:M13 F166:S207 A156:S165 A14:M155 N13:S155">
    <cfRule type="expression" dxfId="23" priority="48">
      <formula>$O13&gt;0</formula>
    </cfRule>
  </conditionalFormatting>
  <conditionalFormatting sqref="A13:J13 L13:M13 F166:S207 A156:S165 A14:M155 N13:S155">
    <cfRule type="expression" dxfId="22" priority="47">
      <formula>$P13&gt;0</formula>
    </cfRule>
  </conditionalFormatting>
  <conditionalFormatting sqref="K13">
    <cfRule type="expression" dxfId="21" priority="3">
      <formula>$O13&gt;0</formula>
    </cfRule>
  </conditionalFormatting>
  <conditionalFormatting sqref="K13">
    <cfRule type="expression" dxfId="20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F166:S207 A156:S165 A14:M155 N13:S155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opLeftCell="A4" zoomScale="85" zoomScaleNormal="85" workbookViewId="0">
      <selection activeCell="K56" sqref="K56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COUNTIF($M$7:$M$836,"=Y")</f>
        <v>14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COUNTA($M$7:$M$836)-M2</f>
        <v>58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6" t="str">
        <f>"Eagle P3 Braking Events - "&amp;TEXT(Variables!$A$2,"YYYY-mm-dd")</f>
        <v>Eagle P3 Braking Events - 2016-06-28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42549.625300925924</v>
      </c>
      <c r="B7" s="66" t="s">
        <v>98</v>
      </c>
      <c r="C7" s="66" t="s">
        <v>415</v>
      </c>
      <c r="D7" s="66" t="s">
        <v>50</v>
      </c>
      <c r="E7" s="66" t="s">
        <v>210</v>
      </c>
      <c r="F7" s="66">
        <v>790</v>
      </c>
      <c r="G7" s="66">
        <v>757</v>
      </c>
      <c r="H7" s="66">
        <v>138769</v>
      </c>
      <c r="I7" s="66" t="s">
        <v>59</v>
      </c>
      <c r="J7" s="66">
        <v>108508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/>
      <c r="P7" s="54" t="str">
        <f>VLOOKUP(C7,'Train Runs'!$A$13:$V$166,22,0)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 t="shared" ref="Q7:Q38" si="0">MID(B7,13,4)</f>
        <v>4042</v>
      </c>
    </row>
    <row r="8" spans="1:17" s="2" customFormat="1" x14ac:dyDescent="0.25">
      <c r="A8" s="18">
        <v>42549.674583333333</v>
      </c>
      <c r="B8" s="17" t="s">
        <v>159</v>
      </c>
      <c r="C8" s="17" t="s">
        <v>614</v>
      </c>
      <c r="D8" s="17" t="s">
        <v>50</v>
      </c>
      <c r="E8" s="17" t="s">
        <v>210</v>
      </c>
      <c r="F8" s="17">
        <v>790</v>
      </c>
      <c r="G8" s="17">
        <v>80</v>
      </c>
      <c r="H8" s="17">
        <v>36746</v>
      </c>
      <c r="I8" s="17" t="s">
        <v>59</v>
      </c>
      <c r="J8" s="17">
        <v>68497</v>
      </c>
      <c r="K8" s="16" t="s">
        <v>54</v>
      </c>
      <c r="L8" s="16" t="str">
        <f>VLOOKUP(C8,'Trips&amp;Operators'!$C$2:$E$10000,3,FALSE)</f>
        <v>DAVIS</v>
      </c>
      <c r="M8" s="15" t="s">
        <v>132</v>
      </c>
      <c r="N8" s="16"/>
      <c r="P8" s="54" t="e">
        <f>VLOOKUP(C8,'Train Runs'!$A$13:$V$166,22,0)</f>
        <v>#VALUE!</v>
      </c>
      <c r="Q8" s="14" t="str">
        <f t="shared" si="0"/>
        <v>4012</v>
      </c>
    </row>
    <row r="9" spans="1:17" s="2" customFormat="1" x14ac:dyDescent="0.25">
      <c r="A9" s="78">
        <v>42549.488842592589</v>
      </c>
      <c r="B9" s="66" t="s">
        <v>98</v>
      </c>
      <c r="C9" s="66" t="s">
        <v>377</v>
      </c>
      <c r="D9" s="66" t="s">
        <v>50</v>
      </c>
      <c r="E9" s="66" t="s">
        <v>74</v>
      </c>
      <c r="F9" s="66">
        <v>0</v>
      </c>
      <c r="G9" s="66">
        <v>81</v>
      </c>
      <c r="H9" s="66">
        <v>62494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LOCKLEAR</v>
      </c>
      <c r="M9" s="15" t="s">
        <v>131</v>
      </c>
      <c r="N9" s="16"/>
      <c r="P9" s="54" t="str">
        <f>VLOOKUP(C9,'Train Runs'!$A$13:$V$166,22,0)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9" s="14" t="str">
        <f t="shared" si="0"/>
        <v>4042</v>
      </c>
    </row>
    <row r="10" spans="1:17" s="2" customFormat="1" x14ac:dyDescent="0.25">
      <c r="A10" s="78">
        <v>42549.603136574071</v>
      </c>
      <c r="B10" s="66" t="s">
        <v>80</v>
      </c>
      <c r="C10" s="66" t="s">
        <v>408</v>
      </c>
      <c r="D10" s="66" t="s">
        <v>50</v>
      </c>
      <c r="E10" s="66" t="s">
        <v>74</v>
      </c>
      <c r="F10" s="66">
        <v>0</v>
      </c>
      <c r="G10" s="66">
        <v>199</v>
      </c>
      <c r="H10" s="66">
        <v>62392</v>
      </c>
      <c r="I10" s="66" t="s">
        <v>75</v>
      </c>
      <c r="J10" s="66">
        <v>63068</v>
      </c>
      <c r="K10" s="66" t="s">
        <v>53</v>
      </c>
      <c r="L10" s="16" t="str">
        <f>VLOOKUP(C10,'Trips&amp;Operators'!$C$2:$E$10000,3,FALSE)</f>
        <v>BONDS</v>
      </c>
      <c r="M10" s="15" t="s">
        <v>131</v>
      </c>
      <c r="N10" s="16"/>
      <c r="P10" s="54" t="str">
        <f>VLOOKUP(C10,'Train Runs'!$A$13:$V$166,22,0)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0" s="14" t="str">
        <f t="shared" si="0"/>
        <v>4018</v>
      </c>
    </row>
    <row r="11" spans="1:17" s="2" customFormat="1" x14ac:dyDescent="0.25">
      <c r="A11" s="78">
        <v>42549.676828703705</v>
      </c>
      <c r="B11" s="66" t="s">
        <v>80</v>
      </c>
      <c r="C11" s="66" t="s">
        <v>428</v>
      </c>
      <c r="D11" s="66" t="s">
        <v>50</v>
      </c>
      <c r="E11" s="66" t="s">
        <v>74</v>
      </c>
      <c r="F11" s="66">
        <v>0</v>
      </c>
      <c r="G11" s="66">
        <v>43</v>
      </c>
      <c r="H11" s="66">
        <v>62899</v>
      </c>
      <c r="I11" s="66" t="s">
        <v>75</v>
      </c>
      <c r="J11" s="66">
        <v>63068</v>
      </c>
      <c r="K11" s="66" t="s">
        <v>53</v>
      </c>
      <c r="L11" s="16" t="str">
        <f>VLOOKUP(C11,'Trips&amp;Operators'!$C$2:$E$10000,3,FALSE)</f>
        <v>BONDS</v>
      </c>
      <c r="M11" s="15" t="s">
        <v>131</v>
      </c>
      <c r="N11" s="16"/>
      <c r="P11" s="54" t="str">
        <f>VLOOKUP(C11,'Train Runs'!$A$13:$V$166,22,0)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1" s="14" t="str">
        <f t="shared" si="0"/>
        <v>4018</v>
      </c>
    </row>
    <row r="12" spans="1:17" s="2" customFormat="1" x14ac:dyDescent="0.25">
      <c r="A12" s="78">
        <v>42549.724224537036</v>
      </c>
      <c r="B12" s="66" t="s">
        <v>81</v>
      </c>
      <c r="C12" s="66" t="s">
        <v>429</v>
      </c>
      <c r="D12" s="66" t="s">
        <v>50</v>
      </c>
      <c r="E12" s="66" t="s">
        <v>74</v>
      </c>
      <c r="F12" s="66">
        <v>0</v>
      </c>
      <c r="G12" s="66">
        <v>234</v>
      </c>
      <c r="H12" s="66">
        <v>59341</v>
      </c>
      <c r="I12" s="66" t="s">
        <v>75</v>
      </c>
      <c r="J12" s="66">
        <v>58301</v>
      </c>
      <c r="K12" s="66" t="s">
        <v>54</v>
      </c>
      <c r="L12" s="16" t="str">
        <f>VLOOKUP(C12,'Trips&amp;Operators'!$C$2:$E$10000,3,FALSE)</f>
        <v>BONDS</v>
      </c>
      <c r="M12" s="15" t="s">
        <v>131</v>
      </c>
      <c r="N12" s="16"/>
      <c r="P12" s="54" t="str">
        <f>VLOOKUP(C12,'Train Runs'!$A$13:$V$166,22,0)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4" t="str">
        <f t="shared" si="0"/>
        <v>4017</v>
      </c>
    </row>
    <row r="13" spans="1:17" s="2" customFormat="1" x14ac:dyDescent="0.25">
      <c r="A13" s="78">
        <v>42549.765104166669</v>
      </c>
      <c r="B13" s="66" t="s">
        <v>86</v>
      </c>
      <c r="C13" s="66" t="s">
        <v>438</v>
      </c>
      <c r="D13" s="66" t="s">
        <v>50</v>
      </c>
      <c r="E13" s="66" t="s">
        <v>74</v>
      </c>
      <c r="F13" s="66">
        <v>0</v>
      </c>
      <c r="G13" s="66">
        <v>101</v>
      </c>
      <c r="H13" s="66">
        <v>63987</v>
      </c>
      <c r="I13" s="66" t="s">
        <v>75</v>
      </c>
      <c r="J13" s="66">
        <v>63309</v>
      </c>
      <c r="K13" s="66" t="s">
        <v>54</v>
      </c>
      <c r="L13" s="16" t="str">
        <f>VLOOKUP(C13,'Trips&amp;Operators'!$C$2:$E$10000,3,FALSE)</f>
        <v>STRICKLAND</v>
      </c>
      <c r="M13" s="15" t="s">
        <v>131</v>
      </c>
      <c r="N13" s="16"/>
      <c r="P13" s="54" t="str">
        <f>VLOOKUP(C13,'Train Runs'!$A$13:$V$166,22,0)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42549.766099537039</v>
      </c>
      <c r="B14" s="66" t="s">
        <v>86</v>
      </c>
      <c r="C14" s="66" t="s">
        <v>438</v>
      </c>
      <c r="D14" s="66" t="s">
        <v>55</v>
      </c>
      <c r="E14" s="66" t="s">
        <v>74</v>
      </c>
      <c r="F14" s="66">
        <v>0</v>
      </c>
      <c r="G14" s="66">
        <v>11</v>
      </c>
      <c r="H14" s="66">
        <v>63287</v>
      </c>
      <c r="I14" s="66" t="s">
        <v>75</v>
      </c>
      <c r="J14" s="66">
        <v>63309</v>
      </c>
      <c r="K14" s="66" t="s">
        <v>54</v>
      </c>
      <c r="L14" s="16" t="str">
        <f>VLOOKUP(C14,'Trips&amp;Operators'!$C$2:$E$10000,3,FALSE)</f>
        <v>STRICKLAND</v>
      </c>
      <c r="M14" s="15" t="s">
        <v>131</v>
      </c>
      <c r="N14" s="16"/>
      <c r="P14" s="54" t="str">
        <f>VLOOKUP(C14,'Train Runs'!$A$13:$V$166,22,0)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14" t="str">
        <f t="shared" si="0"/>
        <v>4031</v>
      </c>
    </row>
    <row r="15" spans="1:17" s="2" customFormat="1" x14ac:dyDescent="0.25">
      <c r="A15" s="78">
        <v>42549.768194444441</v>
      </c>
      <c r="B15" s="66" t="s">
        <v>86</v>
      </c>
      <c r="C15" s="66" t="s">
        <v>438</v>
      </c>
      <c r="D15" s="66" t="s">
        <v>55</v>
      </c>
      <c r="E15" s="66" t="s">
        <v>74</v>
      </c>
      <c r="F15" s="66">
        <v>0</v>
      </c>
      <c r="G15" s="66">
        <v>12</v>
      </c>
      <c r="H15" s="66">
        <v>58263</v>
      </c>
      <c r="I15" s="66" t="s">
        <v>75</v>
      </c>
      <c r="J15" s="66">
        <v>58301</v>
      </c>
      <c r="K15" s="66" t="s">
        <v>54</v>
      </c>
      <c r="L15" s="16" t="str">
        <f>VLOOKUP(C15,'Trips&amp;Operators'!$C$2:$E$10000,3,FALSE)</f>
        <v>STRICKLAND</v>
      </c>
      <c r="M15" s="66" t="s">
        <v>131</v>
      </c>
      <c r="N15" s="66"/>
      <c r="P15" s="54" t="str">
        <f>VLOOKUP(C15,'Train Runs'!$A$13:$V$166,22,0)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5" s="14" t="str">
        <f t="shared" si="0"/>
        <v>4031</v>
      </c>
    </row>
    <row r="16" spans="1:17" s="2" customFormat="1" x14ac:dyDescent="0.25">
      <c r="A16" s="78">
        <v>42549.790034722224</v>
      </c>
      <c r="B16" s="66" t="s">
        <v>157</v>
      </c>
      <c r="C16" s="66" t="s">
        <v>445</v>
      </c>
      <c r="D16" s="66" t="s">
        <v>50</v>
      </c>
      <c r="E16" s="66" t="s">
        <v>74</v>
      </c>
      <c r="F16" s="66">
        <v>0</v>
      </c>
      <c r="G16" s="66">
        <v>38</v>
      </c>
      <c r="H16" s="66">
        <v>58478</v>
      </c>
      <c r="I16" s="66" t="s">
        <v>75</v>
      </c>
      <c r="J16" s="66">
        <v>58301</v>
      </c>
      <c r="K16" s="66" t="s">
        <v>54</v>
      </c>
      <c r="L16" s="16" t="str">
        <f>VLOOKUP(C16,'Trips&amp;Operators'!$C$2:$E$10000,3,FALSE)</f>
        <v>YOUNG</v>
      </c>
      <c r="M16" s="66" t="s">
        <v>131</v>
      </c>
      <c r="N16" s="66"/>
      <c r="P16" s="54" t="str">
        <f>VLOOKUP(C16,'Train Runs'!$A$13:$V$166,22,0)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6" s="14" t="str">
        <f t="shared" si="0"/>
        <v>4023</v>
      </c>
    </row>
    <row r="17" spans="1:17" s="2" customFormat="1" x14ac:dyDescent="0.25">
      <c r="A17" s="78">
        <v>42549.945057870369</v>
      </c>
      <c r="B17" s="66" t="s">
        <v>222</v>
      </c>
      <c r="C17" s="66" t="s">
        <v>479</v>
      </c>
      <c r="D17" s="66" t="s">
        <v>50</v>
      </c>
      <c r="E17" s="66" t="s">
        <v>74</v>
      </c>
      <c r="F17" s="66">
        <v>240</v>
      </c>
      <c r="G17" s="66">
        <v>351</v>
      </c>
      <c r="H17" s="66">
        <v>42168</v>
      </c>
      <c r="I17" s="66" t="s">
        <v>75</v>
      </c>
      <c r="J17" s="66">
        <v>42779</v>
      </c>
      <c r="K17" s="66" t="s">
        <v>53</v>
      </c>
      <c r="L17" s="16" t="str">
        <f>VLOOKUP(C17,'Trips&amp;Operators'!$C$2:$E$10000,3,FALSE)</f>
        <v>BARTLETT</v>
      </c>
      <c r="M17" s="66" t="s">
        <v>132</v>
      </c>
      <c r="N17" s="66"/>
      <c r="P17" s="54" t="str">
        <f>VLOOKUP(C17,'Train Runs'!$A$13:$V$166,22,0)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7" s="14" t="str">
        <f t="shared" si="0"/>
        <v>4027</v>
      </c>
    </row>
    <row r="18" spans="1:17" s="2" customFormat="1" x14ac:dyDescent="0.25">
      <c r="A18" s="78">
        <v>42549.418865740743</v>
      </c>
      <c r="B18" s="66" t="s">
        <v>173</v>
      </c>
      <c r="C18" s="66" t="s">
        <v>352</v>
      </c>
      <c r="D18" s="66" t="s">
        <v>50</v>
      </c>
      <c r="E18" s="66" t="s">
        <v>58</v>
      </c>
      <c r="F18" s="66">
        <v>350</v>
      </c>
      <c r="G18" s="66">
        <v>407</v>
      </c>
      <c r="H18" s="66">
        <v>223923</v>
      </c>
      <c r="I18" s="66" t="s">
        <v>59</v>
      </c>
      <c r="J18" s="66">
        <v>224578</v>
      </c>
      <c r="K18" s="66" t="s">
        <v>53</v>
      </c>
      <c r="L18" s="16" t="str">
        <f>VLOOKUP(C18,'Trips&amp;Operators'!$C$2:$E$10000,3,FALSE)</f>
        <v>ROCHA</v>
      </c>
      <c r="M18" s="66" t="s">
        <v>132</v>
      </c>
      <c r="N18" s="16"/>
      <c r="P18" s="54" t="str">
        <f>VLOOKUP(C18,'Train Runs'!$A$13:$V$166,22,0)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8" s="14" t="str">
        <f t="shared" si="0"/>
        <v>4025</v>
      </c>
    </row>
    <row r="19" spans="1:17" s="2" customFormat="1" x14ac:dyDescent="0.25">
      <c r="A19" s="78">
        <v>42549.562303240738</v>
      </c>
      <c r="B19" s="66" t="s">
        <v>77</v>
      </c>
      <c r="C19" s="66" t="s">
        <v>386</v>
      </c>
      <c r="D19" s="66" t="s">
        <v>50</v>
      </c>
      <c r="E19" s="66" t="s">
        <v>58</v>
      </c>
      <c r="F19" s="66">
        <v>450</v>
      </c>
      <c r="G19" s="66">
        <v>438</v>
      </c>
      <c r="H19" s="66">
        <v>17531</v>
      </c>
      <c r="I19" s="66" t="s">
        <v>59</v>
      </c>
      <c r="J19" s="66">
        <v>15167</v>
      </c>
      <c r="K19" s="66" t="s">
        <v>54</v>
      </c>
      <c r="L19" s="16" t="str">
        <f>VLOOKUP(C19,'Trips&amp;Operators'!$C$2:$E$10000,3,FALSE)</f>
        <v>STAMBAUGH</v>
      </c>
      <c r="M19" s="66" t="s">
        <v>132</v>
      </c>
      <c r="N19" s="16"/>
      <c r="P19" s="54" t="str">
        <f>VLOOKUP(C19,'Train Runs'!$A$13:$V$166,22,0)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4" t="str">
        <f t="shared" si="0"/>
        <v>4019</v>
      </c>
    </row>
    <row r="20" spans="1:17" s="2" customFormat="1" x14ac:dyDescent="0.25">
      <c r="A20" s="78">
        <v>42549.564826388887</v>
      </c>
      <c r="B20" s="66" t="s">
        <v>174</v>
      </c>
      <c r="C20" s="66" t="s">
        <v>392</v>
      </c>
      <c r="D20" s="66" t="s">
        <v>50</v>
      </c>
      <c r="E20" s="66" t="s">
        <v>58</v>
      </c>
      <c r="F20" s="66">
        <v>450</v>
      </c>
      <c r="G20" s="66">
        <v>453</v>
      </c>
      <c r="H20" s="66">
        <v>191261</v>
      </c>
      <c r="I20" s="66" t="s">
        <v>59</v>
      </c>
      <c r="J20" s="66">
        <v>191108</v>
      </c>
      <c r="K20" s="66" t="s">
        <v>54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Runs'!$A$13:$V$166,22,0)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0" s="14" t="str">
        <f t="shared" si="0"/>
        <v>4028</v>
      </c>
    </row>
    <row r="21" spans="1:17" s="2" customFormat="1" x14ac:dyDescent="0.25">
      <c r="A21" s="78">
        <v>42549.66443287037</v>
      </c>
      <c r="B21" s="66" t="s">
        <v>156</v>
      </c>
      <c r="C21" s="66" t="s">
        <v>422</v>
      </c>
      <c r="D21" s="66" t="s">
        <v>50</v>
      </c>
      <c r="E21" s="66" t="s">
        <v>58</v>
      </c>
      <c r="F21" s="66">
        <v>200</v>
      </c>
      <c r="G21" s="66">
        <v>237</v>
      </c>
      <c r="H21" s="66">
        <v>26937</v>
      </c>
      <c r="I21" s="66" t="s">
        <v>59</v>
      </c>
      <c r="J21" s="66">
        <v>27333</v>
      </c>
      <c r="K21" s="66" t="s">
        <v>53</v>
      </c>
      <c r="L21" s="16" t="str">
        <f>VLOOKUP(C21,'Trips&amp;Operators'!$C$2:$E$10000,3,FALSE)</f>
        <v>YOUNG</v>
      </c>
      <c r="M21" s="66" t="s">
        <v>132</v>
      </c>
      <c r="N21" s="16"/>
      <c r="P21" s="54" t="str">
        <f>VLOOKUP(C21,'Train Runs'!$A$13:$V$166,22,0)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1" s="14" t="str">
        <f t="shared" si="0"/>
        <v>4024</v>
      </c>
    </row>
    <row r="22" spans="1:17" s="2" customFormat="1" x14ac:dyDescent="0.25">
      <c r="A22" s="78">
        <v>42549.670648148145</v>
      </c>
      <c r="B22" s="66" t="s">
        <v>80</v>
      </c>
      <c r="C22" s="66" t="s">
        <v>428</v>
      </c>
      <c r="D22" s="66" t="s">
        <v>50</v>
      </c>
      <c r="E22" s="66" t="s">
        <v>58</v>
      </c>
      <c r="F22" s="66">
        <v>300</v>
      </c>
      <c r="G22" s="66">
        <v>270</v>
      </c>
      <c r="H22" s="66">
        <v>20008</v>
      </c>
      <c r="I22" s="66" t="s">
        <v>59</v>
      </c>
      <c r="J22" s="66">
        <v>20338</v>
      </c>
      <c r="K22" s="66" t="s">
        <v>53</v>
      </c>
      <c r="L22" s="16" t="str">
        <f>VLOOKUP(C22,'Trips&amp;Operators'!$C$2:$E$10000,3,FALSE)</f>
        <v>BONDS</v>
      </c>
      <c r="M22" s="66" t="s">
        <v>132</v>
      </c>
      <c r="N22" s="16"/>
      <c r="P22" s="54" t="str">
        <f>VLOOKUP(C22,'Train Runs'!$A$13:$V$166,22,0)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2" s="14" t="str">
        <f t="shared" si="0"/>
        <v>4018</v>
      </c>
    </row>
    <row r="23" spans="1:17" s="2" customFormat="1" x14ac:dyDescent="0.25">
      <c r="A23" s="78">
        <v>42549.78597222222</v>
      </c>
      <c r="B23" s="66" t="s">
        <v>173</v>
      </c>
      <c r="C23" s="66" t="s">
        <v>451</v>
      </c>
      <c r="D23" s="66" t="s">
        <v>55</v>
      </c>
      <c r="E23" s="66" t="s">
        <v>58</v>
      </c>
      <c r="F23" s="66">
        <v>350</v>
      </c>
      <c r="G23" s="66">
        <v>400</v>
      </c>
      <c r="H23" s="66">
        <v>228178</v>
      </c>
      <c r="I23" s="66" t="s">
        <v>59</v>
      </c>
      <c r="J23" s="66">
        <v>224578</v>
      </c>
      <c r="K23" s="66" t="s">
        <v>53</v>
      </c>
      <c r="L23" s="16" t="str">
        <f>VLOOKUP(C23,'Trips&amp;Operators'!$C$2:$E$10000,3,FALSE)</f>
        <v>ADANE</v>
      </c>
      <c r="M23" s="66" t="s">
        <v>132</v>
      </c>
      <c r="N23" s="66"/>
      <c r="P23" s="54" t="str">
        <f>VLOOKUP(C23,'Train Runs'!$A$13:$V$166,22,0)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3" s="14" t="str">
        <f t="shared" si="0"/>
        <v>4025</v>
      </c>
    </row>
    <row r="24" spans="1:17" s="2" customFormat="1" x14ac:dyDescent="0.25">
      <c r="A24" s="78">
        <v>42549.826562499999</v>
      </c>
      <c r="B24" s="66" t="s">
        <v>170</v>
      </c>
      <c r="C24" s="66" t="s">
        <v>452</v>
      </c>
      <c r="D24" s="66" t="s">
        <v>50</v>
      </c>
      <c r="E24" s="66" t="s">
        <v>58</v>
      </c>
      <c r="F24" s="66">
        <v>450</v>
      </c>
      <c r="G24" s="66">
        <v>447</v>
      </c>
      <c r="H24" s="66">
        <v>17687</v>
      </c>
      <c r="I24" s="66" t="s">
        <v>59</v>
      </c>
      <c r="J24" s="66">
        <v>15167</v>
      </c>
      <c r="K24" s="66" t="s">
        <v>54</v>
      </c>
      <c r="L24" s="16" t="str">
        <f>VLOOKUP(C24,'Trips&amp;Operators'!$C$2:$E$10000,3,FALSE)</f>
        <v>ADANE</v>
      </c>
      <c r="M24" s="66" t="s">
        <v>132</v>
      </c>
      <c r="N24" s="66"/>
      <c r="P24" s="54" t="str">
        <f>VLOOKUP(C24,'Train Runs'!$A$13:$V$166,22,0)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4" t="str">
        <f t="shared" si="0"/>
        <v>4026</v>
      </c>
    </row>
    <row r="25" spans="1:17" s="2" customFormat="1" x14ac:dyDescent="0.25">
      <c r="A25" s="78">
        <v>42549.455023148148</v>
      </c>
      <c r="B25" s="66" t="s">
        <v>97</v>
      </c>
      <c r="C25" s="66" t="s">
        <v>356</v>
      </c>
      <c r="D25" s="66" t="s">
        <v>50</v>
      </c>
      <c r="E25" s="66" t="s">
        <v>56</v>
      </c>
      <c r="F25" s="66">
        <v>0</v>
      </c>
      <c r="G25" s="66">
        <v>395</v>
      </c>
      <c r="H25" s="66">
        <v>130234</v>
      </c>
      <c r="I25" s="66" t="s">
        <v>57</v>
      </c>
      <c r="J25" s="66">
        <v>127587</v>
      </c>
      <c r="K25" s="66" t="s">
        <v>54</v>
      </c>
      <c r="L25" s="16" t="str">
        <f>VLOOKUP(C25,'Trips&amp;Operators'!$C$2:$E$10000,3,FALSE)</f>
        <v>MAELZER</v>
      </c>
      <c r="M25" s="15" t="s">
        <v>131</v>
      </c>
      <c r="N25" s="16"/>
      <c r="P25" s="54" t="str">
        <f>VLOOKUP(C25,'Train Runs'!$A$13:$V$166,22,0)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5" s="14" t="str">
        <f t="shared" si="0"/>
        <v>4041</v>
      </c>
    </row>
    <row r="26" spans="1:17" s="2" customFormat="1" x14ac:dyDescent="0.25">
      <c r="A26" s="78">
        <v>42549.757557870369</v>
      </c>
      <c r="B26" s="66" t="s">
        <v>86</v>
      </c>
      <c r="C26" s="66" t="s">
        <v>438</v>
      </c>
      <c r="D26" s="66" t="s">
        <v>50</v>
      </c>
      <c r="E26" s="66" t="s">
        <v>56</v>
      </c>
      <c r="F26" s="66">
        <v>0</v>
      </c>
      <c r="G26" s="66">
        <v>98</v>
      </c>
      <c r="H26" s="66">
        <v>128328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STRICKLAND</v>
      </c>
      <c r="M26" s="15" t="s">
        <v>131</v>
      </c>
      <c r="N26" s="16"/>
      <c r="P26" s="54" t="str">
        <f>VLOOKUP(C26,'Train Runs'!$A$13:$V$166,22,0)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6" s="14" t="str">
        <f t="shared" si="0"/>
        <v>4031</v>
      </c>
    </row>
    <row r="27" spans="1:17" s="2" customFormat="1" x14ac:dyDescent="0.25">
      <c r="A27" s="78">
        <v>42549.935497685183</v>
      </c>
      <c r="B27" s="66" t="s">
        <v>81</v>
      </c>
      <c r="C27" s="66" t="s">
        <v>476</v>
      </c>
      <c r="D27" s="66" t="s">
        <v>50</v>
      </c>
      <c r="E27" s="66" t="s">
        <v>56</v>
      </c>
      <c r="F27" s="66">
        <v>0</v>
      </c>
      <c r="G27" s="66">
        <v>145</v>
      </c>
      <c r="H27" s="66">
        <v>231855</v>
      </c>
      <c r="I27" s="66" t="s">
        <v>57</v>
      </c>
      <c r="J27" s="66">
        <v>231147</v>
      </c>
      <c r="K27" s="66" t="s">
        <v>54</v>
      </c>
      <c r="L27" s="16" t="str">
        <f>VLOOKUP(C27,'Trips&amp;Operators'!$C$2:$E$10000,3,FALSE)</f>
        <v>MOSES</v>
      </c>
      <c r="M27" s="66" t="s">
        <v>131</v>
      </c>
      <c r="N27" s="66"/>
      <c r="P27" s="54" t="str">
        <f>VLOOKUP(C27,'Train Runs'!$A$13:$V$166,22,0)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4" t="str">
        <f t="shared" si="0"/>
        <v>4017</v>
      </c>
    </row>
    <row r="28" spans="1:17" s="2" customFormat="1" x14ac:dyDescent="0.25">
      <c r="A28" s="78">
        <v>42549.487696759257</v>
      </c>
      <c r="B28" s="66" t="s">
        <v>174</v>
      </c>
      <c r="C28" s="66" t="s">
        <v>368</v>
      </c>
      <c r="D28" s="66" t="s">
        <v>50</v>
      </c>
      <c r="E28" s="66" t="s">
        <v>129</v>
      </c>
      <c r="F28" s="66">
        <v>0</v>
      </c>
      <c r="G28" s="66">
        <v>147</v>
      </c>
      <c r="H28" s="66">
        <v>231583</v>
      </c>
      <c r="I28" s="66" t="s">
        <v>130</v>
      </c>
      <c r="J28" s="66">
        <v>231147</v>
      </c>
      <c r="K28" s="66" t="s">
        <v>54</v>
      </c>
      <c r="L28" s="16" t="str">
        <f>VLOOKUP(C28,'Trips&amp;Operators'!$C$2:$E$10000,3,FALSE)</f>
        <v>BONDS</v>
      </c>
      <c r="M28" s="15" t="s">
        <v>131</v>
      </c>
      <c r="N28" s="16"/>
      <c r="P28" s="54" t="str">
        <f>VLOOKUP(C28,'Train Runs'!$A$13:$V$166,22,0)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8" s="14" t="str">
        <f t="shared" si="0"/>
        <v>4028</v>
      </c>
    </row>
    <row r="29" spans="1:17" s="2" customFormat="1" x14ac:dyDescent="0.25">
      <c r="A29" s="78">
        <v>42549.286493055559</v>
      </c>
      <c r="B29" s="66" t="s">
        <v>159</v>
      </c>
      <c r="C29" s="66" t="s">
        <v>298</v>
      </c>
      <c r="D29" s="66" t="s">
        <v>50</v>
      </c>
      <c r="E29" s="66" t="s">
        <v>51</v>
      </c>
      <c r="F29" s="66">
        <v>0</v>
      </c>
      <c r="G29" s="66">
        <v>66</v>
      </c>
      <c r="H29" s="66">
        <v>254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KILLION</v>
      </c>
      <c r="M29" s="15" t="s">
        <v>132</v>
      </c>
      <c r="N29" s="16"/>
      <c r="P29" s="54" t="str">
        <f>VLOOKUP(C29,'Train Runs'!$A$13:$V$166,22,0)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9" s="14" t="str">
        <f t="shared" si="0"/>
        <v>4012</v>
      </c>
    </row>
    <row r="30" spans="1:17" s="2" customFormat="1" x14ac:dyDescent="0.25">
      <c r="A30" s="78">
        <v>42549.305150462962</v>
      </c>
      <c r="B30" s="66" t="s">
        <v>613</v>
      </c>
      <c r="C30" s="66" t="s">
        <v>308</v>
      </c>
      <c r="D30" s="66" t="s">
        <v>50</v>
      </c>
      <c r="E30" s="66" t="s">
        <v>51</v>
      </c>
      <c r="F30" s="66">
        <v>0</v>
      </c>
      <c r="G30" s="66">
        <v>4</v>
      </c>
      <c r="H30" s="66">
        <v>571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STARKS</v>
      </c>
      <c r="M30" s="15" t="s">
        <v>132</v>
      </c>
      <c r="N30" s="16"/>
      <c r="P30" s="54" t="str">
        <f>VLOOKUP(C30,'Train Runs'!$A$13:$V$166,22,0)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0" s="14" t="str">
        <f t="shared" si="0"/>
        <v>4043</v>
      </c>
    </row>
    <row r="31" spans="1:17" s="2" customFormat="1" x14ac:dyDescent="0.25">
      <c r="A31" s="78">
        <v>42549.305567129632</v>
      </c>
      <c r="B31" s="66" t="s">
        <v>613</v>
      </c>
      <c r="C31" s="66" t="s">
        <v>308</v>
      </c>
      <c r="D31" s="66" t="s">
        <v>50</v>
      </c>
      <c r="E31" s="66" t="s">
        <v>51</v>
      </c>
      <c r="F31" s="66">
        <v>0</v>
      </c>
      <c r="G31" s="66">
        <v>6</v>
      </c>
      <c r="H31" s="66">
        <v>522</v>
      </c>
      <c r="I31" s="66" t="s">
        <v>52</v>
      </c>
      <c r="J31" s="66">
        <v>1</v>
      </c>
      <c r="K31" s="66" t="s">
        <v>54</v>
      </c>
      <c r="L31" s="16" t="str">
        <f>VLOOKUP(C31,'Trips&amp;Operators'!$C$2:$E$10000,3,FALSE)</f>
        <v>STARKS</v>
      </c>
      <c r="M31" s="15" t="s">
        <v>132</v>
      </c>
      <c r="N31" s="16"/>
      <c r="P31" s="54" t="str">
        <f>VLOOKUP(C31,'Train Runs'!$A$13:$V$166,22,0)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1" s="14" t="str">
        <f t="shared" si="0"/>
        <v>4043</v>
      </c>
    </row>
    <row r="32" spans="1:17" s="2" customFormat="1" x14ac:dyDescent="0.25">
      <c r="A32" s="78">
        <v>42549.346261574072</v>
      </c>
      <c r="B32" s="66" t="s">
        <v>77</v>
      </c>
      <c r="C32" s="66" t="s">
        <v>322</v>
      </c>
      <c r="D32" s="66" t="s">
        <v>50</v>
      </c>
      <c r="E32" s="66" t="s">
        <v>51</v>
      </c>
      <c r="F32" s="66">
        <v>0</v>
      </c>
      <c r="G32" s="66">
        <v>32</v>
      </c>
      <c r="H32" s="66">
        <v>110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GEBRETEKLE</v>
      </c>
      <c r="M32" s="15" t="s">
        <v>132</v>
      </c>
      <c r="N32" s="16"/>
      <c r="P32" s="54" t="str">
        <f>VLOOKUP(C32,'Train Runs'!$A$13:$V$166,22,0)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4" t="str">
        <f t="shared" si="0"/>
        <v>4019</v>
      </c>
    </row>
    <row r="33" spans="1:17" x14ac:dyDescent="0.25">
      <c r="A33" s="78">
        <v>42549.317430555559</v>
      </c>
      <c r="B33" s="66" t="s">
        <v>158</v>
      </c>
      <c r="C33" s="66" t="s">
        <v>323</v>
      </c>
      <c r="D33" s="66" t="s">
        <v>50</v>
      </c>
      <c r="E33" s="66" t="s">
        <v>51</v>
      </c>
      <c r="F33" s="66">
        <v>0</v>
      </c>
      <c r="G33" s="66">
        <v>9</v>
      </c>
      <c r="H33" s="66">
        <v>233327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Runs'!$A$13:$V$166,22,0)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42549.337916666664</v>
      </c>
      <c r="B34" s="66" t="s">
        <v>281</v>
      </c>
      <c r="C34" s="66" t="s">
        <v>328</v>
      </c>
      <c r="D34" s="66" t="s">
        <v>50</v>
      </c>
      <c r="E34" s="66" t="s">
        <v>51</v>
      </c>
      <c r="F34" s="66">
        <v>0</v>
      </c>
      <c r="G34" s="66">
        <v>9</v>
      </c>
      <c r="H34" s="66">
        <v>233325</v>
      </c>
      <c r="I34" s="66" t="s">
        <v>52</v>
      </c>
      <c r="J34" s="66">
        <v>233491</v>
      </c>
      <c r="K34" s="66" t="s">
        <v>53</v>
      </c>
      <c r="L34" s="16" t="str">
        <f>VLOOKUP(C34,'Trips&amp;Operators'!$C$2:$E$10000,3,FALSE)</f>
        <v>STARKS</v>
      </c>
      <c r="M34" s="15" t="s">
        <v>132</v>
      </c>
      <c r="N34" s="16"/>
      <c r="O34" s="2"/>
      <c r="P34" s="54" t="str">
        <f>VLOOKUP(C34,'Train Runs'!$A$13:$V$166,22,0)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4" t="str">
        <f t="shared" si="0"/>
        <v>4044</v>
      </c>
    </row>
    <row r="35" spans="1:17" x14ac:dyDescent="0.25">
      <c r="A35" s="78">
        <v>42549.391631944447</v>
      </c>
      <c r="B35" s="66" t="s">
        <v>158</v>
      </c>
      <c r="C35" s="66" t="s">
        <v>344</v>
      </c>
      <c r="D35" s="66" t="s">
        <v>50</v>
      </c>
      <c r="E35" s="66" t="s">
        <v>51</v>
      </c>
      <c r="F35" s="66">
        <v>0</v>
      </c>
      <c r="G35" s="66">
        <v>8</v>
      </c>
      <c r="H35" s="66">
        <v>233322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KILLION</v>
      </c>
      <c r="M35" s="15" t="s">
        <v>132</v>
      </c>
      <c r="N35" s="16"/>
      <c r="O35" s="2"/>
      <c r="P35" s="54" t="str">
        <f>VLOOKUP(C35,'Train Runs'!$A$13:$V$166,22,0)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5" s="14" t="str">
        <f t="shared" si="0"/>
        <v>4011</v>
      </c>
    </row>
    <row r="36" spans="1:17" x14ac:dyDescent="0.25">
      <c r="A36" s="78">
        <v>42549.482268518521</v>
      </c>
      <c r="B36" s="66" t="s">
        <v>81</v>
      </c>
      <c r="C36" s="66" t="s">
        <v>358</v>
      </c>
      <c r="D36" s="66" t="s">
        <v>50</v>
      </c>
      <c r="E36" s="66" t="s">
        <v>51</v>
      </c>
      <c r="F36" s="66">
        <v>0</v>
      </c>
      <c r="G36" s="66">
        <v>8</v>
      </c>
      <c r="H36" s="66">
        <v>125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CUSHING</v>
      </c>
      <c r="M36" s="15" t="s">
        <v>132</v>
      </c>
      <c r="N36" s="16"/>
      <c r="O36" s="2"/>
      <c r="P36" s="54" t="str">
        <f>VLOOKUP(C36,'Train Runs'!$A$13:$V$166,22,0)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 t="shared" si="0"/>
        <v>4017</v>
      </c>
    </row>
    <row r="37" spans="1:17" x14ac:dyDescent="0.25">
      <c r="A37" s="78">
        <v>42549.494675925926</v>
      </c>
      <c r="B37" s="66" t="s">
        <v>173</v>
      </c>
      <c r="C37" s="66" t="s">
        <v>372</v>
      </c>
      <c r="D37" s="66" t="s">
        <v>50</v>
      </c>
      <c r="E37" s="66" t="s">
        <v>51</v>
      </c>
      <c r="F37" s="66">
        <v>0</v>
      </c>
      <c r="G37" s="66">
        <v>7</v>
      </c>
      <c r="H37" s="66">
        <v>233393</v>
      </c>
      <c r="I37" s="66" t="s">
        <v>52</v>
      </c>
      <c r="J37" s="66">
        <v>233491</v>
      </c>
      <c r="K37" s="66" t="s">
        <v>53</v>
      </c>
      <c r="L37" s="16" t="str">
        <f>VLOOKUP(C37,'Trips&amp;Operators'!$C$2:$E$10000,3,FALSE)</f>
        <v>SHOOK</v>
      </c>
      <c r="M37" s="15" t="s">
        <v>132</v>
      </c>
      <c r="N37" s="16"/>
      <c r="O37" s="2"/>
      <c r="P37" s="54" t="str">
        <f>VLOOKUP(C37,'Train Runs'!$A$13:$V$166,22,0)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7" s="14" t="str">
        <f t="shared" si="0"/>
        <v>4025</v>
      </c>
    </row>
    <row r="38" spans="1:17" x14ac:dyDescent="0.25">
      <c r="A38" s="78">
        <v>42549.558761574073</v>
      </c>
      <c r="B38" s="66" t="s">
        <v>81</v>
      </c>
      <c r="C38" s="66" t="s">
        <v>382</v>
      </c>
      <c r="D38" s="66" t="s">
        <v>50</v>
      </c>
      <c r="E38" s="66" t="s">
        <v>51</v>
      </c>
      <c r="F38" s="66">
        <v>0</v>
      </c>
      <c r="G38" s="66">
        <v>4</v>
      </c>
      <c r="H38" s="66">
        <v>1162</v>
      </c>
      <c r="I38" s="66" t="s">
        <v>52</v>
      </c>
      <c r="J38" s="66">
        <v>839</v>
      </c>
      <c r="K38" s="66" t="s">
        <v>54</v>
      </c>
      <c r="L38" s="16" t="str">
        <f>VLOOKUP(C38,'Trips&amp;Operators'!$C$2:$E$10000,3,FALSE)</f>
        <v>DAVIS</v>
      </c>
      <c r="M38" s="15" t="s">
        <v>132</v>
      </c>
      <c r="N38" s="16"/>
      <c r="O38" s="2"/>
      <c r="P38" s="54" t="str">
        <f>VLOOKUP(C38,'Train Runs'!$A$13:$V$166,22,0)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8" s="14" t="str">
        <f t="shared" si="0"/>
        <v>4017</v>
      </c>
    </row>
    <row r="39" spans="1:17" x14ac:dyDescent="0.25">
      <c r="A39" s="18">
        <v>42549.566099537034</v>
      </c>
      <c r="B39" s="17" t="s">
        <v>77</v>
      </c>
      <c r="C39" s="17" t="s">
        <v>386</v>
      </c>
      <c r="D39" s="17" t="s">
        <v>50</v>
      </c>
      <c r="E39" s="17" t="s">
        <v>51</v>
      </c>
      <c r="F39" s="17">
        <v>0</v>
      </c>
      <c r="G39" s="17">
        <v>9</v>
      </c>
      <c r="H39" s="17">
        <v>123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STAMBAUGH</v>
      </c>
      <c r="M39" s="15" t="s">
        <v>132</v>
      </c>
      <c r="N39" s="16"/>
      <c r="O39" s="2"/>
      <c r="P39" s="54" t="str">
        <f>VLOOKUP(C39,'Train Runs'!$A$13:$V$166,22,0)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9" s="14" t="str">
        <f t="shared" ref="Q39:Q70" si="1">MID(B39,13,4)</f>
        <v>4019</v>
      </c>
    </row>
    <row r="40" spans="1:17" x14ac:dyDescent="0.25">
      <c r="A40" s="18">
        <v>42549.56763888889</v>
      </c>
      <c r="B40" s="17" t="s">
        <v>173</v>
      </c>
      <c r="C40" s="17" t="s">
        <v>396</v>
      </c>
      <c r="D40" s="17" t="s">
        <v>50</v>
      </c>
      <c r="E40" s="17" t="s">
        <v>51</v>
      </c>
      <c r="F40" s="17">
        <v>0</v>
      </c>
      <c r="G40" s="17">
        <v>30</v>
      </c>
      <c r="H40" s="17">
        <v>233385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SHOOK</v>
      </c>
      <c r="M40" s="15" t="s">
        <v>132</v>
      </c>
      <c r="N40" s="16"/>
      <c r="O40" s="2"/>
      <c r="P40" s="54" t="str">
        <f>VLOOKUP(C40,'Train Runs'!$A$13:$V$166,22,0)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0" s="14" t="str">
        <f t="shared" si="1"/>
        <v>4025</v>
      </c>
    </row>
    <row r="41" spans="1:17" x14ac:dyDescent="0.25">
      <c r="A41" s="78">
        <v>42549.590474537035</v>
      </c>
      <c r="B41" s="66" t="s">
        <v>158</v>
      </c>
      <c r="C41" s="66" t="s">
        <v>401</v>
      </c>
      <c r="D41" s="66" t="s">
        <v>50</v>
      </c>
      <c r="E41" s="66" t="s">
        <v>51</v>
      </c>
      <c r="F41" s="66">
        <v>0</v>
      </c>
      <c r="G41" s="66">
        <v>9</v>
      </c>
      <c r="H41" s="66">
        <v>233340</v>
      </c>
      <c r="I41" s="66" t="s">
        <v>52</v>
      </c>
      <c r="J41" s="66">
        <v>233491</v>
      </c>
      <c r="K41" s="66" t="s">
        <v>53</v>
      </c>
      <c r="L41" s="16" t="str">
        <f>VLOOKUP(C41,'Trips&amp;Operators'!$C$2:$E$10000,3,FALSE)</f>
        <v>DAVIS</v>
      </c>
      <c r="M41" s="15" t="s">
        <v>132</v>
      </c>
      <c r="N41" s="16"/>
      <c r="O41" s="2"/>
      <c r="P41" s="54" t="str">
        <f>VLOOKUP(C41,'Train Runs'!$A$13:$V$166,22,0)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4" t="str">
        <f t="shared" si="1"/>
        <v>4011</v>
      </c>
    </row>
    <row r="42" spans="1:17" x14ac:dyDescent="0.25">
      <c r="A42" s="18">
        <v>42549.616377314815</v>
      </c>
      <c r="B42" s="17" t="s">
        <v>156</v>
      </c>
      <c r="C42" s="17" t="s">
        <v>406</v>
      </c>
      <c r="D42" s="17" t="s">
        <v>50</v>
      </c>
      <c r="E42" s="17" t="s">
        <v>51</v>
      </c>
      <c r="F42" s="17">
        <v>0</v>
      </c>
      <c r="G42" s="17">
        <v>4</v>
      </c>
      <c r="H42" s="17">
        <v>233346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YOUNG</v>
      </c>
      <c r="M42" s="15" t="s">
        <v>132</v>
      </c>
      <c r="N42" s="16"/>
      <c r="O42" s="2"/>
      <c r="P42" s="54" t="str">
        <f>VLOOKUP(C42,'Train Runs'!$A$13:$V$166,22,0)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2" s="14" t="str">
        <f t="shared" si="1"/>
        <v>4024</v>
      </c>
    </row>
    <row r="43" spans="1:17" x14ac:dyDescent="0.25">
      <c r="A43" s="18">
        <v>42549.684398148151</v>
      </c>
      <c r="B43" s="17" t="s">
        <v>170</v>
      </c>
      <c r="C43" s="17" t="s">
        <v>414</v>
      </c>
      <c r="D43" s="17" t="s">
        <v>50</v>
      </c>
      <c r="E43" s="17" t="s">
        <v>51</v>
      </c>
      <c r="F43" s="17">
        <v>0</v>
      </c>
      <c r="G43" s="17">
        <v>8</v>
      </c>
      <c r="H43" s="17">
        <v>121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SHOOK</v>
      </c>
      <c r="M43" s="15" t="s">
        <v>132</v>
      </c>
      <c r="N43" s="16"/>
      <c r="O43" s="2"/>
      <c r="P43" s="54" t="str">
        <f>VLOOKUP(C43,'Train Runs'!$A$13:$V$166,22,0)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 t="shared" si="1"/>
        <v>4026</v>
      </c>
    </row>
    <row r="44" spans="1:17" x14ac:dyDescent="0.25">
      <c r="A44" s="18">
        <v>42549.71802083333</v>
      </c>
      <c r="B44" s="17" t="s">
        <v>77</v>
      </c>
      <c r="C44" s="17" t="s">
        <v>421</v>
      </c>
      <c r="D44" s="17" t="s">
        <v>50</v>
      </c>
      <c r="E44" s="17" t="s">
        <v>51</v>
      </c>
      <c r="F44" s="17">
        <v>0</v>
      </c>
      <c r="G44" s="17">
        <v>36</v>
      </c>
      <c r="H44" s="17">
        <v>127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STAMBAUGH</v>
      </c>
      <c r="M44" s="15" t="s">
        <v>132</v>
      </c>
      <c r="N44" s="16"/>
      <c r="O44" s="2"/>
      <c r="P44" s="54" t="str">
        <f>VLOOKUP(C44,'Train Runs'!$A$13:$V$166,22,0)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4" s="14" t="str">
        <f t="shared" si="1"/>
        <v>4019</v>
      </c>
    </row>
    <row r="45" spans="1:17" x14ac:dyDescent="0.25">
      <c r="A45" s="18">
        <v>42549.689247685186</v>
      </c>
      <c r="B45" s="17" t="s">
        <v>156</v>
      </c>
      <c r="C45" s="17" t="s">
        <v>422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233336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Runs'!$A$13:$V$166,22,0)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 t="shared" si="1"/>
        <v>4024</v>
      </c>
    </row>
    <row r="46" spans="1:17" x14ac:dyDescent="0.25">
      <c r="A46" s="78">
        <v>42549.746365740742</v>
      </c>
      <c r="B46" s="66" t="s">
        <v>613</v>
      </c>
      <c r="C46" s="66" t="s">
        <v>431</v>
      </c>
      <c r="D46" s="66" t="s">
        <v>50</v>
      </c>
      <c r="E46" s="66" t="s">
        <v>51</v>
      </c>
      <c r="F46" s="66">
        <v>0</v>
      </c>
      <c r="G46" s="66">
        <v>61</v>
      </c>
      <c r="H46" s="66">
        <v>201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REBOLETTI</v>
      </c>
      <c r="M46" s="15" t="s">
        <v>132</v>
      </c>
      <c r="N46" s="16"/>
      <c r="O46" s="2"/>
      <c r="P46" s="54" t="str">
        <f>VLOOKUP(C46,'Train Runs'!$A$13:$V$166,22,0)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6" s="14" t="str">
        <f t="shared" si="1"/>
        <v>4043</v>
      </c>
    </row>
    <row r="47" spans="1:17" x14ac:dyDescent="0.25">
      <c r="A47" s="78">
        <v>42549.762592592589</v>
      </c>
      <c r="B47" s="66" t="s">
        <v>156</v>
      </c>
      <c r="C47" s="66" t="s">
        <v>443</v>
      </c>
      <c r="D47" s="66" t="s">
        <v>50</v>
      </c>
      <c r="E47" s="66" t="s">
        <v>51</v>
      </c>
      <c r="F47" s="66">
        <v>0</v>
      </c>
      <c r="G47" s="66">
        <v>7</v>
      </c>
      <c r="H47" s="66">
        <v>233337</v>
      </c>
      <c r="I47" s="66" t="s">
        <v>52</v>
      </c>
      <c r="J47" s="66">
        <v>233491</v>
      </c>
      <c r="K47" s="66" t="s">
        <v>53</v>
      </c>
      <c r="L47" s="16" t="str">
        <f>VLOOKUP(C47,'Trips&amp;Operators'!$C$2:$E$10000,3,FALSE)</f>
        <v>YOUNG</v>
      </c>
      <c r="M47" s="15" t="s">
        <v>132</v>
      </c>
      <c r="N47" s="16"/>
      <c r="O47" s="2"/>
      <c r="P47" s="54" t="str">
        <f>VLOOKUP(C47,'Train Runs'!$A$13:$V$166,22,0)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4" t="str">
        <f t="shared" si="1"/>
        <v>4024</v>
      </c>
    </row>
    <row r="48" spans="1:17" x14ac:dyDescent="0.25">
      <c r="A48" s="78">
        <v>42549.94091435185</v>
      </c>
      <c r="B48" s="66" t="s">
        <v>77</v>
      </c>
      <c r="C48" s="66" t="s">
        <v>474</v>
      </c>
      <c r="D48" s="66" t="s">
        <v>50</v>
      </c>
      <c r="E48" s="66" t="s">
        <v>51</v>
      </c>
      <c r="F48" s="66">
        <v>0</v>
      </c>
      <c r="G48" s="66">
        <v>6</v>
      </c>
      <c r="H48" s="66">
        <v>121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LEVERE</v>
      </c>
      <c r="M48" s="15" t="s">
        <v>132</v>
      </c>
      <c r="N48" s="66"/>
      <c r="O48" s="2"/>
      <c r="P48" s="54" t="str">
        <f>VLOOKUP(C48,'Train Runs'!$A$13:$V$166,22,0)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8" s="14" t="str">
        <f t="shared" si="1"/>
        <v>4019</v>
      </c>
    </row>
    <row r="49" spans="1:17" x14ac:dyDescent="0.25">
      <c r="A49" s="78">
        <v>42549.270567129628</v>
      </c>
      <c r="B49" s="66" t="s">
        <v>199</v>
      </c>
      <c r="C49" s="66" t="s">
        <v>492</v>
      </c>
      <c r="D49" s="66" t="s">
        <v>50</v>
      </c>
      <c r="E49" s="66" t="s">
        <v>58</v>
      </c>
      <c r="F49" s="66">
        <v>300</v>
      </c>
      <c r="G49" s="66">
        <v>316</v>
      </c>
      <c r="H49" s="66">
        <v>19994</v>
      </c>
      <c r="I49" s="66" t="s">
        <v>59</v>
      </c>
      <c r="J49" s="66">
        <v>21314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str">
        <f>VLOOKUP(C49,'Train Runs'!$A$13:$V$166,22,0)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9" s="14" t="str">
        <f t="shared" si="1"/>
        <v>4029</v>
      </c>
    </row>
    <row r="50" spans="1:17" x14ac:dyDescent="0.25">
      <c r="A50" s="78">
        <v>42549.351400462961</v>
      </c>
      <c r="B50" s="66" t="s">
        <v>199</v>
      </c>
      <c r="C50" s="66" t="s">
        <v>515</v>
      </c>
      <c r="D50" s="66" t="s">
        <v>50</v>
      </c>
      <c r="E50" s="66" t="s">
        <v>58</v>
      </c>
      <c r="F50" s="66">
        <v>300</v>
      </c>
      <c r="G50" s="66">
        <v>350</v>
      </c>
      <c r="H50" s="66">
        <v>19541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ACKERMAN</v>
      </c>
      <c r="M50" s="66" t="s">
        <v>132</v>
      </c>
      <c r="N50" s="16"/>
      <c r="O50" s="2"/>
      <c r="P50" s="54" t="e">
        <f>VLOOKUP(C50,'Train Runs'!$A$13:$V$166,22,0)</f>
        <v>#N/A</v>
      </c>
      <c r="Q50" s="14" t="str">
        <f t="shared" si="1"/>
        <v>4029</v>
      </c>
    </row>
    <row r="51" spans="1:17" x14ac:dyDescent="0.25">
      <c r="A51" s="78">
        <v>42549.562245370369</v>
      </c>
      <c r="B51" s="66" t="s">
        <v>199</v>
      </c>
      <c r="C51" s="66" t="s">
        <v>540</v>
      </c>
      <c r="D51" s="66" t="s">
        <v>50</v>
      </c>
      <c r="E51" s="66" t="s">
        <v>58</v>
      </c>
      <c r="F51" s="66">
        <v>400</v>
      </c>
      <c r="G51" s="66">
        <v>474</v>
      </c>
      <c r="H51" s="66">
        <v>46324</v>
      </c>
      <c r="I51" s="66" t="s">
        <v>59</v>
      </c>
      <c r="J51" s="66">
        <v>47808</v>
      </c>
      <c r="K51" s="66" t="s">
        <v>53</v>
      </c>
      <c r="L51" s="16" t="str">
        <f>VLOOKUP(C51,'Trips&amp;Operators'!$C$2:$E$10000,3,FALSE)</f>
        <v>YORK</v>
      </c>
      <c r="M51" s="66" t="s">
        <v>132</v>
      </c>
      <c r="N51" s="16"/>
      <c r="O51" s="2"/>
      <c r="P51" s="54" t="e">
        <f>VLOOKUP(C51,'Train Runs'!$A$13:$V$166,22,0)</f>
        <v>#N/A</v>
      </c>
      <c r="Q51" s="14" t="str">
        <f t="shared" si="1"/>
        <v>4029</v>
      </c>
    </row>
    <row r="52" spans="1:17" x14ac:dyDescent="0.25">
      <c r="A52" s="78">
        <v>42549.601435185185</v>
      </c>
      <c r="B52" s="66" t="s">
        <v>199</v>
      </c>
      <c r="C52" s="66" t="s">
        <v>546</v>
      </c>
      <c r="D52" s="66" t="s">
        <v>50</v>
      </c>
      <c r="E52" s="66" t="s">
        <v>58</v>
      </c>
      <c r="F52" s="66">
        <v>300</v>
      </c>
      <c r="G52" s="66">
        <v>291</v>
      </c>
      <c r="H52" s="66">
        <v>20354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LYNN</v>
      </c>
      <c r="M52" s="66" t="s">
        <v>132</v>
      </c>
      <c r="N52" s="16"/>
      <c r="O52" s="2"/>
      <c r="P52" s="54" t="e">
        <f>VLOOKUP(C52,'Train Runs'!$A$13:$V$166,22,0)</f>
        <v>#N/A</v>
      </c>
      <c r="Q52" s="14" t="str">
        <f t="shared" si="1"/>
        <v>4029</v>
      </c>
    </row>
    <row r="53" spans="1:17" x14ac:dyDescent="0.25">
      <c r="A53" s="78">
        <v>42549.676157407404</v>
      </c>
      <c r="B53" s="66" t="s">
        <v>226</v>
      </c>
      <c r="C53" s="66" t="s">
        <v>561</v>
      </c>
      <c r="D53" s="66" t="s">
        <v>55</v>
      </c>
      <c r="E53" s="66" t="s">
        <v>58</v>
      </c>
      <c r="F53" s="66">
        <v>150</v>
      </c>
      <c r="G53" s="66">
        <v>201</v>
      </c>
      <c r="H53" s="66">
        <v>56690</v>
      </c>
      <c r="I53" s="66" t="s">
        <v>59</v>
      </c>
      <c r="J53" s="66">
        <v>59050</v>
      </c>
      <c r="K53" s="66" t="s">
        <v>54</v>
      </c>
      <c r="L53" s="16" t="str">
        <f>VLOOKUP(C53,'Trips&amp;Operators'!$C$2:$E$10000,3,FALSE)</f>
        <v>DE LA ROSA</v>
      </c>
      <c r="M53" s="66" t="s">
        <v>132</v>
      </c>
      <c r="N53" s="16"/>
      <c r="O53" s="2"/>
      <c r="P53" s="54" t="e">
        <f>VLOOKUP(C53,'Train Runs'!$A$13:$V$166,22,0)</f>
        <v>#N/A</v>
      </c>
      <c r="Q53" s="14" t="str">
        <f t="shared" si="1"/>
        <v>4039</v>
      </c>
    </row>
    <row r="54" spans="1:17" x14ac:dyDescent="0.25">
      <c r="A54" s="78">
        <v>42549.705833333333</v>
      </c>
      <c r="B54" s="66" t="s">
        <v>223</v>
      </c>
      <c r="C54" s="66" t="s">
        <v>570</v>
      </c>
      <c r="D54" s="66" t="s">
        <v>50</v>
      </c>
      <c r="E54" s="66" t="s">
        <v>58</v>
      </c>
      <c r="F54" s="66">
        <v>300</v>
      </c>
      <c r="G54" s="66">
        <v>332</v>
      </c>
      <c r="H54" s="66">
        <v>19957</v>
      </c>
      <c r="I54" s="66" t="s">
        <v>59</v>
      </c>
      <c r="J54" s="66">
        <v>21314</v>
      </c>
      <c r="K54" s="66" t="s">
        <v>53</v>
      </c>
      <c r="L54" s="16" t="str">
        <f>VLOOKUP(C54,'Trips&amp;Operators'!$C$2:$E$10000,3,FALSE)</f>
        <v>ALONZO</v>
      </c>
      <c r="M54" s="66" t="s">
        <v>132</v>
      </c>
      <c r="N54" s="16"/>
      <c r="O54" s="2"/>
      <c r="P54" s="54" t="e">
        <f>VLOOKUP(C54,'Train Runs'!$A$13:$V$166,22,0)</f>
        <v>#N/A</v>
      </c>
      <c r="Q54" s="14" t="str">
        <f t="shared" si="1"/>
        <v>4040</v>
      </c>
    </row>
    <row r="55" spans="1:17" x14ac:dyDescent="0.25">
      <c r="A55" s="78">
        <v>42549.723009259258</v>
      </c>
      <c r="B55" s="66" t="s">
        <v>226</v>
      </c>
      <c r="C55" s="66" t="s">
        <v>572</v>
      </c>
      <c r="D55" s="66" t="s">
        <v>50</v>
      </c>
      <c r="E55" s="66" t="s">
        <v>58</v>
      </c>
      <c r="F55" s="66">
        <v>200</v>
      </c>
      <c r="G55" s="66">
        <v>288</v>
      </c>
      <c r="H55" s="66">
        <v>7335</v>
      </c>
      <c r="I55" s="66" t="s">
        <v>59</v>
      </c>
      <c r="J55" s="66">
        <v>5990</v>
      </c>
      <c r="K55" s="66" t="s">
        <v>54</v>
      </c>
      <c r="L55" s="16" t="str">
        <f>VLOOKUP(C55,'Trips&amp;Operators'!$C$2:$E$10000,3,FALSE)</f>
        <v>ALONZO</v>
      </c>
      <c r="M55" s="66" t="s">
        <v>132</v>
      </c>
      <c r="N55" s="16"/>
      <c r="O55" s="2"/>
      <c r="P55" s="54" t="e">
        <f>VLOOKUP(C55,'Train Runs'!$A$13:$V$166,22,0)</f>
        <v>#N/A</v>
      </c>
      <c r="Q55" s="14" t="str">
        <f t="shared" si="1"/>
        <v>4039</v>
      </c>
    </row>
    <row r="56" spans="1:17" x14ac:dyDescent="0.25">
      <c r="A56" s="78">
        <v>42549.809803240743</v>
      </c>
      <c r="B56" s="66" t="s">
        <v>199</v>
      </c>
      <c r="C56" s="66" t="s">
        <v>594</v>
      </c>
      <c r="D56" s="66" t="s">
        <v>50</v>
      </c>
      <c r="E56" s="66" t="s">
        <v>58</v>
      </c>
      <c r="F56" s="66">
        <v>300</v>
      </c>
      <c r="G56" s="66">
        <v>321</v>
      </c>
      <c r="H56" s="66">
        <v>20032</v>
      </c>
      <c r="I56" s="66" t="s">
        <v>59</v>
      </c>
      <c r="J56" s="66">
        <v>21299</v>
      </c>
      <c r="K56" s="66" t="s">
        <v>53</v>
      </c>
      <c r="L56" s="16" t="str">
        <f>VLOOKUP(C56,'Trips&amp;Operators'!$C$2:$E$10000,3,FALSE)</f>
        <v>LYNN</v>
      </c>
      <c r="M56" s="66" t="s">
        <v>132</v>
      </c>
      <c r="N56" s="66"/>
      <c r="O56" s="42"/>
      <c r="P56" s="54" t="e">
        <f>VLOOKUP(C56,'Train Runs'!$A$13:$V$166,22,0)</f>
        <v>#N/A</v>
      </c>
      <c r="Q56" s="14" t="str">
        <f t="shared" si="1"/>
        <v>4029</v>
      </c>
    </row>
    <row r="57" spans="1:17" x14ac:dyDescent="0.25">
      <c r="A57" s="78">
        <v>42549.937106481484</v>
      </c>
      <c r="B57" s="66" t="s">
        <v>199</v>
      </c>
      <c r="C57" s="66" t="s">
        <v>606</v>
      </c>
      <c r="D57" s="66" t="s">
        <v>50</v>
      </c>
      <c r="E57" s="66" t="s">
        <v>58</v>
      </c>
      <c r="F57" s="66">
        <v>300</v>
      </c>
      <c r="G57" s="66">
        <v>381</v>
      </c>
      <c r="H57" s="66">
        <v>27989</v>
      </c>
      <c r="I57" s="66" t="s">
        <v>59</v>
      </c>
      <c r="J57" s="66">
        <v>29784</v>
      </c>
      <c r="K57" s="66" t="s">
        <v>53</v>
      </c>
      <c r="L57" s="16" t="str">
        <f>VLOOKUP(C57,'Trips&amp;Operators'!$C$2:$E$10000,3,FALSE)</f>
        <v>LYNN</v>
      </c>
      <c r="M57" s="66" t="s">
        <v>132</v>
      </c>
      <c r="N57" s="66"/>
      <c r="O57" s="42"/>
      <c r="P57" s="54" t="e">
        <f>VLOOKUP(C57,'Train Runs'!$A$13:$V$166,22,0)</f>
        <v>#N/A</v>
      </c>
      <c r="Q57" s="14" t="str">
        <f t="shared" si="1"/>
        <v>4029</v>
      </c>
    </row>
    <row r="58" spans="1:17" x14ac:dyDescent="0.25">
      <c r="A58" s="78">
        <v>42549.735486111109</v>
      </c>
      <c r="B58" s="66" t="s">
        <v>207</v>
      </c>
      <c r="C58" s="66" t="s">
        <v>575</v>
      </c>
      <c r="D58" s="66" t="s">
        <v>55</v>
      </c>
      <c r="E58" s="66" t="s">
        <v>56</v>
      </c>
      <c r="F58" s="66">
        <v>0</v>
      </c>
      <c r="G58" s="66">
        <v>48</v>
      </c>
      <c r="H58" s="66">
        <v>58381</v>
      </c>
      <c r="I58" s="66" t="s">
        <v>57</v>
      </c>
      <c r="J58" s="66">
        <v>58472</v>
      </c>
      <c r="K58" s="66" t="s">
        <v>54</v>
      </c>
      <c r="L58" s="16" t="str">
        <f>VLOOKUP(C58,'Trips&amp;Operators'!$C$2:$E$10000,3,FALSE)</f>
        <v>STORY</v>
      </c>
      <c r="M58" s="15" t="s">
        <v>131</v>
      </c>
      <c r="N58" s="15"/>
      <c r="O58" s="42"/>
      <c r="P58" s="54" t="e">
        <f>VLOOKUP(C58,'Train Runs'!$A$13:$V$166,22,0)</f>
        <v>#N/A</v>
      </c>
      <c r="Q58" s="14" t="str">
        <f t="shared" si="1"/>
        <v>4030</v>
      </c>
    </row>
    <row r="59" spans="1:17" x14ac:dyDescent="0.25">
      <c r="A59" s="78">
        <v>42549.736226851855</v>
      </c>
      <c r="B59" s="66" t="s">
        <v>207</v>
      </c>
      <c r="C59" s="66" t="s">
        <v>575</v>
      </c>
      <c r="D59" s="66" t="s">
        <v>55</v>
      </c>
      <c r="E59" s="66" t="s">
        <v>56</v>
      </c>
      <c r="F59" s="66">
        <v>0</v>
      </c>
      <c r="G59" s="66">
        <v>8</v>
      </c>
      <c r="H59" s="66">
        <v>58320</v>
      </c>
      <c r="I59" s="66" t="s">
        <v>57</v>
      </c>
      <c r="J59" s="66">
        <v>58472</v>
      </c>
      <c r="K59" s="66" t="s">
        <v>54</v>
      </c>
      <c r="L59" s="16" t="str">
        <f>VLOOKUP(C59,'Trips&amp;Operators'!$C$2:$E$10000,3,FALSE)</f>
        <v>STORY</v>
      </c>
      <c r="M59" s="15" t="s">
        <v>131</v>
      </c>
      <c r="N59" s="15"/>
      <c r="O59" s="42"/>
      <c r="P59" s="54" t="e">
        <f>VLOOKUP(C59,'Train Runs'!$A$13:$V$166,22,0)</f>
        <v>#N/A</v>
      </c>
      <c r="Q59" s="14" t="str">
        <f t="shared" si="1"/>
        <v>4030</v>
      </c>
    </row>
    <row r="60" spans="1:17" x14ac:dyDescent="0.25">
      <c r="A60" s="78">
        <v>42549.309201388889</v>
      </c>
      <c r="B60" s="66" t="s">
        <v>226</v>
      </c>
      <c r="C60" s="66" t="s">
        <v>501</v>
      </c>
      <c r="D60" s="66" t="s">
        <v>50</v>
      </c>
      <c r="E60" s="66" t="s">
        <v>51</v>
      </c>
      <c r="F60" s="66">
        <v>0</v>
      </c>
      <c r="G60" s="66">
        <v>45</v>
      </c>
      <c r="H60" s="66">
        <v>958</v>
      </c>
      <c r="I60" s="66" t="s">
        <v>52</v>
      </c>
      <c r="J60" s="66">
        <v>826</v>
      </c>
      <c r="K60" s="66" t="s">
        <v>54</v>
      </c>
      <c r="L60" s="16" t="str">
        <f>VLOOKUP(C60,'Trips&amp;Operators'!$C$2:$E$10000,3,FALSE)</f>
        <v>HELVIE</v>
      </c>
      <c r="M60" s="15" t="s">
        <v>132</v>
      </c>
      <c r="N60" s="16"/>
      <c r="O60" s="2"/>
      <c r="P60" s="54" t="str">
        <f>VLOOKUP(C60,'Train Runs'!$A$13:$V$166,22,0)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0" s="14" t="str">
        <f t="shared" si="1"/>
        <v>4039</v>
      </c>
    </row>
    <row r="61" spans="1:17" x14ac:dyDescent="0.25">
      <c r="A61" s="78">
        <v>42549.351284722223</v>
      </c>
      <c r="B61" s="66" t="s">
        <v>226</v>
      </c>
      <c r="C61" s="66" t="s">
        <v>512</v>
      </c>
      <c r="D61" s="66" t="s">
        <v>50</v>
      </c>
      <c r="E61" s="66" t="s">
        <v>51</v>
      </c>
      <c r="F61" s="66">
        <v>0</v>
      </c>
      <c r="G61" s="66">
        <v>34</v>
      </c>
      <c r="H61" s="66">
        <v>921</v>
      </c>
      <c r="I61" s="66" t="s">
        <v>52</v>
      </c>
      <c r="J61" s="66">
        <v>826</v>
      </c>
      <c r="K61" s="66" t="s">
        <v>54</v>
      </c>
      <c r="L61" s="16" t="str">
        <f>VLOOKUP(C61,'Trips&amp;Operators'!$C$2:$E$10000,3,FALSE)</f>
        <v>HELVIE</v>
      </c>
      <c r="M61" s="15" t="s">
        <v>132</v>
      </c>
      <c r="N61" s="16"/>
      <c r="O61" s="2"/>
      <c r="P61" s="54" t="e">
        <f>VLOOKUP(C61,'Train Runs'!$A$13:$V$166,22,0)</f>
        <v>#N/A</v>
      </c>
      <c r="Q61" s="14" t="str">
        <f t="shared" si="1"/>
        <v>4039</v>
      </c>
    </row>
    <row r="62" spans="1:17" x14ac:dyDescent="0.25">
      <c r="A62" s="78">
        <v>42549.359212962961</v>
      </c>
      <c r="B62" s="66" t="s">
        <v>199</v>
      </c>
      <c r="C62" s="66" t="s">
        <v>515</v>
      </c>
      <c r="D62" s="66" t="s">
        <v>50</v>
      </c>
      <c r="E62" s="66" t="s">
        <v>51</v>
      </c>
      <c r="F62" s="66">
        <v>0</v>
      </c>
      <c r="G62" s="66">
        <v>75</v>
      </c>
      <c r="H62" s="66">
        <v>58771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ACKERMAN</v>
      </c>
      <c r="M62" s="15" t="s">
        <v>132</v>
      </c>
      <c r="N62" s="16"/>
      <c r="O62" s="2"/>
      <c r="P62" s="54" t="e">
        <f>VLOOKUP(C62,'Train Runs'!$A$13:$V$166,22,0)</f>
        <v>#N/A</v>
      </c>
      <c r="Q62" s="14" t="str">
        <f t="shared" si="1"/>
        <v>4029</v>
      </c>
    </row>
    <row r="63" spans="1:17" x14ac:dyDescent="0.25">
      <c r="A63" s="78">
        <v>42549.359884259262</v>
      </c>
      <c r="B63" s="66" t="s">
        <v>199</v>
      </c>
      <c r="C63" s="66" t="s">
        <v>515</v>
      </c>
      <c r="D63" s="66" t="s">
        <v>50</v>
      </c>
      <c r="E63" s="66" t="s">
        <v>51</v>
      </c>
      <c r="F63" s="66">
        <v>0</v>
      </c>
      <c r="G63" s="66">
        <v>8</v>
      </c>
      <c r="H63" s="66">
        <v>58980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ACKERMAN</v>
      </c>
      <c r="M63" s="15" t="s">
        <v>132</v>
      </c>
      <c r="N63" s="16"/>
      <c r="O63" s="2"/>
      <c r="P63" s="54" t="e">
        <f>VLOOKUP(C63,'Train Runs'!$A$13:$V$166,22,0)</f>
        <v>#N/A</v>
      </c>
      <c r="Q63" s="14" t="str">
        <f t="shared" si="1"/>
        <v>4029</v>
      </c>
    </row>
    <row r="64" spans="1:17" x14ac:dyDescent="0.25">
      <c r="A64" s="78">
        <v>42549.438611111109</v>
      </c>
      <c r="B64" s="66" t="s">
        <v>199</v>
      </c>
      <c r="C64" s="66" t="s">
        <v>524</v>
      </c>
      <c r="D64" s="66" t="s">
        <v>50</v>
      </c>
      <c r="E64" s="66" t="s">
        <v>51</v>
      </c>
      <c r="F64" s="66">
        <v>0</v>
      </c>
      <c r="G64" s="66">
        <v>8</v>
      </c>
      <c r="H64" s="66">
        <v>56625</v>
      </c>
      <c r="I64" s="66" t="s">
        <v>52</v>
      </c>
      <c r="J64" s="66">
        <v>59048</v>
      </c>
      <c r="K64" s="66" t="s">
        <v>53</v>
      </c>
      <c r="L64" s="16" t="str">
        <f>VLOOKUP(C64,'Trips&amp;Operators'!$C$2:$E$10000,3,FALSE)</f>
        <v>YORK</v>
      </c>
      <c r="M64" s="15" t="s">
        <v>132</v>
      </c>
      <c r="N64" s="16"/>
      <c r="O64" s="2"/>
      <c r="P64" s="54" t="e">
        <f>VLOOKUP(C64,'Train Runs'!$A$13:$V$166,22,0)</f>
        <v>#N/A</v>
      </c>
      <c r="Q64" s="14" t="str">
        <f t="shared" si="1"/>
        <v>4029</v>
      </c>
    </row>
    <row r="65" spans="1:17" x14ac:dyDescent="0.25">
      <c r="A65" s="78">
        <v>42549.607916666668</v>
      </c>
      <c r="B65" s="66" t="s">
        <v>199</v>
      </c>
      <c r="C65" s="66" t="s">
        <v>546</v>
      </c>
      <c r="D65" s="66" t="s">
        <v>50</v>
      </c>
      <c r="E65" s="66" t="s">
        <v>51</v>
      </c>
      <c r="F65" s="66">
        <v>0</v>
      </c>
      <c r="G65" s="66">
        <v>3</v>
      </c>
      <c r="H65" s="66">
        <v>58941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Runs'!$A$13:$V$166,22,0)</f>
        <v>#N/A</v>
      </c>
      <c r="Q65" s="14" t="str">
        <f t="shared" si="1"/>
        <v>4029</v>
      </c>
    </row>
    <row r="66" spans="1:17" x14ac:dyDescent="0.25">
      <c r="A66" s="78">
        <v>42549.62363425926</v>
      </c>
      <c r="B66" s="66" t="s">
        <v>207</v>
      </c>
      <c r="C66" s="66" t="s">
        <v>549</v>
      </c>
      <c r="D66" s="66" t="s">
        <v>50</v>
      </c>
      <c r="E66" s="66" t="s">
        <v>51</v>
      </c>
      <c r="F66" s="66">
        <v>0</v>
      </c>
      <c r="G66" s="66">
        <v>8</v>
      </c>
      <c r="H66" s="66">
        <v>610</v>
      </c>
      <c r="I66" s="66" t="s">
        <v>52</v>
      </c>
      <c r="J66" s="66">
        <v>575</v>
      </c>
      <c r="K66" s="66" t="s">
        <v>54</v>
      </c>
      <c r="L66" s="16" t="str">
        <f>VLOOKUP(C66,'Trips&amp;Operators'!$C$2:$E$10000,3,FALSE)</f>
        <v>STORY</v>
      </c>
      <c r="M66" s="15" t="s">
        <v>132</v>
      </c>
      <c r="N66" s="16"/>
      <c r="O66" s="2"/>
      <c r="P66" s="54" t="e">
        <f>VLOOKUP(C66,'Train Runs'!$A$13:$V$166,22,0)</f>
        <v>#N/A</v>
      </c>
      <c r="Q66" s="14" t="str">
        <f t="shared" si="1"/>
        <v>4030</v>
      </c>
    </row>
    <row r="67" spans="1:17" x14ac:dyDescent="0.25">
      <c r="A67" s="78">
        <v>42549.649560185186</v>
      </c>
      <c r="B67" s="66" t="s">
        <v>199</v>
      </c>
      <c r="C67" s="66" t="s">
        <v>552</v>
      </c>
      <c r="D67" s="66" t="s">
        <v>50</v>
      </c>
      <c r="E67" s="66" t="s">
        <v>51</v>
      </c>
      <c r="F67" s="66">
        <v>0</v>
      </c>
      <c r="G67" s="66">
        <v>9</v>
      </c>
      <c r="H67" s="66">
        <v>58935</v>
      </c>
      <c r="I67" s="66" t="s">
        <v>52</v>
      </c>
      <c r="J67" s="66">
        <v>59048</v>
      </c>
      <c r="K67" s="66" t="s">
        <v>53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Runs'!$A$13:$V$166,22,0)</f>
        <v>#N/A</v>
      </c>
      <c r="Q67" s="14" t="str">
        <f t="shared" si="1"/>
        <v>4029</v>
      </c>
    </row>
    <row r="68" spans="1:17" x14ac:dyDescent="0.25">
      <c r="A68" s="78">
        <v>42549.690578703703</v>
      </c>
      <c r="B68" s="66" t="s">
        <v>199</v>
      </c>
      <c r="C68" s="66" t="s">
        <v>564</v>
      </c>
      <c r="D68" s="66" t="s">
        <v>50</v>
      </c>
      <c r="E68" s="66" t="s">
        <v>51</v>
      </c>
      <c r="F68" s="66">
        <v>0</v>
      </c>
      <c r="G68" s="66">
        <v>96</v>
      </c>
      <c r="H68" s="66">
        <v>58640</v>
      </c>
      <c r="I68" s="66" t="s">
        <v>52</v>
      </c>
      <c r="J68" s="66">
        <v>59048</v>
      </c>
      <c r="K68" s="66" t="s">
        <v>53</v>
      </c>
      <c r="L68" s="16" t="str">
        <f>VLOOKUP(C68,'Trips&amp;Operators'!$C$2:$E$10000,3,FALSE)</f>
        <v>LYNN</v>
      </c>
      <c r="M68" s="15" t="s">
        <v>132</v>
      </c>
      <c r="N68" s="16"/>
      <c r="O68" s="2"/>
      <c r="P68" s="54" t="e">
        <f>VLOOKUP(C68,'Train Runs'!$A$13:$V$166,22,0)</f>
        <v>#N/A</v>
      </c>
      <c r="Q68" s="14" t="str">
        <f t="shared" si="1"/>
        <v>4029</v>
      </c>
    </row>
    <row r="69" spans="1:17" x14ac:dyDescent="0.25">
      <c r="A69" s="78">
        <v>42549.705081018517</v>
      </c>
      <c r="B69" s="66" t="s">
        <v>207</v>
      </c>
      <c r="C69" s="66" t="s">
        <v>567</v>
      </c>
      <c r="D69" s="66" t="s">
        <v>50</v>
      </c>
      <c r="E69" s="66" t="s">
        <v>51</v>
      </c>
      <c r="F69" s="66">
        <v>0</v>
      </c>
      <c r="G69" s="66">
        <v>5</v>
      </c>
      <c r="H69" s="66">
        <v>673</v>
      </c>
      <c r="I69" s="66" t="s">
        <v>52</v>
      </c>
      <c r="J69" s="66">
        <v>575</v>
      </c>
      <c r="K69" s="66" t="s">
        <v>54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Runs'!$A$13:$V$166,22,0)</f>
        <v>#N/A</v>
      </c>
      <c r="Q69" s="14" t="str">
        <f t="shared" si="1"/>
        <v>4030</v>
      </c>
    </row>
    <row r="70" spans="1:17" x14ac:dyDescent="0.25">
      <c r="A70" s="78">
        <v>42549.725868055553</v>
      </c>
      <c r="B70" s="66" t="s">
        <v>226</v>
      </c>
      <c r="C70" s="66" t="s">
        <v>572</v>
      </c>
      <c r="D70" s="66" t="s">
        <v>50</v>
      </c>
      <c r="E70" s="66" t="s">
        <v>51</v>
      </c>
      <c r="F70" s="66">
        <v>0</v>
      </c>
      <c r="G70" s="66">
        <v>42</v>
      </c>
      <c r="H70" s="66">
        <v>722</v>
      </c>
      <c r="I70" s="66" t="s">
        <v>52</v>
      </c>
      <c r="J70" s="66">
        <v>575</v>
      </c>
      <c r="K70" s="66" t="s">
        <v>54</v>
      </c>
      <c r="L70" s="16" t="str">
        <f>VLOOKUP(C70,'Trips&amp;Operators'!$C$2:$E$10000,3,FALSE)</f>
        <v>ALONZO</v>
      </c>
      <c r="M70" s="15" t="s">
        <v>132</v>
      </c>
      <c r="N70" s="16"/>
      <c r="O70" s="2"/>
      <c r="P70" s="54" t="e">
        <f>VLOOKUP(C70,'Train Runs'!$A$13:$V$166,22,0)</f>
        <v>#N/A</v>
      </c>
      <c r="Q70" s="14" t="str">
        <f t="shared" si="1"/>
        <v>4039</v>
      </c>
    </row>
    <row r="71" spans="1:17" x14ac:dyDescent="0.25">
      <c r="A71" s="78">
        <v>42549.732488425929</v>
      </c>
      <c r="B71" s="66" t="s">
        <v>199</v>
      </c>
      <c r="C71" s="66" t="s">
        <v>574</v>
      </c>
      <c r="D71" s="66" t="s">
        <v>50</v>
      </c>
      <c r="E71" s="66" t="s">
        <v>51</v>
      </c>
      <c r="F71" s="66">
        <v>0</v>
      </c>
      <c r="G71" s="66">
        <v>55</v>
      </c>
      <c r="H71" s="66">
        <v>58864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16"/>
      <c r="O71" s="2"/>
      <c r="P71" s="54" t="e">
        <f>VLOOKUP(C71,'Train Runs'!$A$13:$V$166,22,0)</f>
        <v>#N/A</v>
      </c>
      <c r="Q71" s="14" t="str">
        <f t="shared" ref="Q71:Q78" si="2">MID(B71,13,4)</f>
        <v>4029</v>
      </c>
    </row>
    <row r="72" spans="1:17" x14ac:dyDescent="0.25">
      <c r="A72" s="78">
        <v>42549.73300925926</v>
      </c>
      <c r="B72" s="66" t="s">
        <v>199</v>
      </c>
      <c r="C72" s="66" t="s">
        <v>574</v>
      </c>
      <c r="D72" s="66" t="s">
        <v>50</v>
      </c>
      <c r="E72" s="66" t="s">
        <v>51</v>
      </c>
      <c r="F72" s="66">
        <v>0</v>
      </c>
      <c r="G72" s="66">
        <v>4</v>
      </c>
      <c r="H72" s="66">
        <v>58929</v>
      </c>
      <c r="I72" s="66" t="s">
        <v>52</v>
      </c>
      <c r="J72" s="66">
        <v>59048</v>
      </c>
      <c r="K72" s="66" t="s">
        <v>53</v>
      </c>
      <c r="L72" s="16" t="str">
        <f>VLOOKUP(C72,'Trips&amp;Operators'!$C$2:$E$10000,3,FALSE)</f>
        <v>LYNN</v>
      </c>
      <c r="M72" s="15" t="s">
        <v>132</v>
      </c>
      <c r="N72" s="16"/>
      <c r="O72" s="2"/>
      <c r="P72" s="54" t="e">
        <f>VLOOKUP(C72,'Train Runs'!$A$13:$V$166,22,0)</f>
        <v>#N/A</v>
      </c>
      <c r="Q72" s="14" t="str">
        <f t="shared" si="2"/>
        <v>4029</v>
      </c>
    </row>
    <row r="73" spans="1:17" x14ac:dyDescent="0.25">
      <c r="A73" s="78">
        <v>42549.773263888892</v>
      </c>
      <c r="B73" s="66" t="s">
        <v>199</v>
      </c>
      <c r="C73" s="66" t="s">
        <v>582</v>
      </c>
      <c r="D73" s="66" t="s">
        <v>50</v>
      </c>
      <c r="E73" s="66" t="s">
        <v>51</v>
      </c>
      <c r="F73" s="66">
        <v>0</v>
      </c>
      <c r="G73" s="66">
        <v>6</v>
      </c>
      <c r="H73" s="66">
        <v>57629</v>
      </c>
      <c r="I73" s="66" t="s">
        <v>52</v>
      </c>
      <c r="J73" s="66">
        <v>59048</v>
      </c>
      <c r="K73" s="66" t="s">
        <v>53</v>
      </c>
      <c r="L73" s="16" t="str">
        <f>VLOOKUP(C73,'Trips&amp;Operators'!$C$2:$E$10000,3,FALSE)</f>
        <v>LYNN</v>
      </c>
      <c r="M73" s="15" t="s">
        <v>132</v>
      </c>
      <c r="N73" s="66"/>
      <c r="P73" s="54" t="e">
        <f>VLOOKUP(C73,'Train Runs'!$A$13:$V$166,22,0)</f>
        <v>#N/A</v>
      </c>
      <c r="Q73" s="14" t="str">
        <f t="shared" si="2"/>
        <v>4029</v>
      </c>
    </row>
    <row r="74" spans="1:17" x14ac:dyDescent="0.25">
      <c r="A74" s="78">
        <v>42549.789050925923</v>
      </c>
      <c r="B74" s="66" t="s">
        <v>207</v>
      </c>
      <c r="C74" s="66" t="s">
        <v>585</v>
      </c>
      <c r="D74" s="66" t="s">
        <v>50</v>
      </c>
      <c r="E74" s="66" t="s">
        <v>51</v>
      </c>
      <c r="F74" s="66">
        <v>0</v>
      </c>
      <c r="G74" s="66">
        <v>18</v>
      </c>
      <c r="H74" s="66">
        <v>594</v>
      </c>
      <c r="I74" s="66" t="s">
        <v>52</v>
      </c>
      <c r="J74" s="66">
        <v>575</v>
      </c>
      <c r="K74" s="66" t="s">
        <v>54</v>
      </c>
      <c r="L74" s="16" t="str">
        <f>VLOOKUP(C74,'Trips&amp;Operators'!$C$2:$E$10000,3,FALSE)</f>
        <v>STORY</v>
      </c>
      <c r="M74" s="15" t="s">
        <v>132</v>
      </c>
      <c r="N74" s="66"/>
      <c r="P74" s="54" t="e">
        <f>VLOOKUP(C74,'Train Runs'!$A$13:$V$166,22,0)</f>
        <v>#N/A</v>
      </c>
      <c r="Q74" s="14" t="str">
        <f t="shared" si="2"/>
        <v>4030</v>
      </c>
    </row>
    <row r="75" spans="1:17" x14ac:dyDescent="0.25">
      <c r="A75" s="78">
        <v>42549.829942129632</v>
      </c>
      <c r="B75" s="66" t="s">
        <v>207</v>
      </c>
      <c r="C75" s="66" t="s">
        <v>591</v>
      </c>
      <c r="D75" s="66" t="s">
        <v>50</v>
      </c>
      <c r="E75" s="66" t="s">
        <v>51</v>
      </c>
      <c r="F75" s="66">
        <v>0</v>
      </c>
      <c r="G75" s="66">
        <v>63</v>
      </c>
      <c r="H75" s="66">
        <v>722</v>
      </c>
      <c r="I75" s="66" t="s">
        <v>52</v>
      </c>
      <c r="J75" s="66">
        <v>575</v>
      </c>
      <c r="K75" s="66" t="s">
        <v>54</v>
      </c>
      <c r="L75" s="16" t="str">
        <f>VLOOKUP(C75,'Trips&amp;Operators'!$C$2:$E$10000,3,FALSE)</f>
        <v>STORY</v>
      </c>
      <c r="M75" s="15" t="s">
        <v>132</v>
      </c>
      <c r="N75" s="66"/>
      <c r="P75" s="54" t="e">
        <f>VLOOKUP(C75,'Train Runs'!$A$13:$V$166,22,0)</f>
        <v>#N/A</v>
      </c>
      <c r="Q75" s="14" t="str">
        <f t="shared" si="2"/>
        <v>4030</v>
      </c>
    </row>
    <row r="76" spans="1:17" x14ac:dyDescent="0.25">
      <c r="A76" s="78">
        <v>42549.815706018519</v>
      </c>
      <c r="B76" s="66" t="s">
        <v>199</v>
      </c>
      <c r="C76" s="66" t="s">
        <v>594</v>
      </c>
      <c r="D76" s="66" t="s">
        <v>50</v>
      </c>
      <c r="E76" s="66" t="s">
        <v>51</v>
      </c>
      <c r="F76" s="66">
        <v>0</v>
      </c>
      <c r="G76" s="66">
        <v>8</v>
      </c>
      <c r="H76" s="66">
        <v>58943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Runs'!$A$13:$V$166,22,0)</f>
        <v>#N/A</v>
      </c>
      <c r="Q76" s="14" t="str">
        <f t="shared" si="2"/>
        <v>4029</v>
      </c>
    </row>
    <row r="77" spans="1:17" x14ac:dyDescent="0.25">
      <c r="A77" s="78">
        <v>42549.85701388889</v>
      </c>
      <c r="B77" s="66" t="s">
        <v>199</v>
      </c>
      <c r="C77" s="66" t="s">
        <v>599</v>
      </c>
      <c r="D77" s="66" t="s">
        <v>50</v>
      </c>
      <c r="E77" s="66" t="s">
        <v>51</v>
      </c>
      <c r="F77" s="66">
        <v>0</v>
      </c>
      <c r="G77" s="66">
        <v>7</v>
      </c>
      <c r="H77" s="66">
        <v>58918</v>
      </c>
      <c r="I77" s="66" t="s">
        <v>52</v>
      </c>
      <c r="J77" s="66">
        <v>59048</v>
      </c>
      <c r="K77" s="66" t="s">
        <v>53</v>
      </c>
      <c r="L77" s="16" t="str">
        <f>VLOOKUP(C77,'Trips&amp;Operators'!$C$2:$E$10000,3,FALSE)</f>
        <v>LYNN</v>
      </c>
      <c r="M77" s="15" t="s">
        <v>132</v>
      </c>
      <c r="N77" s="66"/>
      <c r="P77" s="54" t="e">
        <f>VLOOKUP(C77,'Train Runs'!$A$13:$V$166,22,0)</f>
        <v>#N/A</v>
      </c>
      <c r="Q77" s="14" t="str">
        <f t="shared" si="2"/>
        <v>4029</v>
      </c>
    </row>
    <row r="78" spans="1:17" x14ac:dyDescent="0.25">
      <c r="A78" s="78">
        <v>42549.89949074074</v>
      </c>
      <c r="B78" s="66" t="s">
        <v>199</v>
      </c>
      <c r="C78" s="66" t="s">
        <v>603</v>
      </c>
      <c r="D78" s="66" t="s">
        <v>50</v>
      </c>
      <c r="E78" s="66" t="s">
        <v>51</v>
      </c>
      <c r="F78" s="66">
        <v>0</v>
      </c>
      <c r="G78" s="66">
        <v>9</v>
      </c>
      <c r="H78" s="66">
        <v>58967</v>
      </c>
      <c r="I78" s="66" t="s">
        <v>52</v>
      </c>
      <c r="J78" s="66">
        <v>59048</v>
      </c>
      <c r="K78" s="66" t="s">
        <v>53</v>
      </c>
      <c r="L78" s="16" t="str">
        <f>VLOOKUP(C78,'Trips&amp;Operators'!$C$2:$E$10000,3,FALSE)</f>
        <v>LYNN</v>
      </c>
      <c r="M78" s="15" t="s">
        <v>132</v>
      </c>
      <c r="N78" s="66"/>
      <c r="P78" s="54" t="e">
        <f>VLOOKUP(C78,'Train Runs'!$A$13:$V$166,22,0)</f>
        <v>#N/A</v>
      </c>
      <c r="Q78" s="14" t="str">
        <f t="shared" si="2"/>
        <v>4029</v>
      </c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5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85"/>
      <c r="M80" s="84"/>
      <c r="O80" s="55"/>
      <c r="P80"/>
    </row>
    <row r="81" spans="1:16" x14ac:dyDescent="0.25">
      <c r="A81" s="5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85"/>
      <c r="M81" s="84"/>
      <c r="O81" s="55"/>
      <c r="P81"/>
    </row>
    <row r="82" spans="1:16" x14ac:dyDescent="0.25">
      <c r="A82" s="82"/>
      <c r="B82" s="83"/>
      <c r="C82" s="83"/>
      <c r="D82" s="83"/>
      <c r="E82" s="83"/>
      <c r="F82" s="83"/>
      <c r="G82" s="83"/>
      <c r="H82" s="83"/>
      <c r="I82" s="83"/>
      <c r="J82" s="83"/>
      <c r="K82" s="84"/>
      <c r="L82" s="85"/>
      <c r="M82" s="84"/>
      <c r="O82" s="55"/>
      <c r="P82"/>
    </row>
    <row r="83" spans="1:16" x14ac:dyDescent="0.25">
      <c r="A83" s="82"/>
      <c r="B83" s="83"/>
      <c r="C83" s="83"/>
      <c r="D83" s="83"/>
      <c r="E83" s="83"/>
      <c r="F83" s="83"/>
      <c r="G83" s="83"/>
      <c r="H83" s="83"/>
      <c r="I83" s="83"/>
      <c r="J83" s="83"/>
      <c r="K83" s="84"/>
      <c r="L83" s="85"/>
      <c r="M83" s="84"/>
      <c r="O83" s="55"/>
      <c r="P83"/>
    </row>
    <row r="84" spans="1:16" x14ac:dyDescent="0.25">
      <c r="A84" s="5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5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85"/>
      <c r="M87" s="84"/>
      <c r="O87" s="55"/>
      <c r="P87"/>
    </row>
    <row r="88" spans="1:16" x14ac:dyDescent="0.25">
      <c r="A88" s="82"/>
      <c r="B88" s="83"/>
      <c r="C88" s="83"/>
      <c r="D88" s="83"/>
      <c r="E88" s="83"/>
      <c r="F88" s="83"/>
      <c r="G88" s="83"/>
      <c r="H88" s="83"/>
      <c r="I88" s="83"/>
      <c r="J88" s="83"/>
      <c r="K88" s="84"/>
      <c r="L88" s="85"/>
      <c r="M88" s="84"/>
      <c r="O88" s="55"/>
      <c r="P88"/>
    </row>
    <row r="89" spans="1:16" x14ac:dyDescent="0.25">
      <c r="A89" s="82"/>
      <c r="B89" s="83"/>
      <c r="C89" s="83"/>
      <c r="D89" s="83"/>
      <c r="E89" s="83"/>
      <c r="F89" s="83"/>
      <c r="G89" s="83"/>
      <c r="H89" s="83"/>
      <c r="I89" s="83"/>
      <c r="J89" s="83"/>
      <c r="K89" s="84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4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85"/>
      <c r="M95" s="84"/>
      <c r="O95" s="55"/>
      <c r="P95"/>
    </row>
    <row r="96" spans="1:16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85"/>
      <c r="M96" s="84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  <row r="112" spans="1:16" x14ac:dyDescent="0.25">
      <c r="A112" s="5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85"/>
      <c r="M112" s="84"/>
      <c r="O112" s="55"/>
      <c r="P112"/>
    </row>
    <row r="113" spans="2:16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O113" s="55"/>
      <c r="P113"/>
    </row>
  </sheetData>
  <autoFilter ref="A6:N78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4:M1048576 L79:L113 M7:M78 N69:N70">
    <cfRule type="cellIs" dxfId="17" priority="10" operator="equal">
      <formula>"Y"</formula>
    </cfRule>
  </conditionalFormatting>
  <conditionalFormatting sqref="A7:L7 L8:L78 M7:N68 M41:M78 N69:N70 A8:K70">
    <cfRule type="expression" dxfId="16" priority="3">
      <formula>$M7="Y"</formula>
    </cfRule>
  </conditionalFormatting>
  <conditionalFormatting sqref="M2:M3">
    <cfRule type="cellIs" dxfId="15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15" sqref="G1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7" t="str">
        <f>"Trips that did not appear in PTC Data "&amp;TEXT(Variables!$A$2,"YYYY-mm-dd")</f>
        <v>Trips that did not appear in PTC Data 2016-06-28</v>
      </c>
      <c r="B1" s="97"/>
      <c r="C1" s="97"/>
      <c r="D1" s="97"/>
      <c r="E1" s="97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635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636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637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638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H122" s="42"/>
      <c r="I122" s="42"/>
      <c r="J12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288</v>
      </c>
      <c r="D1" s="42">
        <v>2010000</v>
      </c>
      <c r="E1" s="42" t="s">
        <v>273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437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223</v>
      </c>
      <c r="C3" s="42" t="s">
        <v>588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469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223</v>
      </c>
      <c r="C5" s="42" t="s">
        <v>578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386</v>
      </c>
      <c r="D6" s="42">
        <v>2000000</v>
      </c>
      <c r="E6" s="42" t="s">
        <v>272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402</v>
      </c>
      <c r="D7" s="42">
        <v>1990000</v>
      </c>
      <c r="E7" s="42" t="s">
        <v>279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420</v>
      </c>
      <c r="D8" s="42">
        <v>2000000</v>
      </c>
      <c r="E8" s="42" t="s">
        <v>272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432</v>
      </c>
      <c r="D9" s="42">
        <v>2020000</v>
      </c>
      <c r="E9" s="42" t="s">
        <v>277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613</v>
      </c>
      <c r="C10" s="42" t="s">
        <v>431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428</v>
      </c>
      <c r="D11" s="42">
        <v>940000</v>
      </c>
      <c r="E11" s="42" t="s">
        <v>615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433</v>
      </c>
      <c r="D12" s="42">
        <v>2020000</v>
      </c>
      <c r="E12" s="42" t="s">
        <v>277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555</v>
      </c>
      <c r="D13" s="42">
        <v>1740000</v>
      </c>
      <c r="E13" s="42" t="s">
        <v>616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443</v>
      </c>
      <c r="D14" s="42">
        <v>1140000</v>
      </c>
      <c r="E14" s="42" t="s">
        <v>282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617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446</v>
      </c>
      <c r="D16" s="42">
        <v>2040000</v>
      </c>
      <c r="E16" s="42" t="s">
        <v>274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281</v>
      </c>
      <c r="C17" s="42" t="s">
        <v>410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222</v>
      </c>
      <c r="C18" s="42" t="s">
        <v>455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226</v>
      </c>
      <c r="C19" s="42" t="s">
        <v>501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606</v>
      </c>
      <c r="D20" s="42">
        <v>1790000</v>
      </c>
      <c r="E20" s="42" t="s">
        <v>618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226</v>
      </c>
      <c r="C21" s="42" t="s">
        <v>483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611</v>
      </c>
      <c r="D22" s="42">
        <v>1740000</v>
      </c>
      <c r="E22" s="42" t="s">
        <v>616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314</v>
      </c>
      <c r="D23" s="42">
        <v>2010000</v>
      </c>
      <c r="E23" s="42" t="s">
        <v>273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398</v>
      </c>
      <c r="D24" s="42">
        <v>2020000</v>
      </c>
      <c r="E24" s="42" t="s">
        <v>277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348</v>
      </c>
      <c r="D25" s="42">
        <v>1090000</v>
      </c>
      <c r="E25" s="42" t="s">
        <v>280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222</v>
      </c>
      <c r="C26" s="42" t="s">
        <v>479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222</v>
      </c>
      <c r="C27" s="42" t="s">
        <v>300</v>
      </c>
      <c r="D27" s="42">
        <v>1090000</v>
      </c>
      <c r="E27" s="42" t="s">
        <v>280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619</v>
      </c>
      <c r="D28" s="42">
        <v>1180000</v>
      </c>
      <c r="E28" s="42" t="s">
        <v>620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283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222</v>
      </c>
      <c r="C30" s="42" t="s">
        <v>621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332</v>
      </c>
      <c r="D31" s="42">
        <v>900000</v>
      </c>
      <c r="E31" s="42" t="s">
        <v>278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222</v>
      </c>
      <c r="C32" s="42" t="s">
        <v>470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594</v>
      </c>
      <c r="D33" s="42">
        <v>1790000</v>
      </c>
      <c r="E33" s="42" t="s">
        <v>618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622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460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401</v>
      </c>
      <c r="D36" s="42">
        <v>1990000</v>
      </c>
      <c r="E36" s="42" t="s">
        <v>279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478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439</v>
      </c>
      <c r="D38" s="42">
        <v>1760000</v>
      </c>
      <c r="E38" s="42" t="s">
        <v>623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471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482</v>
      </c>
      <c r="D40" s="42">
        <v>1180000</v>
      </c>
      <c r="E40" s="42" t="s">
        <v>620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467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310</v>
      </c>
      <c r="D42" s="42">
        <v>900000</v>
      </c>
      <c r="E42" s="42" t="s">
        <v>278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613</v>
      </c>
      <c r="C43" s="42" t="s">
        <v>450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495</v>
      </c>
      <c r="D44" s="42">
        <v>1830000</v>
      </c>
      <c r="E44" s="42" t="s">
        <v>624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603</v>
      </c>
      <c r="D45" s="42">
        <v>1790000</v>
      </c>
      <c r="E45" s="42" t="s">
        <v>618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223</v>
      </c>
      <c r="C46" s="42" t="s">
        <v>498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445</v>
      </c>
      <c r="D47" s="42">
        <v>1140000</v>
      </c>
      <c r="E47" s="42" t="s">
        <v>282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316</v>
      </c>
      <c r="D48" s="42">
        <v>2010000</v>
      </c>
      <c r="E48" s="42" t="s">
        <v>273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585</v>
      </c>
      <c r="D49" s="42">
        <v>1740000</v>
      </c>
      <c r="E49" s="42" t="s">
        <v>616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334</v>
      </c>
      <c r="D50" s="42">
        <v>2010000</v>
      </c>
      <c r="E50" s="42" t="s">
        <v>273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564</v>
      </c>
      <c r="D51" s="42">
        <v>1790000</v>
      </c>
      <c r="E51" s="42" t="s">
        <v>618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222</v>
      </c>
      <c r="C52" s="42" t="s">
        <v>347</v>
      </c>
      <c r="D52" s="42">
        <v>1090000</v>
      </c>
      <c r="E52" s="42" t="s">
        <v>280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613</v>
      </c>
      <c r="C53" s="42" t="s">
        <v>395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522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399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356</v>
      </c>
      <c r="D56" s="42">
        <v>2010000</v>
      </c>
      <c r="E56" s="42" t="s">
        <v>273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389</v>
      </c>
      <c r="D57" s="42">
        <v>1140000</v>
      </c>
      <c r="E57" s="42" t="s">
        <v>282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613</v>
      </c>
      <c r="C58" s="42" t="s">
        <v>371</v>
      </c>
      <c r="D58" s="42">
        <v>1090000</v>
      </c>
      <c r="E58" s="42" t="s">
        <v>280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520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281</v>
      </c>
      <c r="C60" s="42" t="s">
        <v>448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222</v>
      </c>
      <c r="C61" s="42" t="s">
        <v>325</v>
      </c>
      <c r="D61" s="42">
        <v>1090000</v>
      </c>
      <c r="E61" s="42" t="s">
        <v>280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283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294</v>
      </c>
      <c r="D63" s="42">
        <v>1100000</v>
      </c>
      <c r="E63" s="42" t="s">
        <v>625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433</v>
      </c>
      <c r="D64" s="42">
        <v>2020000</v>
      </c>
      <c r="E64" s="42" t="s">
        <v>277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552</v>
      </c>
      <c r="D65" s="42">
        <v>1790000</v>
      </c>
      <c r="E65" s="42" t="s">
        <v>618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599</v>
      </c>
      <c r="D66" s="42">
        <v>1790000</v>
      </c>
      <c r="E66" s="42" t="s">
        <v>618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546</v>
      </c>
      <c r="D67" s="42">
        <v>1790000</v>
      </c>
      <c r="E67" s="42" t="s">
        <v>618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222</v>
      </c>
      <c r="C68" s="42" t="s">
        <v>470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222</v>
      </c>
      <c r="C69" s="42" t="s">
        <v>391</v>
      </c>
      <c r="D69" s="42">
        <v>940000</v>
      </c>
      <c r="E69" s="42" t="s">
        <v>615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477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287</v>
      </c>
      <c r="D71" s="42">
        <v>2010000</v>
      </c>
      <c r="E71" s="42" t="s">
        <v>273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396</v>
      </c>
      <c r="D72" s="42">
        <v>2020000</v>
      </c>
      <c r="E72" s="42" t="s">
        <v>277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287</v>
      </c>
      <c r="D73" s="42">
        <v>2010000</v>
      </c>
      <c r="E73" s="42" t="s">
        <v>273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406</v>
      </c>
      <c r="D74" s="42">
        <v>1140000</v>
      </c>
      <c r="E74" s="42" t="s">
        <v>282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389</v>
      </c>
      <c r="D75" s="42">
        <v>1140000</v>
      </c>
      <c r="E75" s="42" t="s">
        <v>282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404</v>
      </c>
      <c r="D76" s="42">
        <v>2000000</v>
      </c>
      <c r="E76" s="42" t="s">
        <v>272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374</v>
      </c>
      <c r="D77" s="42">
        <v>2020000</v>
      </c>
      <c r="E77" s="42" t="s">
        <v>277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414</v>
      </c>
      <c r="D78" s="42">
        <v>2020000</v>
      </c>
      <c r="E78" s="42" t="s">
        <v>277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281</v>
      </c>
      <c r="C79" s="42" t="s">
        <v>370</v>
      </c>
      <c r="D79" s="42">
        <v>1090000</v>
      </c>
      <c r="E79" s="42" t="s">
        <v>280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424</v>
      </c>
      <c r="D80" s="42">
        <v>1140000</v>
      </c>
      <c r="E80" s="42" t="s">
        <v>282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358</v>
      </c>
      <c r="D81" s="42">
        <v>1200000</v>
      </c>
      <c r="E81" s="42" t="s">
        <v>626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464</v>
      </c>
      <c r="D82" s="42">
        <v>2040000</v>
      </c>
      <c r="E82" s="42" t="s">
        <v>274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527</v>
      </c>
      <c r="D83" s="42">
        <v>1830000</v>
      </c>
      <c r="E83" s="42" t="s">
        <v>624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597</v>
      </c>
      <c r="D84" s="42">
        <v>1740000</v>
      </c>
      <c r="E84" s="42" t="s">
        <v>616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336</v>
      </c>
      <c r="D85" s="42">
        <v>2010000</v>
      </c>
      <c r="E85" s="42" t="s">
        <v>273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475</v>
      </c>
      <c r="D86" s="42">
        <v>2040000</v>
      </c>
      <c r="E86" s="42" t="s">
        <v>274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416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222</v>
      </c>
      <c r="C88" s="42" t="s">
        <v>621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533</v>
      </c>
      <c r="D89" s="42">
        <v>1830000</v>
      </c>
      <c r="E89" s="42" t="s">
        <v>624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338</v>
      </c>
      <c r="D90" s="42">
        <v>1200000</v>
      </c>
      <c r="E90" s="42" t="s">
        <v>626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357</v>
      </c>
      <c r="D91" s="42">
        <v>1200000</v>
      </c>
      <c r="E91" s="42" t="s">
        <v>626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226</v>
      </c>
      <c r="C92" s="42" t="s">
        <v>572</v>
      </c>
      <c r="D92" s="42">
        <v>740000</v>
      </c>
      <c r="E92" s="42" t="s">
        <v>627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312</v>
      </c>
      <c r="D93" s="42">
        <v>900000</v>
      </c>
      <c r="E93" s="42" t="s">
        <v>278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591</v>
      </c>
      <c r="D94" s="42">
        <v>1740000</v>
      </c>
      <c r="E94" s="42" t="s">
        <v>616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377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474</v>
      </c>
      <c r="D96" s="42">
        <v>1180000</v>
      </c>
      <c r="E96" s="42" t="s">
        <v>620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222</v>
      </c>
      <c r="C97" s="42" t="s">
        <v>365</v>
      </c>
      <c r="D97" s="42">
        <v>940000</v>
      </c>
      <c r="E97" s="42" t="s">
        <v>615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226</v>
      </c>
      <c r="C98" s="42" t="s">
        <v>483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353</v>
      </c>
      <c r="D99" s="42">
        <v>900000</v>
      </c>
      <c r="E99" s="42" t="s">
        <v>278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281</v>
      </c>
      <c r="C100" s="42" t="s">
        <v>305</v>
      </c>
      <c r="D100" s="42">
        <v>1110000</v>
      </c>
      <c r="E100" s="42" t="s">
        <v>628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223</v>
      </c>
      <c r="C101" s="42" t="s">
        <v>510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226</v>
      </c>
      <c r="C102" s="42" t="s">
        <v>512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285</v>
      </c>
      <c r="D103" s="42">
        <v>900000</v>
      </c>
      <c r="E103" s="42" t="s">
        <v>278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518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418</v>
      </c>
      <c r="D105" s="42">
        <v>1990000</v>
      </c>
      <c r="E105" s="42" t="s">
        <v>279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333</v>
      </c>
      <c r="D106" s="42">
        <v>900000</v>
      </c>
      <c r="E106" s="42" t="s">
        <v>278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379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344</v>
      </c>
      <c r="D108" s="42">
        <v>2030000</v>
      </c>
      <c r="E108" s="42" t="s">
        <v>275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385</v>
      </c>
      <c r="D109" s="42">
        <v>2000000</v>
      </c>
      <c r="E109" s="42" t="s">
        <v>272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281</v>
      </c>
      <c r="C110" s="42" t="s">
        <v>394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629</v>
      </c>
      <c r="D111" s="42">
        <v>2040000</v>
      </c>
      <c r="E111" s="42" t="s">
        <v>274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327</v>
      </c>
      <c r="D112" s="42">
        <v>1090000</v>
      </c>
      <c r="E112" s="42" t="s">
        <v>280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452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368</v>
      </c>
      <c r="D114" s="42">
        <v>940000</v>
      </c>
      <c r="E114" s="42" t="s">
        <v>615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452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380</v>
      </c>
      <c r="D116" s="42">
        <v>1990000</v>
      </c>
      <c r="E116" s="42" t="s">
        <v>279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421</v>
      </c>
      <c r="D117" s="42">
        <v>2000000</v>
      </c>
      <c r="E117" s="42" t="s">
        <v>272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422</v>
      </c>
      <c r="D118" s="42">
        <v>1140000</v>
      </c>
      <c r="E118" s="42" t="s">
        <v>282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567</v>
      </c>
      <c r="D119" s="42">
        <v>1790000</v>
      </c>
      <c r="E119" s="42" t="s">
        <v>618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465</v>
      </c>
      <c r="D120" s="42">
        <v>2040000</v>
      </c>
      <c r="E120" s="42" t="s">
        <v>274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407</v>
      </c>
      <c r="D121" s="42">
        <v>1140000</v>
      </c>
      <c r="E121" s="42" t="s">
        <v>282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323</v>
      </c>
      <c r="D122" s="42">
        <v>2030000</v>
      </c>
      <c r="E122" s="42" t="s">
        <v>275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387</v>
      </c>
      <c r="D123" s="42">
        <v>1140000</v>
      </c>
      <c r="E123" s="42" t="s">
        <v>282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341</v>
      </c>
      <c r="D124" s="42">
        <v>1100000</v>
      </c>
      <c r="E124" s="42" t="s">
        <v>625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346</v>
      </c>
      <c r="D125" s="42">
        <v>2030000</v>
      </c>
      <c r="E125" s="42" t="s">
        <v>275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292</v>
      </c>
      <c r="D126" s="42">
        <v>1100000</v>
      </c>
      <c r="E126" s="42" t="s">
        <v>625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296</v>
      </c>
      <c r="D127" s="42">
        <v>2030000</v>
      </c>
      <c r="E127" s="42" t="s">
        <v>275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310</v>
      </c>
      <c r="D128" s="42">
        <v>900000</v>
      </c>
      <c r="E128" s="42" t="s">
        <v>278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602</v>
      </c>
      <c r="D129" s="42">
        <v>1740000</v>
      </c>
      <c r="E129" s="42" t="s">
        <v>616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613</v>
      </c>
      <c r="C130" s="42" t="s">
        <v>331</v>
      </c>
      <c r="D130" s="42">
        <v>1110000</v>
      </c>
      <c r="E130" s="42" t="s">
        <v>628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473</v>
      </c>
      <c r="D131" s="42">
        <v>1180000</v>
      </c>
      <c r="E131" s="42" t="s">
        <v>620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288</v>
      </c>
      <c r="D132" s="42">
        <v>2010000</v>
      </c>
      <c r="E132" s="42" t="s">
        <v>273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392</v>
      </c>
      <c r="D133" s="42">
        <v>940000</v>
      </c>
      <c r="E133" s="42" t="s">
        <v>615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281</v>
      </c>
      <c r="C134" s="42" t="s">
        <v>305</v>
      </c>
      <c r="D134" s="42">
        <v>1110000</v>
      </c>
      <c r="E134" s="42" t="s">
        <v>628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324</v>
      </c>
      <c r="D135" s="42">
        <v>2030000</v>
      </c>
      <c r="E135" s="42" t="s">
        <v>275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298</v>
      </c>
      <c r="D136" s="42">
        <v>2030000</v>
      </c>
      <c r="E136" s="42" t="s">
        <v>275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281</v>
      </c>
      <c r="C137" s="42" t="s">
        <v>328</v>
      </c>
      <c r="D137" s="42">
        <v>1110000</v>
      </c>
      <c r="E137" s="42" t="s">
        <v>628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321</v>
      </c>
      <c r="D138" s="42">
        <v>1100000</v>
      </c>
      <c r="E138" s="42" t="s">
        <v>625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303</v>
      </c>
      <c r="D139" s="42">
        <v>1090000</v>
      </c>
      <c r="E139" s="42" t="s">
        <v>280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322</v>
      </c>
      <c r="D140" s="42">
        <v>1100000</v>
      </c>
      <c r="E140" s="42" t="s">
        <v>625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298</v>
      </c>
      <c r="D141" s="42">
        <v>2030000</v>
      </c>
      <c r="E141" s="42" t="s">
        <v>275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507</v>
      </c>
      <c r="D142" s="42">
        <v>1830000</v>
      </c>
      <c r="E142" s="42" t="s">
        <v>624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222</v>
      </c>
      <c r="C143" s="42" t="s">
        <v>479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343</v>
      </c>
      <c r="D144" s="42">
        <v>1100000</v>
      </c>
      <c r="E144" s="42" t="s">
        <v>625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226</v>
      </c>
      <c r="C145" s="42" t="s">
        <v>580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524</v>
      </c>
      <c r="D146" s="42">
        <v>1830000</v>
      </c>
      <c r="E146" s="42" t="s">
        <v>624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429</v>
      </c>
      <c r="D147" s="42">
        <v>940000</v>
      </c>
      <c r="E147" s="42" t="s">
        <v>615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372</v>
      </c>
      <c r="D148" s="42">
        <v>2020000</v>
      </c>
      <c r="E148" s="42" t="s">
        <v>277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223</v>
      </c>
      <c r="C149" s="42" t="s">
        <v>558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536</v>
      </c>
      <c r="D150" s="42">
        <v>1830000</v>
      </c>
      <c r="E150" s="42" t="s">
        <v>624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402</v>
      </c>
      <c r="D151" s="42">
        <v>1990000</v>
      </c>
      <c r="E151" s="42" t="s">
        <v>279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403</v>
      </c>
      <c r="D152" s="42">
        <v>2000000</v>
      </c>
      <c r="E152" s="42" t="s">
        <v>272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613</v>
      </c>
      <c r="C153" s="42" t="s">
        <v>351</v>
      </c>
      <c r="D153" s="42">
        <v>1110000</v>
      </c>
      <c r="E153" s="42" t="s">
        <v>628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549</v>
      </c>
      <c r="D154" s="42">
        <v>1740000</v>
      </c>
      <c r="E154" s="42" t="s">
        <v>616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515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281</v>
      </c>
      <c r="C156" s="42" t="s">
        <v>430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492</v>
      </c>
      <c r="D157" s="42">
        <v>1830000</v>
      </c>
      <c r="E157" s="42" t="s">
        <v>624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438</v>
      </c>
      <c r="D158" s="42">
        <v>1760000</v>
      </c>
      <c r="E158" s="42" t="s">
        <v>623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281</v>
      </c>
      <c r="C159" s="42" t="s">
        <v>305</v>
      </c>
      <c r="D159" s="42">
        <v>1110000</v>
      </c>
      <c r="E159" s="42" t="s">
        <v>628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575</v>
      </c>
      <c r="D160" s="42">
        <v>1740000</v>
      </c>
      <c r="E160" s="42" t="s">
        <v>616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622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442</v>
      </c>
      <c r="D162" s="42">
        <v>1180000</v>
      </c>
      <c r="E162" s="42" t="s">
        <v>620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281</v>
      </c>
      <c r="C163" s="42" t="s">
        <v>350</v>
      </c>
      <c r="D163" s="42">
        <v>1110000</v>
      </c>
      <c r="E163" s="42" t="s">
        <v>628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447</v>
      </c>
      <c r="D164" s="42">
        <v>2040000</v>
      </c>
      <c r="E164" s="42" t="s">
        <v>274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317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630</v>
      </c>
      <c r="D166" s="42">
        <v>2040000</v>
      </c>
      <c r="E166" s="42" t="s">
        <v>274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290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630</v>
      </c>
      <c r="D168" s="42">
        <v>2040000</v>
      </c>
      <c r="E168" s="42" t="s">
        <v>274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631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340</v>
      </c>
      <c r="D170" s="42">
        <v>1200000</v>
      </c>
      <c r="E170" s="42" t="s">
        <v>626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574</v>
      </c>
      <c r="D171" s="42">
        <v>1790000</v>
      </c>
      <c r="E171" s="42" t="s">
        <v>618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359</v>
      </c>
      <c r="D172" s="42">
        <v>2000000</v>
      </c>
      <c r="E172" s="42" t="s">
        <v>272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226</v>
      </c>
      <c r="C173" s="42" t="s">
        <v>632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362</v>
      </c>
      <c r="D174" s="42">
        <v>1100000</v>
      </c>
      <c r="E174" s="42" t="s">
        <v>625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382</v>
      </c>
      <c r="D175" s="42">
        <v>1990000</v>
      </c>
      <c r="E175" s="42" t="s">
        <v>279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363</v>
      </c>
      <c r="D176" s="42">
        <v>1100000</v>
      </c>
      <c r="E176" s="42" t="s">
        <v>625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319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540</v>
      </c>
      <c r="D178" s="42">
        <v>1830000</v>
      </c>
      <c r="E178" s="42" t="s">
        <v>624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223</v>
      </c>
      <c r="C179" s="42" t="s">
        <v>486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407</v>
      </c>
      <c r="D180" s="42">
        <v>1140000</v>
      </c>
      <c r="E180" s="42" t="s">
        <v>282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222</v>
      </c>
      <c r="C181" s="42" t="s">
        <v>455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422</v>
      </c>
      <c r="D182" s="42">
        <v>1140000</v>
      </c>
      <c r="E182" s="42" t="s">
        <v>282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428</v>
      </c>
      <c r="D183" s="42">
        <v>940000</v>
      </c>
      <c r="E183" s="42" t="s">
        <v>615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226</v>
      </c>
      <c r="C184" s="42" t="s">
        <v>561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538</v>
      </c>
      <c r="D185" s="42">
        <v>1830000</v>
      </c>
      <c r="E185" s="42" t="s">
        <v>624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223</v>
      </c>
      <c r="C186" s="42" t="s">
        <v>570</v>
      </c>
      <c r="D186" s="42">
        <v>740000</v>
      </c>
      <c r="E186" s="42" t="s">
        <v>627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504</v>
      </c>
      <c r="D187" s="42">
        <v>1830000</v>
      </c>
      <c r="E187" s="42" t="s">
        <v>624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440</v>
      </c>
      <c r="D188" s="42">
        <v>1180000</v>
      </c>
      <c r="E188" s="42" t="s">
        <v>620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289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582</v>
      </c>
      <c r="D190" s="42">
        <v>1790000</v>
      </c>
      <c r="E190" s="42" t="s">
        <v>618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476</v>
      </c>
      <c r="D191" s="42">
        <v>2040000</v>
      </c>
      <c r="E191" s="42" t="s">
        <v>274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478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226</v>
      </c>
      <c r="C193" s="42" t="s">
        <v>609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361</v>
      </c>
      <c r="D194" s="42">
        <v>2000000</v>
      </c>
      <c r="E194" s="42" t="s">
        <v>272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415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408</v>
      </c>
      <c r="D196" s="42">
        <v>940000</v>
      </c>
      <c r="E196" s="42" t="s">
        <v>615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543</v>
      </c>
      <c r="D197" s="42">
        <v>1830000</v>
      </c>
      <c r="E197" s="42" t="s">
        <v>624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412</v>
      </c>
      <c r="D198" s="42">
        <v>2020000</v>
      </c>
      <c r="E198" s="42" t="s">
        <v>277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530</v>
      </c>
      <c r="D199" s="42">
        <v>1830000</v>
      </c>
      <c r="E199" s="42" t="s">
        <v>624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409</v>
      </c>
      <c r="D200" s="42">
        <v>940000</v>
      </c>
      <c r="E200" s="42" t="s">
        <v>615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518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613</v>
      </c>
      <c r="C202" s="42" t="s">
        <v>411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613</v>
      </c>
      <c r="C203" s="42" t="s">
        <v>308</v>
      </c>
      <c r="D203" s="42">
        <v>1110000</v>
      </c>
      <c r="E203" s="42" t="s">
        <v>628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614</v>
      </c>
      <c r="D204" s="42">
        <v>1990000</v>
      </c>
      <c r="E204" s="42" t="s">
        <v>279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451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567</v>
      </c>
      <c r="D206" s="42">
        <v>1740000</v>
      </c>
      <c r="E206" s="42" t="s">
        <v>616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400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222</v>
      </c>
      <c r="C208" s="42" t="s">
        <v>435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355</v>
      </c>
      <c r="D209" s="42">
        <v>2010000</v>
      </c>
      <c r="E209" s="42" t="s">
        <v>273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424</v>
      </c>
      <c r="D210" s="42">
        <v>1140000</v>
      </c>
      <c r="E210" s="42" t="s">
        <v>282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352</v>
      </c>
      <c r="D211" s="42">
        <v>900000</v>
      </c>
      <c r="E211" s="42" t="s">
        <v>278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461</v>
      </c>
      <c r="D212" s="42">
        <v>1180000</v>
      </c>
      <c r="E212" s="42" t="s">
        <v>620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226</v>
      </c>
      <c r="C213" s="42" t="s">
        <v>489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462</v>
      </c>
      <c r="D214" s="42">
        <v>1180000</v>
      </c>
      <c r="E214" s="42" t="s">
        <v>620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633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254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252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248</v>
      </c>
      <c r="D219" s="42">
        <v>2000000</v>
      </c>
      <c r="E219" s="42" t="s">
        <v>272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242</v>
      </c>
      <c r="D221" s="42">
        <v>900000</v>
      </c>
      <c r="E221" s="42" t="s">
        <v>278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249</v>
      </c>
      <c r="D222" s="42">
        <v>2000000</v>
      </c>
      <c r="E222" s="42" t="s">
        <v>272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222</v>
      </c>
      <c r="C224" t="s">
        <v>253</v>
      </c>
      <c r="D224">
        <v>2020000</v>
      </c>
      <c r="E224" t="s">
        <v>277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269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268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255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211</v>
      </c>
      <c r="D228">
        <v>2000000</v>
      </c>
      <c r="E228" t="s">
        <v>272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222</v>
      </c>
      <c r="C229" t="s">
        <v>246</v>
      </c>
      <c r="D229">
        <v>2010000</v>
      </c>
      <c r="E229" t="s">
        <v>273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212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280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213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257</v>
      </c>
      <c r="D234">
        <v>2040000</v>
      </c>
      <c r="E234" t="s">
        <v>274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273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215</v>
      </c>
      <c r="D236">
        <v>2040000</v>
      </c>
      <c r="E236" t="s">
        <v>274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217</v>
      </c>
      <c r="D238">
        <v>1990000</v>
      </c>
      <c r="E238" t="s">
        <v>279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216</v>
      </c>
      <c r="D239">
        <v>2020000</v>
      </c>
      <c r="E239" t="s">
        <v>277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218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248</v>
      </c>
      <c r="D241">
        <v>2000000</v>
      </c>
      <c r="E241" t="s">
        <v>272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219</v>
      </c>
      <c r="D242">
        <v>2040000</v>
      </c>
      <c r="E242" t="s">
        <v>274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232</v>
      </c>
      <c r="D243">
        <v>1090000</v>
      </c>
      <c r="E243" t="s">
        <v>280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220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221</v>
      </c>
      <c r="D246">
        <v>1140000</v>
      </c>
      <c r="E246" t="s">
        <v>282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214</v>
      </c>
      <c r="D247">
        <v>1990000</v>
      </c>
      <c r="E247" t="s">
        <v>279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263</v>
      </c>
      <c r="D248">
        <v>2000000</v>
      </c>
      <c r="E248" t="s">
        <v>272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238</v>
      </c>
      <c r="D249">
        <v>1230000</v>
      </c>
      <c r="E249" t="s">
        <v>276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224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278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264</v>
      </c>
      <c r="D252">
        <v>1140000</v>
      </c>
      <c r="E252" t="s">
        <v>282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270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223</v>
      </c>
      <c r="C254" t="s">
        <v>225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233</v>
      </c>
      <c r="D255">
        <v>2010000</v>
      </c>
      <c r="E255" t="s">
        <v>273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271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265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274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267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243</v>
      </c>
      <c r="D261">
        <v>900000</v>
      </c>
      <c r="E261" t="s">
        <v>278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227</v>
      </c>
      <c r="D262">
        <v>1140000</v>
      </c>
      <c r="E262" t="s">
        <v>282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241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223</v>
      </c>
      <c r="C264" t="s">
        <v>228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634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2016-06-30T13:10:40Z</dcterms:modified>
</cp:coreProperties>
</file>