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Enforcements!$A$6:$N$93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Denver_Train_Runs_04122016" localSheetId="0">'Train Runs'!$A$12:$J$98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8" i="3" l="1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X153" i="1"/>
  <c r="X154" i="1"/>
  <c r="X155" i="1"/>
  <c r="X38" i="1" l="1"/>
  <c r="X39" i="1"/>
  <c r="X40" i="1"/>
  <c r="Q22" i="3" l="1"/>
  <c r="Q23" i="3"/>
  <c r="Q24" i="3"/>
  <c r="Q25" i="3"/>
  <c r="Q26" i="3"/>
  <c r="Q27" i="3"/>
  <c r="Q28" i="3"/>
  <c r="Q29" i="3"/>
  <c r="Q73" i="3"/>
  <c r="Q74" i="3"/>
  <c r="Q75" i="3"/>
  <c r="Q76" i="3"/>
  <c r="Q77" i="3"/>
  <c r="P76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L77" i="3"/>
  <c r="L69" i="3"/>
  <c r="L25" i="3"/>
  <c r="L26" i="3"/>
  <c r="L110" i="3"/>
  <c r="L70" i="3"/>
  <c r="L111" i="3"/>
  <c r="L61" i="3"/>
  <c r="L62" i="3"/>
  <c r="L63" i="3"/>
  <c r="L14" i="3"/>
  <c r="L78" i="3"/>
  <c r="L15" i="3"/>
  <c r="L55" i="3"/>
  <c r="L79" i="3"/>
  <c r="L9" i="3"/>
  <c r="L10" i="3"/>
  <c r="L11" i="3"/>
  <c r="L112" i="3"/>
  <c r="L16" i="3"/>
  <c r="L17" i="3"/>
  <c r="L80" i="3"/>
  <c r="L82" i="3"/>
  <c r="L81" i="3"/>
  <c r="L7" i="3"/>
  <c r="L19" i="3"/>
  <c r="L27" i="3"/>
  <c r="L83" i="3"/>
  <c r="L18" i="3"/>
  <c r="L84" i="3"/>
  <c r="L66" i="3"/>
  <c r="L65" i="3"/>
  <c r="L56" i="3"/>
  <c r="L57" i="3"/>
  <c r="L20" i="3"/>
  <c r="L113" i="3"/>
  <c r="L85" i="3"/>
  <c r="L12" i="3"/>
  <c r="L67" i="3"/>
  <c r="L21" i="3"/>
  <c r="L86" i="3"/>
  <c r="L89" i="3"/>
  <c r="L22" i="3"/>
  <c r="L87" i="3"/>
  <c r="L92" i="3"/>
  <c r="L88" i="3"/>
  <c r="L90" i="3"/>
  <c r="L68" i="3"/>
  <c r="L91" i="3"/>
  <c r="L95" i="3"/>
  <c r="L28" i="3"/>
  <c r="L29" i="3"/>
  <c r="L114" i="3"/>
  <c r="L93" i="3"/>
  <c r="L30" i="3"/>
  <c r="L115" i="3"/>
  <c r="L94" i="3"/>
  <c r="L96" i="3"/>
  <c r="L13" i="3"/>
  <c r="L34" i="3"/>
  <c r="L71" i="3"/>
  <c r="L35" i="3"/>
  <c r="L31" i="3"/>
  <c r="L36" i="3"/>
  <c r="L32" i="3"/>
  <c r="L37" i="3"/>
  <c r="L33" i="3"/>
  <c r="L38" i="3"/>
  <c r="L39" i="3"/>
  <c r="L72" i="3"/>
  <c r="L97" i="3"/>
  <c r="L40" i="3"/>
  <c r="L41" i="3"/>
  <c r="L98" i="3"/>
  <c r="L100" i="3"/>
  <c r="L42" i="3"/>
  <c r="L43" i="3"/>
  <c r="L8" i="3"/>
  <c r="L99" i="3"/>
  <c r="L103" i="3"/>
  <c r="L73" i="3"/>
  <c r="L64" i="3"/>
  <c r="L101" i="3"/>
  <c r="L44" i="3"/>
  <c r="L116" i="3"/>
  <c r="L46" i="3"/>
  <c r="L102" i="3"/>
  <c r="L117" i="3"/>
  <c r="L119" i="3"/>
  <c r="L104" i="3"/>
  <c r="L45" i="3"/>
  <c r="L49" i="3"/>
  <c r="L75" i="3"/>
  <c r="L74" i="3"/>
  <c r="L47" i="3"/>
  <c r="L50" i="3"/>
  <c r="L48" i="3"/>
  <c r="L121" i="3"/>
  <c r="L118" i="3"/>
  <c r="L120" i="3"/>
  <c r="L105" i="3"/>
  <c r="L106" i="3"/>
  <c r="L122" i="3"/>
  <c r="L123" i="3"/>
  <c r="L51" i="3"/>
  <c r="L58" i="3"/>
  <c r="L125" i="3"/>
  <c r="L107" i="3"/>
  <c r="L126" i="3"/>
  <c r="L52" i="3"/>
  <c r="L124" i="3"/>
  <c r="L24" i="3"/>
  <c r="L53" i="3"/>
  <c r="L127" i="3"/>
  <c r="L128" i="3"/>
  <c r="L108" i="3"/>
  <c r="L54" i="3"/>
  <c r="L23" i="3"/>
  <c r="L60" i="3"/>
  <c r="L59" i="3"/>
  <c r="L109" i="3"/>
  <c r="K15" i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P77" i="3" s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P27" i="1" s="1"/>
  <c r="T27" i="1"/>
  <c r="V27" i="1"/>
  <c r="X27" i="1"/>
  <c r="Y27" i="1"/>
  <c r="Z27" i="1"/>
  <c r="AB27" i="1"/>
  <c r="AC27" i="1"/>
  <c r="AD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X30" i="1"/>
  <c r="Y30" i="1"/>
  <c r="Z30" i="1"/>
  <c r="AA30" i="1" s="1"/>
  <c r="W30" i="1" s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A33" i="1" s="1"/>
  <c r="W33" i="1" s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P78" i="3" s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P79" i="3" s="1"/>
  <c r="Y38" i="1"/>
  <c r="Z38" i="1"/>
  <c r="AB38" i="1"/>
  <c r="AC38" i="1"/>
  <c r="AD38" i="1"/>
  <c r="K39" i="1"/>
  <c r="L39" i="1"/>
  <c r="M39" i="1"/>
  <c r="N39" i="1" s="1"/>
  <c r="T39" i="1"/>
  <c r="V39" i="1"/>
  <c r="Y39" i="1"/>
  <c r="Z39" i="1"/>
  <c r="AB39" i="1"/>
  <c r="AC39" i="1"/>
  <c r="AD39" i="1"/>
  <c r="K40" i="1"/>
  <c r="L40" i="1"/>
  <c r="M40" i="1"/>
  <c r="N40" i="1" s="1"/>
  <c r="T40" i="1"/>
  <c r="V40" i="1"/>
  <c r="Y40" i="1"/>
  <c r="Z40" i="1"/>
  <c r="AA40" i="1" s="1"/>
  <c r="W40" i="1" s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AA45" i="1" s="1"/>
  <c r="W45" i="1" s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N47" i="1" s="1"/>
  <c r="T47" i="1"/>
  <c r="V47" i="1"/>
  <c r="P80" i="3" s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P49" i="1" s="1"/>
  <c r="T49" i="1"/>
  <c r="V49" i="1"/>
  <c r="X49" i="1"/>
  <c r="Y49" i="1"/>
  <c r="AA49" i="1" s="1"/>
  <c r="W49" i="1" s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P81" i="3" s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P53" i="1" s="1"/>
  <c r="T53" i="1"/>
  <c r="V53" i="1"/>
  <c r="X53" i="1"/>
  <c r="Y53" i="1"/>
  <c r="AA53" i="1" s="1"/>
  <c r="W53" i="1" s="1"/>
  <c r="Z53" i="1"/>
  <c r="AB53" i="1"/>
  <c r="AC53" i="1"/>
  <c r="AD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P62" i="1" s="1"/>
  <c r="T62" i="1"/>
  <c r="V62" i="1"/>
  <c r="P56" i="3" s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P66" i="3" s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A68" i="1" s="1"/>
  <c r="W68" i="1" s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P67" i="3" s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P22" i="3" s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/>
  <c r="T88" i="1"/>
  <c r="V88" i="1"/>
  <c r="X88" i="1"/>
  <c r="Y88" i="1"/>
  <c r="AA88" i="1" s="1"/>
  <c r="W88" i="1" s="1"/>
  <c r="Z88" i="1"/>
  <c r="AB88" i="1"/>
  <c r="AC88" i="1"/>
  <c r="AD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P98" i="3" s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P99" i="3" s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N112" i="1" s="1"/>
  <c r="T112" i="1"/>
  <c r="V112" i="1"/>
  <c r="P100" i="3" s="1"/>
  <c r="X112" i="1"/>
  <c r="Y112" i="1"/>
  <c r="Z112" i="1"/>
  <c r="AB112" i="1"/>
  <c r="AC112" i="1"/>
  <c r="AD112" i="1"/>
  <c r="K113" i="1"/>
  <c r="L113" i="1"/>
  <c r="M113" i="1"/>
  <c r="N113" i="1" s="1"/>
  <c r="T113" i="1"/>
  <c r="V113" i="1"/>
  <c r="P101" i="3" s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P102" i="3" s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P103" i="3" s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P104" i="3" s="1"/>
  <c r="X119" i="1"/>
  <c r="Y119" i="1"/>
  <c r="Z119" i="1"/>
  <c r="AB119" i="1"/>
  <c r="AC119" i="1"/>
  <c r="AD119" i="1"/>
  <c r="K120" i="1"/>
  <c r="L120" i="1"/>
  <c r="M120" i="1"/>
  <c r="T120" i="1"/>
  <c r="V120" i="1"/>
  <c r="X120" i="1"/>
  <c r="Y120" i="1"/>
  <c r="Z120" i="1"/>
  <c r="AB120" i="1"/>
  <c r="AC120" i="1"/>
  <c r="AD120" i="1"/>
  <c r="K121" i="1"/>
  <c r="L121" i="1"/>
  <c r="M121" i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P105" i="3" s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P106" i="3" s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P133" i="1" s="1"/>
  <c r="T133" i="1"/>
  <c r="V133" i="1"/>
  <c r="X133" i="1"/>
  <c r="Y133" i="1"/>
  <c r="Z133" i="1"/>
  <c r="AB133" i="1"/>
  <c r="AC133" i="1"/>
  <c r="AD133" i="1"/>
  <c r="K134" i="1"/>
  <c r="L134" i="1"/>
  <c r="M134" i="1"/>
  <c r="T134" i="1"/>
  <c r="V134" i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P107" i="3" s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/>
  <c r="T142" i="1"/>
  <c r="V142" i="1"/>
  <c r="P58" i="3" s="1"/>
  <c r="X142" i="1"/>
  <c r="Y142" i="1"/>
  <c r="Z142" i="1"/>
  <c r="AB142" i="1"/>
  <c r="AC142" i="1"/>
  <c r="AD142" i="1"/>
  <c r="K143" i="1"/>
  <c r="L143" i="1"/>
  <c r="M143" i="1"/>
  <c r="N143" i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X144" i="1"/>
  <c r="Y144" i="1"/>
  <c r="Z144" i="1"/>
  <c r="AA144" i="1" s="1"/>
  <c r="W144" i="1" s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P108" i="3" s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P60" i="3" s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Y153" i="1"/>
  <c r="Z153" i="1"/>
  <c r="AB153" i="1"/>
  <c r="AC153" i="1"/>
  <c r="AD153" i="1"/>
  <c r="K154" i="1"/>
  <c r="L154" i="1"/>
  <c r="M154" i="1"/>
  <c r="N154" i="1" s="1"/>
  <c r="T154" i="1"/>
  <c r="V154" i="1"/>
  <c r="Y154" i="1"/>
  <c r="Z154" i="1"/>
  <c r="AB154" i="1"/>
  <c r="AC154" i="1"/>
  <c r="AD154" i="1"/>
  <c r="K155" i="1"/>
  <c r="L155" i="1"/>
  <c r="M155" i="1"/>
  <c r="N155" i="1" s="1"/>
  <c r="T155" i="1"/>
  <c r="V155" i="1"/>
  <c r="Y155" i="1"/>
  <c r="Z155" i="1"/>
  <c r="AB155" i="1"/>
  <c r="AC155" i="1"/>
  <c r="AD155" i="1"/>
  <c r="K156" i="1"/>
  <c r="L156" i="1"/>
  <c r="M156" i="1"/>
  <c r="N156" i="1" s="1"/>
  <c r="T156" i="1"/>
  <c r="V156" i="1"/>
  <c r="P109" i="3" s="1"/>
  <c r="X156" i="1"/>
  <c r="Y156" i="1"/>
  <c r="Z156" i="1"/>
  <c r="AB156" i="1"/>
  <c r="AC156" i="1"/>
  <c r="AD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K192" i="1"/>
  <c r="L192" i="1"/>
  <c r="M192" i="1"/>
  <c r="V192" i="1"/>
  <c r="K193" i="1"/>
  <c r="L193" i="1"/>
  <c r="M193" i="1"/>
  <c r="V193" i="1"/>
  <c r="K194" i="1"/>
  <c r="L194" i="1"/>
  <c r="M194" i="1"/>
  <c r="V194" i="1"/>
  <c r="P116" i="3" s="1"/>
  <c r="K195" i="1"/>
  <c r="L195" i="1"/>
  <c r="M195" i="1"/>
  <c r="V195" i="1"/>
  <c r="K196" i="1"/>
  <c r="L196" i="1"/>
  <c r="M196" i="1"/>
  <c r="V196" i="1"/>
  <c r="P119" i="3" s="1"/>
  <c r="K197" i="1"/>
  <c r="L197" i="1"/>
  <c r="M197" i="1"/>
  <c r="V197" i="1"/>
  <c r="K198" i="1"/>
  <c r="L198" i="1"/>
  <c r="M198" i="1"/>
  <c r="V198" i="1"/>
  <c r="K199" i="1"/>
  <c r="L199" i="1"/>
  <c r="M199" i="1"/>
  <c r="V199" i="1"/>
  <c r="K200" i="1"/>
  <c r="L200" i="1"/>
  <c r="M200" i="1"/>
  <c r="V200" i="1"/>
  <c r="K201" i="1"/>
  <c r="L201" i="1"/>
  <c r="M201" i="1"/>
  <c r="V201" i="1"/>
  <c r="K202" i="1"/>
  <c r="L202" i="1"/>
  <c r="M202" i="1"/>
  <c r="V202" i="1"/>
  <c r="P122" i="3" s="1"/>
  <c r="K203" i="1"/>
  <c r="L203" i="1"/>
  <c r="M203" i="1"/>
  <c r="V203" i="1"/>
  <c r="P51" i="3" s="1"/>
  <c r="K204" i="1"/>
  <c r="L204" i="1"/>
  <c r="M204" i="1"/>
  <c r="V204" i="1"/>
  <c r="P123" i="3" s="1"/>
  <c r="K205" i="1"/>
  <c r="L205" i="1"/>
  <c r="M205" i="1"/>
  <c r="V205" i="1"/>
  <c r="K206" i="1"/>
  <c r="L206" i="1"/>
  <c r="M206" i="1"/>
  <c r="V206" i="1"/>
  <c r="K207" i="1"/>
  <c r="L207" i="1"/>
  <c r="M207" i="1"/>
  <c r="V207" i="1"/>
  <c r="K208" i="1"/>
  <c r="L208" i="1"/>
  <c r="M208" i="1"/>
  <c r="V208" i="1"/>
  <c r="K209" i="1"/>
  <c r="L209" i="1"/>
  <c r="M209" i="1"/>
  <c r="V209" i="1"/>
  <c r="P54" i="3" s="1"/>
  <c r="AA129" i="1" l="1"/>
  <c r="W129" i="1" s="1"/>
  <c r="AA74" i="1"/>
  <c r="W74" i="1" s="1"/>
  <c r="AA59" i="1"/>
  <c r="W59" i="1" s="1"/>
  <c r="AA119" i="1"/>
  <c r="W119" i="1" s="1"/>
  <c r="AA108" i="1"/>
  <c r="W108" i="1" s="1"/>
  <c r="AA100" i="1"/>
  <c r="W100" i="1" s="1"/>
  <c r="AA96" i="1"/>
  <c r="W96" i="1" s="1"/>
  <c r="AA154" i="1"/>
  <c r="W154" i="1" s="1"/>
  <c r="AA47" i="1"/>
  <c r="W47" i="1" s="1"/>
  <c r="P53" i="3"/>
  <c r="P128" i="3"/>
  <c r="P127" i="3"/>
  <c r="P126" i="3"/>
  <c r="P125" i="3"/>
  <c r="P52" i="3"/>
  <c r="P124" i="3"/>
  <c r="P49" i="3"/>
  <c r="P120" i="3"/>
  <c r="P121" i="3"/>
  <c r="P47" i="3"/>
  <c r="P118" i="3"/>
  <c r="P117" i="3"/>
  <c r="AA139" i="1"/>
  <c r="W139" i="1" s="1"/>
  <c r="AA136" i="1"/>
  <c r="W136" i="1" s="1"/>
  <c r="AA123" i="1"/>
  <c r="W123" i="1" s="1"/>
  <c r="AA110" i="1"/>
  <c r="W110" i="1" s="1"/>
  <c r="AA102" i="1"/>
  <c r="W102" i="1" s="1"/>
  <c r="AA98" i="1"/>
  <c r="W98" i="1" s="1"/>
  <c r="AA82" i="1"/>
  <c r="W82" i="1" s="1"/>
  <c r="AA16" i="1"/>
  <c r="W16" i="1" s="1"/>
  <c r="AA71" i="1"/>
  <c r="W71" i="1" s="1"/>
  <c r="AA54" i="1"/>
  <c r="W54" i="1" s="1"/>
  <c r="AA42" i="1"/>
  <c r="W42" i="1" s="1"/>
  <c r="AA158" i="1"/>
  <c r="W158" i="1" s="1"/>
  <c r="AA157" i="1"/>
  <c r="W157" i="1" s="1"/>
  <c r="AA141" i="1"/>
  <c r="W141" i="1" s="1"/>
  <c r="AA107" i="1"/>
  <c r="W107" i="1" s="1"/>
  <c r="AA99" i="1"/>
  <c r="W99" i="1" s="1"/>
  <c r="AA72" i="1"/>
  <c r="W72" i="1" s="1"/>
  <c r="AA67" i="1"/>
  <c r="W67" i="1" s="1"/>
  <c r="AA66" i="1"/>
  <c r="W66" i="1" s="1"/>
  <c r="AA58" i="1"/>
  <c r="W58" i="1" s="1"/>
  <c r="AA48" i="1"/>
  <c r="W48" i="1" s="1"/>
  <c r="AA155" i="1"/>
  <c r="W155" i="1" s="1"/>
  <c r="AA152" i="1"/>
  <c r="W152" i="1" s="1"/>
  <c r="AA147" i="1"/>
  <c r="W147" i="1" s="1"/>
  <c r="AA146" i="1"/>
  <c r="W146" i="1" s="1"/>
  <c r="AA120" i="1"/>
  <c r="W120" i="1" s="1"/>
  <c r="P120" i="1"/>
  <c r="AA105" i="1"/>
  <c r="W105" i="1" s="1"/>
  <c r="AA101" i="1"/>
  <c r="W101" i="1" s="1"/>
  <c r="AA97" i="1"/>
  <c r="W97" i="1" s="1"/>
  <c r="AA85" i="1"/>
  <c r="W85" i="1" s="1"/>
  <c r="AA77" i="1"/>
  <c r="W77" i="1" s="1"/>
  <c r="AA60" i="1"/>
  <c r="W60" i="1" s="1"/>
  <c r="AA55" i="1"/>
  <c r="W55" i="1" s="1"/>
  <c r="AA50" i="1"/>
  <c r="W50" i="1" s="1"/>
  <c r="AA46" i="1"/>
  <c r="W46" i="1" s="1"/>
  <c r="AA43" i="1"/>
  <c r="W43" i="1" s="1"/>
  <c r="AA149" i="1"/>
  <c r="W149" i="1" s="1"/>
  <c r="AA145" i="1"/>
  <c r="W145" i="1" s="1"/>
  <c r="U145" i="1"/>
  <c r="S145" i="1" s="1"/>
  <c r="AA142" i="1"/>
  <c r="W142" i="1" s="1"/>
  <c r="AA140" i="1"/>
  <c r="W140" i="1" s="1"/>
  <c r="AA106" i="1"/>
  <c r="W106" i="1" s="1"/>
  <c r="AA94" i="1"/>
  <c r="W94" i="1" s="1"/>
  <c r="AA93" i="1"/>
  <c r="W93" i="1" s="1"/>
  <c r="AA92" i="1"/>
  <c r="W92" i="1" s="1"/>
  <c r="AA80" i="1"/>
  <c r="W80" i="1" s="1"/>
  <c r="AA79" i="1"/>
  <c r="W79" i="1" s="1"/>
  <c r="AA78" i="1"/>
  <c r="W78" i="1" s="1"/>
  <c r="AA75" i="1"/>
  <c r="W75" i="1" s="1"/>
  <c r="AA64" i="1"/>
  <c r="W64" i="1" s="1"/>
  <c r="AA56" i="1"/>
  <c r="W56" i="1" s="1"/>
  <c r="AA51" i="1"/>
  <c r="W51" i="1" s="1"/>
  <c r="AA25" i="1"/>
  <c r="W25" i="1" s="1"/>
  <c r="AA153" i="1"/>
  <c r="W153" i="1" s="1"/>
  <c r="U153" i="1"/>
  <c r="S153" i="1" s="1"/>
  <c r="AA133" i="1"/>
  <c r="W133" i="1" s="1"/>
  <c r="AA127" i="1"/>
  <c r="W127" i="1" s="1"/>
  <c r="AA115" i="1"/>
  <c r="W115" i="1" s="1"/>
  <c r="AA109" i="1"/>
  <c r="W109" i="1" s="1"/>
  <c r="AA104" i="1"/>
  <c r="W104" i="1" s="1"/>
  <c r="AA90" i="1"/>
  <c r="W90" i="1" s="1"/>
  <c r="AA89" i="1"/>
  <c r="W89" i="1" s="1"/>
  <c r="AA83" i="1"/>
  <c r="W83" i="1" s="1"/>
  <c r="AA69" i="1"/>
  <c r="W69" i="1" s="1"/>
  <c r="P55" i="3"/>
  <c r="AA138" i="1"/>
  <c r="W138" i="1" s="1"/>
  <c r="AA137" i="1"/>
  <c r="W137" i="1" s="1"/>
  <c r="AA134" i="1"/>
  <c r="W134" i="1" s="1"/>
  <c r="U134" i="1"/>
  <c r="AA130" i="1"/>
  <c r="W130" i="1" s="1"/>
  <c r="AA135" i="1"/>
  <c r="W135" i="1" s="1"/>
  <c r="AA81" i="1"/>
  <c r="W81" i="1" s="1"/>
  <c r="AA70" i="1"/>
  <c r="W70" i="1" s="1"/>
  <c r="AA57" i="1"/>
  <c r="W57" i="1" s="1"/>
  <c r="P65" i="3"/>
  <c r="AA95" i="1"/>
  <c r="W95" i="1" s="1"/>
  <c r="AA156" i="1"/>
  <c r="W156" i="1" s="1"/>
  <c r="AA143" i="1"/>
  <c r="W143" i="1" s="1"/>
  <c r="AA84" i="1"/>
  <c r="W84" i="1" s="1"/>
  <c r="AA103" i="1"/>
  <c r="W103" i="1" s="1"/>
  <c r="AA73" i="1"/>
  <c r="W73" i="1" s="1"/>
  <c r="AA61" i="1"/>
  <c r="W61" i="1" s="1"/>
  <c r="P57" i="3"/>
  <c r="AA151" i="1"/>
  <c r="W151" i="1" s="1"/>
  <c r="AA150" i="1"/>
  <c r="W150" i="1" s="1"/>
  <c r="AA148" i="1"/>
  <c r="W148" i="1" s="1"/>
  <c r="U148" i="1"/>
  <c r="S148" i="1" s="1"/>
  <c r="AA132" i="1"/>
  <c r="W132" i="1" s="1"/>
  <c r="AA131" i="1"/>
  <c r="W131" i="1" s="1"/>
  <c r="AA128" i="1"/>
  <c r="W128" i="1" s="1"/>
  <c r="U128" i="1"/>
  <c r="S128" i="1" s="1"/>
  <c r="AA126" i="1"/>
  <c r="W126" i="1" s="1"/>
  <c r="AA125" i="1"/>
  <c r="W125" i="1" s="1"/>
  <c r="AA124" i="1"/>
  <c r="W124" i="1" s="1"/>
  <c r="AA122" i="1"/>
  <c r="W122" i="1" s="1"/>
  <c r="AA121" i="1"/>
  <c r="W121" i="1" s="1"/>
  <c r="AA118" i="1"/>
  <c r="W118" i="1" s="1"/>
  <c r="AA117" i="1"/>
  <c r="W117" i="1" s="1"/>
  <c r="AA116" i="1"/>
  <c r="W116" i="1" s="1"/>
  <c r="AA114" i="1"/>
  <c r="W114" i="1" s="1"/>
  <c r="AA113" i="1"/>
  <c r="W113" i="1" s="1"/>
  <c r="AA112" i="1"/>
  <c r="W112" i="1" s="1"/>
  <c r="AA111" i="1"/>
  <c r="W111" i="1" s="1"/>
  <c r="AA87" i="1"/>
  <c r="W87" i="1" s="1"/>
  <c r="AA86" i="1"/>
  <c r="W86" i="1" s="1"/>
  <c r="AA76" i="1"/>
  <c r="W76" i="1" s="1"/>
  <c r="AA65" i="1"/>
  <c r="W65" i="1" s="1"/>
  <c r="AA63" i="1"/>
  <c r="W63" i="1" s="1"/>
  <c r="AA62" i="1"/>
  <c r="W62" i="1" s="1"/>
  <c r="AA52" i="1"/>
  <c r="W52" i="1" s="1"/>
  <c r="AA37" i="1"/>
  <c r="W37" i="1" s="1"/>
  <c r="AA21" i="1"/>
  <c r="W21" i="1" s="1"/>
  <c r="U137" i="1"/>
  <c r="S137" i="1" s="1"/>
  <c r="U154" i="1"/>
  <c r="S154" i="1" s="1"/>
  <c r="U152" i="1"/>
  <c r="S152" i="1" s="1"/>
  <c r="U149" i="1"/>
  <c r="S149" i="1" s="1"/>
  <c r="U146" i="1"/>
  <c r="S146" i="1" s="1"/>
  <c r="U144" i="1"/>
  <c r="S144" i="1" s="1"/>
  <c r="U141" i="1"/>
  <c r="S141" i="1" s="1"/>
  <c r="U138" i="1"/>
  <c r="S138" i="1" s="1"/>
  <c r="U136" i="1"/>
  <c r="S136" i="1" s="1"/>
  <c r="U132" i="1"/>
  <c r="S132" i="1" s="1"/>
  <c r="U129" i="1"/>
  <c r="S129" i="1" s="1"/>
  <c r="U126" i="1"/>
  <c r="S126" i="1" s="1"/>
  <c r="U94" i="1"/>
  <c r="S94" i="1" s="1"/>
  <c r="U92" i="1"/>
  <c r="S92" i="1" s="1"/>
  <c r="U65" i="1"/>
  <c r="S65" i="1" s="1"/>
  <c r="U27" i="1"/>
  <c r="S27" i="1" s="1"/>
  <c r="P45" i="3"/>
  <c r="U158" i="1"/>
  <c r="S158" i="1" s="1"/>
  <c r="U150" i="1"/>
  <c r="S150" i="1" s="1"/>
  <c r="U130" i="1"/>
  <c r="S130" i="1" s="1"/>
  <c r="U156" i="1"/>
  <c r="S156" i="1" s="1"/>
  <c r="U151" i="1"/>
  <c r="S151" i="1" s="1"/>
  <c r="U143" i="1"/>
  <c r="S143" i="1" s="1"/>
  <c r="U135" i="1"/>
  <c r="S135" i="1" s="1"/>
  <c r="U131" i="1"/>
  <c r="S131" i="1" s="1"/>
  <c r="U102" i="1"/>
  <c r="S102" i="1" s="1"/>
  <c r="U100" i="1"/>
  <c r="S100" i="1" s="1"/>
  <c r="U97" i="1"/>
  <c r="S97" i="1" s="1"/>
  <c r="U69" i="1"/>
  <c r="S69" i="1" s="1"/>
  <c r="U56" i="1"/>
  <c r="S56" i="1" s="1"/>
  <c r="U28" i="1"/>
  <c r="S28" i="1" s="1"/>
  <c r="P74" i="3"/>
  <c r="P46" i="3"/>
  <c r="P48" i="3"/>
  <c r="U125" i="1"/>
  <c r="S125" i="1" s="1"/>
  <c r="U110" i="1"/>
  <c r="S110" i="1" s="1"/>
  <c r="U108" i="1"/>
  <c r="S108" i="1" s="1"/>
  <c r="U105" i="1"/>
  <c r="S105" i="1" s="1"/>
  <c r="U75" i="1"/>
  <c r="S75" i="1" s="1"/>
  <c r="U60" i="1"/>
  <c r="S60" i="1" s="1"/>
  <c r="P50" i="3"/>
  <c r="P75" i="3"/>
  <c r="P44" i="3"/>
  <c r="P64" i="3"/>
  <c r="P73" i="3"/>
  <c r="U142" i="1"/>
  <c r="S142" i="1" s="1"/>
  <c r="U140" i="1"/>
  <c r="S140" i="1" s="1"/>
  <c r="U157" i="1"/>
  <c r="S157" i="1" s="1"/>
  <c r="U155" i="1"/>
  <c r="S155" i="1" s="1"/>
  <c r="U147" i="1"/>
  <c r="S147" i="1" s="1"/>
  <c r="P24" i="3"/>
  <c r="P23" i="3"/>
  <c r="U139" i="1"/>
  <c r="S139" i="1" s="1"/>
  <c r="U133" i="1"/>
  <c r="S133" i="1" s="1"/>
  <c r="U127" i="1"/>
  <c r="S127" i="1" s="1"/>
  <c r="U124" i="1"/>
  <c r="S124" i="1" s="1"/>
  <c r="U122" i="1"/>
  <c r="S122" i="1" s="1"/>
  <c r="U121" i="1"/>
  <c r="U118" i="1"/>
  <c r="S118" i="1" s="1"/>
  <c r="U116" i="1"/>
  <c r="S116" i="1" s="1"/>
  <c r="U113" i="1"/>
  <c r="S113" i="1" s="1"/>
  <c r="U83" i="1"/>
  <c r="S83" i="1" s="1"/>
  <c r="U51" i="1"/>
  <c r="S51" i="1" s="1"/>
  <c r="P59" i="3"/>
  <c r="U123" i="1"/>
  <c r="S123" i="1" s="1"/>
  <c r="U120" i="1"/>
  <c r="S120" i="1" s="1"/>
  <c r="U119" i="1"/>
  <c r="S119" i="1" s="1"/>
  <c r="U111" i="1"/>
  <c r="S111" i="1" s="1"/>
  <c r="U103" i="1"/>
  <c r="S103" i="1" s="1"/>
  <c r="U95" i="1"/>
  <c r="S95" i="1" s="1"/>
  <c r="U89" i="1"/>
  <c r="S89" i="1" s="1"/>
  <c r="U86" i="1"/>
  <c r="S86" i="1" s="1"/>
  <c r="U84" i="1"/>
  <c r="S84" i="1" s="1"/>
  <c r="U81" i="1"/>
  <c r="S81" i="1" s="1"/>
  <c r="U78" i="1"/>
  <c r="S78" i="1" s="1"/>
  <c r="U76" i="1"/>
  <c r="S76" i="1" s="1"/>
  <c r="U73" i="1"/>
  <c r="S73" i="1" s="1"/>
  <c r="U70" i="1"/>
  <c r="S70" i="1" s="1"/>
  <c r="U66" i="1"/>
  <c r="S66" i="1" s="1"/>
  <c r="U62" i="1"/>
  <c r="S62" i="1" s="1"/>
  <c r="U61" i="1"/>
  <c r="S61" i="1" s="1"/>
  <c r="U57" i="1"/>
  <c r="S57" i="1" s="1"/>
  <c r="U53" i="1"/>
  <c r="S53" i="1" s="1"/>
  <c r="U52" i="1"/>
  <c r="S52" i="1" s="1"/>
  <c r="U39" i="1"/>
  <c r="S39" i="1" s="1"/>
  <c r="U38" i="1"/>
  <c r="S38" i="1" s="1"/>
  <c r="U32" i="1"/>
  <c r="S32" i="1" s="1"/>
  <c r="AA26" i="1"/>
  <c r="W26" i="1" s="1"/>
  <c r="U20" i="1"/>
  <c r="S20" i="1" s="1"/>
  <c r="U19" i="1"/>
  <c r="S19" i="1" s="1"/>
  <c r="AA18" i="1"/>
  <c r="W18" i="1" s="1"/>
  <c r="AA17" i="1"/>
  <c r="W17" i="1" s="1"/>
  <c r="U115" i="1"/>
  <c r="S115" i="1" s="1"/>
  <c r="U107" i="1"/>
  <c r="S107" i="1" s="1"/>
  <c r="U99" i="1"/>
  <c r="S99" i="1" s="1"/>
  <c r="U91" i="1"/>
  <c r="S91" i="1" s="1"/>
  <c r="U90" i="1"/>
  <c r="S90" i="1" s="1"/>
  <c r="U88" i="1"/>
  <c r="S88" i="1" s="1"/>
  <c r="U85" i="1"/>
  <c r="S85" i="1" s="1"/>
  <c r="U82" i="1"/>
  <c r="S82" i="1" s="1"/>
  <c r="U80" i="1"/>
  <c r="S80" i="1" s="1"/>
  <c r="U77" i="1"/>
  <c r="S77" i="1" s="1"/>
  <c r="U74" i="1"/>
  <c r="S74" i="1" s="1"/>
  <c r="U72" i="1"/>
  <c r="S72" i="1" s="1"/>
  <c r="U68" i="1"/>
  <c r="S68" i="1" s="1"/>
  <c r="U64" i="1"/>
  <c r="S64" i="1" s="1"/>
  <c r="U59" i="1"/>
  <c r="S59" i="1" s="1"/>
  <c r="U55" i="1"/>
  <c r="S55" i="1" s="1"/>
  <c r="U50" i="1"/>
  <c r="S50" i="1" s="1"/>
  <c r="U49" i="1"/>
  <c r="S49" i="1" s="1"/>
  <c r="U48" i="1"/>
  <c r="S48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AA41" i="1"/>
  <c r="W41" i="1" s="1"/>
  <c r="U36" i="1"/>
  <c r="S36" i="1" s="1"/>
  <c r="U35" i="1"/>
  <c r="S35" i="1" s="1"/>
  <c r="AA34" i="1"/>
  <c r="W34" i="1" s="1"/>
  <c r="AA29" i="1"/>
  <c r="W29" i="1" s="1"/>
  <c r="U24" i="1"/>
  <c r="S24" i="1" s="1"/>
  <c r="U23" i="1"/>
  <c r="S23" i="1" s="1"/>
  <c r="AA22" i="1"/>
  <c r="W22" i="1" s="1"/>
  <c r="U117" i="1"/>
  <c r="S117" i="1" s="1"/>
  <c r="U114" i="1"/>
  <c r="S114" i="1" s="1"/>
  <c r="U112" i="1"/>
  <c r="S112" i="1" s="1"/>
  <c r="U109" i="1"/>
  <c r="S109" i="1" s="1"/>
  <c r="U106" i="1"/>
  <c r="S106" i="1" s="1"/>
  <c r="U104" i="1"/>
  <c r="S104" i="1" s="1"/>
  <c r="U101" i="1"/>
  <c r="S101" i="1" s="1"/>
  <c r="U98" i="1"/>
  <c r="S98" i="1" s="1"/>
  <c r="U96" i="1"/>
  <c r="S96" i="1" s="1"/>
  <c r="U93" i="1"/>
  <c r="S93" i="1" s="1"/>
  <c r="U87" i="1"/>
  <c r="S87" i="1" s="1"/>
  <c r="U79" i="1"/>
  <c r="S79" i="1" s="1"/>
  <c r="U71" i="1"/>
  <c r="S71" i="1" s="1"/>
  <c r="U67" i="1"/>
  <c r="S67" i="1" s="1"/>
  <c r="U63" i="1"/>
  <c r="S63" i="1" s="1"/>
  <c r="U58" i="1"/>
  <c r="S58" i="1" s="1"/>
  <c r="U54" i="1"/>
  <c r="S54" i="1" s="1"/>
  <c r="U15" i="1"/>
  <c r="S15" i="1" s="1"/>
  <c r="U34" i="1"/>
  <c r="S34" i="1" s="1"/>
  <c r="U18" i="1"/>
  <c r="S18" i="1" s="1"/>
  <c r="U22" i="1"/>
  <c r="S22" i="1" s="1"/>
  <c r="U41" i="1"/>
  <c r="S41" i="1" s="1"/>
  <c r="U26" i="1"/>
  <c r="S26" i="1" s="1"/>
  <c r="U31" i="1"/>
  <c r="S31" i="1" s="1"/>
  <c r="U30" i="1"/>
  <c r="S30" i="1" s="1"/>
  <c r="U37" i="1"/>
  <c r="S37" i="1" s="1"/>
  <c r="U29" i="1"/>
  <c r="S29" i="1" s="1"/>
  <c r="U21" i="1"/>
  <c r="S21" i="1" s="1"/>
  <c r="U17" i="1"/>
  <c r="S17" i="1" s="1"/>
  <c r="AA39" i="1"/>
  <c r="W39" i="1" s="1"/>
  <c r="AA36" i="1"/>
  <c r="W36" i="1" s="1"/>
  <c r="AA32" i="1"/>
  <c r="W32" i="1" s="1"/>
  <c r="AA28" i="1"/>
  <c r="W28" i="1" s="1"/>
  <c r="AA24" i="1"/>
  <c r="W24" i="1" s="1"/>
  <c r="AA20" i="1"/>
  <c r="W20" i="1" s="1"/>
  <c r="U16" i="1"/>
  <c r="S16" i="1" s="1"/>
  <c r="U40" i="1"/>
  <c r="S40" i="1" s="1"/>
  <c r="U33" i="1"/>
  <c r="S33" i="1" s="1"/>
  <c r="U25" i="1"/>
  <c r="S25" i="1" s="1"/>
  <c r="AA38" i="1"/>
  <c r="W38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V159" i="1"/>
  <c r="V160" i="1"/>
  <c r="P110" i="3" s="1"/>
  <c r="V161" i="1"/>
  <c r="P111" i="3" s="1"/>
  <c r="V162" i="1"/>
  <c r="P61" i="3" s="1"/>
  <c r="V163" i="1"/>
  <c r="P62" i="3" s="1"/>
  <c r="V164" i="1"/>
  <c r="P63" i="3" s="1"/>
  <c r="V165" i="1"/>
  <c r="V166" i="1"/>
  <c r="V167" i="1"/>
  <c r="V168" i="1"/>
  <c r="V169" i="1"/>
  <c r="P112" i="3" s="1"/>
  <c r="V170" i="1"/>
  <c r="V171" i="1"/>
  <c r="V172" i="1"/>
  <c r="V173" i="1"/>
  <c r="V174" i="1"/>
  <c r="V175" i="1"/>
  <c r="P27" i="3" s="1"/>
  <c r="V176" i="1"/>
  <c r="P113" i="3" s="1"/>
  <c r="V177" i="1"/>
  <c r="V178" i="1"/>
  <c r="V179" i="1"/>
  <c r="V180" i="1"/>
  <c r="V181" i="1"/>
  <c r="V182" i="1"/>
  <c r="P114" i="3" s="1"/>
  <c r="V183" i="1"/>
  <c r="P115" i="3" s="1"/>
  <c r="V184" i="1"/>
  <c r="V185" i="1"/>
  <c r="V186" i="1"/>
  <c r="P72" i="3" s="1"/>
  <c r="V187" i="1"/>
  <c r="V188" i="1"/>
  <c r="V189" i="1"/>
  <c r="V190" i="1"/>
  <c r="V191" i="1"/>
  <c r="P26" i="3" l="1"/>
  <c r="P25" i="3"/>
  <c r="P28" i="3"/>
  <c r="P29" i="3"/>
  <c r="P17" i="3"/>
  <c r="Q17" i="3"/>
  <c r="Q97" i="3"/>
  <c r="Q40" i="3"/>
  <c r="Q41" i="3"/>
  <c r="P37" i="3"/>
  <c r="Q37" i="3"/>
  <c r="P82" i="3"/>
  <c r="Q82" i="3"/>
  <c r="Q42" i="3"/>
  <c r="Q69" i="3"/>
  <c r="Q43" i="3"/>
  <c r="Q8" i="3"/>
  <c r="P97" i="3" l="1"/>
  <c r="P40" i="3"/>
  <c r="P41" i="3"/>
  <c r="P42" i="3"/>
  <c r="P69" i="3"/>
  <c r="P43" i="3"/>
  <c r="P8" i="3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Q39" i="3" l="1"/>
  <c r="P92" i="3"/>
  <c r="Q92" i="3"/>
  <c r="P12" i="3"/>
  <c r="Q12" i="3"/>
  <c r="Q14" i="3"/>
  <c r="Q15" i="3"/>
  <c r="Q81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39" i="3"/>
  <c r="P14" i="3"/>
  <c r="P15" i="3"/>
  <c r="Q19" i="3" l="1"/>
  <c r="Q83" i="3"/>
  <c r="Q21" i="3"/>
  <c r="Q9" i="3"/>
  <c r="Q16" i="3"/>
  <c r="Q35" i="3"/>
  <c r="Q72" i="3"/>
  <c r="Q87" i="3"/>
  <c r="Q13" i="3"/>
  <c r="Q30" i="3"/>
  <c r="Q7" i="3"/>
  <c r="Q31" i="3"/>
  <c r="Q85" i="3"/>
  <c r="Q91" i="3"/>
  <c r="Q88" i="3"/>
  <c r="Q89" i="3"/>
  <c r="Q34" i="3"/>
  <c r="Q79" i="3"/>
  <c r="Q20" i="3"/>
  <c r="Q33" i="3"/>
  <c r="Q90" i="3"/>
  <c r="Q84" i="3"/>
  <c r="P86" i="3"/>
  <c r="Q86" i="3"/>
  <c r="Q78" i="3"/>
  <c r="Q70" i="3"/>
  <c r="Q38" i="3"/>
  <c r="Q71" i="3"/>
  <c r="Q32" i="3"/>
  <c r="Q18" i="3"/>
  <c r="P94" i="3"/>
  <c r="Q94" i="3"/>
  <c r="P95" i="3"/>
  <c r="Q95" i="3"/>
  <c r="Q80" i="3"/>
  <c r="P11" i="3"/>
  <c r="Q11" i="3"/>
  <c r="P93" i="3"/>
  <c r="Q93" i="3"/>
  <c r="P36" i="3"/>
  <c r="Q36" i="3"/>
  <c r="Q96" i="3"/>
  <c r="P68" i="3"/>
  <c r="Q68" i="3"/>
  <c r="P10" i="3"/>
  <c r="Q10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83" i="3"/>
  <c r="P21" i="3"/>
  <c r="P87" i="3"/>
  <c r="P31" i="3"/>
  <c r="P88" i="3"/>
  <c r="P89" i="3"/>
  <c r="P18" i="3"/>
  <c r="P96" i="3"/>
  <c r="P84" i="3" l="1"/>
  <c r="P91" i="3"/>
  <c r="P13" i="3"/>
  <c r="P85" i="3"/>
  <c r="P9" i="3"/>
  <c r="P70" i="3"/>
  <c r="P20" i="3"/>
  <c r="P33" i="3"/>
  <c r="P19" i="3"/>
  <c r="P38" i="3"/>
  <c r="P34" i="3"/>
  <c r="P71" i="3"/>
  <c r="P7" i="3"/>
  <c r="P30" i="3"/>
  <c r="P35" i="3"/>
  <c r="P90" i="3"/>
  <c r="P32" i="3"/>
  <c r="L76" i="3" l="1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16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<sst xmlns="http://schemas.openxmlformats.org/spreadsheetml/2006/main" count="2727" uniqueCount="686">
  <si>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</si>
  <si>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</si>
  <si>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</si>
  <si>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</si>
  <si>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</si>
  <si>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</si>
  <si>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</si>
  <si>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</si>
  <si>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</si>
  <si>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</si>
  <si>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</si>
  <si>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</si>
  <si>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</si>
  <si>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</si>
  <si>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</si>
  <si>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</si>
  <si>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</si>
  <si>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</si>
  <si>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</si>
  <si>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</si>
  <si>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</si>
  <si>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</si>
  <si>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</si>
  <si>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</si>
  <si>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</si>
  <si>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</si>
  <si>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</si>
  <si>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</si>
  <si>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</si>
  <si>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</si>
  <si>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</si>
  <si>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</si>
  <si>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</si>
  <si>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</si>
  <si>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</si>
  <si>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</si>
  <si>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</si>
  <si>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</si>
  <si>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</si>
  <si>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</si>
  <si>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</si>
  <si>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</si>
  <si>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</si>
  <si>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</si>
  <si>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</si>
  <si>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</si>
  <si>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</si>
  <si>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</si>
  <si>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</si>
  <si>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</si>
  <si>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</si>
  <si>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</si>
  <si>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</si>
  <si>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</si>
  <si>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</si>
  <si>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</si>
  <si>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</si>
  <si>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</si>
  <si>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</si>
  <si>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</si>
  <si>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</si>
  <si>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</si>
  <si>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</si>
  <si>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</si>
  <si>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</si>
  <si>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</si>
  <si>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</si>
  <si>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</si>
  <si>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</si>
  <si>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</si>
  <si>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</si>
  <si>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</si>
  <si>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</si>
  <si>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</si>
  <si>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</si>
  <si>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</si>
  <si>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</si>
  <si>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</si>
  <si>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</si>
  <si>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</si>
  <si>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</si>
  <si>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</si>
  <si>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</si>
  <si>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</si>
  <si>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</si>
  <si>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</si>
  <si>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</si>
  <si>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</si>
  <si>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</si>
  <si>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</si>
  <si>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</si>
  <si>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</si>
  <si>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</si>
  <si>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</si>
  <si>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</si>
  <si>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</si>
  <si>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</si>
  <si>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</si>
  <si>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</si>
  <si>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</si>
  <si>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</si>
  <si>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</si>
  <si>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</si>
  <si>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</si>
  <si>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</si>
  <si>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</si>
  <si>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</si>
  <si>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</si>
  <si>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</si>
  <si>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</si>
  <si>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</si>
  <si>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</si>
  <si>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</si>
  <si>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</si>
  <si>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</si>
  <si>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</si>
  <si>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</si>
  <si>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</si>
  <si>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</si>
  <si>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</si>
  <si>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</si>
  <si>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</si>
  <si>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</si>
  <si>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</si>
  <si>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</si>
  <si>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</si>
  <si>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</si>
  <si>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</si>
  <si>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</si>
  <si>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</si>
  <si>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</si>
  <si>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204:233293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</si>
  <si>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</si>
  <si>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</si>
  <si>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</si>
  <si>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</si>
  <si>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</si>
  <si>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</si>
  <si>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</si>
  <si>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</si>
  <si>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</si>
  <si>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</si>
  <si>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</si>
  <si>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</si>
  <si>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</si>
  <si>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</si>
  <si>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</si>
  <si>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</si>
  <si>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</si>
  <si>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</si>
  <si>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</si>
  <si>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204:232979</t>
  </si>
  <si>
    <t>204:446</t>
  </si>
  <si>
    <t>204:156</t>
  </si>
  <si>
    <t>ROCHA</t>
  </si>
  <si>
    <t>SPECTOR</t>
  </si>
  <si>
    <t>YOUNG</t>
  </si>
  <si>
    <t>Onboard in-route failure</t>
  </si>
  <si>
    <t>Form C</t>
  </si>
  <si>
    <t>Wi-MAX outage</t>
  </si>
  <si>
    <t>204:163</t>
  </si>
  <si>
    <t>204:232978</t>
  </si>
  <si>
    <t>204:233004</t>
  </si>
  <si>
    <t>204:232965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</si>
  <si>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</si>
  <si>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</si>
  <si>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</si>
  <si>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</si>
  <si>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</si>
  <si>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</si>
  <si>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</si>
  <si>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204:232983</t>
  </si>
  <si>
    <t>204:232959</t>
  </si>
  <si>
    <t>204:167</t>
  </si>
  <si>
    <t>BRUDER</t>
  </si>
  <si>
    <t>204:138</t>
  </si>
  <si>
    <t>204:455</t>
  </si>
  <si>
    <t>204:233309</t>
  </si>
  <si>
    <t>204:233288</t>
  </si>
  <si>
    <t>300:58609</t>
  </si>
  <si>
    <t>300:58611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</si>
  <si>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</si>
  <si>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</si>
  <si>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</si>
  <si>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</si>
  <si>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</si>
  <si>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</si>
  <si>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</si>
  <si>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CUSHING</t>
  </si>
  <si>
    <t>204:232991</t>
  </si>
  <si>
    <t>104-03</t>
  </si>
  <si>
    <t>WEBSTER</t>
  </si>
  <si>
    <t>GRASTON</t>
  </si>
  <si>
    <t>rtdc.l.rtdc.4007:itc</t>
  </si>
  <si>
    <t>STRICKLAND</t>
  </si>
  <si>
    <t>BONDS</t>
  </si>
  <si>
    <t>DE LA ROSA</t>
  </si>
  <si>
    <t>102-03</t>
  </si>
  <si>
    <t>rtdc.l.rtdc.4040:itc</t>
  </si>
  <si>
    <t>109-03</t>
  </si>
  <si>
    <t>113-03</t>
  </si>
  <si>
    <t>204:233286</t>
  </si>
  <si>
    <t>204:233274</t>
  </si>
  <si>
    <t>204:232967</t>
  </si>
  <si>
    <t>204:442</t>
  </si>
  <si>
    <t>204:232973</t>
  </si>
  <si>
    <t>204:232987</t>
  </si>
  <si>
    <t>204:232990</t>
  </si>
  <si>
    <t>204:233326</t>
  </si>
  <si>
    <t>204:233319</t>
  </si>
  <si>
    <t>204:233000</t>
  </si>
  <si>
    <t>204:232981</t>
  </si>
  <si>
    <t>300:58922</t>
  </si>
  <si>
    <t>204:232998</t>
  </si>
  <si>
    <t>204:141</t>
  </si>
  <si>
    <t>204:469</t>
  </si>
  <si>
    <t>204:233303</t>
  </si>
  <si>
    <t>Trip Number Sortable</t>
  </si>
  <si>
    <t>204:792</t>
  </si>
  <si>
    <t>204:232629</t>
  </si>
  <si>
    <t>204:233302</t>
  </si>
  <si>
    <t>110-03</t>
  </si>
  <si>
    <t>204:233306</t>
  </si>
  <si>
    <t>117-03</t>
  </si>
  <si>
    <t>118-03</t>
  </si>
  <si>
    <t>122-03</t>
  </si>
  <si>
    <t>204:449</t>
  </si>
  <si>
    <t>130-03</t>
  </si>
  <si>
    <t>204:475</t>
  </si>
  <si>
    <t>204:161</t>
  </si>
  <si>
    <t>204:232957</t>
  </si>
  <si>
    <t>135-03</t>
  </si>
  <si>
    <t>204:233310</t>
  </si>
  <si>
    <t>136-03</t>
  </si>
  <si>
    <t>137-03</t>
  </si>
  <si>
    <t>142-03</t>
  </si>
  <si>
    <t>204:233298</t>
  </si>
  <si>
    <t>204:435</t>
  </si>
  <si>
    <t>146-03</t>
  </si>
  <si>
    <t>204:233287</t>
  </si>
  <si>
    <t>148-03</t>
  </si>
  <si>
    <t>155-03</t>
  </si>
  <si>
    <t>158-03</t>
  </si>
  <si>
    <t>159-03</t>
  </si>
  <si>
    <t>204:498</t>
  </si>
  <si>
    <t>160-03</t>
  </si>
  <si>
    <t>204:233001</t>
  </si>
  <si>
    <t>165-03</t>
  </si>
  <si>
    <t>166-03</t>
  </si>
  <si>
    <t>204:233019</t>
  </si>
  <si>
    <t>167-03</t>
  </si>
  <si>
    <t>168-03</t>
  </si>
  <si>
    <t>169-03</t>
  </si>
  <si>
    <t>171-03</t>
  </si>
  <si>
    <t>176-03</t>
  </si>
  <si>
    <t>204:233003</t>
  </si>
  <si>
    <t>178-03</t>
  </si>
  <si>
    <t>204:129</t>
  </si>
  <si>
    <t>179-03</t>
  </si>
  <si>
    <t>180-03</t>
  </si>
  <si>
    <t>1800-03</t>
  </si>
  <si>
    <t>1802-03</t>
  </si>
  <si>
    <t>300:58604</t>
  </si>
  <si>
    <t>1803-03</t>
  </si>
  <si>
    <t>1809-03</t>
  </si>
  <si>
    <t>204:233300</t>
  </si>
  <si>
    <t>1810-03</t>
  </si>
  <si>
    <t>300:58589</t>
  </si>
  <si>
    <t>1814-03</t>
  </si>
  <si>
    <t>1816-03</t>
  </si>
  <si>
    <t>300:58927</t>
  </si>
  <si>
    <t>182-03</t>
  </si>
  <si>
    <t>1823-03</t>
  </si>
  <si>
    <t>300:58606</t>
  </si>
  <si>
    <t>1826-03</t>
  </si>
  <si>
    <t>300:58613</t>
  </si>
  <si>
    <t>300:58918</t>
  </si>
  <si>
    <t>1830-03</t>
  </si>
  <si>
    <t>300:58608</t>
  </si>
  <si>
    <t>1831-03</t>
  </si>
  <si>
    <t>1832-03</t>
  </si>
  <si>
    <t>185-03</t>
  </si>
  <si>
    <t>187-03</t>
  </si>
  <si>
    <t>189-03</t>
  </si>
  <si>
    <t>190-03</t>
  </si>
  <si>
    <t>192-03</t>
  </si>
  <si>
    <t>193-03</t>
  </si>
  <si>
    <t>204:233307</t>
  </si>
  <si>
    <t>202-03</t>
  </si>
  <si>
    <t>207-03</t>
  </si>
  <si>
    <t>209-03</t>
  </si>
  <si>
    <t>214-03</t>
  </si>
  <si>
    <t>215-03</t>
  </si>
  <si>
    <t>217-03</t>
  </si>
  <si>
    <t>218-03</t>
  </si>
  <si>
    <t>220-03</t>
  </si>
  <si>
    <t>204:232994</t>
  </si>
  <si>
    <t>221-03</t>
  </si>
  <si>
    <t>223-03</t>
  </si>
  <si>
    <t>204:233011</t>
  </si>
  <si>
    <t>225-03</t>
  </si>
  <si>
    <t>227-03</t>
  </si>
  <si>
    <t>228-03</t>
  </si>
  <si>
    <t>204:511</t>
  </si>
  <si>
    <t>233-03</t>
  </si>
  <si>
    <t>204:508</t>
  </si>
  <si>
    <t>204:232925</t>
  </si>
  <si>
    <t>235-03</t>
  </si>
  <si>
    <t>236-03</t>
  </si>
  <si>
    <t>204:233289</t>
  </si>
  <si>
    <t>238-03</t>
  </si>
  <si>
    <t>204:233311</t>
  </si>
  <si>
    <t>204:203</t>
  </si>
  <si>
    <t>204:520</t>
  </si>
  <si>
    <t>242-03</t>
  </si>
  <si>
    <t>243-03</t>
  </si>
  <si>
    <t>244-03</t>
  </si>
  <si>
    <t>rtdc.l.rtdc.4039:itc</t>
  </si>
  <si>
    <t>EQUIPMENT RESTRICTION</t>
  </si>
  <si>
    <t>144-04</t>
  </si>
  <si>
    <t>166-04</t>
  </si>
  <si>
    <t>122-04</t>
  </si>
  <si>
    <t>YANAI</t>
  </si>
  <si>
    <t>124-04</t>
  </si>
  <si>
    <t>901-04</t>
  </si>
  <si>
    <t>155-04</t>
  </si>
  <si>
    <t>801-04</t>
  </si>
  <si>
    <t>112-04</t>
  </si>
  <si>
    <t>121-04</t>
  </si>
  <si>
    <t>116-04</t>
  </si>
  <si>
    <t>126-04</t>
  </si>
  <si>
    <t>171-04</t>
  </si>
  <si>
    <t>MADLOM</t>
  </si>
  <si>
    <t>103-04</t>
  </si>
  <si>
    <t>804-04</t>
  </si>
  <si>
    <t>NEWELL</t>
  </si>
  <si>
    <t>134-04</t>
  </si>
  <si>
    <t>149-04</t>
  </si>
  <si>
    <t>148-04</t>
  </si>
  <si>
    <t>163-04</t>
  </si>
  <si>
    <t>156-04</t>
  </si>
  <si>
    <t>183-04</t>
  </si>
  <si>
    <t>LOZA</t>
  </si>
  <si>
    <t>COOLAHAN</t>
  </si>
  <si>
    <t>113-04</t>
  </si>
  <si>
    <t>109-04</t>
  </si>
  <si>
    <t>181-04</t>
  </si>
  <si>
    <t>RIVERA</t>
  </si>
  <si>
    <t>178-04</t>
  </si>
  <si>
    <t>123-04</t>
  </si>
  <si>
    <t>177-04</t>
  </si>
  <si>
    <t>167-04</t>
  </si>
  <si>
    <t>817-04</t>
  </si>
  <si>
    <t>152-04</t>
  </si>
  <si>
    <t>146-04</t>
  </si>
  <si>
    <t>808-04</t>
  </si>
  <si>
    <t>129-04</t>
  </si>
  <si>
    <t>162-04</t>
  </si>
  <si>
    <t>814-04</t>
  </si>
  <si>
    <t>114-04</t>
  </si>
  <si>
    <t>813-04</t>
  </si>
  <si>
    <t>806-04</t>
  </si>
  <si>
    <t>822-04</t>
  </si>
  <si>
    <t>133-04</t>
  </si>
  <si>
    <t>139-04</t>
  </si>
  <si>
    <t>137-04</t>
  </si>
  <si>
    <t>809-04</t>
  </si>
  <si>
    <t>803-04</t>
  </si>
  <si>
    <t>174-04</t>
  </si>
  <si>
    <t>131-04</t>
  </si>
  <si>
    <t>802-04</t>
  </si>
  <si>
    <t>128-04</t>
  </si>
  <si>
    <t>101-04</t>
  </si>
  <si>
    <t>115-04</t>
  </si>
  <si>
    <t>107-04</t>
  </si>
  <si>
    <t>110-04</t>
  </si>
  <si>
    <t>805-04</t>
  </si>
  <si>
    <t>130-04</t>
  </si>
  <si>
    <t>111-04</t>
  </si>
  <si>
    <t>811-04</t>
  </si>
  <si>
    <t>138-04</t>
  </si>
  <si>
    <t>145-04</t>
  </si>
  <si>
    <t>161-04</t>
  </si>
  <si>
    <t>818-04</t>
  </si>
  <si>
    <t>169-04</t>
  </si>
  <si>
    <t>820-04</t>
  </si>
  <si>
    <t>135-04</t>
  </si>
  <si>
    <t>106-04</t>
  </si>
  <si>
    <t>142-04</t>
  </si>
  <si>
    <t>104-04</t>
  </si>
  <si>
    <t>815-04</t>
  </si>
  <si>
    <t>816-04</t>
  </si>
  <si>
    <t>158-04</t>
  </si>
  <si>
    <t>168-04</t>
  </si>
  <si>
    <t>164-04</t>
  </si>
  <si>
    <t>819-04</t>
  </si>
  <si>
    <t>108-04</t>
  </si>
  <si>
    <t>140-04</t>
  </si>
  <si>
    <t>176-04</t>
  </si>
  <si>
    <t>179-04</t>
  </si>
  <si>
    <t>175-04</t>
  </si>
  <si>
    <t>160-04</t>
  </si>
  <si>
    <t>147-04</t>
  </si>
  <si>
    <t>157-04</t>
  </si>
  <si>
    <t>153-04</t>
  </si>
  <si>
    <t>172-04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</si>
  <si>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</si>
  <si>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</si>
  <si>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</si>
  <si>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</si>
  <si>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</si>
  <si>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</si>
  <si>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</si>
  <si>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</si>
  <si>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</si>
  <si>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</si>
  <si>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</si>
  <si>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</si>
  <si>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</si>
  <si>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</si>
  <si>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</si>
  <si>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</si>
  <si>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</si>
  <si>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</si>
  <si>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</si>
  <si>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</si>
  <si>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</si>
  <si>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</si>
  <si>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</si>
  <si>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</si>
  <si>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Early arrival</t>
  </si>
  <si>
    <t>204:752</t>
  </si>
  <si>
    <t>204:232652</t>
  </si>
  <si>
    <t>204:165</t>
  </si>
  <si>
    <t>204:794</t>
  </si>
  <si>
    <t>204:232656</t>
  </si>
  <si>
    <t>204:233304</t>
  </si>
  <si>
    <t>204:136</t>
  </si>
  <si>
    <t>204:699</t>
  </si>
  <si>
    <t>204:225</t>
  </si>
  <si>
    <t>204:86374</t>
  </si>
  <si>
    <t>204:735</t>
  </si>
  <si>
    <t>204:458</t>
  </si>
  <si>
    <t>204:232972</t>
  </si>
  <si>
    <t>204:233334</t>
  </si>
  <si>
    <t>204:549</t>
  </si>
  <si>
    <t>204:233308</t>
  </si>
  <si>
    <t>204:232953</t>
  </si>
  <si>
    <t>204:232968</t>
  </si>
  <si>
    <t>204:233320</t>
  </si>
  <si>
    <t>204:232984</t>
  </si>
  <si>
    <t>204:506</t>
  </si>
  <si>
    <t>204:233329</t>
  </si>
  <si>
    <t>204:127860</t>
  </si>
  <si>
    <t>204:233006</t>
  </si>
  <si>
    <t>204:18761</t>
  </si>
  <si>
    <t>204:232963</t>
  </si>
  <si>
    <t>204:424</t>
  </si>
  <si>
    <t>204:462</t>
  </si>
  <si>
    <t>204:1858</t>
  </si>
  <si>
    <t>204:659</t>
  </si>
  <si>
    <t>204:68124</t>
  </si>
  <si>
    <t>204:232980</t>
  </si>
  <si>
    <t>204:364</t>
  </si>
  <si>
    <t>204:478</t>
  </si>
  <si>
    <t>204:233008</t>
  </si>
  <si>
    <t>204:1500</t>
  </si>
  <si>
    <t>204:774</t>
  </si>
  <si>
    <t>204:666</t>
  </si>
  <si>
    <t>204:233331</t>
  </si>
  <si>
    <t>204:233328</t>
  </si>
  <si>
    <t>204:233015</t>
  </si>
  <si>
    <t>204:693</t>
  </si>
  <si>
    <t>204:233323</t>
  </si>
  <si>
    <t>204:233017</t>
  </si>
  <si>
    <t>204:429</t>
  </si>
  <si>
    <t>204:233380</t>
  </si>
  <si>
    <t>204:233049</t>
  </si>
  <si>
    <t>204:258</t>
  </si>
  <si>
    <t>204:170</t>
  </si>
  <si>
    <t>204:132</t>
  </si>
  <si>
    <t>204:575</t>
  </si>
  <si>
    <t>204:233349</t>
  </si>
  <si>
    <t>180-04</t>
  </si>
  <si>
    <t>204:27604</t>
  </si>
  <si>
    <t>204:233322</t>
  </si>
  <si>
    <t>182-04</t>
  </si>
  <si>
    <t>184-04</t>
  </si>
  <si>
    <t>185-04</t>
  </si>
  <si>
    <t>204:551</t>
  </si>
  <si>
    <t>186-04</t>
  </si>
  <si>
    <t>187-04</t>
  </si>
  <si>
    <t>188-04</t>
  </si>
  <si>
    <t>189-04</t>
  </si>
  <si>
    <t>190-04</t>
  </si>
  <si>
    <t>191-04</t>
  </si>
  <si>
    <t>204:233340</t>
  </si>
  <si>
    <t>192-04</t>
  </si>
  <si>
    <t>204:233028</t>
  </si>
  <si>
    <t>193-04</t>
  </si>
  <si>
    <t>204:1559</t>
  </si>
  <si>
    <t>204:522</t>
  </si>
  <si>
    <t>194-04</t>
  </si>
  <si>
    <t>204:233034</t>
  </si>
  <si>
    <t>195-04</t>
  </si>
  <si>
    <t>204:233357</t>
  </si>
  <si>
    <t>196-04</t>
  </si>
  <si>
    <t>204:233036</t>
  </si>
  <si>
    <t>197-04</t>
  </si>
  <si>
    <t>198-04</t>
  </si>
  <si>
    <t>204:232209</t>
  </si>
  <si>
    <t>199-04</t>
  </si>
  <si>
    <t>200-04</t>
  </si>
  <si>
    <t>204:198</t>
  </si>
  <si>
    <t>201-04</t>
  </si>
  <si>
    <t>202-04</t>
  </si>
  <si>
    <t>203-04</t>
  </si>
  <si>
    <t>204-04</t>
  </si>
  <si>
    <t>205-04</t>
  </si>
  <si>
    <t>204:517</t>
  </si>
  <si>
    <t>206-04</t>
  </si>
  <si>
    <t>207-04</t>
  </si>
  <si>
    <t>204:19104</t>
  </si>
  <si>
    <t>209-04</t>
  </si>
  <si>
    <t>210-04</t>
  </si>
  <si>
    <t>211-04</t>
  </si>
  <si>
    <t>212-04</t>
  </si>
  <si>
    <t>204:1182</t>
  </si>
  <si>
    <t>213-04</t>
  </si>
  <si>
    <t>215-04</t>
  </si>
  <si>
    <t>216-04</t>
  </si>
  <si>
    <t>217-04</t>
  </si>
  <si>
    <t>204:233240</t>
  </si>
  <si>
    <t>218-04</t>
  </si>
  <si>
    <t>204:232938</t>
  </si>
  <si>
    <t>219-04</t>
  </si>
  <si>
    <t>220-04</t>
  </si>
  <si>
    <t>204:2944</t>
  </si>
  <si>
    <t>221-04</t>
  </si>
  <si>
    <t>204:540</t>
  </si>
  <si>
    <t>222-04</t>
  </si>
  <si>
    <t>204:232982</t>
  </si>
  <si>
    <t>204:209</t>
  </si>
  <si>
    <t>223-04</t>
  </si>
  <si>
    <t>204:233299</t>
  </si>
  <si>
    <t>224-04</t>
  </si>
  <si>
    <t>225-04</t>
  </si>
  <si>
    <t>204:233257</t>
  </si>
  <si>
    <t>226-04</t>
  </si>
  <si>
    <t>204:211</t>
  </si>
  <si>
    <t>227-04</t>
  </si>
  <si>
    <t>228-04</t>
  </si>
  <si>
    <t>229-04</t>
  </si>
  <si>
    <t>230-04</t>
  </si>
  <si>
    <t>204:216</t>
  </si>
  <si>
    <t>231-04</t>
  </si>
  <si>
    <t>232-04</t>
  </si>
  <si>
    <t>204:232955</t>
  </si>
  <si>
    <t>233-04</t>
  </si>
  <si>
    <t>204:577</t>
  </si>
  <si>
    <t>204:233253</t>
  </si>
  <si>
    <t>234-04</t>
  </si>
  <si>
    <t>204:232930</t>
  </si>
  <si>
    <t>235-04</t>
  </si>
  <si>
    <t>236-04</t>
  </si>
  <si>
    <t>237-04</t>
  </si>
  <si>
    <t>204:233324</t>
  </si>
  <si>
    <t>238-04</t>
  </si>
  <si>
    <t>239-04</t>
  </si>
  <si>
    <t>240-04</t>
  </si>
  <si>
    <t>241-04</t>
  </si>
  <si>
    <t>204:515</t>
  </si>
  <si>
    <t>204:233224</t>
  </si>
  <si>
    <t>242-04</t>
  </si>
  <si>
    <t>204:232932</t>
  </si>
  <si>
    <t>243-04</t>
  </si>
  <si>
    <t>204:233255</t>
  </si>
  <si>
    <t>244-04</t>
  </si>
  <si>
    <t>300:57312</t>
  </si>
  <si>
    <t>204:654</t>
  </si>
  <si>
    <t>204:950</t>
  </si>
  <si>
    <t>300:58809</t>
  </si>
  <si>
    <t>300:58596</t>
  </si>
  <si>
    <t>204:645</t>
  </si>
  <si>
    <t>204:370</t>
  </si>
  <si>
    <t>300:58929</t>
  </si>
  <si>
    <t>204:913</t>
  </si>
  <si>
    <t>204:930</t>
  </si>
  <si>
    <t>300:57614</t>
  </si>
  <si>
    <t>204:670</t>
  </si>
  <si>
    <t>204:1210</t>
  </si>
  <si>
    <t>300:58931</t>
  </si>
  <si>
    <t>204:888</t>
  </si>
  <si>
    <t>204:960</t>
  </si>
  <si>
    <t>204:761</t>
  </si>
  <si>
    <t>204:1189</t>
  </si>
  <si>
    <t>300:58933</t>
  </si>
  <si>
    <t>204:923</t>
  </si>
  <si>
    <t>204:1221</t>
  </si>
  <si>
    <t>204:918</t>
  </si>
  <si>
    <t>204:1217</t>
  </si>
  <si>
    <t>300:58594</t>
  </si>
  <si>
    <t>204:1212</t>
  </si>
  <si>
    <t>204:2316</t>
  </si>
  <si>
    <t>204:895</t>
  </si>
  <si>
    <t>204:1195</t>
  </si>
  <si>
    <t>300:58924</t>
  </si>
  <si>
    <t>204:909</t>
  </si>
  <si>
    <t>823-04</t>
  </si>
  <si>
    <t>204:1191</t>
  </si>
  <si>
    <t>300:58708</t>
  </si>
  <si>
    <t>824-04</t>
  </si>
  <si>
    <t>300:58515</t>
  </si>
  <si>
    <t>300:58387</t>
  </si>
  <si>
    <t>825-04</t>
  </si>
  <si>
    <t>204:1058</t>
  </si>
  <si>
    <t>300:58764</t>
  </si>
  <si>
    <t>826-04</t>
  </si>
  <si>
    <t>300:58491</t>
  </si>
  <si>
    <t>827-04</t>
  </si>
  <si>
    <t>204:310</t>
  </si>
  <si>
    <t>300:58920</t>
  </si>
  <si>
    <t>204:754</t>
  </si>
  <si>
    <t>828-04</t>
  </si>
  <si>
    <t>300:58598</t>
  </si>
  <si>
    <t>204:712</t>
  </si>
  <si>
    <t>829-04</t>
  </si>
  <si>
    <t>204:925</t>
  </si>
  <si>
    <t>300:58700</t>
  </si>
  <si>
    <t>830-04</t>
  </si>
  <si>
    <t>300:58378</t>
  </si>
  <si>
    <t>300:58500</t>
  </si>
  <si>
    <t>204:640</t>
  </si>
  <si>
    <t>831-04</t>
  </si>
  <si>
    <t>204:995</t>
  </si>
  <si>
    <t>832-04</t>
  </si>
  <si>
    <t>204:633</t>
  </si>
  <si>
    <t>833-04</t>
  </si>
  <si>
    <t>204:944</t>
  </si>
  <si>
    <t>300:59013</t>
  </si>
  <si>
    <t>834-04</t>
  </si>
  <si>
    <t>300:58693</t>
  </si>
  <si>
    <t>204:600</t>
  </si>
  <si>
    <t>835-04</t>
  </si>
  <si>
    <t>300:58967</t>
  </si>
  <si>
    <t>836-04</t>
  </si>
  <si>
    <t>300:58657</t>
  </si>
  <si>
    <t>204:628</t>
  </si>
  <si>
    <t>837-04</t>
  </si>
  <si>
    <t>204:1011</t>
  </si>
  <si>
    <t>204:1902</t>
  </si>
  <si>
    <t>838-04</t>
  </si>
  <si>
    <t>839-04</t>
  </si>
  <si>
    <t>204:911</t>
  </si>
  <si>
    <t>840-04</t>
  </si>
  <si>
    <t>204:617</t>
  </si>
  <si>
    <t>841-04</t>
  </si>
  <si>
    <t>204:901</t>
  </si>
  <si>
    <t>842-04</t>
  </si>
  <si>
    <t>300:58583</t>
  </si>
  <si>
    <t>843-04</t>
  </si>
  <si>
    <t>204:906</t>
  </si>
  <si>
    <t>300:58905</t>
  </si>
  <si>
    <t>844-04</t>
  </si>
  <si>
    <t>300:58694</t>
  </si>
  <si>
    <t>204:722</t>
  </si>
  <si>
    <t>845-04</t>
  </si>
  <si>
    <t>204:964</t>
  </si>
  <si>
    <t>300:59008</t>
  </si>
  <si>
    <t>847-04</t>
  </si>
  <si>
    <t>204:1007</t>
  </si>
  <si>
    <t>300:58971</t>
  </si>
  <si>
    <t>300:27677</t>
  </si>
  <si>
    <t>300:28489</t>
  </si>
  <si>
    <t>908-04</t>
  </si>
  <si>
    <t>300:58658</t>
  </si>
  <si>
    <t>300:23108</t>
  </si>
  <si>
    <t>UNHEALTHY CROSSING</t>
  </si>
  <si>
    <t>Other (9)</t>
  </si>
  <si>
    <t>214-04</t>
  </si>
  <si>
    <t>208-04</t>
  </si>
  <si>
    <t>ALONZO</t>
  </si>
  <si>
    <t>NWGL</t>
  </si>
  <si>
    <t>Premature downgrade at EC1981RH 191-1T 1N</t>
  </si>
  <si>
    <t>Inefficient dispatching @ DUS 2N</t>
  </si>
  <si>
    <t>No issue found… any insights from ops?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</si>
</sst>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8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showGridLines="0" topLeftCell="A34" zoomScale="85" zoomScaleNormal="85" workbookViewId="0">
      <selection activeCell="A45" sqref="A45"/>
    </sheetView>
  </sheetViews>
  <sheetFormatPr defaultRowHeight="15" x14ac:dyDescent="0.25"/>
  <cols>
    <col min="1" max="1" width="10.5703125" style="77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0" hidden="1" customWidth="1"/>
    <col min="6" max="6" width="20.140625" style="70" customWidth="1"/>
    <col min="7" max="7" width="18.42578125" style="71" hidden="1" customWidth="1"/>
    <col min="8" max="8" width="22.140625" style="70" hidden="1" customWidth="1"/>
    <col min="9" max="9" width="19.7109375" style="70" customWidth="1"/>
    <col min="10" max="10" width="7.7109375" style="51" bestFit="1" customWidth="1"/>
    <col min="11" max="12" width="13.28515625" style="51" customWidth="1"/>
    <col min="13" max="13" width="9.5703125" style="78" customWidth="1"/>
    <col min="14" max="14" width="8.85546875" style="79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7"/>
      <c r="B1" s="51"/>
      <c r="C1" s="51"/>
      <c r="D1" s="51"/>
      <c r="E1" s="70"/>
      <c r="F1" s="70"/>
      <c r="G1" s="71"/>
      <c r="H1" s="70"/>
      <c r="I1" s="70"/>
      <c r="J1" s="51"/>
      <c r="K1" s="51"/>
      <c r="L1" s="51"/>
      <c r="M1" s="78"/>
      <c r="N1" s="79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7"/>
      <c r="B2" s="51"/>
      <c r="C2" s="51"/>
      <c r="D2" s="51"/>
      <c r="E2" s="70"/>
      <c r="F2" s="70"/>
      <c r="G2" s="71"/>
      <c r="H2" s="70"/>
      <c r="I2" s="109">
        <f>Variables!A2</f>
        <v>42555</v>
      </c>
      <c r="J2" s="110"/>
      <c r="K2" s="80"/>
      <c r="L2" s="80"/>
      <c r="M2" s="111" t="s">
        <v>8</v>
      </c>
      <c r="N2" s="112"/>
      <c r="O2" s="113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7"/>
      <c r="B3" s="51"/>
      <c r="C3" s="51"/>
      <c r="D3" s="51"/>
      <c r="E3" s="70"/>
      <c r="F3" s="70"/>
      <c r="G3" s="71"/>
      <c r="H3" s="70"/>
      <c r="I3" s="114" t="s">
        <v>10</v>
      </c>
      <c r="J3" s="115"/>
      <c r="K3" s="81"/>
      <c r="L3" s="81"/>
      <c r="M3" s="82" t="s">
        <v>11</v>
      </c>
      <c r="N3" s="83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7"/>
      <c r="B4" s="51"/>
      <c r="C4" s="51"/>
      <c r="D4" s="51"/>
      <c r="E4" s="70"/>
      <c r="F4" s="70"/>
      <c r="G4" s="71"/>
      <c r="H4" s="70"/>
      <c r="I4" s="72" t="s">
        <v>14</v>
      </c>
      <c r="J4" s="84">
        <f>COUNT($N$13:$P$1831)</f>
        <v>144</v>
      </c>
      <c r="K4" s="84"/>
      <c r="L4" s="84"/>
      <c r="M4" s="85" t="s">
        <v>15</v>
      </c>
      <c r="N4" s="83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7"/>
      <c r="B5" s="51"/>
      <c r="C5" s="51"/>
      <c r="D5" s="51"/>
      <c r="E5" s="70"/>
      <c r="F5" s="70"/>
      <c r="G5" s="71"/>
      <c r="H5" s="70"/>
      <c r="I5" s="72" t="s">
        <v>17</v>
      </c>
      <c r="J5" s="84">
        <f>COUNT($N$13:$N$1831)</f>
        <v>138</v>
      </c>
      <c r="K5" s="84"/>
      <c r="L5" s="84"/>
      <c r="M5" s="85">
        <f>AVERAGE($N$13:$N$831)</f>
        <v>52.844806763485238</v>
      </c>
      <c r="N5" s="83">
        <f>MIN($N$13:$N$831)</f>
        <v>35.383333337958902</v>
      </c>
      <c r="O5" s="3">
        <f>MAX($N$13:$N$831)</f>
        <v>737.13333333609626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7"/>
      <c r="B6" s="51"/>
      <c r="C6" s="51"/>
      <c r="D6" s="51"/>
      <c r="E6" s="70"/>
      <c r="F6" s="70"/>
      <c r="G6" s="71"/>
      <c r="H6" s="70"/>
      <c r="I6" s="73" t="s">
        <v>43</v>
      </c>
      <c r="J6" s="84">
        <f>COUNT($O$13:$O$831)</f>
        <v>0</v>
      </c>
      <c r="K6" s="84"/>
      <c r="L6" s="84"/>
      <c r="M6" s="85">
        <f>IFERROR(AVERAGE($O$13:$O$831),0)</f>
        <v>0</v>
      </c>
      <c r="N6" s="83">
        <f>MIN($O$13:$O$831)</f>
        <v>0</v>
      </c>
      <c r="O6" s="3">
        <f>MAX($O$13:$O$831)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7"/>
      <c r="B7" s="51"/>
      <c r="C7" s="51"/>
      <c r="D7" s="51"/>
      <c r="E7" s="70"/>
      <c r="F7" s="70"/>
      <c r="G7" s="71"/>
      <c r="H7" s="70"/>
      <c r="I7" s="74" t="s">
        <v>9</v>
      </c>
      <c r="J7" s="84">
        <f>COUNT($P$13:$P$831)</f>
        <v>6</v>
      </c>
      <c r="K7" s="84"/>
      <c r="L7" s="84"/>
      <c r="M7" s="85" t="s">
        <v>15</v>
      </c>
      <c r="N7" s="83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7"/>
      <c r="B8" s="51"/>
      <c r="C8" s="51"/>
      <c r="D8" s="51"/>
      <c r="E8" s="70"/>
      <c r="F8" s="70"/>
      <c r="G8" s="71"/>
      <c r="H8" s="70"/>
      <c r="I8" s="72" t="s">
        <v>16</v>
      </c>
      <c r="J8" s="84">
        <f>COUNT($N$13:$O$831)</f>
        <v>138</v>
      </c>
      <c r="K8" s="84"/>
      <c r="L8" s="84"/>
      <c r="M8" s="85">
        <f>AVERAGE($N$13:$P$831)</f>
        <v>51.86064814835845</v>
      </c>
      <c r="N8" s="83">
        <f>MIN($N$13:$O$831)</f>
        <v>35.383333337958902</v>
      </c>
      <c r="O8" s="3">
        <f>MAX($N$13:$O$831)</f>
        <v>737.13333333609626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7"/>
      <c r="B9" s="51"/>
      <c r="C9" s="51"/>
      <c r="D9" s="51"/>
      <c r="E9" s="70"/>
      <c r="F9" s="70"/>
      <c r="G9" s="71"/>
      <c r="H9" s="70"/>
      <c r="I9" s="72" t="s">
        <v>19</v>
      </c>
      <c r="J9" s="86">
        <f>J8/J4</f>
        <v>0.95833333333333337</v>
      </c>
      <c r="K9" s="86"/>
      <c r="L9" s="86"/>
      <c r="M9" s="78"/>
      <c r="N9" s="79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7"/>
      <c r="B10" s="51"/>
      <c r="C10" s="51"/>
      <c r="D10" s="51"/>
      <c r="E10" s="70"/>
      <c r="F10" s="70"/>
      <c r="G10" s="71"/>
      <c r="H10" s="70"/>
      <c r="I10" s="70"/>
      <c r="J10" s="51"/>
      <c r="K10" s="51"/>
      <c r="L10" s="51"/>
      <c r="M10" s="78"/>
      <c r="N10" s="79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8" t="str">
        <f>"Eagle P3 System Performance - "&amp;TEXT(Variables!A2,"yyyy-mm-dd")</f>
        <v>Eagle P3 System Performance - 2016-07-04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99</v>
      </c>
      <c r="T12" s="4" t="s">
        <v>100</v>
      </c>
      <c r="U12" s="4" t="s">
        <v>101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217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372</v>
      </c>
      <c r="B13" s="34">
        <v>4040</v>
      </c>
      <c r="C13" s="34" t="s">
        <v>60</v>
      </c>
      <c r="D13" s="34" t="s">
        <v>431</v>
      </c>
      <c r="E13" s="20">
        <v>42555.129259259258</v>
      </c>
      <c r="F13" s="20">
        <v>42555.130624999998</v>
      </c>
      <c r="G13" s="23">
        <v>1</v>
      </c>
      <c r="H13" s="20" t="s">
        <v>94</v>
      </c>
      <c r="I13" s="20">
        <v>42555.162094907406</v>
      </c>
      <c r="J13" s="34">
        <v>0</v>
      </c>
      <c r="K13" s="34" t="str">
        <f>IF(ISEVEN(B13),(B13-1)&amp;"/"&amp;B13,B13&amp;"/"&amp;(B13+1))</f>
        <v>4039/4040</v>
      </c>
      <c r="L13" s="34" t="str">
        <f>VLOOKUP(A13,'Trips&amp;Operators'!$C$1:$E$10000,3,FALSE)</f>
        <v>CANFIELD</v>
      </c>
      <c r="M13" s="6">
        <f>I13-F13</f>
        <v>3.1469907407881692E-2</v>
      </c>
      <c r="N13" s="7">
        <f>24*60*SUM($M13:$M13)</f>
        <v>45.316666667349637</v>
      </c>
      <c r="O13" s="7"/>
      <c r="P13" s="7"/>
      <c r="Q13" s="35"/>
      <c r="R13" s="35"/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https://search-rtdc-monitor-bjffxe2xuh6vdkpspy63sjmuny.us-east-1.es.amazonaws.com/_plugin/kibana/#/discover/Steve-Slow-Train-Analysis-(2080s-and-2083s)?_g=(refreshInterval:(display:Off,section:0,value:0),time:(from:'2016-07-04 03:05:08-0600',mode:absolute,to:'2016-07-04 03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" s="38" t="str">
        <f>IF(AA13&lt;23,"Y","N")</f>
        <v>N</v>
      </c>
      <c r="X13" s="38" t="e">
        <f>VALUE(LEFT(A13,3))-VALUE(LEFT(A12,3))</f>
        <v>#VALUE!</v>
      </c>
      <c r="Y13" s="38">
        <f>RIGHT(D13,LEN(D13)-4)/10000</f>
        <v>7.5200000000000003E-2</v>
      </c>
      <c r="Z13" s="38">
        <f>RIGHT(H13,LEN(H13)-4)/10000</f>
        <v>23.3291</v>
      </c>
      <c r="AA13" s="38">
        <f>ABS(Z13-Y13)</f>
        <v>23.253900000000002</v>
      </c>
      <c r="AB13" s="39" t="e">
        <f>VLOOKUP(A13,Enforcements!$C$7:$J$31,8,0)</f>
        <v>#N/A</v>
      </c>
      <c r="AC13" s="39" t="e">
        <f>VLOOKUP(A13,Enforcements!$C$7:$E$31,3,0)</f>
        <v>#N/A</v>
      </c>
      <c r="AD13" s="1" t="str">
        <f>IF(LEN(A13)=6,"0"&amp;A13,A13)</f>
        <v>0101-04</v>
      </c>
    </row>
    <row r="14" spans="1:91" s="1" customFormat="1" x14ac:dyDescent="0.25">
      <c r="A14" s="67" t="s">
        <v>423</v>
      </c>
      <c r="B14" s="34">
        <v>4017</v>
      </c>
      <c r="C14" s="34" t="s">
        <v>60</v>
      </c>
      <c r="D14" s="34" t="s">
        <v>432</v>
      </c>
      <c r="E14" s="20">
        <v>42555.167407407411</v>
      </c>
      <c r="F14" s="20">
        <v>42555.168344907404</v>
      </c>
      <c r="G14" s="23">
        <v>1</v>
      </c>
      <c r="H14" s="20" t="s">
        <v>91</v>
      </c>
      <c r="I14" s="20">
        <v>42555.200428240743</v>
      </c>
      <c r="J14" s="34">
        <v>0</v>
      </c>
      <c r="K14" s="34" t="str">
        <f>IF(ISEVEN(B14),(B14-1)&amp;"/"&amp;B14,B14&amp;"/"&amp;(B14+1))</f>
        <v>4017/4018</v>
      </c>
      <c r="L14" s="34" t="str">
        <f>VLOOKUP(A14,'Trips&amp;Operators'!$C$1:$E$10000,3,FALSE)</f>
        <v>CANFIELD</v>
      </c>
      <c r="M14" s="6">
        <f>I14-F14</f>
        <v>3.2083333338960074E-2</v>
      </c>
      <c r="N14" s="7">
        <f>24*60*SUM($M14:$M14)</f>
        <v>46.200000008102506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https://search-rtdc-monitor-bjffxe2xuh6vdkpspy63sjmuny.us-east-1.es.amazonaws.com/_plugin/kibana/#/discover/Steve-Slow-Train-Analysis-(2080s-and-2083s)?_g=(refreshInterval:(display:Off,section:0,value:0),time:(from:'2016-07-04 04:00:04-0600',mode:absolute,to:'2016-07-04 04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23.2652</v>
      </c>
      <c r="Z14" s="38">
        <f>RIGHT(H14,LEN(H14)-4)/10000</f>
        <v>1.5800000000000002E-2</v>
      </c>
      <c r="AA14" s="38">
        <f>ABS(Z14-Y14)</f>
        <v>23.249400000000001</v>
      </c>
      <c r="AB14" s="39" t="e">
        <f>VLOOKUP(A14,Enforcements!$C$7:$J$31,8,0)</f>
        <v>#N/A</v>
      </c>
      <c r="AC14" s="39" t="e">
        <f>VLOOKUP(A14,Enforcements!$C$7:$E$31,3,0)</f>
        <v>#N/A</v>
      </c>
      <c r="AD14" s="1" t="str">
        <f>IF(LEN(A14)=6,"0"&amp;A14,A14)</f>
        <v>0102-04</v>
      </c>
    </row>
    <row r="15" spans="1:91" s="1" customFormat="1" x14ac:dyDescent="0.25">
      <c r="A15" s="67" t="s">
        <v>389</v>
      </c>
      <c r="B15" s="34">
        <v>4019</v>
      </c>
      <c r="C15" s="34" t="s">
        <v>60</v>
      </c>
      <c r="D15" s="34" t="s">
        <v>219</v>
      </c>
      <c r="E15" s="20">
        <v>42555.189675925925</v>
      </c>
      <c r="F15" s="20">
        <v>42555.190983796296</v>
      </c>
      <c r="G15" s="23">
        <v>1</v>
      </c>
      <c r="H15" s="20" t="s">
        <v>433</v>
      </c>
      <c r="I15" s="20">
        <v>42555.221550925926</v>
      </c>
      <c r="J15" s="34">
        <v>0</v>
      </c>
      <c r="K15" s="34" t="str">
        <f t="shared" ref="K15:K77" si="0">IF(ISEVEN(B15),(B15-1)&amp;"/"&amp;B15,B15&amp;"/"&amp;(B15+1))</f>
        <v>4019/4020</v>
      </c>
      <c r="L15" s="34" t="str">
        <f>VLOOKUP(A15,'Trips&amp;Operators'!$C$1:$E$10000,3,FALSE)</f>
        <v>STURGEON</v>
      </c>
      <c r="M15" s="6">
        <f t="shared" ref="M15:M77" si="1">I15-F15</f>
        <v>3.0567129630071577E-2</v>
      </c>
      <c r="N15" s="7">
        <f t="shared" ref="N15:P77" si="2">24*60*SUM($M15:$M15)</f>
        <v>44.01666666730307</v>
      </c>
      <c r="O15" s="7"/>
      <c r="P15" s="7"/>
      <c r="Q15" s="35"/>
      <c r="R15" s="35"/>
      <c r="S15" s="59">
        <f t="shared" ref="S15:S77" si="3">SUM(U15:U15)/12</f>
        <v>1</v>
      </c>
      <c r="T15" s="1" t="str">
        <f t="shared" ref="T15:T77" si="4">IF(ISEVEN(LEFT(A15,3)),"Southbound","NorthBound")</f>
        <v>Southbound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7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https://search-rtdc-monitor-bjffxe2xuh6vdkpspy63sjmuny.us-east-1.es.amazonaws.com/_plugin/kibana/#/discover/Steve-Slow-Train-Analysis-(2080s-and-2083s)?_g=(refreshInterval:(display:Off,section:0,value:0),time:(from:'2016-07-04 04:32:08-0600',mode:absolute,to:'2016-07-04 05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" s="38" t="str">
        <f t="shared" ref="W15:W77" si="6">IF(AA15&lt;23,"Y","N")</f>
        <v>N</v>
      </c>
      <c r="X15" s="38">
        <f t="shared" ref="X15:X77" si="7">VALUE(LEFT(A15,3))-VALUE(LEFT(A14,3))</f>
        <v>2</v>
      </c>
      <c r="Y15" s="38">
        <f t="shared" ref="Y15:Y77" si="8">RIGHT(D15,LEN(D15)-4)/10000</f>
        <v>23.262899999999998</v>
      </c>
      <c r="Z15" s="38">
        <f t="shared" ref="Z15:Z77" si="9">RIGHT(H15,LEN(H15)-4)/10000</f>
        <v>1.6500000000000001E-2</v>
      </c>
      <c r="AA15" s="38">
        <f t="shared" ref="AA15:AA77" si="10">ABS(Z15-Y15)</f>
        <v>23.246399999999998</v>
      </c>
      <c r="AB15" s="39" t="e">
        <f>VLOOKUP(A15,Enforcements!$C$7:$J$31,8,0)</f>
        <v>#N/A</v>
      </c>
      <c r="AC15" s="39" t="e">
        <f>VLOOKUP(A15,Enforcements!$C$7:$E$31,3,0)</f>
        <v>#N/A</v>
      </c>
      <c r="AD15" s="1" t="str">
        <f t="shared" ref="AD15:AD77" si="11">IF(LEN(A15)=6,"0"&amp;A15,A15)</f>
        <v>0104-04</v>
      </c>
    </row>
    <row r="16" spans="1:91" s="1" customFormat="1" x14ac:dyDescent="0.25">
      <c r="A16" s="67" t="s">
        <v>422</v>
      </c>
      <c r="B16" s="34">
        <v>4042</v>
      </c>
      <c r="C16" s="34" t="s">
        <v>60</v>
      </c>
      <c r="D16" s="34" t="s">
        <v>434</v>
      </c>
      <c r="E16" s="20">
        <v>42555.175856481481</v>
      </c>
      <c r="F16" s="20">
        <v>42555.177048611113</v>
      </c>
      <c r="G16" s="23">
        <v>1</v>
      </c>
      <c r="H16" s="20" t="s">
        <v>90</v>
      </c>
      <c r="I16" s="20">
        <v>42555.201979166668</v>
      </c>
      <c r="J16" s="34">
        <v>1</v>
      </c>
      <c r="K16" s="34" t="str">
        <f t="shared" si="0"/>
        <v>4041/4042</v>
      </c>
      <c r="L16" s="34" t="str">
        <f>VLOOKUP(A16,'Trips&amp;Operators'!$C$1:$E$10000,3,FALSE)</f>
        <v>ROCHA</v>
      </c>
      <c r="M16" s="6">
        <f t="shared" si="1"/>
        <v>2.4930555555329192E-2</v>
      </c>
      <c r="N16" s="7">
        <f t="shared" si="2"/>
        <v>35.899999999674037</v>
      </c>
      <c r="O16" s="7"/>
      <c r="P16" s="7"/>
      <c r="Q16" s="35"/>
      <c r="R16" s="35"/>
      <c r="S16" s="59">
        <f t="shared" si="3"/>
        <v>1</v>
      </c>
      <c r="T16" s="1" t="str">
        <f t="shared" si="4"/>
        <v>NorthBound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04:12:14-0600',mode:absolute,to:'2016-07-04 04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7.9399999999999998E-2</v>
      </c>
      <c r="Z16" s="38">
        <f t="shared" si="9"/>
        <v>23.329499999999999</v>
      </c>
      <c r="AA16" s="38">
        <f t="shared" si="10"/>
        <v>23.2501</v>
      </c>
      <c r="AB16" s="39" t="e">
        <f>VLOOKUP(A16,Enforcements!$C$7:$J$31,8,0)</f>
        <v>#N/A</v>
      </c>
      <c r="AC16" s="39" t="e">
        <f>VLOOKUP(A16,Enforcements!$C$7:$E$31,3,0)</f>
        <v>#N/A</v>
      </c>
      <c r="AD16" s="1" t="str">
        <f t="shared" si="11"/>
        <v>0105-04</v>
      </c>
    </row>
    <row r="17" spans="1:30" s="1" customFormat="1" x14ac:dyDescent="0.25">
      <c r="A17" s="67" t="s">
        <v>387</v>
      </c>
      <c r="B17" s="34">
        <v>4032</v>
      </c>
      <c r="C17" s="34" t="s">
        <v>60</v>
      </c>
      <c r="D17" s="34" t="s">
        <v>435</v>
      </c>
      <c r="E17" s="20">
        <v>42555.204085648147</v>
      </c>
      <c r="F17" s="20">
        <v>42555.204884259256</v>
      </c>
      <c r="G17" s="23">
        <v>1</v>
      </c>
      <c r="H17" s="20" t="s">
        <v>67</v>
      </c>
      <c r="I17" s="20">
        <v>42555.242199074077</v>
      </c>
      <c r="J17" s="34">
        <v>0</v>
      </c>
      <c r="K17" s="34" t="str">
        <f t="shared" si="0"/>
        <v>4031/4032</v>
      </c>
      <c r="L17" s="34" t="str">
        <f>VLOOKUP(A17,'Trips&amp;Operators'!$C$1:$E$10000,3,FALSE)</f>
        <v>ROCHA</v>
      </c>
      <c r="M17" s="6">
        <f t="shared" si="1"/>
        <v>3.7314814821002074E-2</v>
      </c>
      <c r="N17" s="7">
        <f t="shared" si="2"/>
        <v>53.733333342242986</v>
      </c>
      <c r="O17" s="7"/>
      <c r="P17" s="7"/>
      <c r="Q17" s="35"/>
      <c r="R17" s="35"/>
      <c r="S17" s="59">
        <f t="shared" si="3"/>
        <v>1</v>
      </c>
      <c r="T17" s="1" t="str">
        <f t="shared" si="4"/>
        <v>Southbound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04:52:53-0600',mode:absolute,to:'2016-07-04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" s="38" t="str">
        <f t="shared" si="6"/>
        <v>N</v>
      </c>
      <c r="X17" s="38">
        <f t="shared" si="7"/>
        <v>1</v>
      </c>
      <c r="Y17" s="38">
        <f t="shared" si="8"/>
        <v>23.265599999999999</v>
      </c>
      <c r="Z17" s="38">
        <f t="shared" si="9"/>
        <v>1.47E-2</v>
      </c>
      <c r="AA17" s="38">
        <f t="shared" si="10"/>
        <v>23.250899999999998</v>
      </c>
      <c r="AB17" s="39" t="e">
        <f>VLOOKUP(A17,Enforcements!$C$7:$J$31,8,0)</f>
        <v>#N/A</v>
      </c>
      <c r="AC17" s="39" t="e">
        <f>VLOOKUP(A17,Enforcements!$C$7:$E$31,3,0)</f>
        <v>#N/A</v>
      </c>
      <c r="AD17" s="1" t="str">
        <f t="shared" si="11"/>
        <v>0106-04</v>
      </c>
    </row>
    <row r="18" spans="1:30" s="1" customFormat="1" x14ac:dyDescent="0.25">
      <c r="A18" s="67" t="s">
        <v>374</v>
      </c>
      <c r="B18" s="34">
        <v>4016</v>
      </c>
      <c r="C18" s="34" t="s">
        <v>60</v>
      </c>
      <c r="D18" s="34" t="s">
        <v>226</v>
      </c>
      <c r="E18" s="20">
        <v>42555.184918981482</v>
      </c>
      <c r="F18" s="20">
        <v>42555.18582175926</v>
      </c>
      <c r="G18" s="23">
        <v>1</v>
      </c>
      <c r="H18" s="20" t="s">
        <v>436</v>
      </c>
      <c r="I18" s="20">
        <v>42555.212650462963</v>
      </c>
      <c r="J18" s="34">
        <v>0</v>
      </c>
      <c r="K18" s="34" t="str">
        <f t="shared" si="0"/>
        <v>4015/4016</v>
      </c>
      <c r="L18" s="34" t="str">
        <f>VLOOKUP(A18,'Trips&amp;Operators'!$C$1:$E$10000,3,FALSE)</f>
        <v>YANAI</v>
      </c>
      <c r="M18" s="6">
        <f t="shared" si="1"/>
        <v>2.6828703703358769E-2</v>
      </c>
      <c r="N18" s="7">
        <f t="shared" si="2"/>
        <v>38.633333332836628</v>
      </c>
      <c r="O18" s="7"/>
      <c r="P18" s="7"/>
      <c r="Q18" s="35"/>
      <c r="R18" s="35"/>
      <c r="S18" s="59">
        <f t="shared" si="3"/>
        <v>1</v>
      </c>
      <c r="T18" s="1" t="str">
        <f t="shared" si="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04:25:17-0600',mode:absolute,to:'2016-07-04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4.4900000000000002E-2</v>
      </c>
      <c r="Z18" s="38">
        <f t="shared" si="9"/>
        <v>23.330400000000001</v>
      </c>
      <c r="AA18" s="38">
        <f t="shared" si="10"/>
        <v>23.285500000000003</v>
      </c>
      <c r="AB18" s="39" t="e">
        <f>VLOOKUP(A18,Enforcements!$C$7:$J$31,8,0)</f>
        <v>#N/A</v>
      </c>
      <c r="AC18" s="39" t="e">
        <f>VLOOKUP(A18,Enforcements!$C$7:$E$31,3,0)</f>
        <v>#N/A</v>
      </c>
      <c r="AD18" s="1" t="str">
        <f t="shared" si="11"/>
        <v>0107-04</v>
      </c>
    </row>
    <row r="19" spans="1:30" s="1" customFormat="1" x14ac:dyDescent="0.25">
      <c r="A19" s="67" t="s">
        <v>396</v>
      </c>
      <c r="B19" s="34">
        <v>4015</v>
      </c>
      <c r="C19" s="34" t="s">
        <v>60</v>
      </c>
      <c r="D19" s="34" t="s">
        <v>296</v>
      </c>
      <c r="E19" s="20">
        <v>42555.22384259259</v>
      </c>
      <c r="F19" s="20">
        <v>42555.22488425926</v>
      </c>
      <c r="G19" s="23">
        <v>1</v>
      </c>
      <c r="H19" s="20" t="s">
        <v>153</v>
      </c>
      <c r="I19" s="20">
        <v>42555.251932870371</v>
      </c>
      <c r="J19" s="34">
        <v>0</v>
      </c>
      <c r="K19" s="34" t="str">
        <f t="shared" si="0"/>
        <v>4015/4016</v>
      </c>
      <c r="L19" s="34" t="str">
        <f>VLOOKUP(A19,'Trips&amp;Operators'!$C$1:$E$10000,3,FALSE)</f>
        <v>YANAI</v>
      </c>
      <c r="M19" s="6">
        <f t="shared" si="1"/>
        <v>2.7048611111240461E-2</v>
      </c>
      <c r="N19" s="7">
        <f t="shared" si="2"/>
        <v>38.950000000186265</v>
      </c>
      <c r="O19" s="7"/>
      <c r="P19" s="7"/>
      <c r="Q19" s="35"/>
      <c r="R19" s="35"/>
      <c r="S19" s="59">
        <f t="shared" si="3"/>
        <v>1</v>
      </c>
      <c r="T19" s="1" t="str">
        <f t="shared" si="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05:21:20-0600',mode:absolute,to:'2016-07-04 06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23.299399999999999</v>
      </c>
      <c r="Z19" s="38">
        <f t="shared" si="9"/>
        <v>1.5599999999999999E-2</v>
      </c>
      <c r="AA19" s="38">
        <f t="shared" si="10"/>
        <v>23.283799999999999</v>
      </c>
      <c r="AB19" s="39" t="e">
        <f>VLOOKUP(A19,Enforcements!$C$7:$J$31,8,0)</f>
        <v>#N/A</v>
      </c>
      <c r="AC19" s="39" t="e">
        <f>VLOOKUP(A19,Enforcements!$C$7:$E$31,3,0)</f>
        <v>#N/A</v>
      </c>
      <c r="AD19" s="1" t="str">
        <f t="shared" si="11"/>
        <v>0108-04</v>
      </c>
    </row>
    <row r="20" spans="1:30" s="1" customFormat="1" x14ac:dyDescent="0.25">
      <c r="A20" s="67" t="s">
        <v>345</v>
      </c>
      <c r="B20" s="34">
        <v>4029</v>
      </c>
      <c r="C20" s="34" t="s">
        <v>60</v>
      </c>
      <c r="D20" s="34" t="s">
        <v>228</v>
      </c>
      <c r="E20" s="20">
        <v>42555.190740740742</v>
      </c>
      <c r="F20" s="20">
        <v>42555.19153935185</v>
      </c>
      <c r="G20" s="23">
        <v>1</v>
      </c>
      <c r="H20" s="20" t="s">
        <v>137</v>
      </c>
      <c r="I20" s="20">
        <v>42555.224502314813</v>
      </c>
      <c r="J20" s="34">
        <v>0</v>
      </c>
      <c r="K20" s="34" t="str">
        <f t="shared" si="0"/>
        <v>4029/4030</v>
      </c>
      <c r="L20" s="34" t="str">
        <f>VLOOKUP(A20,'Trips&amp;Operators'!$C$1:$E$10000,3,FALSE)</f>
        <v>SPECTOR</v>
      </c>
      <c r="M20" s="6">
        <f t="shared" si="1"/>
        <v>3.2962962963210884E-2</v>
      </c>
      <c r="N20" s="7">
        <f t="shared" si="2"/>
        <v>47.466666667023674</v>
      </c>
      <c r="O20" s="7"/>
      <c r="P20" s="7"/>
      <c r="Q20" s="35"/>
      <c r="R20" s="35"/>
      <c r="S20" s="59">
        <f t="shared" si="3"/>
        <v>1</v>
      </c>
      <c r="T20" s="1" t="str">
        <f t="shared" si="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04:33:40-0600',mode:absolute,to:'2016-07-04 05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4.7500000000000001E-2</v>
      </c>
      <c r="Z20" s="38">
        <f t="shared" si="9"/>
        <v>23.331399999999999</v>
      </c>
      <c r="AA20" s="38">
        <f t="shared" si="10"/>
        <v>23.283899999999999</v>
      </c>
      <c r="AB20" s="39" t="e">
        <f>VLOOKUP(A20,Enforcements!$C$7:$J$31,8,0)</f>
        <v>#N/A</v>
      </c>
      <c r="AC20" s="39" t="e">
        <f>VLOOKUP(A20,Enforcements!$C$7:$E$31,3,0)</f>
        <v>#N/A</v>
      </c>
      <c r="AD20" s="1" t="str">
        <f t="shared" si="11"/>
        <v>0109-04</v>
      </c>
    </row>
    <row r="21" spans="1:30" s="1" customFormat="1" x14ac:dyDescent="0.25">
      <c r="A21" s="67" t="s">
        <v>375</v>
      </c>
      <c r="B21" s="34">
        <v>4030</v>
      </c>
      <c r="C21" s="34" t="s">
        <v>60</v>
      </c>
      <c r="D21" s="34" t="s">
        <v>210</v>
      </c>
      <c r="E21" s="20">
        <v>42555.232106481482</v>
      </c>
      <c r="F21" s="20">
        <v>42555.232789351852</v>
      </c>
      <c r="G21" s="23">
        <v>0</v>
      </c>
      <c r="H21" s="20" t="s">
        <v>437</v>
      </c>
      <c r="I21" s="20">
        <v>42555.263865740744</v>
      </c>
      <c r="J21" s="34">
        <v>0</v>
      </c>
      <c r="K21" s="34" t="str">
        <f t="shared" si="0"/>
        <v>4029/4030</v>
      </c>
      <c r="L21" s="34" t="str">
        <f>VLOOKUP(A21,'Trips&amp;Operators'!$C$1:$E$10000,3,FALSE)</f>
        <v>SPECTOR</v>
      </c>
      <c r="M21" s="6">
        <f t="shared" si="1"/>
        <v>3.107638889196096E-2</v>
      </c>
      <c r="N21" s="7">
        <f t="shared" si="2"/>
        <v>44.750000004423782</v>
      </c>
      <c r="O21" s="7"/>
      <c r="P21" s="7"/>
      <c r="Q21" s="35"/>
      <c r="R21" s="35"/>
      <c r="S21" s="59">
        <f t="shared" si="3"/>
        <v>1</v>
      </c>
      <c r="T21" s="1" t="str">
        <f t="shared" si="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05:33:14-0600',mode:absolute,to:'2016-07-04 06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23.3</v>
      </c>
      <c r="Z21" s="38">
        <f t="shared" si="9"/>
        <v>1.3599999999999999E-2</v>
      </c>
      <c r="AA21" s="38">
        <f t="shared" si="10"/>
        <v>23.2864</v>
      </c>
      <c r="AB21" s="39" t="e">
        <f>VLOOKUP(A21,Enforcements!$C$7:$J$31,8,0)</f>
        <v>#N/A</v>
      </c>
      <c r="AC21" s="39" t="e">
        <f>VLOOKUP(A21,Enforcements!$C$7:$E$31,3,0)</f>
        <v>#N/A</v>
      </c>
      <c r="AD21" s="1" t="str">
        <f t="shared" si="11"/>
        <v>0110-04</v>
      </c>
    </row>
    <row r="22" spans="1:30" s="1" customFormat="1" x14ac:dyDescent="0.25">
      <c r="A22" s="67" t="s">
        <v>378</v>
      </c>
      <c r="B22" s="34">
        <v>4040</v>
      </c>
      <c r="C22" s="34" t="s">
        <v>60</v>
      </c>
      <c r="D22" s="34" t="s">
        <v>438</v>
      </c>
      <c r="E22" s="20">
        <v>42555.2033912037</v>
      </c>
      <c r="F22" s="20">
        <v>42555.204398148147</v>
      </c>
      <c r="G22" s="23">
        <v>1</v>
      </c>
      <c r="H22" s="20" t="s">
        <v>232</v>
      </c>
      <c r="I22" s="20">
        <v>42555.233587962961</v>
      </c>
      <c r="J22" s="34">
        <v>0</v>
      </c>
      <c r="K22" s="34" t="str">
        <f t="shared" si="0"/>
        <v>4039/4040</v>
      </c>
      <c r="L22" s="34" t="str">
        <f>VLOOKUP(A22,'Trips&amp;Operators'!$C$1:$E$10000,3,FALSE)</f>
        <v>BEAM</v>
      </c>
      <c r="M22" s="6">
        <f t="shared" si="1"/>
        <v>2.9189814813435078E-2</v>
      </c>
      <c r="N22" s="7">
        <f t="shared" si="2"/>
        <v>42.033333331346512</v>
      </c>
      <c r="O22" s="7"/>
      <c r="P22" s="7"/>
      <c r="Q22" s="35"/>
      <c r="R22" s="35"/>
      <c r="S22" s="59">
        <f t="shared" si="3"/>
        <v>1</v>
      </c>
      <c r="T22" s="1" t="str">
        <f t="shared" si="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04:51:53-0600',mode:absolute,to:'2016-07-04 05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6.9900000000000004E-2</v>
      </c>
      <c r="Z22" s="38">
        <f t="shared" si="9"/>
        <v>23.331</v>
      </c>
      <c r="AA22" s="38">
        <f t="shared" si="10"/>
        <v>23.261099999999999</v>
      </c>
      <c r="AB22" s="39" t="e">
        <f>VLOOKUP(A22,Enforcements!$C$7:$J$31,8,0)</f>
        <v>#N/A</v>
      </c>
      <c r="AC22" s="39" t="e">
        <f>VLOOKUP(A22,Enforcements!$C$7:$E$31,3,0)</f>
        <v>#N/A</v>
      </c>
      <c r="AD22" s="1" t="str">
        <f t="shared" si="11"/>
        <v>0111-04</v>
      </c>
    </row>
    <row r="23" spans="1:30" s="1" customFormat="1" x14ac:dyDescent="0.25">
      <c r="A23" s="67" t="s">
        <v>327</v>
      </c>
      <c r="B23" s="34">
        <v>4039</v>
      </c>
      <c r="C23" s="34" t="s">
        <v>60</v>
      </c>
      <c r="D23" s="34" t="s">
        <v>213</v>
      </c>
      <c r="E23" s="20">
        <v>42555.243009259262</v>
      </c>
      <c r="F23" s="20">
        <v>42555.244050925925</v>
      </c>
      <c r="G23" s="23">
        <v>1</v>
      </c>
      <c r="H23" s="20" t="s">
        <v>439</v>
      </c>
      <c r="I23" s="20">
        <v>42555.272685185184</v>
      </c>
      <c r="J23" s="34">
        <v>0</v>
      </c>
      <c r="K23" s="34" t="str">
        <f t="shared" si="0"/>
        <v>4039/4040</v>
      </c>
      <c r="L23" s="34" t="str">
        <f>VLOOKUP(A23,'Trips&amp;Operators'!$C$1:$E$10000,3,FALSE)</f>
        <v>BEAM</v>
      </c>
      <c r="M23" s="6">
        <f t="shared" si="1"/>
        <v>2.8634259258979E-2</v>
      </c>
      <c r="N23" s="7">
        <f t="shared" si="2"/>
        <v>41.23333333292976</v>
      </c>
      <c r="O23" s="7"/>
      <c r="P23" s="7"/>
      <c r="Q23" s="35"/>
      <c r="R23" s="35"/>
      <c r="S23" s="59">
        <f t="shared" si="3"/>
        <v>1</v>
      </c>
      <c r="T23" s="1" t="str">
        <f t="shared" si="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05:48:56-0600',mode:absolute,to:'2016-07-04 06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23.299800000000001</v>
      </c>
      <c r="Z23" s="38">
        <f t="shared" si="9"/>
        <v>2.2499999999999999E-2</v>
      </c>
      <c r="AA23" s="38">
        <f t="shared" si="10"/>
        <v>23.2773</v>
      </c>
      <c r="AB23" s="39" t="e">
        <f>VLOOKUP(A23,Enforcements!$C$7:$J$31,8,0)</f>
        <v>#N/A</v>
      </c>
      <c r="AC23" s="39" t="e">
        <f>VLOOKUP(A23,Enforcements!$C$7:$E$31,3,0)</f>
        <v>#N/A</v>
      </c>
      <c r="AD23" s="1" t="str">
        <f t="shared" si="11"/>
        <v>0112-04</v>
      </c>
    </row>
    <row r="24" spans="1:30" s="1" customFormat="1" x14ac:dyDescent="0.25">
      <c r="A24" s="67" t="s">
        <v>344</v>
      </c>
      <c r="B24" s="34">
        <v>4018</v>
      </c>
      <c r="C24" s="34" t="s">
        <v>60</v>
      </c>
      <c r="D24" s="34" t="s">
        <v>226</v>
      </c>
      <c r="E24" s="20">
        <v>42555.210694444446</v>
      </c>
      <c r="F24" s="20">
        <v>42555.212071759262</v>
      </c>
      <c r="G24" s="23">
        <v>1</v>
      </c>
      <c r="H24" s="20" t="s">
        <v>90</v>
      </c>
      <c r="I24" s="20">
        <v>42555.244085648148</v>
      </c>
      <c r="J24" s="34">
        <v>0</v>
      </c>
      <c r="K24" s="34" t="str">
        <f t="shared" si="0"/>
        <v>4017/4018</v>
      </c>
      <c r="L24" s="34" t="str">
        <f>VLOOKUP(A24,'Trips&amp;Operators'!$C$1:$E$10000,3,FALSE)</f>
        <v>CANFIELD</v>
      </c>
      <c r="M24" s="6">
        <f t="shared" si="1"/>
        <v>3.2013888885558117E-2</v>
      </c>
      <c r="N24" s="7">
        <f t="shared" si="2"/>
        <v>46.099999995203689</v>
      </c>
      <c r="O24" s="7"/>
      <c r="P24" s="7"/>
      <c r="Q24" s="35"/>
      <c r="R24" s="35"/>
      <c r="S24" s="59">
        <f t="shared" si="3"/>
        <v>1</v>
      </c>
      <c r="T24" s="1" t="str">
        <f t="shared" si="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05:02:24-0600',mode:absolute,to:'2016-07-04 05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4.4900000000000002E-2</v>
      </c>
      <c r="Z24" s="38">
        <f t="shared" si="9"/>
        <v>23.329499999999999</v>
      </c>
      <c r="AA24" s="38">
        <f t="shared" si="10"/>
        <v>23.284600000000001</v>
      </c>
      <c r="AB24" s="39" t="e">
        <f>VLOOKUP(A24,Enforcements!$C$7:$J$31,8,0)</f>
        <v>#N/A</v>
      </c>
      <c r="AC24" s="39" t="e">
        <f>VLOOKUP(A24,Enforcements!$C$7:$E$31,3,0)</f>
        <v>#N/A</v>
      </c>
      <c r="AD24" s="1" t="str">
        <f t="shared" si="11"/>
        <v>0113-04</v>
      </c>
    </row>
    <row r="25" spans="1:30" s="1" customFormat="1" x14ac:dyDescent="0.25">
      <c r="A25" s="67" t="s">
        <v>359</v>
      </c>
      <c r="B25" s="34">
        <v>4017</v>
      </c>
      <c r="C25" s="34" t="s">
        <v>60</v>
      </c>
      <c r="D25" s="34" t="s">
        <v>205</v>
      </c>
      <c r="E25" s="20">
        <v>42555.252824074072</v>
      </c>
      <c r="F25" s="20">
        <v>42555.253703703704</v>
      </c>
      <c r="G25" s="23">
        <v>1</v>
      </c>
      <c r="H25" s="20" t="s">
        <v>74</v>
      </c>
      <c r="I25" s="20">
        <v>42555.283530092594</v>
      </c>
      <c r="J25" s="34">
        <v>0</v>
      </c>
      <c r="K25" s="34" t="str">
        <f t="shared" si="0"/>
        <v>4017/4018</v>
      </c>
      <c r="L25" s="34" t="str">
        <f>VLOOKUP(A25,'Trips&amp;Operators'!$C$1:$E$10000,3,FALSE)</f>
        <v>CANFIELD</v>
      </c>
      <c r="M25" s="6">
        <f t="shared" si="1"/>
        <v>2.9826388890796807E-2</v>
      </c>
      <c r="N25" s="7">
        <f t="shared" si="2"/>
        <v>42.950000002747402</v>
      </c>
      <c r="O25" s="7"/>
      <c r="P25" s="7"/>
      <c r="Q25" s="35"/>
      <c r="R25" s="35"/>
      <c r="S25" s="59">
        <f t="shared" si="3"/>
        <v>1</v>
      </c>
      <c r="T25" s="1" t="str">
        <f t="shared" si="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06:03:04-0600',mode:absolute,to:'2016-07-04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23.2973</v>
      </c>
      <c r="Z25" s="38">
        <f t="shared" si="9"/>
        <v>1.49E-2</v>
      </c>
      <c r="AA25" s="38">
        <f t="shared" si="10"/>
        <v>23.282399999999999</v>
      </c>
      <c r="AB25" s="39" t="e">
        <f>VLOOKUP(A25,Enforcements!$C$7:$J$31,8,0)</f>
        <v>#N/A</v>
      </c>
      <c r="AC25" s="39" t="e">
        <f>VLOOKUP(A25,Enforcements!$C$7:$E$31,3,0)</f>
        <v>#N/A</v>
      </c>
      <c r="AD25" s="1" t="str">
        <f t="shared" si="11"/>
        <v>0114-04</v>
      </c>
    </row>
    <row r="26" spans="1:30" s="1" customFormat="1" x14ac:dyDescent="0.25">
      <c r="A26" s="67" t="s">
        <v>373</v>
      </c>
      <c r="B26" s="34">
        <v>4025</v>
      </c>
      <c r="C26" s="34" t="s">
        <v>60</v>
      </c>
      <c r="D26" s="34" t="s">
        <v>218</v>
      </c>
      <c r="E26" s="20">
        <v>42555.224120370367</v>
      </c>
      <c r="F26" s="20">
        <v>42555.22625</v>
      </c>
      <c r="G26" s="23">
        <v>3</v>
      </c>
      <c r="H26" s="20" t="s">
        <v>236</v>
      </c>
      <c r="I26" s="20">
        <v>42555.254421296297</v>
      </c>
      <c r="J26" s="34">
        <v>0</v>
      </c>
      <c r="K26" s="34" t="str">
        <f t="shared" si="0"/>
        <v>4025/4026</v>
      </c>
      <c r="L26" s="34" t="str">
        <f>VLOOKUP(A26,'Trips&amp;Operators'!$C$1:$E$10000,3,FALSE)</f>
        <v>MALAVE</v>
      </c>
      <c r="M26" s="6">
        <f t="shared" si="1"/>
        <v>2.8171296296932269E-2</v>
      </c>
      <c r="N26" s="7">
        <f t="shared" si="2"/>
        <v>40.566666667582467</v>
      </c>
      <c r="O26" s="7"/>
      <c r="P26" s="7"/>
      <c r="Q26" s="35"/>
      <c r="R26" s="35"/>
      <c r="S26" s="59">
        <f t="shared" si="3"/>
        <v>1</v>
      </c>
      <c r="T26" s="1" t="str">
        <f t="shared" si="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05:21:44-0600',mode:absolute,to:'2016-07-04 06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7.9200000000000007E-2</v>
      </c>
      <c r="Z26" s="38">
        <f t="shared" si="9"/>
        <v>23.329799999999999</v>
      </c>
      <c r="AA26" s="38">
        <f t="shared" si="10"/>
        <v>23.250599999999999</v>
      </c>
      <c r="AB26" s="39" t="e">
        <f>VLOOKUP(A26,Enforcements!$C$7:$J$31,8,0)</f>
        <v>#N/A</v>
      </c>
      <c r="AC26" s="39" t="e">
        <f>VLOOKUP(A26,Enforcements!$C$7:$E$31,3,0)</f>
        <v>#N/A</v>
      </c>
      <c r="AD26" s="1" t="str">
        <f t="shared" si="11"/>
        <v>0115-04</v>
      </c>
    </row>
    <row r="27" spans="1:30" s="1" customFormat="1" x14ac:dyDescent="0.25">
      <c r="A27" s="67" t="s">
        <v>412</v>
      </c>
      <c r="B27" s="34">
        <v>4020</v>
      </c>
      <c r="C27" s="34" t="s">
        <v>60</v>
      </c>
      <c r="D27" s="34" t="s">
        <v>73</v>
      </c>
      <c r="E27" s="20">
        <v>42555.227824074071</v>
      </c>
      <c r="F27" s="20">
        <v>42555.230787037035</v>
      </c>
      <c r="G27" s="23">
        <v>4</v>
      </c>
      <c r="H27" s="20" t="s">
        <v>440</v>
      </c>
      <c r="I27" s="20">
        <v>42555.251875000002</v>
      </c>
      <c r="J27" s="34">
        <v>0</v>
      </c>
      <c r="K27" s="34" t="str">
        <f t="shared" si="0"/>
        <v>4019/4020</v>
      </c>
      <c r="L27" s="34" t="str">
        <f>VLOOKUP(A27,'Trips&amp;Operators'!$C$1:$E$10000,3,FALSE)</f>
        <v>STURGEON</v>
      </c>
      <c r="M27" s="6">
        <f t="shared" si="1"/>
        <v>2.1087962966703344E-2</v>
      </c>
      <c r="N27" s="7"/>
      <c r="O27" s="7"/>
      <c r="P27" s="7">
        <f t="shared" si="2"/>
        <v>30.366666672052816</v>
      </c>
      <c r="Q27" s="35"/>
      <c r="R27" s="35" t="s">
        <v>157</v>
      </c>
      <c r="S27" s="59">
        <f t="shared" si="3"/>
        <v>0.83333333333333337</v>
      </c>
      <c r="T27" s="1" t="str">
        <f t="shared" si="4"/>
        <v>NorthBound</v>
      </c>
      <c r="U27" s="1">
        <f>COUNTIFS(Variables!$M$2:$M$19,IF(T27="NorthBound","&gt;=","&lt;=")&amp;Y27,Variables!$M$2:$M$19,IF(T27="NorthBound","&lt;=","&gt;=")&amp;Z27)</f>
        <v>10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05:27:04-0600',mode:absolute,to:'2016-07-04 06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7" s="38" t="str">
        <f t="shared" si="6"/>
        <v>Y</v>
      </c>
      <c r="X27" s="38">
        <f t="shared" si="7"/>
        <v>2</v>
      </c>
      <c r="Y27" s="38">
        <f t="shared" si="8"/>
        <v>4.5699999999999998E-2</v>
      </c>
      <c r="Z27" s="38">
        <f t="shared" si="9"/>
        <v>8.6373999999999995</v>
      </c>
      <c r="AA27" s="38">
        <f t="shared" si="10"/>
        <v>8.5916999999999994</v>
      </c>
      <c r="AB27" s="39" t="e">
        <f>VLOOKUP(A27,Enforcements!$C$7:$J$31,8,0)</f>
        <v>#N/A</v>
      </c>
      <c r="AC27" s="39" t="e">
        <f>VLOOKUP(A27,Enforcements!$C$7:$E$31,3,0)</f>
        <v>#N/A</v>
      </c>
      <c r="AD27" s="1" t="str">
        <f t="shared" si="11"/>
        <v>0117-04</v>
      </c>
    </row>
    <row r="28" spans="1:30" s="1" customFormat="1" x14ac:dyDescent="0.25">
      <c r="A28" s="67" t="s">
        <v>421</v>
      </c>
      <c r="B28" s="34">
        <v>4019</v>
      </c>
      <c r="C28" s="34" t="s">
        <v>60</v>
      </c>
      <c r="D28" s="34" t="s">
        <v>181</v>
      </c>
      <c r="E28" s="20">
        <v>42555.275682870371</v>
      </c>
      <c r="F28" s="20">
        <v>42555.276666666665</v>
      </c>
      <c r="G28" s="23">
        <v>1</v>
      </c>
      <c r="H28" s="20" t="s">
        <v>68</v>
      </c>
      <c r="I28" s="20">
        <v>42555.305543981478</v>
      </c>
      <c r="J28" s="34">
        <v>0</v>
      </c>
      <c r="K28" s="34" t="str">
        <f t="shared" si="0"/>
        <v>4019/4020</v>
      </c>
      <c r="L28" s="34" t="str">
        <f>VLOOKUP(A28,'Trips&amp;Operators'!$C$1:$E$10000,3,FALSE)</f>
        <v>STURGEON</v>
      </c>
      <c r="M28" s="6">
        <f t="shared" si="1"/>
        <v>2.8877314813144039E-2</v>
      </c>
      <c r="N28" s="7">
        <f t="shared" si="2"/>
        <v>41.583333330927417</v>
      </c>
      <c r="O28" s="7"/>
      <c r="P28" s="7"/>
      <c r="Q28" s="35"/>
      <c r="R28" s="35"/>
      <c r="S28" s="59">
        <f t="shared" si="3"/>
        <v>1</v>
      </c>
      <c r="T28" s="1" t="str">
        <f t="shared" si="4"/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06:35:59-0600',mode:absolute,to:'2016-07-04 07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23.296900000000001</v>
      </c>
      <c r="Z28" s="38">
        <f t="shared" si="9"/>
        <v>1.6E-2</v>
      </c>
      <c r="AA28" s="38">
        <f t="shared" si="10"/>
        <v>23.280900000000003</v>
      </c>
      <c r="AB28" s="39" t="e">
        <f>VLOOKUP(A28,Enforcements!$C$7:$J$31,8,0)</f>
        <v>#N/A</v>
      </c>
      <c r="AC28" s="39" t="e">
        <f>VLOOKUP(A28,Enforcements!$C$7:$E$31,3,0)</f>
        <v>#N/A</v>
      </c>
      <c r="AD28" s="1" t="str">
        <f t="shared" si="11"/>
        <v>0118-04</v>
      </c>
    </row>
    <row r="29" spans="1:30" s="1" customFormat="1" x14ac:dyDescent="0.25">
      <c r="A29" s="67" t="s">
        <v>414</v>
      </c>
      <c r="B29" s="34">
        <v>4042</v>
      </c>
      <c r="C29" s="34" t="s">
        <v>60</v>
      </c>
      <c r="D29" s="34" t="s">
        <v>441</v>
      </c>
      <c r="E29" s="20">
        <v>42555.248611111114</v>
      </c>
      <c r="F29" s="20">
        <v>42555.249444444446</v>
      </c>
      <c r="G29" s="23">
        <v>1</v>
      </c>
      <c r="H29" s="20" t="s">
        <v>220</v>
      </c>
      <c r="I29" s="20">
        <v>42555.274837962963</v>
      </c>
      <c r="J29" s="34">
        <v>0</v>
      </c>
      <c r="K29" s="34" t="str">
        <f t="shared" si="0"/>
        <v>4041/4042</v>
      </c>
      <c r="L29" s="34" t="str">
        <f>VLOOKUP(A29,'Trips&amp;Operators'!$C$1:$E$10000,3,FALSE)</f>
        <v>ROCHA</v>
      </c>
      <c r="M29" s="6">
        <f t="shared" si="1"/>
        <v>2.5393518517375924E-2</v>
      </c>
      <c r="N29" s="7">
        <f t="shared" si="2"/>
        <v>36.56666666502133</v>
      </c>
      <c r="O29" s="7"/>
      <c r="P29" s="7"/>
      <c r="Q29" s="35"/>
      <c r="R29" s="35"/>
      <c r="S29" s="59">
        <f t="shared" si="3"/>
        <v>1</v>
      </c>
      <c r="T29" s="1" t="str">
        <f t="shared" si="4"/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05:57:00-0600',mode:absolute,to:'2016-07-04 06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7.3499999999999996E-2</v>
      </c>
      <c r="Z29" s="38">
        <f t="shared" si="9"/>
        <v>23.330200000000001</v>
      </c>
      <c r="AA29" s="38">
        <f t="shared" si="10"/>
        <v>23.256700000000002</v>
      </c>
      <c r="AB29" s="39" t="e">
        <f>VLOOKUP(A29,Enforcements!$C$7:$J$31,8,0)</f>
        <v>#N/A</v>
      </c>
      <c r="AC29" s="39" t="e">
        <f>VLOOKUP(A29,Enforcements!$C$7:$E$31,3,0)</f>
        <v>#N/A</v>
      </c>
      <c r="AD29" s="1" t="str">
        <f t="shared" si="11"/>
        <v>0119-04</v>
      </c>
    </row>
    <row r="30" spans="1:30" s="1" customFormat="1" x14ac:dyDescent="0.25">
      <c r="A30" s="67" t="s">
        <v>416</v>
      </c>
      <c r="B30" s="34">
        <v>4041</v>
      </c>
      <c r="C30" s="34" t="s">
        <v>60</v>
      </c>
      <c r="D30" s="34" t="s">
        <v>145</v>
      </c>
      <c r="E30" s="20">
        <v>42555.282766203702</v>
      </c>
      <c r="F30" s="20">
        <v>42555.283599537041</v>
      </c>
      <c r="G30" s="23">
        <v>1</v>
      </c>
      <c r="H30" s="20" t="s">
        <v>67</v>
      </c>
      <c r="I30" s="20">
        <v>42555.314884259256</v>
      </c>
      <c r="J30" s="34">
        <v>1</v>
      </c>
      <c r="K30" s="34" t="str">
        <f t="shared" si="0"/>
        <v>4041/4042</v>
      </c>
      <c r="L30" s="34" t="str">
        <f>VLOOKUP(A30,'Trips&amp;Operators'!$C$1:$E$10000,3,FALSE)</f>
        <v>ROCHA</v>
      </c>
      <c r="M30" s="6">
        <f t="shared" si="1"/>
        <v>3.1284722215787042E-2</v>
      </c>
      <c r="N30" s="7">
        <f t="shared" si="2"/>
        <v>45.04999999073334</v>
      </c>
      <c r="O30" s="7"/>
      <c r="P30" s="7"/>
      <c r="Q30" s="35"/>
      <c r="R30" s="35"/>
      <c r="S30" s="59">
        <f t="shared" si="3"/>
        <v>1</v>
      </c>
      <c r="T30" s="1" t="str">
        <f t="shared" si="4"/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06:46:11-0600',mode:absolute,to:'2016-07-04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0" s="38" t="str">
        <f t="shared" si="6"/>
        <v>N</v>
      </c>
      <c r="X30" s="38">
        <f t="shared" si="7"/>
        <v>1</v>
      </c>
      <c r="Y30" s="38">
        <f t="shared" si="8"/>
        <v>23.299600000000002</v>
      </c>
      <c r="Z30" s="38">
        <f t="shared" si="9"/>
        <v>1.47E-2</v>
      </c>
      <c r="AA30" s="38">
        <f t="shared" si="10"/>
        <v>23.2849</v>
      </c>
      <c r="AB30" s="39">
        <f>VLOOKUP(A30,Enforcements!$C$7:$J$31,8,0)</f>
        <v>191108</v>
      </c>
      <c r="AC30" s="39" t="str">
        <f>VLOOKUP(A30,Enforcements!$C$7:$E$31,3,0)</f>
        <v>PERMANENT SPEED RESTRICTION</v>
      </c>
      <c r="AD30" s="1" t="str">
        <f t="shared" si="11"/>
        <v>0120-04</v>
      </c>
    </row>
    <row r="31" spans="1:30" s="1" customFormat="1" x14ac:dyDescent="0.25">
      <c r="A31" s="67" t="s">
        <v>328</v>
      </c>
      <c r="B31" s="34">
        <v>4016</v>
      </c>
      <c r="C31" s="34" t="s">
        <v>60</v>
      </c>
      <c r="D31" s="34" t="s">
        <v>442</v>
      </c>
      <c r="E31" s="20">
        <v>42555.256435185183</v>
      </c>
      <c r="F31" s="20">
        <v>42555.257233796299</v>
      </c>
      <c r="G31" s="23">
        <v>1</v>
      </c>
      <c r="H31" s="20" t="s">
        <v>436</v>
      </c>
      <c r="I31" s="20">
        <v>42555.285011574073</v>
      </c>
      <c r="J31" s="34">
        <v>0</v>
      </c>
      <c r="K31" s="34" t="str">
        <f t="shared" si="0"/>
        <v>4015/4016</v>
      </c>
      <c r="L31" s="34" t="str">
        <f>VLOOKUP(A31,'Trips&amp;Operators'!$C$1:$E$10000,3,FALSE)</f>
        <v>YANAI</v>
      </c>
      <c r="M31" s="6">
        <f t="shared" si="1"/>
        <v>2.7777777773735579E-2</v>
      </c>
      <c r="N31" s="7">
        <f t="shared" si="2"/>
        <v>39.999999994179234</v>
      </c>
      <c r="O31" s="7"/>
      <c r="P31" s="7"/>
      <c r="Q31" s="35"/>
      <c r="R31" s="35"/>
      <c r="S31" s="59">
        <f t="shared" si="3"/>
        <v>1</v>
      </c>
      <c r="T31" s="1" t="str">
        <f t="shared" si="4"/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06:08:16-0600',mode:absolute,to:'2016-07-04 06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4.58E-2</v>
      </c>
      <c r="Z31" s="38">
        <f t="shared" si="9"/>
        <v>23.330400000000001</v>
      </c>
      <c r="AA31" s="38">
        <f t="shared" si="10"/>
        <v>23.284600000000001</v>
      </c>
      <c r="AB31" s="39" t="e">
        <f>VLOOKUP(A31,Enforcements!$C$7:$J$31,8,0)</f>
        <v>#N/A</v>
      </c>
      <c r="AC31" s="39" t="e">
        <f>VLOOKUP(A31,Enforcements!$C$7:$E$31,3,0)</f>
        <v>#N/A</v>
      </c>
      <c r="AD31" s="1" t="str">
        <f t="shared" si="11"/>
        <v>0121-04</v>
      </c>
    </row>
    <row r="32" spans="1:30" s="1" customFormat="1" x14ac:dyDescent="0.25">
      <c r="A32" s="67" t="s">
        <v>321</v>
      </c>
      <c r="B32" s="34">
        <v>4015</v>
      </c>
      <c r="C32" s="34" t="s">
        <v>60</v>
      </c>
      <c r="D32" s="34" t="s">
        <v>82</v>
      </c>
      <c r="E32" s="20">
        <v>42555.288923611108</v>
      </c>
      <c r="F32" s="20">
        <v>42555.295949074076</v>
      </c>
      <c r="G32" s="23">
        <v>10</v>
      </c>
      <c r="H32" s="20" t="s">
        <v>443</v>
      </c>
      <c r="I32" s="20">
        <v>42555.325162037036</v>
      </c>
      <c r="J32" s="34">
        <v>3</v>
      </c>
      <c r="K32" s="34" t="str">
        <f t="shared" si="0"/>
        <v>4015/4016</v>
      </c>
      <c r="L32" s="34" t="str">
        <f>VLOOKUP(A32,'Trips&amp;Operators'!$C$1:$E$10000,3,FALSE)</f>
        <v>YANAI</v>
      </c>
      <c r="M32" s="6">
        <f t="shared" si="1"/>
        <v>2.9212962959718425E-2</v>
      </c>
      <c r="N32" s="7">
        <f t="shared" si="2"/>
        <v>42.066666661994532</v>
      </c>
      <c r="O32" s="7"/>
      <c r="P32" s="7"/>
      <c r="Q32" s="35"/>
      <c r="R32" s="35"/>
      <c r="S32" s="59">
        <f t="shared" si="3"/>
        <v>1</v>
      </c>
      <c r="T32" s="1" t="str">
        <f t="shared" si="4"/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23.297499999999999</v>
      </c>
      <c r="Z32" s="38">
        <v>1.4999999999999999E-2</v>
      </c>
      <c r="AA32" s="38">
        <f t="shared" si="10"/>
        <v>23.282499999999999</v>
      </c>
      <c r="AB32" s="39">
        <f>VLOOKUP(A32,Enforcements!$C$7:$J$31,8,0)</f>
        <v>63068</v>
      </c>
      <c r="AC32" s="39" t="str">
        <f>VLOOKUP(A32,Enforcements!$C$7:$E$31,3,0)</f>
        <v>GRADE CROSSING</v>
      </c>
      <c r="AD32" s="1" t="str">
        <f t="shared" si="11"/>
        <v>0122-04</v>
      </c>
    </row>
    <row r="33" spans="1:30" s="1" customFormat="1" x14ac:dyDescent="0.25">
      <c r="A33" s="67" t="s">
        <v>349</v>
      </c>
      <c r="B33" s="34">
        <v>4029</v>
      </c>
      <c r="C33" s="34" t="s">
        <v>60</v>
      </c>
      <c r="D33" s="34" t="s">
        <v>132</v>
      </c>
      <c r="E33" s="20">
        <v>42555.268136574072</v>
      </c>
      <c r="F33" s="20">
        <v>42555.269074074073</v>
      </c>
      <c r="G33" s="23">
        <v>1</v>
      </c>
      <c r="H33" s="20" t="s">
        <v>444</v>
      </c>
      <c r="I33" s="20">
        <v>42555.297511574077</v>
      </c>
      <c r="J33" s="34">
        <v>0</v>
      </c>
      <c r="K33" s="34" t="str">
        <f t="shared" si="0"/>
        <v>4029/4030</v>
      </c>
      <c r="L33" s="34" t="str">
        <f>VLOOKUP(A33,'Trips&amp;Operators'!$C$1:$E$10000,3,FALSE)</f>
        <v>SPECTOR</v>
      </c>
      <c r="M33" s="6">
        <f t="shared" si="1"/>
        <v>2.8437500004656613E-2</v>
      </c>
      <c r="N33" s="7">
        <f t="shared" si="2"/>
        <v>40.950000006705523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06:25:07-0600',mode:absolute,to:'2016-07-04 07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3" s="38" t="str">
        <f t="shared" si="6"/>
        <v>N</v>
      </c>
      <c r="X33" s="38">
        <f t="shared" si="7"/>
        <v>1</v>
      </c>
      <c r="Y33" s="38">
        <f t="shared" si="8"/>
        <v>4.5100000000000001E-2</v>
      </c>
      <c r="Z33" s="38">
        <f t="shared" si="9"/>
        <v>23.333400000000001</v>
      </c>
      <c r="AA33" s="38">
        <f t="shared" si="10"/>
        <v>23.2883</v>
      </c>
      <c r="AB33" s="39" t="e">
        <f>VLOOKUP(A33,Enforcements!$C$7:$J$31,8,0)</f>
        <v>#N/A</v>
      </c>
      <c r="AC33" s="39" t="e">
        <f>VLOOKUP(A33,Enforcements!$C$7:$E$31,3,0)</f>
        <v>#N/A</v>
      </c>
      <c r="AD33" s="1" t="str">
        <f t="shared" si="11"/>
        <v>0123-04</v>
      </c>
    </row>
    <row r="34" spans="1:30" s="1" customFormat="1" x14ac:dyDescent="0.25">
      <c r="A34" s="67" t="s">
        <v>323</v>
      </c>
      <c r="B34" s="34">
        <v>4030</v>
      </c>
      <c r="C34" s="34" t="s">
        <v>60</v>
      </c>
      <c r="D34" s="34" t="s">
        <v>210</v>
      </c>
      <c r="E34" s="20">
        <v>42555.306770833333</v>
      </c>
      <c r="F34" s="20">
        <v>42555.307766203703</v>
      </c>
      <c r="G34" s="23">
        <v>1</v>
      </c>
      <c r="H34" s="20" t="s">
        <v>139</v>
      </c>
      <c r="I34" s="20">
        <v>42555.337442129632</v>
      </c>
      <c r="J34" s="34">
        <v>1</v>
      </c>
      <c r="K34" s="34" t="str">
        <f t="shared" si="0"/>
        <v>4029/4030</v>
      </c>
      <c r="L34" s="34" t="str">
        <f>VLOOKUP(A34,'Trips&amp;Operators'!$C$1:$E$10000,3,FALSE)</f>
        <v>SPECTOR</v>
      </c>
      <c r="M34" s="6">
        <f t="shared" si="1"/>
        <v>2.9675925929041114E-2</v>
      </c>
      <c r="N34" s="7">
        <f t="shared" si="2"/>
        <v>42.733333337819204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07:20:45-0600',mode:absolute,to:'2016-07-04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23.3</v>
      </c>
      <c r="Z34" s="38">
        <f t="shared" si="9"/>
        <v>1.54E-2</v>
      </c>
      <c r="AA34" s="38">
        <f t="shared" si="10"/>
        <v>23.284600000000001</v>
      </c>
      <c r="AB34" s="39">
        <f>VLOOKUP(A34,Enforcements!$C$7:$J$31,8,0)</f>
        <v>232107</v>
      </c>
      <c r="AC34" s="39" t="str">
        <f>VLOOKUP(A34,Enforcements!$C$7:$E$31,3,0)</f>
        <v>PERMANENT SPEED RESTRICTION</v>
      </c>
      <c r="AD34" s="1" t="str">
        <f t="shared" si="11"/>
        <v>0124-04</v>
      </c>
    </row>
    <row r="35" spans="1:30" s="1" customFormat="1" x14ac:dyDescent="0.25">
      <c r="A35" s="67" t="s">
        <v>419</v>
      </c>
      <c r="B35" s="34">
        <v>4040</v>
      </c>
      <c r="C35" s="34" t="s">
        <v>60</v>
      </c>
      <c r="D35" s="34" t="s">
        <v>445</v>
      </c>
      <c r="E35" s="20">
        <v>42555.277662037035</v>
      </c>
      <c r="F35" s="20">
        <v>42555.278993055559</v>
      </c>
      <c r="G35" s="23">
        <v>1</v>
      </c>
      <c r="H35" s="20" t="s">
        <v>94</v>
      </c>
      <c r="I35" s="20">
        <v>42555.305960648147</v>
      </c>
      <c r="J35" s="34">
        <v>1</v>
      </c>
      <c r="K35" s="34" t="str">
        <f t="shared" si="0"/>
        <v>4039/4040</v>
      </c>
      <c r="L35" s="34" t="str">
        <f>VLOOKUP(A35,'Trips&amp;Operators'!$C$1:$E$10000,3,FALSE)</f>
        <v>BEAM</v>
      </c>
      <c r="M35" s="6">
        <f t="shared" si="1"/>
        <v>2.696759258833481E-2</v>
      </c>
      <c r="N35" s="7">
        <f t="shared" si="2"/>
        <v>38.833333327202126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06:38:50-0600',mode:absolute,to:'2016-07-04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5.4899999999999997E-2</v>
      </c>
      <c r="Z35" s="38">
        <f t="shared" si="9"/>
        <v>23.3291</v>
      </c>
      <c r="AA35" s="38">
        <f t="shared" si="10"/>
        <v>23.2742</v>
      </c>
      <c r="AB35" s="39" t="e">
        <f>VLOOKUP(A35,Enforcements!$C$7:$J$31,8,0)</f>
        <v>#N/A</v>
      </c>
      <c r="AC35" s="39" t="e">
        <f>VLOOKUP(A35,Enforcements!$C$7:$E$31,3,0)</f>
        <v>#N/A</v>
      </c>
      <c r="AD35" s="1" t="str">
        <f t="shared" si="11"/>
        <v>0125-04</v>
      </c>
    </row>
    <row r="36" spans="1:30" s="1" customFormat="1" x14ac:dyDescent="0.25">
      <c r="A36" s="67" t="s">
        <v>330</v>
      </c>
      <c r="B36" s="34">
        <v>4039</v>
      </c>
      <c r="C36" s="34" t="s">
        <v>60</v>
      </c>
      <c r="D36" s="34" t="s">
        <v>82</v>
      </c>
      <c r="E36" s="20">
        <v>42555.316817129627</v>
      </c>
      <c r="F36" s="20">
        <v>42555.317673611113</v>
      </c>
      <c r="G36" s="23">
        <v>1</v>
      </c>
      <c r="H36" s="20" t="s">
        <v>175</v>
      </c>
      <c r="I36" s="20">
        <v>42555.345949074072</v>
      </c>
      <c r="J36" s="34">
        <v>0</v>
      </c>
      <c r="K36" s="34" t="str">
        <f t="shared" si="0"/>
        <v>4039/4040</v>
      </c>
      <c r="L36" s="34" t="str">
        <f>VLOOKUP(A36,'Trips&amp;Operators'!$C$1:$E$10000,3,FALSE)</f>
        <v>BEAM</v>
      </c>
      <c r="M36" s="6">
        <f t="shared" si="1"/>
        <v>2.827546295884531E-2</v>
      </c>
      <c r="N36" s="7">
        <f t="shared" si="2"/>
        <v>40.716666660737246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07:35:13-0600',mode:absolute,to:'2016-07-04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23.297499999999999</v>
      </c>
      <c r="Z36" s="38">
        <f t="shared" si="9"/>
        <v>1.38E-2</v>
      </c>
      <c r="AA36" s="38">
        <f t="shared" si="10"/>
        <v>23.2837</v>
      </c>
      <c r="AB36" s="39" t="e">
        <f>VLOOKUP(A36,Enforcements!$C$7:$J$31,8,0)</f>
        <v>#N/A</v>
      </c>
      <c r="AC36" s="39" t="e">
        <f>VLOOKUP(A36,Enforcements!$C$7:$E$31,3,0)</f>
        <v>#N/A</v>
      </c>
      <c r="AD36" s="1" t="str">
        <f t="shared" si="11"/>
        <v>0126-04</v>
      </c>
    </row>
    <row r="37" spans="1:30" s="1" customFormat="1" x14ac:dyDescent="0.25">
      <c r="A37" s="67" t="s">
        <v>424</v>
      </c>
      <c r="B37" s="34">
        <v>4018</v>
      </c>
      <c r="C37" s="34" t="s">
        <v>60</v>
      </c>
      <c r="D37" s="34" t="s">
        <v>130</v>
      </c>
      <c r="E37" s="20">
        <v>42555.284953703704</v>
      </c>
      <c r="F37" s="20">
        <v>42555.286261574074</v>
      </c>
      <c r="G37" s="23">
        <v>1</v>
      </c>
      <c r="H37" s="20" t="s">
        <v>446</v>
      </c>
      <c r="I37" s="20">
        <v>42555.318506944444</v>
      </c>
      <c r="J37" s="34">
        <v>0</v>
      </c>
      <c r="K37" s="34" t="str">
        <f t="shared" si="0"/>
        <v>4017/4018</v>
      </c>
      <c r="L37" s="34" t="str">
        <f>VLOOKUP(A37,'Trips&amp;Operators'!$C$1:$E$10000,3,FALSE)</f>
        <v>CANFIELD</v>
      </c>
      <c r="M37" s="6">
        <f t="shared" si="1"/>
        <v>3.2245370370219462E-2</v>
      </c>
      <c r="N37" s="7">
        <f t="shared" si="2"/>
        <v>46.433333333116025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06:49:20-0600',mode:absolute,to:'2016-07-04 07:39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4.7699999999999999E-2</v>
      </c>
      <c r="Z37" s="38">
        <f t="shared" si="9"/>
        <v>23.3308</v>
      </c>
      <c r="AA37" s="38">
        <f t="shared" si="10"/>
        <v>23.283100000000001</v>
      </c>
      <c r="AB37" s="39" t="e">
        <f>VLOOKUP(A37,Enforcements!$C$7:$J$31,8,0)</f>
        <v>#N/A</v>
      </c>
      <c r="AC37" s="39" t="e">
        <f>VLOOKUP(A37,Enforcements!$C$7:$E$31,3,0)</f>
        <v>#N/A</v>
      </c>
      <c r="AD37" s="1" t="str">
        <f t="shared" si="11"/>
        <v>0127-04</v>
      </c>
    </row>
    <row r="38" spans="1:30" s="1" customFormat="1" x14ac:dyDescent="0.25">
      <c r="A38" s="87" t="s">
        <v>356</v>
      </c>
      <c r="B38" s="34">
        <v>4025</v>
      </c>
      <c r="C38" s="34" t="s">
        <v>60</v>
      </c>
      <c r="D38" s="34" t="s">
        <v>215</v>
      </c>
      <c r="E38" s="20">
        <v>42555.300023148149</v>
      </c>
      <c r="F38" s="20">
        <v>42555.301539351851</v>
      </c>
      <c r="G38" s="23">
        <v>2</v>
      </c>
      <c r="H38" s="20" t="s">
        <v>131</v>
      </c>
      <c r="I38" s="20">
        <v>42555.328310185185</v>
      </c>
      <c r="J38" s="34">
        <v>2</v>
      </c>
      <c r="K38" s="34" t="str">
        <f t="shared" si="0"/>
        <v>4025/4026</v>
      </c>
      <c r="L38" s="34" t="str">
        <f>VLOOKUP(A38,'Trips&amp;Operators'!$C$1:$E$10000,3,FALSE)</f>
        <v>MALAVE</v>
      </c>
      <c r="M38" s="6">
        <f t="shared" si="1"/>
        <v>2.6770833334012423E-2</v>
      </c>
      <c r="N38" s="7">
        <f t="shared" si="2"/>
        <v>38.550000000977889</v>
      </c>
      <c r="O38" s="7"/>
      <c r="P38" s="7"/>
      <c r="Q38" s="35"/>
      <c r="R38" s="35"/>
      <c r="S38" s="59">
        <f t="shared" si="3"/>
        <v>1</v>
      </c>
      <c r="T38" s="1" t="str">
        <f t="shared" si="4"/>
        <v>NorthBound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38" t="str">
        <f t="shared" si="6"/>
        <v>N</v>
      </c>
      <c r="X38" s="38">
        <f t="shared" si="7"/>
        <v>2</v>
      </c>
      <c r="Y38" s="38">
        <f t="shared" si="8"/>
        <v>4.6899999999999997E-2</v>
      </c>
      <c r="Z38" s="38">
        <f t="shared" si="9"/>
        <v>23.3293</v>
      </c>
      <c r="AA38" s="38">
        <f t="shared" si="10"/>
        <v>23.282399999999999</v>
      </c>
      <c r="AB38" s="39" t="e">
        <f>VLOOKUP(A38,Enforcements!$C$7:$J$31,8,0)</f>
        <v>#N/A</v>
      </c>
      <c r="AC38" s="39" t="e">
        <f>VLOOKUP(A38,Enforcements!$C$7:$E$31,3,0)</f>
        <v>#N/A</v>
      </c>
      <c r="AD38" s="1" t="str">
        <f t="shared" si="11"/>
        <v>0129-04</v>
      </c>
    </row>
    <row r="39" spans="1:30" s="1" customFormat="1" x14ac:dyDescent="0.25">
      <c r="A39" s="67" t="s">
        <v>377</v>
      </c>
      <c r="B39" s="34">
        <v>4026</v>
      </c>
      <c r="C39" s="34" t="s">
        <v>60</v>
      </c>
      <c r="D39" s="34" t="s">
        <v>447</v>
      </c>
      <c r="E39" s="20">
        <v>42555.338333333333</v>
      </c>
      <c r="F39" s="20">
        <v>42555.339513888888</v>
      </c>
      <c r="G39" s="23">
        <v>1</v>
      </c>
      <c r="H39" s="20" t="s">
        <v>125</v>
      </c>
      <c r="I39" s="20">
        <v>42555.367083333331</v>
      </c>
      <c r="J39" s="34">
        <v>0</v>
      </c>
      <c r="K39" s="34" t="str">
        <f t="shared" si="0"/>
        <v>4025/4026</v>
      </c>
      <c r="L39" s="34" t="str">
        <f>VLOOKUP(A39,'Trips&amp;Operators'!$C$1:$E$10000,3,FALSE)</f>
        <v>MALAVE</v>
      </c>
      <c r="M39" s="6">
        <f t="shared" si="1"/>
        <v>2.7569444442633539E-2</v>
      </c>
      <c r="N39" s="7">
        <f t="shared" si="2"/>
        <v>39.699999997392297</v>
      </c>
      <c r="O39" s="7"/>
      <c r="P39" s="7"/>
      <c r="Q39" s="35"/>
      <c r="R39" s="35"/>
      <c r="S39" s="59">
        <f t="shared" si="3"/>
        <v>1</v>
      </c>
      <c r="T39" s="1" t="str">
        <f t="shared" si="4"/>
        <v>Southbound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08:06:12-0600',mode:absolute,to:'2016-07-04 08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23.295300000000001</v>
      </c>
      <c r="Z39" s="38">
        <f t="shared" si="9"/>
        <v>1.43E-2</v>
      </c>
      <c r="AA39" s="38">
        <f t="shared" si="10"/>
        <v>23.281000000000002</v>
      </c>
      <c r="AB39" s="39" t="e">
        <f>VLOOKUP(A39,Enforcements!$C$7:$J$31,8,0)</f>
        <v>#N/A</v>
      </c>
      <c r="AC39" s="39" t="e">
        <f>VLOOKUP(A39,Enforcements!$C$7:$E$31,3,0)</f>
        <v>#N/A</v>
      </c>
      <c r="AD39" s="1" t="str">
        <f t="shared" si="11"/>
        <v>0130-04</v>
      </c>
    </row>
    <row r="40" spans="1:30" s="1" customFormat="1" x14ac:dyDescent="0.25">
      <c r="A40" s="67" t="s">
        <v>369</v>
      </c>
      <c r="B40" s="34">
        <v>4020</v>
      </c>
      <c r="C40" s="34" t="s">
        <v>60</v>
      </c>
      <c r="D40" s="34" t="s">
        <v>228</v>
      </c>
      <c r="E40" s="20">
        <v>42555.307592592595</v>
      </c>
      <c r="F40" s="20">
        <v>42555.308946759258</v>
      </c>
      <c r="G40" s="23">
        <v>1</v>
      </c>
      <c r="H40" s="20" t="s">
        <v>239</v>
      </c>
      <c r="I40" s="20">
        <v>42555.33792824074</v>
      </c>
      <c r="J40" s="34">
        <v>0</v>
      </c>
      <c r="K40" s="34" t="str">
        <f t="shared" si="0"/>
        <v>4019/4020</v>
      </c>
      <c r="L40" s="34" t="str">
        <f>VLOOKUP(A40,'Trips&amp;Operators'!$C$1:$E$10000,3,FALSE)</f>
        <v>STURGEON</v>
      </c>
      <c r="M40" s="6">
        <f t="shared" si="1"/>
        <v>2.8981481482333038E-2</v>
      </c>
      <c r="N40" s="7">
        <f t="shared" si="2"/>
        <v>41.733333334559575</v>
      </c>
      <c r="O40" s="7"/>
      <c r="P40" s="7"/>
      <c r="Q40" s="35"/>
      <c r="R40" s="35"/>
      <c r="S40" s="59">
        <f t="shared" si="3"/>
        <v>1</v>
      </c>
      <c r="T40" s="1" t="str">
        <f t="shared" si="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07:21:56-0600',mode:absolute,to:'2016-07-04 08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4.7500000000000001E-2</v>
      </c>
      <c r="Z40" s="38">
        <f t="shared" si="9"/>
        <v>23.328700000000001</v>
      </c>
      <c r="AA40" s="38">
        <f t="shared" si="10"/>
        <v>23.281200000000002</v>
      </c>
      <c r="AB40" s="39" t="e">
        <f>VLOOKUP(A40,Enforcements!$C$7:$J$31,8,0)</f>
        <v>#N/A</v>
      </c>
      <c r="AC40" s="39" t="e">
        <f>VLOOKUP(A40,Enforcements!$C$7:$E$31,3,0)</f>
        <v>#N/A</v>
      </c>
      <c r="AD40" s="1" t="str">
        <f t="shared" si="11"/>
        <v>0131-04</v>
      </c>
    </row>
    <row r="41" spans="1:30" s="1" customFormat="1" x14ac:dyDescent="0.25">
      <c r="A41" s="67" t="s">
        <v>417</v>
      </c>
      <c r="B41" s="34">
        <v>4019</v>
      </c>
      <c r="C41" s="34" t="s">
        <v>60</v>
      </c>
      <c r="D41" s="34" t="s">
        <v>448</v>
      </c>
      <c r="E41" s="20">
        <v>42555.341631944444</v>
      </c>
      <c r="F41" s="20">
        <v>42555.342812499999</v>
      </c>
      <c r="G41" s="23">
        <v>1</v>
      </c>
      <c r="H41" s="20" t="s">
        <v>68</v>
      </c>
      <c r="I41" s="20">
        <v>42555.378020833334</v>
      </c>
      <c r="J41" s="34">
        <v>0</v>
      </c>
      <c r="K41" s="34" t="str">
        <f t="shared" si="0"/>
        <v>4019/4020</v>
      </c>
      <c r="L41" s="34" t="str">
        <f>VLOOKUP(A41,'Trips&amp;Operators'!$C$1:$E$10000,3,FALSE)</f>
        <v>STURGEON</v>
      </c>
      <c r="M41" s="6">
        <f t="shared" si="1"/>
        <v>3.5208333334594499E-2</v>
      </c>
      <c r="N41" s="7">
        <f t="shared" si="2"/>
        <v>50.700000001816079</v>
      </c>
      <c r="O41" s="7"/>
      <c r="P41" s="7"/>
      <c r="Q41" s="35"/>
      <c r="R41" s="35"/>
      <c r="S41" s="59">
        <f t="shared" si="3"/>
        <v>1</v>
      </c>
      <c r="T41" s="1" t="str">
        <f t="shared" si="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08:10:57-0600',mode:absolute,to:'2016-07-04 09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23.296800000000001</v>
      </c>
      <c r="Z41" s="38">
        <f t="shared" si="9"/>
        <v>1.6E-2</v>
      </c>
      <c r="AA41" s="38">
        <f t="shared" si="10"/>
        <v>23.280800000000003</v>
      </c>
      <c r="AB41" s="39" t="e">
        <f>VLOOKUP(A41,Enforcements!$C$7:$J$31,8,0)</f>
        <v>#N/A</v>
      </c>
      <c r="AC41" s="39" t="e">
        <f>VLOOKUP(A41,Enforcements!$C$7:$E$31,3,0)</f>
        <v>#N/A</v>
      </c>
      <c r="AD41" s="1" t="str">
        <f t="shared" si="11"/>
        <v>0132-04</v>
      </c>
    </row>
    <row r="42" spans="1:30" s="1" customFormat="1" x14ac:dyDescent="0.25">
      <c r="A42" s="67" t="s">
        <v>363</v>
      </c>
      <c r="B42" s="34">
        <v>4042</v>
      </c>
      <c r="C42" s="34" t="s">
        <v>60</v>
      </c>
      <c r="D42" s="34" t="s">
        <v>132</v>
      </c>
      <c r="E42" s="20">
        <v>42555.317835648151</v>
      </c>
      <c r="F42" s="20">
        <v>42555.318715277775</v>
      </c>
      <c r="G42" s="23">
        <v>1</v>
      </c>
      <c r="H42" s="20" t="s">
        <v>201</v>
      </c>
      <c r="I42" s="20">
        <v>42555.348865740743</v>
      </c>
      <c r="J42" s="34">
        <v>0</v>
      </c>
      <c r="K42" s="34" t="str">
        <f t="shared" si="0"/>
        <v>4041/4042</v>
      </c>
      <c r="L42" s="34" t="str">
        <f>VLOOKUP(A42,'Trips&amp;Operators'!$C$1:$E$10000,3,FALSE)</f>
        <v>CUSHING</v>
      </c>
      <c r="M42" s="6">
        <f t="shared" si="1"/>
        <v>3.0150462967867497E-2</v>
      </c>
      <c r="N42" s="7">
        <f t="shared" si="2"/>
        <v>43.416666673729196</v>
      </c>
      <c r="O42" s="7"/>
      <c r="P42" s="7"/>
      <c r="Q42" s="35"/>
      <c r="R42" s="35"/>
      <c r="S42" s="59">
        <f t="shared" si="3"/>
        <v>1</v>
      </c>
      <c r="T42" s="1" t="str">
        <f t="shared" si="4"/>
        <v>NorthBound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07:36:41-0600',mode:absolute,to:'2016-07-04 08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4.5100000000000001E-2</v>
      </c>
      <c r="Z42" s="38">
        <f t="shared" si="9"/>
        <v>23.328600000000002</v>
      </c>
      <c r="AA42" s="38">
        <f t="shared" si="10"/>
        <v>23.2835</v>
      </c>
      <c r="AB42" s="39" t="e">
        <f>VLOOKUP(A42,Enforcements!$C$7:$J$31,8,0)</f>
        <v>#N/A</v>
      </c>
      <c r="AC42" s="39" t="e">
        <f>VLOOKUP(A42,Enforcements!$C$7:$E$31,3,0)</f>
        <v>#N/A</v>
      </c>
      <c r="AD42" s="1" t="str">
        <f t="shared" si="11"/>
        <v>0133-04</v>
      </c>
    </row>
    <row r="43" spans="1:30" s="1" customFormat="1" x14ac:dyDescent="0.25">
      <c r="A43" s="67" t="s">
        <v>336</v>
      </c>
      <c r="B43" s="34">
        <v>4041</v>
      </c>
      <c r="C43" s="34" t="s">
        <v>60</v>
      </c>
      <c r="D43" s="34" t="s">
        <v>230</v>
      </c>
      <c r="E43" s="20">
        <v>42555.355729166666</v>
      </c>
      <c r="F43" s="20">
        <v>42555.356666666667</v>
      </c>
      <c r="G43" s="23">
        <v>1</v>
      </c>
      <c r="H43" s="20" t="s">
        <v>173</v>
      </c>
      <c r="I43" s="20">
        <v>42555.38857638889</v>
      </c>
      <c r="J43" s="34">
        <v>1</v>
      </c>
      <c r="K43" s="34" t="str">
        <f t="shared" si="0"/>
        <v>4041/4042</v>
      </c>
      <c r="L43" s="34" t="str">
        <f>VLOOKUP(A43,'Trips&amp;Operators'!$C$1:$E$10000,3,FALSE)</f>
        <v>CUSHING</v>
      </c>
      <c r="M43" s="6">
        <f t="shared" si="1"/>
        <v>3.1909722223645076E-2</v>
      </c>
      <c r="N43" s="7">
        <f t="shared" si="2"/>
        <v>45.95000000204891</v>
      </c>
      <c r="O43" s="7"/>
      <c r="P43" s="7"/>
      <c r="Q43" s="35"/>
      <c r="R43" s="35"/>
      <c r="S43" s="59">
        <f t="shared" si="3"/>
        <v>1</v>
      </c>
      <c r="T43" s="1" t="str">
        <f t="shared" si="4"/>
        <v>Southbound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08:31:15-0600',mode:absolute,to:'2016-07-04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23.2957</v>
      </c>
      <c r="Z43" s="38">
        <f t="shared" si="9"/>
        <v>1.67E-2</v>
      </c>
      <c r="AA43" s="38">
        <f t="shared" si="10"/>
        <v>23.279</v>
      </c>
      <c r="AB43" s="39">
        <f>VLOOKUP(A43,Enforcements!$C$7:$J$31,8,0)</f>
        <v>190834</v>
      </c>
      <c r="AC43" s="39" t="str">
        <f>VLOOKUP(A43,Enforcements!$C$7:$E$31,3,0)</f>
        <v>PERMANENT SPEED RESTRICTION</v>
      </c>
      <c r="AD43" s="1" t="str">
        <f t="shared" si="11"/>
        <v>0134-04</v>
      </c>
    </row>
    <row r="44" spans="1:30" s="1" customFormat="1" x14ac:dyDescent="0.25">
      <c r="A44" s="67" t="s">
        <v>386</v>
      </c>
      <c r="B44" s="34">
        <v>4016</v>
      </c>
      <c r="C44" s="34" t="s">
        <v>60</v>
      </c>
      <c r="D44" s="34" t="s">
        <v>77</v>
      </c>
      <c r="E44" s="20">
        <v>42555.330046296294</v>
      </c>
      <c r="F44" s="20">
        <v>42555.331238425926</v>
      </c>
      <c r="G44" s="23">
        <v>1</v>
      </c>
      <c r="H44" s="20" t="s">
        <v>436</v>
      </c>
      <c r="I44" s="20">
        <v>42555.358946759261</v>
      </c>
      <c r="J44" s="34">
        <v>0</v>
      </c>
      <c r="K44" s="34" t="str">
        <f t="shared" si="0"/>
        <v>4015/4016</v>
      </c>
      <c r="L44" s="34" t="str">
        <f>VLOOKUP(A44,'Trips&amp;Operators'!$C$1:$E$10000,3,FALSE)</f>
        <v>YANAI</v>
      </c>
      <c r="M44" s="6">
        <f t="shared" si="1"/>
        <v>2.7708333334885538E-2</v>
      </c>
      <c r="N44" s="7">
        <f t="shared" si="2"/>
        <v>39.900000002235174</v>
      </c>
      <c r="O44" s="7"/>
      <c r="P44" s="7"/>
      <c r="Q44" s="35"/>
      <c r="R44" s="35"/>
      <c r="S44" s="59">
        <f t="shared" si="3"/>
        <v>1</v>
      </c>
      <c r="T44" s="1" t="str">
        <f t="shared" si="4"/>
        <v>NorthBound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07:54:16-0600',mode:absolute,to:'2016-07-04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4.53E-2</v>
      </c>
      <c r="Z44" s="38">
        <f t="shared" si="9"/>
        <v>23.330400000000001</v>
      </c>
      <c r="AA44" s="38">
        <f t="shared" si="10"/>
        <v>23.2851</v>
      </c>
      <c r="AB44" s="39" t="e">
        <f>VLOOKUP(A44,Enforcements!$C$7:$J$31,8,0)</f>
        <v>#N/A</v>
      </c>
      <c r="AC44" s="39" t="e">
        <f>VLOOKUP(A44,Enforcements!$C$7:$E$31,3,0)</f>
        <v>#N/A</v>
      </c>
      <c r="AD44" s="1" t="str">
        <f t="shared" si="11"/>
        <v>0135-04</v>
      </c>
    </row>
    <row r="45" spans="1:30" s="1" customFormat="1" x14ac:dyDescent="0.25">
      <c r="A45" s="67" t="s">
        <v>409</v>
      </c>
      <c r="B45" s="34">
        <v>4015</v>
      </c>
      <c r="C45" s="34" t="s">
        <v>60</v>
      </c>
      <c r="D45" s="34" t="s">
        <v>151</v>
      </c>
      <c r="E45" s="20">
        <v>42555.361354166664</v>
      </c>
      <c r="F45" s="20">
        <v>42555.362870370373</v>
      </c>
      <c r="G45" s="23">
        <v>2</v>
      </c>
      <c r="H45" s="20" t="s">
        <v>98</v>
      </c>
      <c r="I45" s="20">
        <v>42555.398159722223</v>
      </c>
      <c r="J45" s="34">
        <v>0</v>
      </c>
      <c r="K45" s="34" t="str">
        <f t="shared" si="0"/>
        <v>4015/4016</v>
      </c>
      <c r="L45" s="34" t="str">
        <f>VLOOKUP(A45,'Trips&amp;Operators'!$C$1:$E$10000,3,FALSE)</f>
        <v>YANAI</v>
      </c>
      <c r="M45" s="6">
        <f t="shared" si="1"/>
        <v>3.5289351850224193E-2</v>
      </c>
      <c r="N45" s="7">
        <f t="shared" si="2"/>
        <v>50.816666664322838</v>
      </c>
      <c r="O45" s="7"/>
      <c r="P45" s="7"/>
      <c r="Q45" s="35"/>
      <c r="R45" s="35"/>
      <c r="S45" s="59">
        <f t="shared" si="3"/>
        <v>1</v>
      </c>
      <c r="T45" s="1" t="str">
        <f t="shared" si="4"/>
        <v>Southbound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08:39:21-0600',mode:absolute,to:'2016-07-04 09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5" s="38" t="str">
        <f t="shared" si="6"/>
        <v>N</v>
      </c>
      <c r="X45" s="38">
        <f t="shared" si="7"/>
        <v>1</v>
      </c>
      <c r="Y45" s="38">
        <f t="shared" si="8"/>
        <v>23.297899999999998</v>
      </c>
      <c r="Z45" s="38">
        <f t="shared" si="9"/>
        <v>1.4999999999999999E-2</v>
      </c>
      <c r="AA45" s="38">
        <f t="shared" si="10"/>
        <v>23.282899999999998</v>
      </c>
      <c r="AB45" s="39" t="e">
        <f>VLOOKUP(A45,Enforcements!$C$7:$J$31,8,0)</f>
        <v>#N/A</v>
      </c>
      <c r="AC45" s="39" t="e">
        <f>VLOOKUP(A45,Enforcements!$C$7:$E$31,3,0)</f>
        <v>#N/A</v>
      </c>
      <c r="AD45" s="1" t="str">
        <f t="shared" si="11"/>
        <v>0136-04</v>
      </c>
    </row>
    <row r="46" spans="1:30" s="1" customFormat="1" x14ac:dyDescent="0.25">
      <c r="A46" s="67" t="s">
        <v>365</v>
      </c>
      <c r="B46" s="34">
        <v>4029</v>
      </c>
      <c r="C46" s="34" t="s">
        <v>60</v>
      </c>
      <c r="D46" s="34" t="s">
        <v>77</v>
      </c>
      <c r="E46" s="20">
        <v>42555.340092592596</v>
      </c>
      <c r="F46" s="20">
        <v>42555.340798611112</v>
      </c>
      <c r="G46" s="23">
        <v>1</v>
      </c>
      <c r="H46" s="20" t="s">
        <v>449</v>
      </c>
      <c r="I46" s="20">
        <v>42555.369826388887</v>
      </c>
      <c r="J46" s="34">
        <v>0</v>
      </c>
      <c r="K46" s="34" t="str">
        <f t="shared" si="0"/>
        <v>4029/4030</v>
      </c>
      <c r="L46" s="34" t="str">
        <f>VLOOKUP(A46,'Trips&amp;Operators'!$C$1:$E$10000,3,FALSE)</f>
        <v>SPECTOR</v>
      </c>
      <c r="M46" s="6">
        <f t="shared" si="1"/>
        <v>2.9027777774899732E-2</v>
      </c>
      <c r="N46" s="7">
        <f t="shared" si="2"/>
        <v>41.799999995855615</v>
      </c>
      <c r="O46" s="7"/>
      <c r="P46" s="7"/>
      <c r="Q46" s="35"/>
      <c r="R46" s="35"/>
      <c r="S46" s="59">
        <f t="shared" si="3"/>
        <v>1</v>
      </c>
      <c r="T46" s="1" t="str">
        <f t="shared" si="4"/>
        <v>NorthBound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08:08:44-0600',mode:absolute,to:'2016-07-04 08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6" s="38" t="str">
        <f t="shared" si="6"/>
        <v>N</v>
      </c>
      <c r="X46" s="38">
        <f t="shared" si="7"/>
        <v>1</v>
      </c>
      <c r="Y46" s="38">
        <f t="shared" si="8"/>
        <v>4.53E-2</v>
      </c>
      <c r="Z46" s="38">
        <f t="shared" si="9"/>
        <v>23.332000000000001</v>
      </c>
      <c r="AA46" s="38">
        <f t="shared" si="10"/>
        <v>23.2867</v>
      </c>
      <c r="AB46" s="39" t="e">
        <f>VLOOKUP(A46,Enforcements!$C$7:$J$31,8,0)</f>
        <v>#N/A</v>
      </c>
      <c r="AC46" s="39" t="e">
        <f>VLOOKUP(A46,Enforcements!$C$7:$E$31,3,0)</f>
        <v>#N/A</v>
      </c>
      <c r="AD46" s="1" t="str">
        <f t="shared" si="11"/>
        <v>0137-04</v>
      </c>
    </row>
    <row r="47" spans="1:30" s="1" customFormat="1" x14ac:dyDescent="0.25">
      <c r="A47" s="67" t="s">
        <v>380</v>
      </c>
      <c r="B47" s="34">
        <v>4030</v>
      </c>
      <c r="C47" s="34" t="s">
        <v>60</v>
      </c>
      <c r="D47" s="34" t="s">
        <v>450</v>
      </c>
      <c r="E47" s="20">
        <v>42555.377881944441</v>
      </c>
      <c r="F47" s="20">
        <v>42555.378831018519</v>
      </c>
      <c r="G47" s="23">
        <v>1</v>
      </c>
      <c r="H47" s="20" t="s">
        <v>451</v>
      </c>
      <c r="I47" s="20">
        <v>42555.409201388888</v>
      </c>
      <c r="J47" s="34">
        <v>1</v>
      </c>
      <c r="K47" s="34" t="str">
        <f t="shared" si="0"/>
        <v>4029/4030</v>
      </c>
      <c r="L47" s="34" t="str">
        <f>VLOOKUP(A47,'Trips&amp;Operators'!$C$1:$E$10000,3,FALSE)</f>
        <v>SPECTOR</v>
      </c>
      <c r="M47" s="6">
        <f t="shared" si="1"/>
        <v>3.0370370368473232E-2</v>
      </c>
      <c r="N47" s="7">
        <f t="shared" si="2"/>
        <v>43.733333330601454</v>
      </c>
      <c r="O47" s="7"/>
      <c r="P47" s="7"/>
      <c r="Q47" s="35"/>
      <c r="R47" s="35"/>
      <c r="S47" s="59">
        <f t="shared" si="3"/>
        <v>1</v>
      </c>
      <c r="T47" s="1" t="str">
        <f t="shared" si="4"/>
        <v>Southbound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09:03:09-0600',mode:absolute,to:'2016-07-04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7" s="38" t="str">
        <f t="shared" si="6"/>
        <v>N</v>
      </c>
      <c r="X47" s="38">
        <f t="shared" si="7"/>
        <v>1</v>
      </c>
      <c r="Y47" s="38">
        <f t="shared" si="8"/>
        <v>23.298400000000001</v>
      </c>
      <c r="Z47" s="38">
        <f t="shared" si="9"/>
        <v>5.0599999999999999E-2</v>
      </c>
      <c r="AA47" s="38">
        <f t="shared" si="10"/>
        <v>23.247800000000002</v>
      </c>
      <c r="AB47" s="39" t="e">
        <f>VLOOKUP(A47,Enforcements!$C$7:$J$31,8,0)</f>
        <v>#N/A</v>
      </c>
      <c r="AC47" s="39" t="e">
        <f>VLOOKUP(A47,Enforcements!$C$7:$E$31,3,0)</f>
        <v>#N/A</v>
      </c>
      <c r="AD47" s="1" t="str">
        <f t="shared" si="11"/>
        <v>0138-04</v>
      </c>
    </row>
    <row r="48" spans="1:30" s="1" customFormat="1" x14ac:dyDescent="0.25">
      <c r="A48" s="67" t="s">
        <v>364</v>
      </c>
      <c r="B48" s="34">
        <v>4040</v>
      </c>
      <c r="C48" s="34" t="s">
        <v>60</v>
      </c>
      <c r="D48" s="34" t="s">
        <v>133</v>
      </c>
      <c r="E48" s="20">
        <v>42555.352025462962</v>
      </c>
      <c r="F48" s="20">
        <v>42555.352870370371</v>
      </c>
      <c r="G48" s="23">
        <v>1</v>
      </c>
      <c r="H48" s="20" t="s">
        <v>452</v>
      </c>
      <c r="I48" s="20">
        <v>42555.379201388889</v>
      </c>
      <c r="J48" s="34">
        <v>0</v>
      </c>
      <c r="K48" s="34" t="str">
        <f t="shared" si="0"/>
        <v>4039/4040</v>
      </c>
      <c r="L48" s="34" t="str">
        <f>VLOOKUP(A48,'Trips&amp;Operators'!$C$1:$E$10000,3,FALSE)</f>
        <v>BEAM</v>
      </c>
      <c r="M48" s="6">
        <f t="shared" si="1"/>
        <v>2.6331018518249039E-2</v>
      </c>
      <c r="N48" s="7">
        <f t="shared" si="2"/>
        <v>37.916666666278616</v>
      </c>
      <c r="O48" s="7"/>
      <c r="P48" s="7"/>
      <c r="Q48" s="35"/>
      <c r="R48" s="35"/>
      <c r="S48" s="59">
        <f t="shared" si="3"/>
        <v>1</v>
      </c>
      <c r="T48" s="1" t="str">
        <f t="shared" si="4"/>
        <v>NorthBound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08:25:55-0600',mode:absolute,to:'2016-07-04 09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38" t="str">
        <f t="shared" si="6"/>
        <v>N</v>
      </c>
      <c r="X48" s="38">
        <f t="shared" si="7"/>
        <v>1</v>
      </c>
      <c r="Y48" s="38">
        <f t="shared" si="8"/>
        <v>4.4400000000000002E-2</v>
      </c>
      <c r="Z48" s="38">
        <f t="shared" si="9"/>
        <v>23.332899999999999</v>
      </c>
      <c r="AA48" s="38">
        <f t="shared" si="10"/>
        <v>23.288499999999999</v>
      </c>
      <c r="AB48" s="39" t="e">
        <f>VLOOKUP(A48,Enforcements!$C$7:$J$31,8,0)</f>
        <v>#N/A</v>
      </c>
      <c r="AC48" s="39" t="e">
        <f>VLOOKUP(A48,Enforcements!$C$7:$E$31,3,0)</f>
        <v>#N/A</v>
      </c>
      <c r="AD48" s="1" t="str">
        <f t="shared" si="11"/>
        <v>0139-04</v>
      </c>
    </row>
    <row r="49" spans="1:30" s="1" customFormat="1" x14ac:dyDescent="0.25">
      <c r="A49" s="67" t="s">
        <v>397</v>
      </c>
      <c r="B49" s="34">
        <v>4039</v>
      </c>
      <c r="C49" s="34" t="s">
        <v>60</v>
      </c>
      <c r="D49" s="34" t="s">
        <v>453</v>
      </c>
      <c r="E49" s="20">
        <v>42555.402997685182</v>
      </c>
      <c r="F49" s="20">
        <v>42555.403611111113</v>
      </c>
      <c r="G49" s="23">
        <v>0</v>
      </c>
      <c r="H49" s="20" t="s">
        <v>74</v>
      </c>
      <c r="I49" s="20">
        <v>42555.419259259259</v>
      </c>
      <c r="J49" s="34">
        <v>0</v>
      </c>
      <c r="K49" s="34" t="str">
        <f t="shared" si="0"/>
        <v>4039/4040</v>
      </c>
      <c r="L49" s="34" t="str">
        <f>VLOOKUP(A49,'Trips&amp;Operators'!$C$1:$E$10000,3,FALSE)</f>
        <v>BEAM</v>
      </c>
      <c r="M49" s="6">
        <f t="shared" si="1"/>
        <v>1.5648148146283347E-2</v>
      </c>
      <c r="N49" s="7"/>
      <c r="O49" s="7"/>
      <c r="P49" s="7">
        <f t="shared" si="2"/>
        <v>22.53333333064802</v>
      </c>
      <c r="Q49" s="35"/>
      <c r="R49" s="35" t="s">
        <v>157</v>
      </c>
      <c r="S49" s="59">
        <f t="shared" si="3"/>
        <v>1</v>
      </c>
      <c r="T49" s="1" t="str">
        <f t="shared" si="4"/>
        <v>Southbound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09:39:19-0600',mode:absolute,to:'2016-07-04 10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38" t="str">
        <f t="shared" si="6"/>
        <v>Y</v>
      </c>
      <c r="X49" s="38">
        <f t="shared" si="7"/>
        <v>1</v>
      </c>
      <c r="Y49" s="38">
        <f t="shared" si="8"/>
        <v>12.786</v>
      </c>
      <c r="Z49" s="38">
        <f t="shared" si="9"/>
        <v>1.49E-2</v>
      </c>
      <c r="AA49" s="38">
        <f t="shared" si="10"/>
        <v>12.771099999999999</v>
      </c>
      <c r="AB49" s="39" t="e">
        <f>VLOOKUP(A49,Enforcements!$C$7:$J$31,8,0)</f>
        <v>#N/A</v>
      </c>
      <c r="AC49" s="39" t="e">
        <f>VLOOKUP(A49,Enforcements!$C$7:$E$31,3,0)</f>
        <v>#N/A</v>
      </c>
      <c r="AD49" s="1" t="str">
        <f t="shared" si="11"/>
        <v>0140-04</v>
      </c>
    </row>
    <row r="50" spans="1:30" s="1" customFormat="1" x14ac:dyDescent="0.25">
      <c r="A50" s="67" t="s">
        <v>397</v>
      </c>
      <c r="B50" s="34">
        <v>4039</v>
      </c>
      <c r="C50" s="34" t="s">
        <v>60</v>
      </c>
      <c r="D50" s="34" t="s">
        <v>454</v>
      </c>
      <c r="E50" s="20">
        <v>42555.390787037039</v>
      </c>
      <c r="F50" s="20">
        <v>42555.391631944447</v>
      </c>
      <c r="G50" s="23">
        <v>1</v>
      </c>
      <c r="H50" s="20" t="s">
        <v>74</v>
      </c>
      <c r="I50" s="20">
        <v>42555.419259259259</v>
      </c>
      <c r="J50" s="34">
        <v>0</v>
      </c>
      <c r="K50" s="34" t="str">
        <f t="shared" si="0"/>
        <v>4039/4040</v>
      </c>
      <c r="L50" s="34" t="str">
        <f>VLOOKUP(A50,'Trips&amp;Operators'!$C$1:$E$10000,3,FALSE)</f>
        <v>BEAM</v>
      </c>
      <c r="M50" s="6">
        <f t="shared" si="1"/>
        <v>2.7627314811979886E-2</v>
      </c>
      <c r="N50" s="7">
        <f t="shared" si="2"/>
        <v>39.783333329251036</v>
      </c>
      <c r="O50" s="7"/>
      <c r="P50" s="7"/>
      <c r="Q50" s="35"/>
      <c r="R50" s="35"/>
      <c r="S50" s="59">
        <f t="shared" si="3"/>
        <v>1</v>
      </c>
      <c r="T50" s="1" t="str">
        <f t="shared" si="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09:21:44-0600',mode:absolute,to:'2016-07-04 10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38" t="str">
        <f t="shared" si="6"/>
        <v>N</v>
      </c>
      <c r="X50" s="38">
        <f t="shared" si="7"/>
        <v>0</v>
      </c>
      <c r="Y50" s="38">
        <f t="shared" si="8"/>
        <v>23.300599999999999</v>
      </c>
      <c r="Z50" s="38">
        <f t="shared" si="9"/>
        <v>1.49E-2</v>
      </c>
      <c r="AA50" s="38">
        <f t="shared" si="10"/>
        <v>23.285699999999999</v>
      </c>
      <c r="AB50" s="39" t="e">
        <f>VLOOKUP(A50,Enforcements!$C$7:$J$31,8,0)</f>
        <v>#N/A</v>
      </c>
      <c r="AC50" s="39" t="e">
        <f>VLOOKUP(A50,Enforcements!$C$7:$E$31,3,0)</f>
        <v>#N/A</v>
      </c>
      <c r="AD50" s="1" t="str">
        <f t="shared" si="11"/>
        <v>0140-04</v>
      </c>
    </row>
    <row r="51" spans="1:30" s="1" customFormat="1" x14ac:dyDescent="0.25">
      <c r="A51" s="67" t="s">
        <v>388</v>
      </c>
      <c r="B51" s="34">
        <v>4017</v>
      </c>
      <c r="C51" s="34" t="s">
        <v>60</v>
      </c>
      <c r="D51" s="34" t="s">
        <v>71</v>
      </c>
      <c r="E51" s="20">
        <v>42555.394525462965</v>
      </c>
      <c r="F51" s="20">
        <v>42555.395532407405</v>
      </c>
      <c r="G51" s="23">
        <v>1</v>
      </c>
      <c r="H51" s="20" t="s">
        <v>91</v>
      </c>
      <c r="I51" s="20">
        <v>42555.429895833331</v>
      </c>
      <c r="J51" s="34">
        <v>1</v>
      </c>
      <c r="K51" s="34" t="str">
        <f t="shared" si="0"/>
        <v>4017/4018</v>
      </c>
      <c r="L51" s="34" t="str">
        <f>VLOOKUP(A51,'Trips&amp;Operators'!$C$1:$E$10000,3,FALSE)</f>
        <v>CANFIELD</v>
      </c>
      <c r="M51" s="6">
        <f t="shared" si="1"/>
        <v>3.4363425926130731E-2</v>
      </c>
      <c r="N51" s="7">
        <f t="shared" si="2"/>
        <v>49.483333333628252</v>
      </c>
      <c r="O51" s="7"/>
      <c r="P51" s="7"/>
      <c r="Q51" s="35"/>
      <c r="R51" s="35"/>
      <c r="S51" s="59">
        <f t="shared" si="3"/>
        <v>1</v>
      </c>
      <c r="T51" s="1" t="str">
        <f t="shared" si="4"/>
        <v>Southbound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09:27:07-0600',mode:absolute,to:'2016-07-04 10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1" s="38" t="str">
        <f t="shared" si="6"/>
        <v>N</v>
      </c>
      <c r="X51" s="38">
        <f t="shared" si="7"/>
        <v>2</v>
      </c>
      <c r="Y51" s="38">
        <f t="shared" si="8"/>
        <v>23.297699999999999</v>
      </c>
      <c r="Z51" s="38">
        <f t="shared" si="9"/>
        <v>1.5800000000000002E-2</v>
      </c>
      <c r="AA51" s="38">
        <f t="shared" si="10"/>
        <v>23.2819</v>
      </c>
      <c r="AB51" s="39" t="e">
        <f>VLOOKUP(A51,Enforcements!$C$7:$J$31,8,0)</f>
        <v>#N/A</v>
      </c>
      <c r="AC51" s="39" t="e">
        <f>VLOOKUP(A51,Enforcements!$C$7:$E$31,3,0)</f>
        <v>#N/A</v>
      </c>
      <c r="AD51" s="1" t="str">
        <f t="shared" si="11"/>
        <v>0142-04</v>
      </c>
    </row>
    <row r="52" spans="1:30" s="1" customFormat="1" x14ac:dyDescent="0.25">
      <c r="A52" s="67" t="s">
        <v>408</v>
      </c>
      <c r="B52" s="34">
        <v>4025</v>
      </c>
      <c r="C52" s="34" t="s">
        <v>60</v>
      </c>
      <c r="D52" s="34" t="s">
        <v>152</v>
      </c>
      <c r="E52" s="20">
        <v>42555.373472222222</v>
      </c>
      <c r="F52" s="20">
        <v>42555.374398148146</v>
      </c>
      <c r="G52" s="23">
        <v>1</v>
      </c>
      <c r="H52" s="20" t="s">
        <v>309</v>
      </c>
      <c r="I52" s="20">
        <v>42555.400613425925</v>
      </c>
      <c r="J52" s="34">
        <v>1</v>
      </c>
      <c r="K52" s="34" t="str">
        <f t="shared" si="0"/>
        <v>4025/4026</v>
      </c>
      <c r="L52" s="34" t="str">
        <f>VLOOKUP(A52,'Trips&amp;Operators'!$C$1:$E$10000,3,FALSE)</f>
        <v>MALAVE</v>
      </c>
      <c r="M52" s="6">
        <f t="shared" si="1"/>
        <v>2.6215277779556345E-2</v>
      </c>
      <c r="N52" s="7">
        <f t="shared" si="2"/>
        <v>37.750000002561137</v>
      </c>
      <c r="O52" s="7"/>
      <c r="P52" s="7"/>
      <c r="Q52" s="35"/>
      <c r="R52" s="35"/>
      <c r="S52" s="59">
        <f t="shared" si="3"/>
        <v>1</v>
      </c>
      <c r="T52" s="1" t="str">
        <f t="shared" si="4"/>
        <v>NorthBound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08:56:48-0600',mode:absolute,to:'2016-07-04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2" s="38" t="str">
        <f t="shared" si="6"/>
        <v>N</v>
      </c>
      <c r="X52" s="38">
        <f t="shared" si="7"/>
        <v>1</v>
      </c>
      <c r="Y52" s="38">
        <f t="shared" si="8"/>
        <v>4.4600000000000001E-2</v>
      </c>
      <c r="Z52" s="38">
        <f t="shared" si="9"/>
        <v>23.328900000000001</v>
      </c>
      <c r="AA52" s="38">
        <f t="shared" si="10"/>
        <v>23.284300000000002</v>
      </c>
      <c r="AB52" s="39">
        <f>VLOOKUP(A52,Enforcements!$C$7:$J$31,8,0)</f>
        <v>230436</v>
      </c>
      <c r="AC52" s="39" t="str">
        <f>VLOOKUP(A52,Enforcements!$C$7:$E$31,3,0)</f>
        <v>PERMANENT SPEED RESTRICTION</v>
      </c>
      <c r="AD52" s="1" t="str">
        <f t="shared" si="11"/>
        <v>0143-04</v>
      </c>
    </row>
    <row r="53" spans="1:30" s="1" customFormat="1" x14ac:dyDescent="0.25">
      <c r="A53" s="67" t="s">
        <v>319</v>
      </c>
      <c r="B53" s="34">
        <v>4026</v>
      </c>
      <c r="C53" s="34" t="s">
        <v>60</v>
      </c>
      <c r="D53" s="34" t="s">
        <v>206</v>
      </c>
      <c r="E53" s="20">
        <v>42555.411134259259</v>
      </c>
      <c r="F53" s="20">
        <v>42555.412060185183</v>
      </c>
      <c r="G53" s="23">
        <v>1</v>
      </c>
      <c r="H53" s="20" t="s">
        <v>455</v>
      </c>
      <c r="I53" s="20">
        <v>42555.437164351853</v>
      </c>
      <c r="J53" s="34">
        <v>0</v>
      </c>
      <c r="K53" s="34" t="str">
        <f t="shared" si="0"/>
        <v>4025/4026</v>
      </c>
      <c r="L53" s="34" t="str">
        <f>VLOOKUP(A53,'Trips&amp;Operators'!$C$1:$E$10000,3,FALSE)</f>
        <v>MALAVE</v>
      </c>
      <c r="M53" s="6">
        <f t="shared" si="1"/>
        <v>2.510416667064419E-2</v>
      </c>
      <c r="N53" s="7"/>
      <c r="O53" s="7"/>
      <c r="P53" s="7">
        <f t="shared" si="2"/>
        <v>36.150000005727634</v>
      </c>
      <c r="Q53" s="35"/>
      <c r="R53" s="35" t="s">
        <v>685</v>
      </c>
      <c r="S53" s="59">
        <f t="shared" si="3"/>
        <v>1</v>
      </c>
      <c r="T53" s="1" t="str">
        <f t="shared" si="4"/>
        <v>Southbound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09:51:02-0600',mode:absolute,to:'2016-07-04 10:30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3" s="38" t="str">
        <f t="shared" si="6"/>
        <v>Y</v>
      </c>
      <c r="X53" s="38">
        <f t="shared" si="7"/>
        <v>1</v>
      </c>
      <c r="Y53" s="38">
        <f t="shared" si="8"/>
        <v>23.2987</v>
      </c>
      <c r="Z53" s="38">
        <f t="shared" si="9"/>
        <v>1.8761000000000001</v>
      </c>
      <c r="AA53" s="38">
        <f t="shared" si="10"/>
        <v>21.422599999999999</v>
      </c>
      <c r="AB53" s="39" t="e">
        <f>VLOOKUP(A53,Enforcements!$C$7:$J$31,8,0)</f>
        <v>#N/A</v>
      </c>
      <c r="AC53" s="39" t="e">
        <f>VLOOKUP(A53,Enforcements!$C$7:$E$31,3,0)</f>
        <v>#N/A</v>
      </c>
      <c r="AD53" s="1" t="str">
        <f t="shared" si="11"/>
        <v>0144-04</v>
      </c>
    </row>
    <row r="54" spans="1:30" s="1" customFormat="1" x14ac:dyDescent="0.25">
      <c r="A54" s="87" t="s">
        <v>381</v>
      </c>
      <c r="B54" s="34">
        <v>4020</v>
      </c>
      <c r="C54" s="34" t="s">
        <v>60</v>
      </c>
      <c r="D54" s="34" t="s">
        <v>117</v>
      </c>
      <c r="E54" s="20">
        <v>42555.379895833335</v>
      </c>
      <c r="F54" s="20">
        <v>42555.381493055553</v>
      </c>
      <c r="G54" s="23">
        <v>2</v>
      </c>
      <c r="H54" s="20" t="s">
        <v>202</v>
      </c>
      <c r="I54" s="20">
        <v>42555.410243055558</v>
      </c>
      <c r="J54" s="34">
        <v>1</v>
      </c>
      <c r="K54" s="34" t="str">
        <f t="shared" si="0"/>
        <v>4019/4020</v>
      </c>
      <c r="L54" s="34" t="str">
        <f>VLOOKUP(A54,'Trips&amp;Operators'!$C$1:$E$10000,3,FALSE)</f>
        <v>STURGEON</v>
      </c>
      <c r="M54" s="6">
        <f t="shared" si="1"/>
        <v>2.8750000004947651E-2</v>
      </c>
      <c r="N54" s="7">
        <f t="shared" si="2"/>
        <v>41.400000007124618</v>
      </c>
      <c r="O54" s="7"/>
      <c r="P54" s="7"/>
      <c r="Q54" s="35"/>
      <c r="R54" s="35"/>
      <c r="S54" s="59">
        <f t="shared" si="3"/>
        <v>1</v>
      </c>
      <c r="T54" s="1" t="str">
        <f t="shared" si="4"/>
        <v>NorthBound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38" t="str">
        <f t="shared" si="6"/>
        <v>N</v>
      </c>
      <c r="X54" s="38">
        <f t="shared" si="7"/>
        <v>1</v>
      </c>
      <c r="Y54" s="38">
        <f t="shared" si="8"/>
        <v>4.7300000000000002E-2</v>
      </c>
      <c r="Z54" s="38">
        <f t="shared" si="9"/>
        <v>23.327400000000001</v>
      </c>
      <c r="AA54" s="38">
        <f t="shared" si="10"/>
        <v>23.280100000000001</v>
      </c>
      <c r="AB54" s="39" t="e">
        <f>VLOOKUP(A54,Enforcements!$C$7:$J$31,8,0)</f>
        <v>#N/A</v>
      </c>
      <c r="AC54" s="39" t="e">
        <f>VLOOKUP(A54,Enforcements!$C$7:$E$31,3,0)</f>
        <v>#N/A</v>
      </c>
      <c r="AD54" s="1" t="str">
        <f t="shared" si="11"/>
        <v>0145-04</v>
      </c>
    </row>
    <row r="55" spans="1:30" s="1" customFormat="1" x14ac:dyDescent="0.25">
      <c r="A55" s="67" t="s">
        <v>354</v>
      </c>
      <c r="B55" s="34">
        <v>4019</v>
      </c>
      <c r="C55" s="34" t="s">
        <v>60</v>
      </c>
      <c r="D55" s="34" t="s">
        <v>456</v>
      </c>
      <c r="E55" s="20">
        <v>42555.414976851855</v>
      </c>
      <c r="F55" s="20">
        <v>42555.416030092594</v>
      </c>
      <c r="G55" s="23">
        <v>1</v>
      </c>
      <c r="H55" s="20" t="s">
        <v>457</v>
      </c>
      <c r="I55" s="20">
        <v>42555.45103009259</v>
      </c>
      <c r="J55" s="34">
        <v>0</v>
      </c>
      <c r="K55" s="34" t="str">
        <f t="shared" si="0"/>
        <v>4019/4020</v>
      </c>
      <c r="L55" s="34" t="str">
        <f>VLOOKUP(A55,'Trips&amp;Operators'!$C$1:$E$10000,3,FALSE)</f>
        <v>STURGEON</v>
      </c>
      <c r="M55" s="6">
        <f t="shared" si="1"/>
        <v>3.4999999996216502E-2</v>
      </c>
      <c r="N55" s="7">
        <f t="shared" si="2"/>
        <v>50.399999994551763</v>
      </c>
      <c r="O55" s="7"/>
      <c r="P55" s="7"/>
      <c r="Q55" s="35"/>
      <c r="R55" s="35"/>
      <c r="S55" s="59">
        <f t="shared" si="3"/>
        <v>1</v>
      </c>
      <c r="T55" s="1" t="str">
        <f t="shared" si="4"/>
        <v>Southbound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09:56:34-0600',mode:absolute,to:'2016-07-04 10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38" t="str">
        <f t="shared" si="6"/>
        <v>N</v>
      </c>
      <c r="X55" s="38">
        <f t="shared" si="7"/>
        <v>1</v>
      </c>
      <c r="Y55" s="38">
        <f t="shared" si="8"/>
        <v>23.296299999999999</v>
      </c>
      <c r="Z55" s="38">
        <f t="shared" si="9"/>
        <v>4.24E-2</v>
      </c>
      <c r="AA55" s="38">
        <f t="shared" si="10"/>
        <v>23.253899999999998</v>
      </c>
      <c r="AB55" s="39" t="e">
        <f>VLOOKUP(A55,Enforcements!$C$7:$J$31,8,0)</f>
        <v>#N/A</v>
      </c>
      <c r="AC55" s="39" t="e">
        <f>VLOOKUP(A55,Enforcements!$C$7:$E$31,3,0)</f>
        <v>#N/A</v>
      </c>
      <c r="AD55" s="1" t="str">
        <f t="shared" si="11"/>
        <v>0146-04</v>
      </c>
    </row>
    <row r="56" spans="1:30" s="1" customFormat="1" x14ac:dyDescent="0.25">
      <c r="A56" s="67" t="s">
        <v>402</v>
      </c>
      <c r="B56" s="34">
        <v>4042</v>
      </c>
      <c r="C56" s="34" t="s">
        <v>60</v>
      </c>
      <c r="D56" s="34" t="s">
        <v>458</v>
      </c>
      <c r="E56" s="20">
        <v>42555.391134259262</v>
      </c>
      <c r="F56" s="20">
        <v>42555.392430555556</v>
      </c>
      <c r="G56" s="23">
        <v>1</v>
      </c>
      <c r="H56" s="20" t="s">
        <v>265</v>
      </c>
      <c r="I56" s="20">
        <v>42555.420486111114</v>
      </c>
      <c r="J56" s="34">
        <v>0</v>
      </c>
      <c r="K56" s="34" t="str">
        <f t="shared" si="0"/>
        <v>4041/4042</v>
      </c>
      <c r="L56" s="34" t="str">
        <f>VLOOKUP(A56,'Trips&amp;Operators'!$C$1:$E$10000,3,FALSE)</f>
        <v>ROCHA</v>
      </c>
      <c r="M56" s="6">
        <f t="shared" si="1"/>
        <v>2.8055555558239575E-2</v>
      </c>
      <c r="N56" s="7">
        <f t="shared" si="2"/>
        <v>40.400000003864989</v>
      </c>
      <c r="O56" s="7"/>
      <c r="P56" s="7"/>
      <c r="Q56" s="35"/>
      <c r="R56" s="35"/>
      <c r="S56" s="59">
        <f t="shared" si="3"/>
        <v>1</v>
      </c>
      <c r="T56" s="1" t="str">
        <f t="shared" si="4"/>
        <v>NorthBound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09:22:14-0600',mode:absolute,to:'2016-07-04 10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6" s="38" t="str">
        <f t="shared" si="6"/>
        <v>N</v>
      </c>
      <c r="X56" s="38">
        <f t="shared" si="7"/>
        <v>1</v>
      </c>
      <c r="Y56" s="38">
        <f t="shared" si="8"/>
        <v>4.6199999999999998E-2</v>
      </c>
      <c r="Z56" s="38">
        <f t="shared" si="9"/>
        <v>23.33</v>
      </c>
      <c r="AA56" s="38">
        <f t="shared" si="10"/>
        <v>23.283799999999999</v>
      </c>
      <c r="AB56" s="39" t="e">
        <f>VLOOKUP(A56,Enforcements!$C$7:$J$31,8,0)</f>
        <v>#N/A</v>
      </c>
      <c r="AC56" s="39" t="e">
        <f>VLOOKUP(A56,Enforcements!$C$7:$E$31,3,0)</f>
        <v>#N/A</v>
      </c>
      <c r="AD56" s="1" t="str">
        <f t="shared" si="11"/>
        <v>0147-04</v>
      </c>
    </row>
    <row r="57" spans="1:30" s="1" customFormat="1" x14ac:dyDescent="0.25">
      <c r="A57" s="67" t="s">
        <v>338</v>
      </c>
      <c r="B57" s="34">
        <v>4041</v>
      </c>
      <c r="C57" s="34" t="s">
        <v>60</v>
      </c>
      <c r="D57" s="34" t="s">
        <v>296</v>
      </c>
      <c r="E57" s="20">
        <v>42555.430150462962</v>
      </c>
      <c r="F57" s="20">
        <v>42555.432812500003</v>
      </c>
      <c r="G57" s="23">
        <v>3</v>
      </c>
      <c r="H57" s="20" t="s">
        <v>67</v>
      </c>
      <c r="I57" s="20">
        <v>42555.533495370371</v>
      </c>
      <c r="J57" s="34">
        <v>2</v>
      </c>
      <c r="K57" s="34" t="str">
        <f t="shared" si="0"/>
        <v>4041/4042</v>
      </c>
      <c r="L57" s="34" t="str">
        <f>VLOOKUP(A57,'Trips&amp;Operators'!$C$1:$E$10000,3,FALSE)</f>
        <v>ROCHA</v>
      </c>
      <c r="M57" s="6">
        <f t="shared" si="1"/>
        <v>0.10068287036847323</v>
      </c>
      <c r="N57" s="7">
        <f t="shared" si="2"/>
        <v>144.98333333060145</v>
      </c>
      <c r="O57" s="7"/>
      <c r="P57" s="7"/>
      <c r="Q57" s="35"/>
      <c r="R57" s="35"/>
      <c r="S57" s="59">
        <f t="shared" si="3"/>
        <v>1</v>
      </c>
      <c r="T57" s="1" t="str">
        <f t="shared" si="4"/>
        <v>Southbound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7" s="38" t="str">
        <f t="shared" si="6"/>
        <v>N</v>
      </c>
      <c r="X57" s="38">
        <f t="shared" si="7"/>
        <v>1</v>
      </c>
      <c r="Y57" s="38">
        <f t="shared" si="8"/>
        <v>23.299399999999999</v>
      </c>
      <c r="Z57" s="38">
        <f t="shared" si="9"/>
        <v>1.47E-2</v>
      </c>
      <c r="AA57" s="38">
        <f t="shared" si="10"/>
        <v>23.284699999999997</v>
      </c>
      <c r="AB57" s="39">
        <f>VLOOKUP(A57,Enforcements!$C$7:$J$31,8,0)</f>
        <v>68497</v>
      </c>
      <c r="AC57" s="39" t="str">
        <f>VLOOKUP(A57,Enforcements!$C$7:$E$31,3,0)</f>
        <v>EQUIPMENT RESTRICTION</v>
      </c>
      <c r="AD57" s="1" t="str">
        <f t="shared" si="11"/>
        <v>0148-04</v>
      </c>
    </row>
    <row r="58" spans="1:30" s="1" customFormat="1" x14ac:dyDescent="0.25">
      <c r="A58" s="67" t="s">
        <v>338</v>
      </c>
      <c r="B58" s="34">
        <v>4041</v>
      </c>
      <c r="C58" s="34" t="s">
        <v>60</v>
      </c>
      <c r="D58" s="34" t="s">
        <v>296</v>
      </c>
      <c r="E58" s="20">
        <v>42555.430150462962</v>
      </c>
      <c r="F58" s="20">
        <v>42555.43341435185</v>
      </c>
      <c r="G58" s="23">
        <v>4</v>
      </c>
      <c r="H58" s="20" t="s">
        <v>67</v>
      </c>
      <c r="I58" s="20">
        <v>42555.533495370371</v>
      </c>
      <c r="J58" s="34">
        <v>1</v>
      </c>
      <c r="K58" s="34" t="str">
        <f t="shared" si="0"/>
        <v>4041/4042</v>
      </c>
      <c r="L58" s="34" t="str">
        <f>VLOOKUP(A58,'Trips&amp;Operators'!$C$1:$E$10000,3,FALSE)</f>
        <v>ROCHA</v>
      </c>
      <c r="M58" s="6">
        <f t="shared" si="1"/>
        <v>0.10008101852145046</v>
      </c>
      <c r="N58" s="7">
        <f t="shared" si="2"/>
        <v>144.11666667088866</v>
      </c>
      <c r="O58" s="7"/>
      <c r="P58" s="7"/>
      <c r="Q58" s="35"/>
      <c r="R58" s="35"/>
      <c r="S58" s="59">
        <f t="shared" si="3"/>
        <v>1</v>
      </c>
      <c r="T58" s="1" t="str">
        <f t="shared" si="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38" t="str">
        <f t="shared" si="6"/>
        <v>N</v>
      </c>
      <c r="X58" s="38">
        <f t="shared" si="7"/>
        <v>0</v>
      </c>
      <c r="Y58" s="38">
        <f t="shared" si="8"/>
        <v>23.299399999999999</v>
      </c>
      <c r="Z58" s="38">
        <f t="shared" si="9"/>
        <v>1.47E-2</v>
      </c>
      <c r="AA58" s="38">
        <f t="shared" si="10"/>
        <v>23.284699999999997</v>
      </c>
      <c r="AB58" s="39">
        <f>VLOOKUP(A58,Enforcements!$C$7:$J$31,8,0)</f>
        <v>68497</v>
      </c>
      <c r="AC58" s="39" t="str">
        <f>VLOOKUP(A58,Enforcements!$C$7:$E$31,3,0)</f>
        <v>EQUIPMENT RESTRICTION</v>
      </c>
      <c r="AD58" s="1" t="str">
        <f t="shared" si="11"/>
        <v>0148-04</v>
      </c>
    </row>
    <row r="59" spans="1:30" s="1" customFormat="1" x14ac:dyDescent="0.25">
      <c r="A59" s="67" t="s">
        <v>337</v>
      </c>
      <c r="B59" s="34">
        <v>4016</v>
      </c>
      <c r="C59" s="34" t="s">
        <v>60</v>
      </c>
      <c r="D59" s="34" t="s">
        <v>73</v>
      </c>
      <c r="E59" s="20">
        <v>42555.40221064815</v>
      </c>
      <c r="F59" s="20">
        <v>42555.403611111113</v>
      </c>
      <c r="G59" s="23">
        <v>2</v>
      </c>
      <c r="H59" s="20" t="s">
        <v>287</v>
      </c>
      <c r="I59" s="20">
        <v>42555.431423611109</v>
      </c>
      <c r="J59" s="34">
        <v>0</v>
      </c>
      <c r="K59" s="34" t="str">
        <f t="shared" si="0"/>
        <v>4015/4016</v>
      </c>
      <c r="L59" s="34" t="str">
        <f>VLOOKUP(A59,'Trips&amp;Operators'!$C$1:$E$10000,3,FALSE)</f>
        <v>YANAI</v>
      </c>
      <c r="M59" s="6">
        <f t="shared" si="1"/>
        <v>2.7812499996798579E-2</v>
      </c>
      <c r="N59" s="7">
        <f t="shared" si="2"/>
        <v>40.049999995389953</v>
      </c>
      <c r="O59" s="7"/>
      <c r="P59" s="7"/>
      <c r="Q59" s="35"/>
      <c r="R59" s="35"/>
      <c r="S59" s="59">
        <f t="shared" si="3"/>
        <v>1</v>
      </c>
      <c r="T59" s="1" t="str">
        <f t="shared" si="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09:38:11-0600',mode:absolute,to:'2016-07-04 10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38" t="str">
        <f t="shared" si="6"/>
        <v>N</v>
      </c>
      <c r="X59" s="38">
        <f t="shared" si="7"/>
        <v>1</v>
      </c>
      <c r="Y59" s="38">
        <f t="shared" si="8"/>
        <v>4.5699999999999998E-2</v>
      </c>
      <c r="Z59" s="38">
        <f t="shared" si="9"/>
        <v>23.3307</v>
      </c>
      <c r="AA59" s="38">
        <f t="shared" si="10"/>
        <v>23.285</v>
      </c>
      <c r="AB59" s="39" t="e">
        <f>VLOOKUP(A59,Enforcements!$C$7:$J$31,8,0)</f>
        <v>#N/A</v>
      </c>
      <c r="AC59" s="39" t="e">
        <f>VLOOKUP(A59,Enforcements!$C$7:$E$31,3,0)</f>
        <v>#N/A</v>
      </c>
      <c r="AD59" s="1" t="str">
        <f t="shared" si="11"/>
        <v>0149-04</v>
      </c>
    </row>
    <row r="60" spans="1:30" s="1" customFormat="1" x14ac:dyDescent="0.25">
      <c r="A60" s="67" t="s">
        <v>407</v>
      </c>
      <c r="B60" s="34">
        <v>4015</v>
      </c>
      <c r="C60" s="34" t="s">
        <v>60</v>
      </c>
      <c r="D60" s="34" t="s">
        <v>246</v>
      </c>
      <c r="E60" s="20">
        <v>42555.432488425926</v>
      </c>
      <c r="F60" s="20">
        <v>42555.433240740742</v>
      </c>
      <c r="G60" s="23">
        <v>1</v>
      </c>
      <c r="H60" s="20" t="s">
        <v>459</v>
      </c>
      <c r="I60" s="20">
        <v>42555.470370370371</v>
      </c>
      <c r="J60" s="34">
        <v>1</v>
      </c>
      <c r="K60" s="34" t="str">
        <f t="shared" si="0"/>
        <v>4015/4016</v>
      </c>
      <c r="L60" s="34" t="str">
        <f>VLOOKUP(A60,'Trips&amp;Operators'!$C$1:$E$10000,3,FALSE)</f>
        <v>YANAI</v>
      </c>
      <c r="M60" s="6">
        <f t="shared" si="1"/>
        <v>3.7129629628907423E-2</v>
      </c>
      <c r="N60" s="7">
        <f t="shared" si="2"/>
        <v>53.46666666562669</v>
      </c>
      <c r="O60" s="7"/>
      <c r="P60" s="7"/>
      <c r="Q60" s="35"/>
      <c r="R60" s="35"/>
      <c r="S60" s="59">
        <f t="shared" si="3"/>
        <v>1</v>
      </c>
      <c r="T60" s="1" t="str">
        <f t="shared" si="4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10:21:47-0600',mode:absolute,to:'2016-07-04 11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38" t="str">
        <f t="shared" si="6"/>
        <v>N</v>
      </c>
      <c r="X60" s="38">
        <f t="shared" si="7"/>
        <v>1</v>
      </c>
      <c r="Y60" s="38">
        <f t="shared" si="8"/>
        <v>23.3001</v>
      </c>
      <c r="Z60" s="38">
        <f t="shared" si="9"/>
        <v>0.18579999999999999</v>
      </c>
      <c r="AA60" s="38">
        <f t="shared" si="10"/>
        <v>23.1143</v>
      </c>
      <c r="AB60" s="39">
        <f>VLOOKUP(A60,Enforcements!$C$7:$J$31,8,0)</f>
        <v>110617</v>
      </c>
      <c r="AC60" s="39" t="str">
        <f>VLOOKUP(A60,Enforcements!$C$7:$E$31,3,0)</f>
        <v>PERMANENT SPEED RESTRICTION</v>
      </c>
      <c r="AD60" s="1" t="str">
        <f t="shared" si="11"/>
        <v>0150-04</v>
      </c>
    </row>
    <row r="61" spans="1:30" s="1" customFormat="1" x14ac:dyDescent="0.25">
      <c r="A61" s="67" t="s">
        <v>420</v>
      </c>
      <c r="B61" s="34">
        <v>4029</v>
      </c>
      <c r="C61" s="34" t="s">
        <v>60</v>
      </c>
      <c r="D61" s="34" t="s">
        <v>460</v>
      </c>
      <c r="E61" s="20">
        <v>42555.412777777776</v>
      </c>
      <c r="F61" s="20">
        <v>42555.414340277777</v>
      </c>
      <c r="G61" s="23">
        <v>2</v>
      </c>
      <c r="H61" s="20" t="s">
        <v>446</v>
      </c>
      <c r="I61" s="20">
        <v>42555.442835648151</v>
      </c>
      <c r="J61" s="34">
        <v>0</v>
      </c>
      <c r="K61" s="34" t="str">
        <f t="shared" si="0"/>
        <v>4029/4030</v>
      </c>
      <c r="L61" s="34" t="str">
        <f>VLOOKUP(A61,'Trips&amp;Operators'!$C$1:$E$10000,3,FALSE)</f>
        <v>SPECTOR</v>
      </c>
      <c r="M61" s="6">
        <f t="shared" si="1"/>
        <v>2.849537037400296E-2</v>
      </c>
      <c r="N61" s="7">
        <f t="shared" si="2"/>
        <v>41.033333338564262</v>
      </c>
      <c r="O61" s="7"/>
      <c r="P61" s="7"/>
      <c r="Q61" s="35"/>
      <c r="R61" s="35"/>
      <c r="S61" s="59">
        <f t="shared" si="3"/>
        <v>1</v>
      </c>
      <c r="T61" s="1" t="str">
        <f t="shared" si="4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09:53:24-0600',mode:absolute,to:'2016-07-04 10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1" s="38" t="str">
        <f t="shared" si="6"/>
        <v>N</v>
      </c>
      <c r="X61" s="38">
        <f t="shared" si="7"/>
        <v>1</v>
      </c>
      <c r="Y61" s="38">
        <f t="shared" si="8"/>
        <v>6.59E-2</v>
      </c>
      <c r="Z61" s="38">
        <f t="shared" si="9"/>
        <v>23.3308</v>
      </c>
      <c r="AA61" s="38">
        <f t="shared" si="10"/>
        <v>23.264900000000001</v>
      </c>
      <c r="AB61" s="39" t="e">
        <f>VLOOKUP(A61,Enforcements!$C$7:$J$31,8,0)</f>
        <v>#N/A</v>
      </c>
      <c r="AC61" s="39" t="e">
        <f>VLOOKUP(A61,Enforcements!$C$7:$E$31,3,0)</f>
        <v>#N/A</v>
      </c>
      <c r="AD61" s="1" t="str">
        <f t="shared" si="11"/>
        <v>0151-04</v>
      </c>
    </row>
    <row r="62" spans="1:30" s="1" customFormat="1" x14ac:dyDescent="0.25">
      <c r="A62" s="67" t="s">
        <v>353</v>
      </c>
      <c r="B62" s="34">
        <v>4030</v>
      </c>
      <c r="C62" s="34" t="s">
        <v>60</v>
      </c>
      <c r="D62" s="34" t="s">
        <v>454</v>
      </c>
      <c r="E62" s="20">
        <v>42555.448680555557</v>
      </c>
      <c r="F62" s="20">
        <v>42555.449652777781</v>
      </c>
      <c r="G62" s="23">
        <v>1</v>
      </c>
      <c r="H62" s="20" t="s">
        <v>461</v>
      </c>
      <c r="I62" s="20">
        <v>42555.472060185188</v>
      </c>
      <c r="J62" s="34">
        <v>3</v>
      </c>
      <c r="K62" s="34" t="str">
        <f t="shared" si="0"/>
        <v>4029/4030</v>
      </c>
      <c r="L62" s="34" t="str">
        <f>VLOOKUP(A62,'Trips&amp;Operators'!$C$1:$E$10000,3,FALSE)</f>
        <v>SPECTOR</v>
      </c>
      <c r="M62" s="6">
        <f t="shared" si="1"/>
        <v>2.2407407406717539E-2</v>
      </c>
      <c r="N62" s="7"/>
      <c r="O62" s="7"/>
      <c r="P62" s="7">
        <f t="shared" si="2"/>
        <v>32.266666665673256</v>
      </c>
      <c r="Q62" s="35"/>
      <c r="R62" s="35" t="s">
        <v>159</v>
      </c>
      <c r="S62" s="59">
        <f t="shared" si="3"/>
        <v>0.25</v>
      </c>
      <c r="T62" s="1" t="str">
        <f t="shared" si="4"/>
        <v>Southbound</v>
      </c>
      <c r="U62" s="1">
        <f>COUNTIFS(Variables!$M$2:$M$19,IF(T62="NorthBound","&gt;=","&lt;=")&amp;Y62,Variables!$M$2:$M$19,IF(T62="NorthBound","&lt;=","&gt;=")&amp;Z62)</f>
        <v>3</v>
      </c>
      <c r="V6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2" s="38" t="str">
        <f t="shared" si="6"/>
        <v>Y</v>
      </c>
      <c r="X62" s="38">
        <f t="shared" si="7"/>
        <v>1</v>
      </c>
      <c r="Y62" s="38">
        <f t="shared" si="8"/>
        <v>23.300599999999999</v>
      </c>
      <c r="Z62" s="38">
        <f t="shared" si="9"/>
        <v>6.8124000000000002</v>
      </c>
      <c r="AA62" s="38">
        <f t="shared" si="10"/>
        <v>16.488199999999999</v>
      </c>
      <c r="AB62" s="39" t="e">
        <f>VLOOKUP(A62,Enforcements!$C$7:$J$31,8,0)</f>
        <v>#N/A</v>
      </c>
      <c r="AC62" s="39" t="e">
        <f>VLOOKUP(A62,Enforcements!$C$7:$E$31,3,0)</f>
        <v>#N/A</v>
      </c>
      <c r="AD62" s="1" t="str">
        <f t="shared" si="11"/>
        <v>0152-04</v>
      </c>
    </row>
    <row r="63" spans="1:30" s="1" customFormat="1" x14ac:dyDescent="0.25">
      <c r="A63" s="87" t="s">
        <v>404</v>
      </c>
      <c r="B63" s="34">
        <v>4040</v>
      </c>
      <c r="C63" s="34" t="s">
        <v>60</v>
      </c>
      <c r="D63" s="34" t="s">
        <v>215</v>
      </c>
      <c r="E63" s="20">
        <v>42555.422002314815</v>
      </c>
      <c r="F63" s="20">
        <v>42555.423252314817</v>
      </c>
      <c r="G63" s="23">
        <v>1</v>
      </c>
      <c r="H63" s="20" t="s">
        <v>177</v>
      </c>
      <c r="I63" s="20">
        <v>42555.454456018517</v>
      </c>
      <c r="J63" s="34">
        <v>1</v>
      </c>
      <c r="K63" s="34" t="str">
        <f t="shared" si="0"/>
        <v>4039/4040</v>
      </c>
      <c r="L63" s="34" t="str">
        <f>VLOOKUP(A63,'Trips&amp;Operators'!$C$1:$E$10000,3,FALSE)</f>
        <v>NEWELL</v>
      </c>
      <c r="M63" s="6">
        <f t="shared" si="1"/>
        <v>3.1203703700157348E-2</v>
      </c>
      <c r="N63" s="7">
        <f t="shared" si="2"/>
        <v>44.933333328226581</v>
      </c>
      <c r="O63" s="7"/>
      <c r="P63" s="7"/>
      <c r="Q63" s="35"/>
      <c r="R63" s="35"/>
      <c r="S63" s="59">
        <f t="shared" si="3"/>
        <v>1</v>
      </c>
      <c r="T63" s="1" t="str">
        <f t="shared" si="4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10:06:41-0600',mode:absolute,to:'2016-07-04 10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38" t="str">
        <f t="shared" si="6"/>
        <v>N</v>
      </c>
      <c r="X63" s="38">
        <f t="shared" si="7"/>
        <v>1</v>
      </c>
      <c r="Y63" s="38">
        <f t="shared" si="8"/>
        <v>4.6899999999999997E-2</v>
      </c>
      <c r="Z63" s="38">
        <f t="shared" si="9"/>
        <v>23.3309</v>
      </c>
      <c r="AA63" s="38">
        <f t="shared" si="10"/>
        <v>23.283999999999999</v>
      </c>
      <c r="AB63" s="39" t="e">
        <f>VLOOKUP(A63,Enforcements!$C$7:$J$31,8,0)</f>
        <v>#N/A</v>
      </c>
      <c r="AC63" s="39" t="e">
        <f>VLOOKUP(A63,Enforcements!$C$7:$E$31,3,0)</f>
        <v>#N/A</v>
      </c>
      <c r="AD63" s="1" t="str">
        <f t="shared" si="11"/>
        <v>0153-04</v>
      </c>
    </row>
    <row r="64" spans="1:30" s="1" customFormat="1" x14ac:dyDescent="0.25">
      <c r="A64" s="67" t="s">
        <v>428</v>
      </c>
      <c r="B64" s="34">
        <v>4039</v>
      </c>
      <c r="C64" s="34" t="s">
        <v>60</v>
      </c>
      <c r="D64" s="34" t="s">
        <v>462</v>
      </c>
      <c r="E64" s="20">
        <v>42555.457326388889</v>
      </c>
      <c r="F64" s="20">
        <v>42555.458541666667</v>
      </c>
      <c r="G64" s="23">
        <v>1</v>
      </c>
      <c r="H64" s="20" t="s">
        <v>463</v>
      </c>
      <c r="I64" s="20">
        <v>42555.492245370369</v>
      </c>
      <c r="J64" s="34">
        <v>1</v>
      </c>
      <c r="K64" s="34" t="str">
        <f t="shared" si="0"/>
        <v>4039/4040</v>
      </c>
      <c r="L64" s="34" t="str">
        <f>VLOOKUP(A64,'Trips&amp;Operators'!$C$1:$E$10000,3,FALSE)</f>
        <v>NEWELL</v>
      </c>
      <c r="M64" s="6">
        <f t="shared" si="1"/>
        <v>3.3703703702485655E-2</v>
      </c>
      <c r="N64" s="7">
        <f t="shared" si="2"/>
        <v>48.533333331579342</v>
      </c>
      <c r="O64" s="7"/>
      <c r="P64" s="7"/>
      <c r="Q64" s="35"/>
      <c r="R64" s="35"/>
      <c r="S64" s="59">
        <f t="shared" si="3"/>
        <v>1</v>
      </c>
      <c r="T64" s="1" t="str">
        <f t="shared" si="4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10:57:33-0600',mode:absolute,to:'2016-07-04 11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38" t="str">
        <f t="shared" si="6"/>
        <v>N</v>
      </c>
      <c r="X64" s="38">
        <f t="shared" si="7"/>
        <v>1</v>
      </c>
      <c r="Y64" s="38">
        <f t="shared" si="8"/>
        <v>23.297999999999998</v>
      </c>
      <c r="Z64" s="38">
        <f t="shared" si="9"/>
        <v>3.6400000000000002E-2</v>
      </c>
      <c r="AA64" s="38">
        <f t="shared" si="10"/>
        <v>23.261599999999998</v>
      </c>
      <c r="AB64" s="39" t="e">
        <f>VLOOKUP(A64,Enforcements!$C$7:$J$31,8,0)</f>
        <v>#N/A</v>
      </c>
      <c r="AC64" s="39" t="e">
        <f>VLOOKUP(A64,Enforcements!$C$7:$E$31,3,0)</f>
        <v>#N/A</v>
      </c>
      <c r="AD64" s="1" t="str">
        <f t="shared" si="11"/>
        <v>0154-04</v>
      </c>
    </row>
    <row r="65" spans="1:30" s="1" customFormat="1" x14ac:dyDescent="0.25">
      <c r="A65" s="67" t="s">
        <v>325</v>
      </c>
      <c r="B65" s="34">
        <v>4018</v>
      </c>
      <c r="C65" s="34" t="s">
        <v>60</v>
      </c>
      <c r="D65" s="34" t="s">
        <v>464</v>
      </c>
      <c r="E65" s="20">
        <v>42555.432604166665</v>
      </c>
      <c r="F65" s="20">
        <v>42555.43372685185</v>
      </c>
      <c r="G65" s="23">
        <v>1</v>
      </c>
      <c r="H65" s="20" t="s">
        <v>436</v>
      </c>
      <c r="I65" s="20">
        <v>42555.462488425925</v>
      </c>
      <c r="J65" s="34">
        <v>2</v>
      </c>
      <c r="K65" s="34" t="str">
        <f t="shared" si="0"/>
        <v>4017/4018</v>
      </c>
      <c r="L65" s="34" t="str">
        <f>VLOOKUP(A65,'Trips&amp;Operators'!$C$1:$E$10000,3,FALSE)</f>
        <v>BEAM</v>
      </c>
      <c r="M65" s="6">
        <f t="shared" si="1"/>
        <v>2.8761574074451346E-2</v>
      </c>
      <c r="N65" s="7">
        <f t="shared" si="2"/>
        <v>41.416666667209938</v>
      </c>
      <c r="O65" s="7"/>
      <c r="P65" s="7"/>
      <c r="Q65" s="35"/>
      <c r="R65" s="35"/>
      <c r="S65" s="59">
        <f t="shared" si="3"/>
        <v>1</v>
      </c>
      <c r="T65" s="1" t="str">
        <f t="shared" si="4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5" s="38" t="str">
        <f t="shared" si="6"/>
        <v>N</v>
      </c>
      <c r="X65" s="38">
        <f t="shared" si="7"/>
        <v>1</v>
      </c>
      <c r="Y65" s="38">
        <f t="shared" si="8"/>
        <v>4.7800000000000002E-2</v>
      </c>
      <c r="Z65" s="38">
        <f t="shared" si="9"/>
        <v>23.330400000000001</v>
      </c>
      <c r="AA65" s="38">
        <f t="shared" si="10"/>
        <v>23.282600000000002</v>
      </c>
      <c r="AB65" s="39">
        <f>VLOOKUP(A65,Enforcements!$C$7:$J$31,8,0)</f>
        <v>11201</v>
      </c>
      <c r="AC65" s="39" t="str">
        <f>VLOOKUP(A65,Enforcements!$C$7:$E$31,3,0)</f>
        <v>PERMANENT SPEED RESTRICTION</v>
      </c>
      <c r="AD65" s="1" t="str">
        <f t="shared" si="11"/>
        <v>0155-04</v>
      </c>
    </row>
    <row r="66" spans="1:30" s="1" customFormat="1" x14ac:dyDescent="0.25">
      <c r="A66" s="67" t="s">
        <v>340</v>
      </c>
      <c r="B66" s="34">
        <v>4017</v>
      </c>
      <c r="C66" s="34" t="s">
        <v>60</v>
      </c>
      <c r="D66" s="34" t="s">
        <v>465</v>
      </c>
      <c r="E66" s="20">
        <v>42555.471261574072</v>
      </c>
      <c r="F66" s="20">
        <v>42555.472013888888</v>
      </c>
      <c r="G66" s="23">
        <v>1</v>
      </c>
      <c r="H66" s="20" t="s">
        <v>437</v>
      </c>
      <c r="I66" s="20">
        <v>42555.575266203705</v>
      </c>
      <c r="J66" s="34">
        <v>1</v>
      </c>
      <c r="K66" s="34" t="str">
        <f t="shared" si="0"/>
        <v>4017/4018</v>
      </c>
      <c r="L66" s="34" t="str">
        <f>VLOOKUP(A66,'Trips&amp;Operators'!$C$1:$E$10000,3,FALSE)</f>
        <v>BEAM</v>
      </c>
      <c r="M66" s="6">
        <f t="shared" si="1"/>
        <v>0.10325231481692754</v>
      </c>
      <c r="N66" s="7">
        <f t="shared" si="2"/>
        <v>148.68333333637565</v>
      </c>
      <c r="O66" s="7"/>
      <c r="P66" s="7"/>
      <c r="Q66" s="35"/>
      <c r="R66" s="35"/>
      <c r="S66" s="59">
        <f t="shared" si="3"/>
        <v>1</v>
      </c>
      <c r="T66" s="1" t="str">
        <f t="shared" si="4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11:17:37-0600',mode:absolute,to:'2016-07-04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6" s="38" t="str">
        <f t="shared" si="6"/>
        <v>N</v>
      </c>
      <c r="X66" s="38">
        <f t="shared" si="7"/>
        <v>1</v>
      </c>
      <c r="Y66" s="38">
        <f t="shared" si="8"/>
        <v>23.300799999999999</v>
      </c>
      <c r="Z66" s="38">
        <f t="shared" si="9"/>
        <v>1.3599999999999999E-2</v>
      </c>
      <c r="AA66" s="38">
        <f t="shared" si="10"/>
        <v>23.287199999999999</v>
      </c>
      <c r="AB66" s="39" t="e">
        <f>VLOOKUP(A66,Enforcements!$C$7:$J$31,8,0)</f>
        <v>#N/A</v>
      </c>
      <c r="AC66" s="39" t="e">
        <f>VLOOKUP(A66,Enforcements!$C$7:$E$31,3,0)</f>
        <v>#N/A</v>
      </c>
      <c r="AD66" s="1" t="str">
        <f t="shared" si="11"/>
        <v>0156-04</v>
      </c>
    </row>
    <row r="67" spans="1:30" s="1" customFormat="1" x14ac:dyDescent="0.25">
      <c r="A67" s="67" t="s">
        <v>403</v>
      </c>
      <c r="B67" s="34">
        <v>4031</v>
      </c>
      <c r="C67" s="34" t="s">
        <v>60</v>
      </c>
      <c r="D67" s="34" t="s">
        <v>466</v>
      </c>
      <c r="E67" s="20">
        <v>42555.438877314817</v>
      </c>
      <c r="F67" s="20">
        <v>42555.440925925926</v>
      </c>
      <c r="G67" s="23">
        <v>2</v>
      </c>
      <c r="H67" s="20" t="s">
        <v>287</v>
      </c>
      <c r="I67" s="20">
        <v>42555.473368055558</v>
      </c>
      <c r="J67" s="34">
        <v>0</v>
      </c>
      <c r="K67" s="34" t="str">
        <f t="shared" si="0"/>
        <v>4031/4032</v>
      </c>
      <c r="L67" s="34" t="str">
        <f>VLOOKUP(A67,'Trips&amp;Operators'!$C$1:$E$10000,3,FALSE)</f>
        <v>HELVIE</v>
      </c>
      <c r="M67" s="6">
        <f t="shared" si="1"/>
        <v>3.2442129631817807E-2</v>
      </c>
      <c r="N67" s="7">
        <f t="shared" si="2"/>
        <v>46.716666669817641</v>
      </c>
      <c r="O67" s="7"/>
      <c r="P67" s="7"/>
      <c r="Q67" s="35"/>
      <c r="R67" s="35"/>
      <c r="S67" s="59">
        <f t="shared" si="3"/>
        <v>1</v>
      </c>
      <c r="T67" s="1" t="str">
        <f t="shared" si="4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10:30:59-0600',mode:absolute,to:'2016-07-04 11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7" s="38" t="str">
        <f t="shared" si="6"/>
        <v>N</v>
      </c>
      <c r="X67" s="38">
        <f t="shared" si="7"/>
        <v>1</v>
      </c>
      <c r="Y67" s="38">
        <f t="shared" si="8"/>
        <v>0.15</v>
      </c>
      <c r="Z67" s="38">
        <f t="shared" si="9"/>
        <v>23.3307</v>
      </c>
      <c r="AA67" s="38">
        <f t="shared" si="10"/>
        <v>23.180700000000002</v>
      </c>
      <c r="AB67" s="39" t="e">
        <f>VLOOKUP(A67,Enforcements!$C$7:$J$31,8,0)</f>
        <v>#N/A</v>
      </c>
      <c r="AC67" s="39" t="e">
        <f>VLOOKUP(A67,Enforcements!$C$7:$E$31,3,0)</f>
        <v>#N/A</v>
      </c>
      <c r="AD67" s="1" t="str">
        <f t="shared" si="11"/>
        <v>0157-04</v>
      </c>
    </row>
    <row r="68" spans="1:30" s="1" customFormat="1" x14ac:dyDescent="0.25">
      <c r="A68" s="67" t="s">
        <v>392</v>
      </c>
      <c r="B68" s="34">
        <v>4032</v>
      </c>
      <c r="C68" s="34" t="s">
        <v>60</v>
      </c>
      <c r="D68" s="34" t="s">
        <v>230</v>
      </c>
      <c r="E68" s="20">
        <v>42555.486446759256</v>
      </c>
      <c r="F68" s="20">
        <v>42555.489571759259</v>
      </c>
      <c r="G68" s="23">
        <v>4</v>
      </c>
      <c r="H68" s="20" t="s">
        <v>153</v>
      </c>
      <c r="I68" s="20">
        <v>42555.515208333331</v>
      </c>
      <c r="J68" s="34">
        <v>0</v>
      </c>
      <c r="K68" s="34" t="str">
        <f t="shared" si="0"/>
        <v>4031/4032</v>
      </c>
      <c r="L68" s="34" t="str">
        <f>VLOOKUP(A68,'Trips&amp;Operators'!$C$1:$E$10000,3,FALSE)</f>
        <v>HELVIE</v>
      </c>
      <c r="M68" s="6">
        <f t="shared" si="1"/>
        <v>2.5636574071540963E-2</v>
      </c>
      <c r="N68" s="7">
        <f t="shared" si="2"/>
        <v>36.916666663018987</v>
      </c>
      <c r="O68" s="7"/>
      <c r="P68" s="7"/>
      <c r="Q68" s="35"/>
      <c r="R68" s="35"/>
      <c r="S68" s="59">
        <f t="shared" si="3"/>
        <v>1</v>
      </c>
      <c r="T68" s="1" t="str">
        <f t="shared" si="4"/>
        <v>Southbound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11:39:29-0600',mode:absolute,to:'2016-07-04 12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8" s="38" t="str">
        <f t="shared" si="6"/>
        <v>N</v>
      </c>
      <c r="X68" s="38">
        <f t="shared" si="7"/>
        <v>1</v>
      </c>
      <c r="Y68" s="38">
        <f t="shared" si="8"/>
        <v>23.2957</v>
      </c>
      <c r="Z68" s="38">
        <f t="shared" si="9"/>
        <v>1.5599999999999999E-2</v>
      </c>
      <c r="AA68" s="38">
        <f t="shared" si="10"/>
        <v>23.280100000000001</v>
      </c>
      <c r="AB68" s="39" t="e">
        <f>VLOOKUP(A68,Enforcements!$C$7:$J$31,8,0)</f>
        <v>#N/A</v>
      </c>
      <c r="AC68" s="39" t="e">
        <f>VLOOKUP(A68,Enforcements!$C$7:$E$31,3,0)</f>
        <v>#N/A</v>
      </c>
      <c r="AD68" s="1" t="str">
        <f t="shared" si="11"/>
        <v>0158-04</v>
      </c>
    </row>
    <row r="69" spans="1:30" s="1" customFormat="1" x14ac:dyDescent="0.25">
      <c r="A69" s="67" t="s">
        <v>392</v>
      </c>
      <c r="B69" s="34">
        <v>4032</v>
      </c>
      <c r="C69" s="34" t="s">
        <v>60</v>
      </c>
      <c r="D69" s="34" t="s">
        <v>181</v>
      </c>
      <c r="E69" s="20">
        <v>42555.486446759256</v>
      </c>
      <c r="F69" s="20">
        <v>42555.48810185185</v>
      </c>
      <c r="G69" s="23">
        <v>2</v>
      </c>
      <c r="H69" s="20" t="s">
        <v>153</v>
      </c>
      <c r="I69" s="20">
        <v>42555.515208333331</v>
      </c>
      <c r="J69" s="34">
        <v>0</v>
      </c>
      <c r="K69" s="34" t="str">
        <f t="shared" si="0"/>
        <v>4031/4032</v>
      </c>
      <c r="L69" s="34" t="str">
        <f>VLOOKUP(A69,'Trips&amp;Operators'!$C$1:$E$10000,3,FALSE)</f>
        <v>HELVIE</v>
      </c>
      <c r="M69" s="6">
        <f t="shared" si="1"/>
        <v>2.7106481480586808E-2</v>
      </c>
      <c r="N69" s="7">
        <f t="shared" si="2"/>
        <v>39.033333332045004</v>
      </c>
      <c r="O69" s="7"/>
      <c r="P69" s="7"/>
      <c r="Q69" s="35"/>
      <c r="R69" s="35"/>
      <c r="S69" s="59">
        <f t="shared" si="3"/>
        <v>1</v>
      </c>
      <c r="T69" s="1" t="str">
        <f t="shared" si="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11:39:29-0600',mode:absolute,to:'2016-07-04 12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9" s="38" t="str">
        <f t="shared" si="6"/>
        <v>N</v>
      </c>
      <c r="X69" s="38">
        <f t="shared" si="7"/>
        <v>0</v>
      </c>
      <c r="Y69" s="38">
        <f t="shared" si="8"/>
        <v>23.296900000000001</v>
      </c>
      <c r="Z69" s="38">
        <f t="shared" si="9"/>
        <v>1.5599999999999999E-2</v>
      </c>
      <c r="AA69" s="38">
        <f t="shared" si="10"/>
        <v>23.281300000000002</v>
      </c>
      <c r="AB69" s="39" t="e">
        <f>VLOOKUP(A69,Enforcements!$C$7:$J$31,8,0)</f>
        <v>#N/A</v>
      </c>
      <c r="AC69" s="39" t="e">
        <f>VLOOKUP(A69,Enforcements!$C$7:$E$31,3,0)</f>
        <v>#N/A</v>
      </c>
      <c r="AD69" s="1" t="str">
        <f t="shared" si="11"/>
        <v>0158-04</v>
      </c>
    </row>
    <row r="70" spans="1:30" s="1" customFormat="1" x14ac:dyDescent="0.25">
      <c r="A70" s="67" t="s">
        <v>406</v>
      </c>
      <c r="B70" s="34">
        <v>4020</v>
      </c>
      <c r="C70" s="34" t="s">
        <v>60</v>
      </c>
      <c r="D70" s="34" t="s">
        <v>467</v>
      </c>
      <c r="E70" s="20">
        <v>42555.456608796296</v>
      </c>
      <c r="F70" s="20">
        <v>42555.45784722222</v>
      </c>
      <c r="G70" s="23">
        <v>1</v>
      </c>
      <c r="H70" s="20" t="s">
        <v>131</v>
      </c>
      <c r="I70" s="20">
        <v>42555.484664351854</v>
      </c>
      <c r="J70" s="34">
        <v>2</v>
      </c>
      <c r="K70" s="34" t="str">
        <f t="shared" si="0"/>
        <v>4019/4020</v>
      </c>
      <c r="L70" s="34" t="str">
        <f>VLOOKUP(A70,'Trips&amp;Operators'!$C$1:$E$10000,3,FALSE)</f>
        <v>MALAVE</v>
      </c>
      <c r="M70" s="6">
        <f t="shared" si="1"/>
        <v>2.6817129633855075E-2</v>
      </c>
      <c r="N70" s="7">
        <f t="shared" si="2"/>
        <v>38.616666672751307</v>
      </c>
      <c r="O70" s="7"/>
      <c r="P70" s="7"/>
      <c r="Q70" s="35"/>
      <c r="R70" s="35"/>
      <c r="S70" s="59">
        <f t="shared" si="3"/>
        <v>1</v>
      </c>
      <c r="T70" s="1" t="str">
        <f t="shared" si="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0" s="38" t="str">
        <f t="shared" si="6"/>
        <v>N</v>
      </c>
      <c r="X70" s="38">
        <f t="shared" si="7"/>
        <v>1</v>
      </c>
      <c r="Y70" s="38">
        <f t="shared" si="8"/>
        <v>7.7399999999999997E-2</v>
      </c>
      <c r="Z70" s="38">
        <f t="shared" si="9"/>
        <v>23.3293</v>
      </c>
      <c r="AA70" s="38">
        <f t="shared" si="10"/>
        <v>23.251899999999999</v>
      </c>
      <c r="AB70" s="39">
        <f>VLOOKUP(A70,Enforcements!$C$7:$J$31,8,0)</f>
        <v>116838</v>
      </c>
      <c r="AC70" s="39" t="str">
        <f>VLOOKUP(A70,Enforcements!$C$7:$E$31,3,0)</f>
        <v>PERMANENT SPEED RESTRICTION</v>
      </c>
      <c r="AD70" s="1" t="str">
        <f t="shared" si="11"/>
        <v>0159-04</v>
      </c>
    </row>
    <row r="71" spans="1:30" s="1" customFormat="1" x14ac:dyDescent="0.25">
      <c r="A71" s="67" t="s">
        <v>401</v>
      </c>
      <c r="B71" s="34">
        <v>4019</v>
      </c>
      <c r="C71" s="34" t="s">
        <v>60</v>
      </c>
      <c r="D71" s="34" t="s">
        <v>172</v>
      </c>
      <c r="E71" s="20">
        <v>42555.49596064815</v>
      </c>
      <c r="F71" s="20">
        <v>42555.497476851851</v>
      </c>
      <c r="G71" s="23">
        <v>2</v>
      </c>
      <c r="H71" s="20" t="s">
        <v>139</v>
      </c>
      <c r="I71" s="20">
        <v>42555.524328703701</v>
      </c>
      <c r="J71" s="34">
        <v>2</v>
      </c>
      <c r="K71" s="34" t="str">
        <f t="shared" si="0"/>
        <v>4019/4020</v>
      </c>
      <c r="L71" s="34" t="str">
        <f>VLOOKUP(A71,'Trips&amp;Operators'!$C$1:$E$10000,3,FALSE)</f>
        <v>MALAVE</v>
      </c>
      <c r="M71" s="6">
        <f t="shared" si="1"/>
        <v>2.6851851849642117E-2</v>
      </c>
      <c r="N71" s="7">
        <f t="shared" si="2"/>
        <v>38.666666663484648</v>
      </c>
      <c r="O71" s="7"/>
      <c r="P71" s="7"/>
      <c r="Q71" s="35"/>
      <c r="R71" s="35"/>
      <c r="S71" s="59">
        <f t="shared" si="3"/>
        <v>1</v>
      </c>
      <c r="T71" s="1" t="str">
        <f t="shared" si="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1" s="38" t="str">
        <f t="shared" si="6"/>
        <v>N</v>
      </c>
      <c r="X71" s="38">
        <f t="shared" si="7"/>
        <v>1</v>
      </c>
      <c r="Y71" s="38">
        <f t="shared" si="8"/>
        <v>23.2959</v>
      </c>
      <c r="Z71" s="38">
        <f t="shared" si="9"/>
        <v>1.54E-2</v>
      </c>
      <c r="AA71" s="38">
        <f t="shared" si="10"/>
        <v>23.2805</v>
      </c>
      <c r="AB71" s="39">
        <f>VLOOKUP(A71,Enforcements!$C$7:$J$31,8,0)</f>
        <v>4677</v>
      </c>
      <c r="AC71" s="39" t="str">
        <f>VLOOKUP(A71,Enforcements!$C$7:$E$31,3,0)</f>
        <v>PERMANENT SPEED RESTRICTION</v>
      </c>
      <c r="AD71" s="1" t="str">
        <f t="shared" si="11"/>
        <v>0160-04</v>
      </c>
    </row>
    <row r="72" spans="1:30" s="1" customFormat="1" x14ac:dyDescent="0.25">
      <c r="A72" s="67" t="s">
        <v>382</v>
      </c>
      <c r="B72" s="34">
        <v>4042</v>
      </c>
      <c r="C72" s="34" t="s">
        <v>60</v>
      </c>
      <c r="D72" s="34" t="s">
        <v>458</v>
      </c>
      <c r="E72" s="20">
        <v>42555.464421296296</v>
      </c>
      <c r="F72" s="20">
        <v>42555.465567129628</v>
      </c>
      <c r="G72" s="23">
        <v>1</v>
      </c>
      <c r="H72" s="20" t="s">
        <v>208</v>
      </c>
      <c r="I72" s="20">
        <v>42555.495173611111</v>
      </c>
      <c r="J72" s="34">
        <v>0</v>
      </c>
      <c r="K72" s="34" t="str">
        <f t="shared" si="0"/>
        <v>4041/4042</v>
      </c>
      <c r="L72" s="34" t="str">
        <f>VLOOKUP(A72,'Trips&amp;Operators'!$C$1:$E$10000,3,FALSE)</f>
        <v>RIVERA</v>
      </c>
      <c r="M72" s="6">
        <f t="shared" si="1"/>
        <v>2.9606481482915115E-2</v>
      </c>
      <c r="N72" s="7">
        <f t="shared" si="2"/>
        <v>42.633333335397765</v>
      </c>
      <c r="O72" s="7"/>
      <c r="P72" s="7"/>
      <c r="Q72" s="35"/>
      <c r="R72" s="35"/>
      <c r="S72" s="59">
        <f t="shared" si="3"/>
        <v>1</v>
      </c>
      <c r="T72" s="1" t="str">
        <f t="shared" si="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11:07:46-0600',mode:absolute,to:'2016-07-04 11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2" s="38" t="str">
        <f t="shared" si="6"/>
        <v>N</v>
      </c>
      <c r="X72" s="38">
        <f t="shared" si="7"/>
        <v>1</v>
      </c>
      <c r="Y72" s="38">
        <f t="shared" si="8"/>
        <v>4.6199999999999998E-2</v>
      </c>
      <c r="Z72" s="38">
        <f t="shared" si="9"/>
        <v>23.332599999999999</v>
      </c>
      <c r="AA72" s="38">
        <f t="shared" si="10"/>
        <v>23.2864</v>
      </c>
      <c r="AB72" s="39" t="e">
        <f>VLOOKUP(A72,Enforcements!$C$7:$J$31,8,0)</f>
        <v>#N/A</v>
      </c>
      <c r="AC72" s="39" t="e">
        <f>VLOOKUP(A72,Enforcements!$C$7:$E$31,3,0)</f>
        <v>#N/A</v>
      </c>
      <c r="AD72" s="1" t="str">
        <f t="shared" si="11"/>
        <v>0161-04</v>
      </c>
    </row>
    <row r="73" spans="1:30" s="1" customFormat="1" x14ac:dyDescent="0.25">
      <c r="A73" s="67" t="s">
        <v>357</v>
      </c>
      <c r="B73" s="34">
        <v>4041</v>
      </c>
      <c r="C73" s="34" t="s">
        <v>60</v>
      </c>
      <c r="D73" s="34" t="s">
        <v>207</v>
      </c>
      <c r="E73" s="20">
        <v>42555.502314814818</v>
      </c>
      <c r="F73" s="20">
        <v>42555.503819444442</v>
      </c>
      <c r="G73" s="23">
        <v>2</v>
      </c>
      <c r="H73" s="20" t="s">
        <v>67</v>
      </c>
      <c r="I73" s="20">
        <v>42555.533495370371</v>
      </c>
      <c r="J73" s="34">
        <v>1</v>
      </c>
      <c r="K73" s="34" t="str">
        <f t="shared" si="0"/>
        <v>4041/4042</v>
      </c>
      <c r="L73" s="34" t="str">
        <f>VLOOKUP(A73,'Trips&amp;Operators'!$C$1:$E$10000,3,FALSE)</f>
        <v>RIVERA</v>
      </c>
      <c r="M73" s="6">
        <f t="shared" si="1"/>
        <v>2.9675925929041114E-2</v>
      </c>
      <c r="N73" s="7">
        <f t="shared" si="2"/>
        <v>42.733333337819204</v>
      </c>
      <c r="O73" s="7"/>
      <c r="P73" s="7"/>
      <c r="Q73" s="35"/>
      <c r="R73" s="35"/>
      <c r="S73" s="59">
        <f t="shared" si="3"/>
        <v>1</v>
      </c>
      <c r="T73" s="1" t="str">
        <f t="shared" si="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12:02:20-0600',mode:absolute,to:'2016-07-04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3" s="38" t="str">
        <f t="shared" si="6"/>
        <v>N</v>
      </c>
      <c r="X73" s="38">
        <f t="shared" si="7"/>
        <v>1</v>
      </c>
      <c r="Y73" s="38">
        <f t="shared" si="8"/>
        <v>23.298999999999999</v>
      </c>
      <c r="Z73" s="38">
        <f t="shared" si="9"/>
        <v>1.47E-2</v>
      </c>
      <c r="AA73" s="38">
        <f t="shared" si="10"/>
        <v>23.284299999999998</v>
      </c>
      <c r="AB73" s="39" t="e">
        <f>VLOOKUP(A73,Enforcements!$C$7:$J$31,8,0)</f>
        <v>#N/A</v>
      </c>
      <c r="AC73" s="39" t="e">
        <f>VLOOKUP(A73,Enforcements!$C$7:$E$31,3,0)</f>
        <v>#N/A</v>
      </c>
      <c r="AD73" s="1" t="str">
        <f t="shared" si="11"/>
        <v>0162-04</v>
      </c>
    </row>
    <row r="74" spans="1:30" s="1" customFormat="1" ht="16.5" customHeight="1" x14ac:dyDescent="0.25">
      <c r="A74" s="87" t="s">
        <v>339</v>
      </c>
      <c r="B74" s="34">
        <v>4038</v>
      </c>
      <c r="C74" s="34" t="s">
        <v>60</v>
      </c>
      <c r="D74" s="34" t="s">
        <v>468</v>
      </c>
      <c r="E74" s="20">
        <v>42555.469849537039</v>
      </c>
      <c r="F74" s="20">
        <v>42555.470937500002</v>
      </c>
      <c r="G74" s="20">
        <v>1</v>
      </c>
      <c r="H74" s="20" t="s">
        <v>469</v>
      </c>
      <c r="I74" s="20">
        <v>42555.504965277774</v>
      </c>
      <c r="J74" s="34">
        <v>1</v>
      </c>
      <c r="K74" s="34" t="str">
        <f t="shared" si="0"/>
        <v>4037/4038</v>
      </c>
      <c r="L74" s="34" t="str">
        <f>VLOOKUP(A74,'Trips&amp;Operators'!$C$1:$E$10000,3,FALSE)</f>
        <v>BONDS</v>
      </c>
      <c r="M74" s="6">
        <f t="shared" si="1"/>
        <v>3.4027777772280388E-2</v>
      </c>
      <c r="N74" s="7">
        <f t="shared" si="2"/>
        <v>48.999999992083758</v>
      </c>
      <c r="O74" s="7"/>
      <c r="P74" s="7"/>
      <c r="Q74" s="35"/>
      <c r="R74" s="35"/>
      <c r="S74" s="59">
        <f t="shared" si="3"/>
        <v>1</v>
      </c>
      <c r="T74" s="1" t="str">
        <f t="shared" si="4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11:15:35-0600',mode:absolute,to:'2016-07-04 12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4" s="38" t="str">
        <f t="shared" si="6"/>
        <v>N</v>
      </c>
      <c r="X74" s="38">
        <f t="shared" si="7"/>
        <v>1</v>
      </c>
      <c r="Y74" s="38">
        <f t="shared" si="8"/>
        <v>6.6600000000000006E-2</v>
      </c>
      <c r="Z74" s="38">
        <f t="shared" si="9"/>
        <v>23.333100000000002</v>
      </c>
      <c r="AA74" s="38">
        <f t="shared" si="10"/>
        <v>23.266500000000001</v>
      </c>
      <c r="AB74" s="39">
        <f>VLOOKUP(A74,Enforcements!$C$7:$J$31,8,0)</f>
        <v>63068</v>
      </c>
      <c r="AC74" s="39" t="str">
        <f>VLOOKUP(A74,Enforcements!$C$7:$E$31,3,0)</f>
        <v>GRADE CROSSING</v>
      </c>
      <c r="AD74" s="1" t="str">
        <f t="shared" si="11"/>
        <v>0163-04</v>
      </c>
    </row>
    <row r="75" spans="1:30" s="1" customFormat="1" x14ac:dyDescent="0.25">
      <c r="A75" s="67" t="s">
        <v>394</v>
      </c>
      <c r="B75" s="34">
        <v>4037</v>
      </c>
      <c r="C75" s="34" t="s">
        <v>60</v>
      </c>
      <c r="D75" s="34" t="s">
        <v>162</v>
      </c>
      <c r="E75" s="20">
        <v>42555.511562500003</v>
      </c>
      <c r="F75" s="20">
        <v>42555.512499999997</v>
      </c>
      <c r="G75" s="23">
        <v>1</v>
      </c>
      <c r="H75" s="20" t="s">
        <v>74</v>
      </c>
      <c r="I75" s="20">
        <v>42555.544340277775</v>
      </c>
      <c r="J75" s="34">
        <v>0</v>
      </c>
      <c r="K75" s="34" t="str">
        <f t="shared" si="0"/>
        <v>4037/4038</v>
      </c>
      <c r="L75" s="34" t="str">
        <f>VLOOKUP(A75,'Trips&amp;Operators'!$C$1:$E$10000,3,FALSE)</f>
        <v>BONDS</v>
      </c>
      <c r="M75" s="6">
        <f t="shared" si="1"/>
        <v>3.1840277777519077E-2</v>
      </c>
      <c r="N75" s="7">
        <f t="shared" si="2"/>
        <v>45.849999999627471</v>
      </c>
      <c r="O75" s="7"/>
      <c r="P75" s="7"/>
      <c r="Q75" s="35"/>
      <c r="R75" s="35"/>
      <c r="S75" s="59">
        <f t="shared" si="3"/>
        <v>1</v>
      </c>
      <c r="T75" s="1" t="str">
        <f t="shared" si="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12:15:39-0600',mode:absolute,to:'2016-07-04 13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5" s="38" t="str">
        <f t="shared" si="6"/>
        <v>N</v>
      </c>
      <c r="X75" s="38">
        <f t="shared" si="7"/>
        <v>1</v>
      </c>
      <c r="Y75" s="38">
        <f t="shared" si="8"/>
        <v>23.3004</v>
      </c>
      <c r="Z75" s="38">
        <f t="shared" si="9"/>
        <v>1.49E-2</v>
      </c>
      <c r="AA75" s="38">
        <f t="shared" si="10"/>
        <v>23.285499999999999</v>
      </c>
      <c r="AB75" s="39" t="e">
        <f>VLOOKUP(A75,Enforcements!$C$7:$J$31,8,0)</f>
        <v>#N/A</v>
      </c>
      <c r="AC75" s="39" t="e">
        <f>VLOOKUP(A75,Enforcements!$C$7:$E$31,3,0)</f>
        <v>#N/A</v>
      </c>
      <c r="AD75" s="1" t="str">
        <f t="shared" si="11"/>
        <v>0164-04</v>
      </c>
    </row>
    <row r="76" spans="1:30" s="1" customFormat="1" x14ac:dyDescent="0.25">
      <c r="A76" s="67" t="s">
        <v>425</v>
      </c>
      <c r="B76" s="34">
        <v>4029</v>
      </c>
      <c r="C76" s="34" t="s">
        <v>60</v>
      </c>
      <c r="D76" s="34" t="s">
        <v>442</v>
      </c>
      <c r="E76" s="20">
        <v>42555.486863425926</v>
      </c>
      <c r="F76" s="20">
        <v>42555.488333333335</v>
      </c>
      <c r="G76" s="23">
        <v>2</v>
      </c>
      <c r="H76" s="20" t="s">
        <v>470</v>
      </c>
      <c r="I76" s="20">
        <v>42555.514618055553</v>
      </c>
      <c r="J76" s="34">
        <v>0</v>
      </c>
      <c r="K76" s="34" t="str">
        <f t="shared" si="0"/>
        <v>4029/4030</v>
      </c>
      <c r="L76" s="34" t="str">
        <f>VLOOKUP(A76,'Trips&amp;Operators'!$C$1:$E$10000,3,FALSE)</f>
        <v>LOCKLEAR</v>
      </c>
      <c r="M76" s="6">
        <f t="shared" si="1"/>
        <v>2.6284722218406387E-2</v>
      </c>
      <c r="N76" s="7">
        <f t="shared" si="2"/>
        <v>37.849999994505197</v>
      </c>
      <c r="O76" s="7"/>
      <c r="P76" s="7"/>
      <c r="Q76" s="35"/>
      <c r="R76" s="35"/>
      <c r="S76" s="59">
        <f t="shared" si="3"/>
        <v>1</v>
      </c>
      <c r="T76" s="1" t="str">
        <f t="shared" si="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11:40:05-0600',mode:absolute,to:'2016-07-04 12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6" s="38" t="str">
        <f t="shared" si="6"/>
        <v>N</v>
      </c>
      <c r="X76" s="38">
        <f t="shared" si="7"/>
        <v>1</v>
      </c>
      <c r="Y76" s="38">
        <f t="shared" si="8"/>
        <v>4.58E-2</v>
      </c>
      <c r="Z76" s="38">
        <f t="shared" si="9"/>
        <v>23.332799999999999</v>
      </c>
      <c r="AA76" s="38">
        <f t="shared" si="10"/>
        <v>23.286999999999999</v>
      </c>
      <c r="AB76" s="39" t="e">
        <f>VLOOKUP(A76,Enforcements!$C$7:$J$31,8,0)</f>
        <v>#N/A</v>
      </c>
      <c r="AC76" s="39" t="e">
        <f>VLOOKUP(A76,Enforcements!$C$7:$E$31,3,0)</f>
        <v>#N/A</v>
      </c>
      <c r="AD76" s="1" t="str">
        <f t="shared" si="11"/>
        <v>0165-04</v>
      </c>
    </row>
    <row r="77" spans="1:30" s="1" customFormat="1" x14ac:dyDescent="0.25">
      <c r="A77" s="67" t="s">
        <v>320</v>
      </c>
      <c r="B77" s="34">
        <v>4030</v>
      </c>
      <c r="C77" s="34" t="s">
        <v>60</v>
      </c>
      <c r="D77" s="34" t="s">
        <v>471</v>
      </c>
      <c r="E77" s="20">
        <v>42555.527175925927</v>
      </c>
      <c r="F77" s="20">
        <v>42555.528171296297</v>
      </c>
      <c r="G77" s="23">
        <v>1</v>
      </c>
      <c r="H77" s="20" t="s">
        <v>442</v>
      </c>
      <c r="I77" s="20">
        <v>42555.554988425924</v>
      </c>
      <c r="J77" s="34">
        <v>2</v>
      </c>
      <c r="K77" s="34" t="str">
        <f t="shared" si="0"/>
        <v>4029/4030</v>
      </c>
      <c r="L77" s="34" t="str">
        <f>VLOOKUP(A77,'Trips&amp;Operators'!$C$1:$E$10000,3,FALSE)</f>
        <v>LOCKLEAR</v>
      </c>
      <c r="M77" s="6">
        <f t="shared" si="1"/>
        <v>2.6817129626579117E-2</v>
      </c>
      <c r="N77" s="7">
        <f t="shared" si="2"/>
        <v>38.616666662273929</v>
      </c>
      <c r="O77" s="7"/>
      <c r="P77" s="7"/>
      <c r="Q77" s="35"/>
      <c r="R77" s="35"/>
      <c r="S77" s="59">
        <f t="shared" si="3"/>
        <v>1</v>
      </c>
      <c r="T77" s="1" t="str">
        <f t="shared" si="4"/>
        <v>Southbound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7" s="38" t="str">
        <f t="shared" si="6"/>
        <v>N</v>
      </c>
      <c r="X77" s="38">
        <f t="shared" si="7"/>
        <v>1</v>
      </c>
      <c r="Y77" s="38">
        <f t="shared" si="8"/>
        <v>23.301500000000001</v>
      </c>
      <c r="Z77" s="38">
        <f t="shared" si="9"/>
        <v>4.58E-2</v>
      </c>
      <c r="AA77" s="38">
        <f t="shared" si="10"/>
        <v>23.255700000000001</v>
      </c>
      <c r="AB77" s="39">
        <f>VLOOKUP(A77,Enforcements!$C$7:$J$31,8,0)</f>
        <v>15167</v>
      </c>
      <c r="AC77" s="39" t="str">
        <f>VLOOKUP(A77,Enforcements!$C$7:$E$31,3,0)</f>
        <v>PERMANENT SPEED RESTRICTION</v>
      </c>
      <c r="AD77" s="1" t="str">
        <f t="shared" si="11"/>
        <v>0166-04</v>
      </c>
    </row>
    <row r="78" spans="1:30" s="53" customFormat="1" x14ac:dyDescent="0.25">
      <c r="A78" s="67" t="s">
        <v>351</v>
      </c>
      <c r="B78" s="34">
        <v>4040</v>
      </c>
      <c r="C78" s="34" t="s">
        <v>60</v>
      </c>
      <c r="D78" s="34" t="s">
        <v>472</v>
      </c>
      <c r="E78" s="20">
        <v>42555.494849537034</v>
      </c>
      <c r="F78" s="20">
        <v>42555.496562499997</v>
      </c>
      <c r="G78" s="23">
        <v>2</v>
      </c>
      <c r="H78" s="20" t="s">
        <v>473</v>
      </c>
      <c r="I78" s="20">
        <v>42555.525543981479</v>
      </c>
      <c r="J78" s="34">
        <v>0</v>
      </c>
      <c r="K78" s="34" t="str">
        <f t="shared" ref="K78:K141" si="12">IF(ISEVEN(B78),(B78-1)&amp;"/"&amp;B78,B78&amp;"/"&amp;(B78+1))</f>
        <v>4039/4040</v>
      </c>
      <c r="L78" s="34" t="str">
        <f>VLOOKUP(A78,'Trips&amp;Operators'!$C$1:$E$10000,3,FALSE)</f>
        <v>NEWELL</v>
      </c>
      <c r="M78" s="6">
        <f t="shared" ref="M78:M141" si="13">I78-F78</f>
        <v>2.8981481482333038E-2</v>
      </c>
      <c r="N78" s="7">
        <f t="shared" ref="N78:N141" si="14">24*60*SUM($M78:$M78)</f>
        <v>41.733333334559575</v>
      </c>
      <c r="O78" s="7"/>
      <c r="P78" s="7"/>
      <c r="Q78" s="35"/>
      <c r="R78" s="35"/>
      <c r="S78" s="59">
        <f t="shared" ref="S78:S141" si="15">SUM(U78:U78)/12</f>
        <v>1</v>
      </c>
      <c r="T78" s="1" t="str">
        <f t="shared" ref="T78:T141" si="16">IF(ISEVEN(LEFT(A78,3)),"Southbound","NorthBound")</f>
        <v>NorthBound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ref="V78:V141" si="17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https://search-rtdc-monitor-bjffxe2xuh6vdkpspy63sjmuny.us-east-1.es.amazonaws.com/_plugin/kibana/#/discover/Steve-Slow-Train-Analysis-(2080s-and-2083s)?_g=(refreshInterval:(display:Off,section:0,value:0),time:(from:'2016-07-04 11:51:35-0600',mode:absolute,to:'2016-07-04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38" t="str">
        <f t="shared" ref="W78:W141" si="18">IF(AA78&lt;23,"Y","N")</f>
        <v>N</v>
      </c>
      <c r="X78" s="38">
        <f t="shared" ref="X78:X141" si="19">VALUE(LEFT(A78,3))-VALUE(LEFT(A77,3))</f>
        <v>1</v>
      </c>
      <c r="Y78" s="38">
        <f t="shared" ref="Y78:Y141" si="20">RIGHT(D78,LEN(D78)-4)/10000</f>
        <v>6.93E-2</v>
      </c>
      <c r="Z78" s="38">
        <f t="shared" ref="Z78:Z141" si="21">RIGHT(H78,LEN(H78)-4)/10000</f>
        <v>23.3323</v>
      </c>
      <c r="AA78" s="38">
        <f t="shared" ref="AA78:AA141" si="22">ABS(Z78-Y78)</f>
        <v>23.263000000000002</v>
      </c>
      <c r="AB78" s="39" t="e">
        <f>VLOOKUP(A78,Enforcements!$C$7:$J$31,8,0)</f>
        <v>#N/A</v>
      </c>
      <c r="AC78" s="39" t="e">
        <f>VLOOKUP(A78,Enforcements!$C$7:$E$31,3,0)</f>
        <v>#N/A</v>
      </c>
      <c r="AD78" s="1" t="str">
        <f t="shared" ref="AD78:AD141" si="23">IF(LEN(A78)=6,"0"&amp;A78,A78)</f>
        <v>0167-04</v>
      </c>
    </row>
    <row r="79" spans="1:30" s="1" customFormat="1" x14ac:dyDescent="0.25">
      <c r="A79" s="67" t="s">
        <v>393</v>
      </c>
      <c r="B79" s="34">
        <v>4039</v>
      </c>
      <c r="C79" s="34" t="s">
        <v>60</v>
      </c>
      <c r="D79" s="34" t="s">
        <v>474</v>
      </c>
      <c r="E79" s="20">
        <v>42555.5309375</v>
      </c>
      <c r="F79" s="20">
        <v>42555.532048611109</v>
      </c>
      <c r="G79" s="23">
        <v>1</v>
      </c>
      <c r="H79" s="20" t="s">
        <v>74</v>
      </c>
      <c r="I79" s="20">
        <v>42555.565115740741</v>
      </c>
      <c r="J79" s="34">
        <v>1</v>
      </c>
      <c r="K79" s="34" t="str">
        <f t="shared" si="12"/>
        <v>4039/4040</v>
      </c>
      <c r="L79" s="34" t="str">
        <f>VLOOKUP(A79,'Trips&amp;Operators'!$C$1:$E$10000,3,FALSE)</f>
        <v>NEWELL</v>
      </c>
      <c r="M79" s="6">
        <f t="shared" si="13"/>
        <v>3.3067129632399883E-2</v>
      </c>
      <c r="N79" s="7">
        <f t="shared" si="14"/>
        <v>47.616666670655832</v>
      </c>
      <c r="O79" s="7"/>
      <c r="P79" s="7"/>
      <c r="Q79" s="35"/>
      <c r="R79" s="35"/>
      <c r="S79" s="59">
        <f t="shared" si="15"/>
        <v>1</v>
      </c>
      <c r="T79" s="1" t="str">
        <f t="shared" si="16"/>
        <v>Southbound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12:43:33-0600',mode:absolute,to:'2016-07-04 13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38" t="str">
        <f t="shared" si="18"/>
        <v>N</v>
      </c>
      <c r="X79" s="38">
        <f t="shared" si="19"/>
        <v>1</v>
      </c>
      <c r="Y79" s="38">
        <f t="shared" si="20"/>
        <v>23.3017</v>
      </c>
      <c r="Z79" s="38">
        <f t="shared" si="21"/>
        <v>1.49E-2</v>
      </c>
      <c r="AA79" s="38">
        <f t="shared" si="22"/>
        <v>23.286799999999999</v>
      </c>
      <c r="AB79" s="39" t="e">
        <f>VLOOKUP(A79,Enforcements!$C$7:$J$31,8,0)</f>
        <v>#N/A</v>
      </c>
      <c r="AC79" s="39" t="e">
        <f>VLOOKUP(A79,Enforcements!$C$7:$E$31,3,0)</f>
        <v>#N/A</v>
      </c>
      <c r="AD79" s="1" t="str">
        <f t="shared" si="23"/>
        <v>0168-04</v>
      </c>
    </row>
    <row r="80" spans="1:30" s="1" customFormat="1" ht="14.25" customHeight="1" x14ac:dyDescent="0.25">
      <c r="A80" s="67" t="s">
        <v>384</v>
      </c>
      <c r="B80" s="34">
        <v>4018</v>
      </c>
      <c r="C80" s="34" t="s">
        <v>60</v>
      </c>
      <c r="D80" s="34" t="s">
        <v>475</v>
      </c>
      <c r="E80" s="20">
        <v>42555.506620370368</v>
      </c>
      <c r="F80" s="20">
        <v>42555.508344907408</v>
      </c>
      <c r="G80" s="23">
        <v>2</v>
      </c>
      <c r="H80" s="20" t="s">
        <v>476</v>
      </c>
      <c r="I80" s="20">
        <v>42555.535439814812</v>
      </c>
      <c r="J80" s="34">
        <v>1</v>
      </c>
      <c r="K80" s="34" t="str">
        <f t="shared" si="12"/>
        <v>4017/4018</v>
      </c>
      <c r="L80" s="34" t="str">
        <f>VLOOKUP(A80,'Trips&amp;Operators'!$C$1:$E$10000,3,FALSE)</f>
        <v>LOZA</v>
      </c>
      <c r="M80" s="6">
        <f t="shared" si="13"/>
        <v>2.7094907403807156E-2</v>
      </c>
      <c r="N80" s="7">
        <f t="shared" si="14"/>
        <v>39.016666661482304</v>
      </c>
      <c r="O80" s="7"/>
      <c r="P80" s="7"/>
      <c r="Q80" s="35"/>
      <c r="R80" s="35"/>
      <c r="S80" s="59">
        <f t="shared" si="15"/>
        <v>1</v>
      </c>
      <c r="T80" s="1" t="str">
        <f t="shared" si="16"/>
        <v>NorthBound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12:08:32-0600',mode:absolute,to:'2016-07-04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38" t="str">
        <f t="shared" si="18"/>
        <v>N</v>
      </c>
      <c r="X80" s="38">
        <f t="shared" si="19"/>
        <v>1</v>
      </c>
      <c r="Y80" s="38">
        <f t="shared" si="20"/>
        <v>4.2900000000000001E-2</v>
      </c>
      <c r="Z80" s="38">
        <f t="shared" si="21"/>
        <v>23.338000000000001</v>
      </c>
      <c r="AA80" s="38">
        <f t="shared" si="22"/>
        <v>23.295100000000001</v>
      </c>
      <c r="AB80" s="39" t="e">
        <f>VLOOKUP(A80,Enforcements!$C$7:$J$31,8,0)</f>
        <v>#N/A</v>
      </c>
      <c r="AC80" s="39" t="e">
        <f>VLOOKUP(A80,Enforcements!$C$7:$E$31,3,0)</f>
        <v>#N/A</v>
      </c>
      <c r="AD80" s="1" t="str">
        <f t="shared" si="23"/>
        <v>0169-04</v>
      </c>
    </row>
    <row r="81" spans="1:30" s="1" customFormat="1" x14ac:dyDescent="0.25">
      <c r="A81" s="67" t="s">
        <v>429</v>
      </c>
      <c r="B81" s="34">
        <v>4017</v>
      </c>
      <c r="C81" s="34" t="s">
        <v>60</v>
      </c>
      <c r="D81" s="34" t="s">
        <v>477</v>
      </c>
      <c r="E81" s="20">
        <v>42555.543865740743</v>
      </c>
      <c r="F81" s="20">
        <v>42555.545381944445</v>
      </c>
      <c r="G81" s="23">
        <v>2</v>
      </c>
      <c r="H81" s="20" t="s">
        <v>437</v>
      </c>
      <c r="I81" s="20">
        <v>42555.575266203705</v>
      </c>
      <c r="J81" s="34">
        <v>1</v>
      </c>
      <c r="K81" s="34" t="str">
        <f t="shared" si="12"/>
        <v>4017/4018</v>
      </c>
      <c r="L81" s="34" t="str">
        <f>VLOOKUP(A81,'Trips&amp;Operators'!$C$1:$E$10000,3,FALSE)</f>
        <v>LOZA</v>
      </c>
      <c r="M81" s="6">
        <f t="shared" si="13"/>
        <v>2.9884259260143153E-2</v>
      </c>
      <c r="N81" s="7">
        <f t="shared" si="14"/>
        <v>43.033333334606141</v>
      </c>
      <c r="O81" s="7"/>
      <c r="P81" s="7"/>
      <c r="Q81" s="35"/>
      <c r="R81" s="35"/>
      <c r="S81" s="59">
        <f t="shared" si="15"/>
        <v>1</v>
      </c>
      <c r="T81" s="1" t="str">
        <f t="shared" si="16"/>
        <v>Southbound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13:02:10-0600',mode:absolute,to:'2016-07-04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38" t="str">
        <f t="shared" si="18"/>
        <v>N</v>
      </c>
      <c r="X81" s="38">
        <f t="shared" si="19"/>
        <v>1</v>
      </c>
      <c r="Y81" s="38">
        <f t="shared" si="20"/>
        <v>23.3049</v>
      </c>
      <c r="Z81" s="38">
        <f t="shared" si="21"/>
        <v>1.3599999999999999E-2</v>
      </c>
      <c r="AA81" s="38">
        <f t="shared" si="22"/>
        <v>23.2913</v>
      </c>
      <c r="AB81" s="39" t="e">
        <f>VLOOKUP(A81,Enforcements!$C$7:$J$31,8,0)</f>
        <v>#N/A</v>
      </c>
      <c r="AC81" s="39" t="e">
        <f>VLOOKUP(A81,Enforcements!$C$7:$E$31,3,0)</f>
        <v>#N/A</v>
      </c>
      <c r="AD81" s="1" t="str">
        <f t="shared" si="23"/>
        <v>0170-04</v>
      </c>
    </row>
    <row r="82" spans="1:30" s="1" customFormat="1" x14ac:dyDescent="0.25">
      <c r="A82" s="67" t="s">
        <v>331</v>
      </c>
      <c r="B82" s="34">
        <v>4031</v>
      </c>
      <c r="C82" s="34" t="s">
        <v>60</v>
      </c>
      <c r="D82" s="34" t="s">
        <v>73</v>
      </c>
      <c r="E82" s="20">
        <v>42555.518020833333</v>
      </c>
      <c r="F82" s="20">
        <v>42555.518993055557</v>
      </c>
      <c r="G82" s="23">
        <v>1</v>
      </c>
      <c r="H82" s="20" t="s">
        <v>236</v>
      </c>
      <c r="I82" s="20">
        <v>42555.546168981484</v>
      </c>
      <c r="J82" s="34">
        <v>0</v>
      </c>
      <c r="K82" s="34" t="str">
        <f t="shared" si="12"/>
        <v>4031/4032</v>
      </c>
      <c r="L82" s="34" t="str">
        <f>VLOOKUP(A82,'Trips&amp;Operators'!$C$1:$E$10000,3,FALSE)</f>
        <v>HELVIE</v>
      </c>
      <c r="M82" s="6">
        <f t="shared" si="13"/>
        <v>2.7175925926712807E-2</v>
      </c>
      <c r="N82" s="7">
        <f t="shared" si="14"/>
        <v>39.133333334466442</v>
      </c>
      <c r="O82" s="7"/>
      <c r="P82" s="7"/>
      <c r="Q82" s="35"/>
      <c r="R82" s="35"/>
      <c r="S82" s="59">
        <f t="shared" si="15"/>
        <v>1</v>
      </c>
      <c r="T82" s="1" t="str">
        <f t="shared" si="16"/>
        <v>NorthBound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12:24:57-0600',mode:absolute,to:'2016-07-04 13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2" s="38" t="str">
        <f t="shared" si="18"/>
        <v>N</v>
      </c>
      <c r="X82" s="38">
        <f t="shared" si="19"/>
        <v>1</v>
      </c>
      <c r="Y82" s="38">
        <f t="shared" si="20"/>
        <v>4.5699999999999998E-2</v>
      </c>
      <c r="Z82" s="38">
        <f t="shared" si="21"/>
        <v>23.329799999999999</v>
      </c>
      <c r="AA82" s="38">
        <f t="shared" si="22"/>
        <v>23.284099999999999</v>
      </c>
      <c r="AB82" s="39" t="e">
        <f>VLOOKUP(A82,Enforcements!$C$7:$J$31,8,0)</f>
        <v>#N/A</v>
      </c>
      <c r="AC82" s="39" t="e">
        <f>VLOOKUP(A82,Enforcements!$C$7:$E$31,3,0)</f>
        <v>#N/A</v>
      </c>
      <c r="AD82" s="1" t="str">
        <f t="shared" si="23"/>
        <v>0171-04</v>
      </c>
    </row>
    <row r="83" spans="1:30" s="1" customFormat="1" x14ac:dyDescent="0.25">
      <c r="A83" s="67" t="s">
        <v>405</v>
      </c>
      <c r="B83" s="34">
        <v>4032</v>
      </c>
      <c r="C83" s="34" t="s">
        <v>60</v>
      </c>
      <c r="D83" s="34" t="s">
        <v>189</v>
      </c>
      <c r="E83" s="20">
        <v>42555.553101851852</v>
      </c>
      <c r="F83" s="20">
        <v>42555.554282407407</v>
      </c>
      <c r="G83" s="23">
        <v>1</v>
      </c>
      <c r="H83" s="20" t="s">
        <v>478</v>
      </c>
      <c r="I83" s="20">
        <v>42555.585138888891</v>
      </c>
      <c r="J83" s="34">
        <v>0</v>
      </c>
      <c r="K83" s="34" t="str">
        <f t="shared" si="12"/>
        <v>4031/4032</v>
      </c>
      <c r="L83" s="34" t="str">
        <f>VLOOKUP(A83,'Trips&amp;Operators'!$C$1:$E$10000,3,FALSE)</f>
        <v>HELVIE</v>
      </c>
      <c r="M83" s="6">
        <f t="shared" si="13"/>
        <v>3.0856481484079268E-2</v>
      </c>
      <c r="N83" s="7">
        <f t="shared" si="14"/>
        <v>44.433333337074146</v>
      </c>
      <c r="O83" s="7"/>
      <c r="P83" s="7"/>
      <c r="Q83" s="35"/>
      <c r="R83" s="35"/>
      <c r="S83" s="59">
        <f t="shared" si="15"/>
        <v>1</v>
      </c>
      <c r="T83" s="1" t="str">
        <f t="shared" si="16"/>
        <v>Southbound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13:15:28-0600',mode:absolute,to:'2016-07-04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3" s="38" t="str">
        <f t="shared" si="18"/>
        <v>N</v>
      </c>
      <c r="X83" s="38">
        <f t="shared" si="19"/>
        <v>1</v>
      </c>
      <c r="Y83" s="38">
        <f t="shared" si="20"/>
        <v>23.299099999999999</v>
      </c>
      <c r="Z83" s="38">
        <f t="shared" si="21"/>
        <v>2.58E-2</v>
      </c>
      <c r="AA83" s="38">
        <f t="shared" si="22"/>
        <v>23.273299999999999</v>
      </c>
      <c r="AB83" s="39" t="e">
        <f>VLOOKUP(A83,Enforcements!$C$7:$J$31,8,0)</f>
        <v>#N/A</v>
      </c>
      <c r="AC83" s="39" t="e">
        <f>VLOOKUP(A83,Enforcements!$C$7:$E$31,3,0)</f>
        <v>#N/A</v>
      </c>
      <c r="AD83" s="1" t="str">
        <f t="shared" si="23"/>
        <v>0172-04</v>
      </c>
    </row>
    <row r="84" spans="1:30" s="1" customFormat="1" x14ac:dyDescent="0.25">
      <c r="A84" s="67" t="s">
        <v>427</v>
      </c>
      <c r="B84" s="34">
        <v>4020</v>
      </c>
      <c r="C84" s="34" t="s">
        <v>60</v>
      </c>
      <c r="D84" s="34" t="s">
        <v>83</v>
      </c>
      <c r="E84" s="20">
        <v>42555.527395833335</v>
      </c>
      <c r="F84" s="20">
        <v>42555.52915509259</v>
      </c>
      <c r="G84" s="23">
        <v>2</v>
      </c>
      <c r="H84" s="20" t="s">
        <v>178</v>
      </c>
      <c r="I84" s="20">
        <v>42555.556898148148</v>
      </c>
      <c r="J84" s="34">
        <v>1</v>
      </c>
      <c r="K84" s="34" t="str">
        <f t="shared" si="12"/>
        <v>4019/4020</v>
      </c>
      <c r="L84" s="34" t="str">
        <f>VLOOKUP(A84,'Trips&amp;Operators'!$C$1:$E$10000,3,FALSE)</f>
        <v>WEBSTER</v>
      </c>
      <c r="M84" s="6">
        <f t="shared" si="13"/>
        <v>2.7743055557948537E-2</v>
      </c>
      <c r="N84" s="7">
        <f t="shared" si="14"/>
        <v>39.950000003445894</v>
      </c>
      <c r="O84" s="7"/>
      <c r="P84" s="7"/>
      <c r="Q84" s="35"/>
      <c r="R84" s="35"/>
      <c r="S84" s="59">
        <f t="shared" si="15"/>
        <v>1</v>
      </c>
      <c r="T84" s="1" t="str">
        <f t="shared" si="16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12:38:27-0600',mode:absolute,to:'2016-07-04 13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38" t="str">
        <f t="shared" si="18"/>
        <v>N</v>
      </c>
      <c r="X84" s="38">
        <f t="shared" si="19"/>
        <v>1</v>
      </c>
      <c r="Y84" s="38">
        <f t="shared" si="20"/>
        <v>4.6399999999999997E-2</v>
      </c>
      <c r="Z84" s="38">
        <f t="shared" si="21"/>
        <v>23.328800000000001</v>
      </c>
      <c r="AA84" s="38">
        <f t="shared" si="22"/>
        <v>23.282400000000003</v>
      </c>
      <c r="AB84" s="39" t="e">
        <f>VLOOKUP(A84,Enforcements!$C$7:$J$31,8,0)</f>
        <v>#N/A</v>
      </c>
      <c r="AC84" s="39" t="e">
        <f>VLOOKUP(A84,Enforcements!$C$7:$E$31,3,0)</f>
        <v>#N/A</v>
      </c>
      <c r="AD84" s="1" t="str">
        <f t="shared" si="23"/>
        <v>0173-04</v>
      </c>
    </row>
    <row r="85" spans="1:30" s="1" customFormat="1" x14ac:dyDescent="0.25">
      <c r="A85" s="67" t="s">
        <v>368</v>
      </c>
      <c r="B85" s="34">
        <v>4019</v>
      </c>
      <c r="C85" s="34" t="s">
        <v>60</v>
      </c>
      <c r="D85" s="34" t="s">
        <v>71</v>
      </c>
      <c r="E85" s="20">
        <v>42555.567002314812</v>
      </c>
      <c r="F85" s="20">
        <v>42555.568171296298</v>
      </c>
      <c r="G85" s="23">
        <v>1</v>
      </c>
      <c r="H85" s="20" t="s">
        <v>479</v>
      </c>
      <c r="I85" s="20">
        <v>42555.597048611111</v>
      </c>
      <c r="J85" s="34">
        <v>0</v>
      </c>
      <c r="K85" s="34" t="str">
        <f t="shared" si="12"/>
        <v>4019/4020</v>
      </c>
      <c r="L85" s="34" t="str">
        <f>VLOOKUP(A85,'Trips&amp;Operators'!$C$1:$E$10000,3,FALSE)</f>
        <v>WEBSTER</v>
      </c>
      <c r="M85" s="6">
        <f t="shared" si="13"/>
        <v>2.8877314813144039E-2</v>
      </c>
      <c r="N85" s="7">
        <f t="shared" si="14"/>
        <v>41.583333330927417</v>
      </c>
      <c r="O85" s="7"/>
      <c r="P85" s="7"/>
      <c r="Q85" s="35"/>
      <c r="R85" s="35"/>
      <c r="S85" s="59">
        <f t="shared" si="15"/>
        <v>1</v>
      </c>
      <c r="T85" s="1" t="str">
        <f t="shared" si="1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38" t="str">
        <f t="shared" si="18"/>
        <v>N</v>
      </c>
      <c r="X85" s="38">
        <f t="shared" si="19"/>
        <v>1</v>
      </c>
      <c r="Y85" s="38">
        <f t="shared" si="20"/>
        <v>23.297699999999999</v>
      </c>
      <c r="Z85" s="38">
        <f t="shared" si="21"/>
        <v>1.7000000000000001E-2</v>
      </c>
      <c r="AA85" s="38">
        <f t="shared" si="22"/>
        <v>23.2807</v>
      </c>
      <c r="AB85" s="39" t="e">
        <f>VLOOKUP(A85,Enforcements!$C$7:$J$31,8,0)</f>
        <v>#N/A</v>
      </c>
      <c r="AC85" s="39" t="e">
        <f>VLOOKUP(A85,Enforcements!$C$7:$E$31,3,0)</f>
        <v>#N/A</v>
      </c>
      <c r="AD85" s="1" t="str">
        <f t="shared" si="23"/>
        <v>0174-04</v>
      </c>
    </row>
    <row r="86" spans="1:30" s="1" customFormat="1" x14ac:dyDescent="0.25">
      <c r="A86" s="67" t="s">
        <v>400</v>
      </c>
      <c r="B86" s="34">
        <v>4042</v>
      </c>
      <c r="C86" s="34" t="s">
        <v>60</v>
      </c>
      <c r="D86" s="34" t="s">
        <v>176</v>
      </c>
      <c r="E86" s="20">
        <v>42555.537372685183</v>
      </c>
      <c r="F86" s="20">
        <v>42555.538321759261</v>
      </c>
      <c r="G86" s="23">
        <v>1</v>
      </c>
      <c r="H86" s="20" t="s">
        <v>131</v>
      </c>
      <c r="I86" s="20">
        <v>42555.566296296296</v>
      </c>
      <c r="J86" s="34">
        <v>0</v>
      </c>
      <c r="K86" s="34" t="str">
        <f t="shared" si="12"/>
        <v>4041/4042</v>
      </c>
      <c r="L86" s="34" t="str">
        <f>VLOOKUP(A86,'Trips&amp;Operators'!$C$1:$E$10000,3,FALSE)</f>
        <v>RIVERA</v>
      </c>
      <c r="M86" s="6">
        <f t="shared" si="13"/>
        <v>2.7974537035333924E-2</v>
      </c>
      <c r="N86" s="7">
        <f t="shared" si="14"/>
        <v>40.283333330880851</v>
      </c>
      <c r="O86" s="7"/>
      <c r="P86" s="7"/>
      <c r="Q86" s="35"/>
      <c r="R86" s="35"/>
      <c r="S86" s="59">
        <f t="shared" si="15"/>
        <v>1</v>
      </c>
      <c r="T86" s="1" t="str">
        <f t="shared" si="1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12:52:49-0600',mode:absolute,to:'2016-07-04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6" s="38" t="str">
        <f t="shared" si="18"/>
        <v>N</v>
      </c>
      <c r="X86" s="38">
        <f t="shared" si="19"/>
        <v>1</v>
      </c>
      <c r="Y86" s="38">
        <f t="shared" si="20"/>
        <v>4.5499999999999999E-2</v>
      </c>
      <c r="Z86" s="38">
        <f t="shared" si="21"/>
        <v>23.3293</v>
      </c>
      <c r="AA86" s="38">
        <f t="shared" si="22"/>
        <v>23.283799999999999</v>
      </c>
      <c r="AB86" s="39" t="e">
        <f>VLOOKUP(A86,Enforcements!$C$7:$J$31,8,0)</f>
        <v>#N/A</v>
      </c>
      <c r="AC86" s="39" t="e">
        <f>VLOOKUP(A86,Enforcements!$C$7:$E$31,3,0)</f>
        <v>#N/A</v>
      </c>
      <c r="AD86" s="1" t="str">
        <f t="shared" si="23"/>
        <v>0175-04</v>
      </c>
    </row>
    <row r="87" spans="1:30" s="1" customFormat="1" x14ac:dyDescent="0.25">
      <c r="A87" s="67" t="s">
        <v>398</v>
      </c>
      <c r="B87" s="34">
        <v>4041</v>
      </c>
      <c r="C87" s="34" t="s">
        <v>60</v>
      </c>
      <c r="D87" s="34" t="s">
        <v>296</v>
      </c>
      <c r="E87" s="20">
        <v>42555.575416666667</v>
      </c>
      <c r="F87" s="20">
        <v>42555.577743055554</v>
      </c>
      <c r="G87" s="23">
        <v>3</v>
      </c>
      <c r="H87" s="20" t="s">
        <v>480</v>
      </c>
      <c r="I87" s="20">
        <v>42555.606412037036</v>
      </c>
      <c r="J87" s="34">
        <v>1</v>
      </c>
      <c r="K87" s="34" t="str">
        <f t="shared" si="12"/>
        <v>4041/4042</v>
      </c>
      <c r="L87" s="34" t="str">
        <f>VLOOKUP(A87,'Trips&amp;Operators'!$C$1:$E$10000,3,FALSE)</f>
        <v>RIVERA</v>
      </c>
      <c r="M87" s="6">
        <f t="shared" si="13"/>
        <v>2.8668981482042E-2</v>
      </c>
      <c r="N87" s="7">
        <f t="shared" si="14"/>
        <v>41.28333333414048</v>
      </c>
      <c r="O87" s="7"/>
      <c r="P87" s="7"/>
      <c r="Q87" s="35"/>
      <c r="R87" s="35"/>
      <c r="S87" s="59">
        <f t="shared" si="15"/>
        <v>1</v>
      </c>
      <c r="T87" s="1" t="str">
        <f t="shared" si="1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13:47:36-0600',mode:absolute,to:'2016-07-04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7" s="38" t="str">
        <f t="shared" si="18"/>
        <v>N</v>
      </c>
      <c r="X87" s="38">
        <f t="shared" si="19"/>
        <v>1</v>
      </c>
      <c r="Y87" s="38">
        <f t="shared" si="20"/>
        <v>23.299399999999999</v>
      </c>
      <c r="Z87" s="38">
        <f t="shared" si="21"/>
        <v>1.32E-2</v>
      </c>
      <c r="AA87" s="38">
        <f t="shared" si="22"/>
        <v>23.286199999999997</v>
      </c>
      <c r="AB87" s="39" t="e">
        <f>VLOOKUP(A87,Enforcements!$C$7:$J$31,8,0)</f>
        <v>#N/A</v>
      </c>
      <c r="AC87" s="39" t="e">
        <f>VLOOKUP(A87,Enforcements!$C$7:$E$31,3,0)</f>
        <v>#N/A</v>
      </c>
      <c r="AD87" s="1" t="str">
        <f t="shared" si="23"/>
        <v>0176-04</v>
      </c>
    </row>
    <row r="88" spans="1:30" s="1" customFormat="1" x14ac:dyDescent="0.25">
      <c r="A88" s="67" t="s">
        <v>350</v>
      </c>
      <c r="B88" s="34">
        <v>4038</v>
      </c>
      <c r="C88" s="34" t="s">
        <v>60</v>
      </c>
      <c r="D88" s="34" t="s">
        <v>73</v>
      </c>
      <c r="E88" s="20">
        <v>42555.546111111114</v>
      </c>
      <c r="F88" s="20">
        <v>42555.547094907408</v>
      </c>
      <c r="G88" s="23">
        <v>1</v>
      </c>
      <c r="H88" s="20" t="s">
        <v>216</v>
      </c>
      <c r="I88" s="20">
        <v>42555.577997685185</v>
      </c>
      <c r="J88" s="34">
        <v>0</v>
      </c>
      <c r="K88" s="34" t="str">
        <f t="shared" si="12"/>
        <v>4037/4038</v>
      </c>
      <c r="L88" s="34" t="str">
        <f>VLOOKUP(A88,'Trips&amp;Operators'!$C$1:$E$10000,3,FALSE)</f>
        <v>BONDS</v>
      </c>
      <c r="M88" s="6">
        <f t="shared" si="13"/>
        <v>3.0902777776645962E-2</v>
      </c>
      <c r="N88" s="7">
        <f t="shared" si="14"/>
        <v>44.499999998370185</v>
      </c>
      <c r="O88" s="7"/>
      <c r="P88" s="7"/>
      <c r="Q88" s="35"/>
      <c r="R88" s="35"/>
      <c r="S88" s="59">
        <f t="shared" si="15"/>
        <v>1</v>
      </c>
      <c r="T88" s="1" t="str">
        <f t="shared" si="16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13:05:24-0600',mode:absolute,to:'2016-07-04 13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8" s="38" t="str">
        <f t="shared" si="18"/>
        <v>N</v>
      </c>
      <c r="X88" s="38">
        <f t="shared" si="19"/>
        <v>1</v>
      </c>
      <c r="Y88" s="38">
        <f t="shared" si="20"/>
        <v>4.5699999999999998E-2</v>
      </c>
      <c r="Z88" s="38">
        <f t="shared" si="21"/>
        <v>23.330300000000001</v>
      </c>
      <c r="AA88" s="38">
        <f t="shared" si="22"/>
        <v>23.284600000000001</v>
      </c>
      <c r="AB88" s="39" t="e">
        <f>VLOOKUP(A88,Enforcements!$C$7:$J$31,8,0)</f>
        <v>#N/A</v>
      </c>
      <c r="AC88" s="39" t="e">
        <f>VLOOKUP(A88,Enforcements!$C$7:$E$31,3,0)</f>
        <v>#N/A</v>
      </c>
      <c r="AD88" s="1" t="str">
        <f t="shared" si="23"/>
        <v>0177-04</v>
      </c>
    </row>
    <row r="89" spans="1:30" s="1" customFormat="1" x14ac:dyDescent="0.25">
      <c r="A89" s="67" t="s">
        <v>348</v>
      </c>
      <c r="B89" s="34">
        <v>4037</v>
      </c>
      <c r="C89" s="34" t="s">
        <v>60</v>
      </c>
      <c r="D89" s="34" t="s">
        <v>249</v>
      </c>
      <c r="E89" s="20">
        <v>42555.58388888889</v>
      </c>
      <c r="F89" s="20">
        <v>42555.584756944445</v>
      </c>
      <c r="G89" s="23">
        <v>1</v>
      </c>
      <c r="H89" s="20" t="s">
        <v>257</v>
      </c>
      <c r="I89" s="20">
        <v>42555.6171875</v>
      </c>
      <c r="J89" s="34">
        <v>1</v>
      </c>
      <c r="K89" s="34" t="str">
        <f t="shared" si="12"/>
        <v>4037/4038</v>
      </c>
      <c r="L89" s="34" t="str">
        <f>VLOOKUP(A89,'Trips&amp;Operators'!$C$1:$E$10000,3,FALSE)</f>
        <v>BONDS</v>
      </c>
      <c r="M89" s="6">
        <f t="shared" si="13"/>
        <v>3.2430555555038154E-2</v>
      </c>
      <c r="N89" s="7">
        <f t="shared" si="14"/>
        <v>46.699999999254942</v>
      </c>
      <c r="O89" s="7"/>
      <c r="P89" s="7"/>
      <c r="Q89" s="35"/>
      <c r="R89" s="35"/>
      <c r="S89" s="59">
        <f t="shared" si="15"/>
        <v>1</v>
      </c>
      <c r="T89" s="1" t="str">
        <f t="shared" si="16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13:59:48-0600',mode:absolute,to:'2016-07-04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9" s="38" t="str">
        <f t="shared" si="18"/>
        <v>N</v>
      </c>
      <c r="X89" s="38">
        <f t="shared" si="19"/>
        <v>1</v>
      </c>
      <c r="Y89" s="38">
        <f t="shared" si="20"/>
        <v>23.3019</v>
      </c>
      <c r="Z89" s="38">
        <f t="shared" si="21"/>
        <v>1.29E-2</v>
      </c>
      <c r="AA89" s="38">
        <f t="shared" si="22"/>
        <v>23.289000000000001</v>
      </c>
      <c r="AB89" s="39" t="e">
        <f>VLOOKUP(A89,Enforcements!$C$7:$J$31,8,0)</f>
        <v>#N/A</v>
      </c>
      <c r="AC89" s="39" t="e">
        <f>VLOOKUP(A89,Enforcements!$C$7:$E$31,3,0)</f>
        <v>#N/A</v>
      </c>
      <c r="AD89" s="1" t="str">
        <f t="shared" si="23"/>
        <v>0178-04</v>
      </c>
    </row>
    <row r="90" spans="1:30" s="1" customFormat="1" x14ac:dyDescent="0.25">
      <c r="A90" s="67" t="s">
        <v>399</v>
      </c>
      <c r="B90" s="34">
        <v>4029</v>
      </c>
      <c r="C90" s="34" t="s">
        <v>60</v>
      </c>
      <c r="D90" s="34" t="s">
        <v>481</v>
      </c>
      <c r="E90" s="20">
        <v>42555.561319444445</v>
      </c>
      <c r="F90" s="20">
        <v>42555.562256944446</v>
      </c>
      <c r="G90" s="23">
        <v>1</v>
      </c>
      <c r="H90" s="20" t="s">
        <v>482</v>
      </c>
      <c r="I90" s="20">
        <v>42555.660462962966</v>
      </c>
      <c r="J90" s="34">
        <v>0</v>
      </c>
      <c r="K90" s="34" t="str">
        <f t="shared" si="12"/>
        <v>4029/4030</v>
      </c>
      <c r="L90" s="34" t="str">
        <f>VLOOKUP(A90,'Trips&amp;Operators'!$C$1:$E$10000,3,FALSE)</f>
        <v>LOCKLEAR</v>
      </c>
      <c r="M90" s="6">
        <f t="shared" si="13"/>
        <v>9.820601851970423E-2</v>
      </c>
      <c r="N90" s="7">
        <f t="shared" si="14"/>
        <v>141.41666666837409</v>
      </c>
      <c r="O90" s="7"/>
      <c r="P90" s="7"/>
      <c r="Q90" s="35"/>
      <c r="R90" s="35"/>
      <c r="S90" s="59">
        <f t="shared" si="15"/>
        <v>1</v>
      </c>
      <c r="T90" s="1" t="str">
        <f t="shared" si="16"/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13:27:18-0600',mode:absolute,to:'2016-07-04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0" s="38" t="str">
        <f t="shared" si="18"/>
        <v>N</v>
      </c>
      <c r="X90" s="38">
        <f t="shared" si="19"/>
        <v>1</v>
      </c>
      <c r="Y90" s="38">
        <f t="shared" si="20"/>
        <v>5.7500000000000002E-2</v>
      </c>
      <c r="Z90" s="38">
        <f t="shared" si="21"/>
        <v>23.334900000000001</v>
      </c>
      <c r="AA90" s="38">
        <f t="shared" si="22"/>
        <v>23.2774</v>
      </c>
      <c r="AB90" s="39" t="e">
        <f>VLOOKUP(A90,Enforcements!$C$7:$J$31,8,0)</f>
        <v>#N/A</v>
      </c>
      <c r="AC90" s="39" t="e">
        <f>VLOOKUP(A90,Enforcements!$C$7:$E$31,3,0)</f>
        <v>#N/A</v>
      </c>
      <c r="AD90" s="1" t="str">
        <f t="shared" si="23"/>
        <v>0179-04</v>
      </c>
    </row>
    <row r="91" spans="1:30" s="1" customFormat="1" x14ac:dyDescent="0.25">
      <c r="A91" s="67" t="s">
        <v>483</v>
      </c>
      <c r="B91" s="34">
        <v>4030</v>
      </c>
      <c r="C91" s="34" t="s">
        <v>60</v>
      </c>
      <c r="D91" s="34" t="s">
        <v>474</v>
      </c>
      <c r="E91" s="20">
        <v>42555.599039351851</v>
      </c>
      <c r="F91" s="20">
        <v>42555.599907407406</v>
      </c>
      <c r="G91" s="23">
        <v>1</v>
      </c>
      <c r="H91" s="20" t="s">
        <v>484</v>
      </c>
      <c r="I91" s="20">
        <v>42555.62740740741</v>
      </c>
      <c r="J91" s="34">
        <v>0</v>
      </c>
      <c r="K91" s="34" t="str">
        <f t="shared" si="12"/>
        <v>4029/4030</v>
      </c>
      <c r="L91" s="34" t="str">
        <f>VLOOKUP(A91,'Trips&amp;Operators'!$C$1:$E$10000,3,FALSE)</f>
        <v>LOCKLEAR</v>
      </c>
      <c r="M91" s="6">
        <f t="shared" si="13"/>
        <v>2.7500000003783498E-2</v>
      </c>
      <c r="N91" s="7">
        <f t="shared" si="14"/>
        <v>39.600000005448237</v>
      </c>
      <c r="O91" s="7"/>
      <c r="P91" s="7"/>
      <c r="Q91" s="35"/>
      <c r="R91" s="35"/>
      <c r="S91" s="59">
        <f t="shared" si="15"/>
        <v>1</v>
      </c>
      <c r="T91" s="1" t="str">
        <f t="shared" si="16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14:21:37-0600',mode:absolute,to:'2016-07-04 15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1" s="38" t="str">
        <f t="shared" si="18"/>
        <v>N</v>
      </c>
      <c r="X91" s="38">
        <f t="shared" si="19"/>
        <v>1</v>
      </c>
      <c r="Y91" s="38">
        <f t="shared" si="20"/>
        <v>23.3017</v>
      </c>
      <c r="Z91" s="38">
        <v>3.6999999999999998E-2</v>
      </c>
      <c r="AA91" s="38">
        <f t="shared" si="22"/>
        <v>23.264700000000001</v>
      </c>
      <c r="AB91" s="39" t="e">
        <f>VLOOKUP(A91,Enforcements!$C$7:$J$31,8,0)</f>
        <v>#N/A</v>
      </c>
      <c r="AC91" s="39" t="e">
        <f>VLOOKUP(A91,Enforcements!$C$7:$E$31,3,0)</f>
        <v>#N/A</v>
      </c>
      <c r="AD91" s="1" t="str">
        <f t="shared" si="23"/>
        <v>0180-04</v>
      </c>
    </row>
    <row r="92" spans="1:30" s="1" customFormat="1" x14ac:dyDescent="0.25">
      <c r="A92" s="67" t="s">
        <v>346</v>
      </c>
      <c r="B92" s="34">
        <v>4040</v>
      </c>
      <c r="C92" s="34" t="s">
        <v>60</v>
      </c>
      <c r="D92" s="34" t="s">
        <v>132</v>
      </c>
      <c r="E92" s="20">
        <v>42555.567002314812</v>
      </c>
      <c r="F92" s="20">
        <v>42555.568136574075</v>
      </c>
      <c r="G92" s="20">
        <v>1</v>
      </c>
      <c r="H92" s="20" t="s">
        <v>485</v>
      </c>
      <c r="I92" s="20">
        <v>42555.597812499997</v>
      </c>
      <c r="J92" s="34">
        <v>0</v>
      </c>
      <c r="K92" s="34" t="str">
        <f t="shared" si="12"/>
        <v>4039/4040</v>
      </c>
      <c r="L92" s="34" t="str">
        <f>VLOOKUP(A92,'Trips&amp;Operators'!$C$1:$E$10000,3,FALSE)</f>
        <v>NEWELL</v>
      </c>
      <c r="M92" s="6">
        <f t="shared" si="13"/>
        <v>2.9675925921765156E-2</v>
      </c>
      <c r="N92" s="7">
        <f t="shared" si="14"/>
        <v>42.733333327341825</v>
      </c>
      <c r="O92" s="7"/>
      <c r="P92" s="7"/>
      <c r="Q92" s="35"/>
      <c r="R92" s="35"/>
      <c r="S92" s="59">
        <f t="shared" si="15"/>
        <v>1</v>
      </c>
      <c r="T92" s="1" t="str">
        <f t="shared" si="16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2" s="38" t="str">
        <f t="shared" si="18"/>
        <v>N</v>
      </c>
      <c r="X92" s="38">
        <f t="shared" si="19"/>
        <v>1</v>
      </c>
      <c r="Y92" s="38">
        <f t="shared" si="20"/>
        <v>4.5100000000000001E-2</v>
      </c>
      <c r="Z92" s="38">
        <f t="shared" si="21"/>
        <v>23.3322</v>
      </c>
      <c r="AA92" s="38">
        <f t="shared" si="22"/>
        <v>23.287099999999999</v>
      </c>
      <c r="AB92" s="39" t="e">
        <f>VLOOKUP(A92,Enforcements!$C$7:$J$31,8,0)</f>
        <v>#N/A</v>
      </c>
      <c r="AC92" s="39" t="e">
        <f>VLOOKUP(A92,Enforcements!$C$7:$E$31,3,0)</f>
        <v>#N/A</v>
      </c>
      <c r="AD92" s="1" t="str">
        <f t="shared" si="23"/>
        <v>0181-04</v>
      </c>
    </row>
    <row r="93" spans="1:30" s="1" customFormat="1" x14ac:dyDescent="0.25">
      <c r="A93" s="34" t="s">
        <v>486</v>
      </c>
      <c r="B93" s="34">
        <v>4039</v>
      </c>
      <c r="C93" s="34" t="s">
        <v>60</v>
      </c>
      <c r="D93" s="34" t="s">
        <v>299</v>
      </c>
      <c r="E93" s="20">
        <v>42555.600763888891</v>
      </c>
      <c r="F93" s="20">
        <v>42555.601979166669</v>
      </c>
      <c r="G93" s="20">
        <v>1</v>
      </c>
      <c r="H93" s="20" t="s">
        <v>61</v>
      </c>
      <c r="I93" s="20">
        <v>42555.637523148151</v>
      </c>
      <c r="J93" s="34">
        <v>0</v>
      </c>
      <c r="K93" s="34" t="str">
        <f t="shared" si="12"/>
        <v>4039/4040</v>
      </c>
      <c r="L93" s="34" t="str">
        <f>VLOOKUP(A93,'Trips&amp;Operators'!$C$1:$E$10000,3,FALSE)</f>
        <v>NEWELL</v>
      </c>
      <c r="M93" s="6">
        <f t="shared" si="13"/>
        <v>3.5543981481168885E-2</v>
      </c>
      <c r="N93" s="7">
        <f t="shared" si="14"/>
        <v>51.183333332883194</v>
      </c>
      <c r="O93" s="7"/>
      <c r="P93" s="7"/>
      <c r="Q93" s="35"/>
      <c r="R93" s="35"/>
      <c r="S93" s="59">
        <f t="shared" si="15"/>
        <v>1</v>
      </c>
      <c r="T93" s="1" t="str">
        <f t="shared" si="16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14:24:06-0600',mode:absolute,to:'2016-07-04 15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3" s="38" t="str">
        <f t="shared" si="18"/>
        <v>N</v>
      </c>
      <c r="X93" s="38">
        <f t="shared" si="19"/>
        <v>1</v>
      </c>
      <c r="Y93" s="38">
        <f t="shared" si="20"/>
        <v>23.301100000000002</v>
      </c>
      <c r="Z93" s="38">
        <f t="shared" si="21"/>
        <v>1.4500000000000001E-2</v>
      </c>
      <c r="AA93" s="38">
        <f t="shared" si="22"/>
        <v>23.2866</v>
      </c>
      <c r="AB93" s="39" t="e">
        <f>VLOOKUP(A93,Enforcements!$C$7:$J$31,8,0)</f>
        <v>#N/A</v>
      </c>
      <c r="AC93" s="39" t="e">
        <f>VLOOKUP(A93,Enforcements!$C$7:$E$31,3,0)</f>
        <v>#N/A</v>
      </c>
      <c r="AD93" s="1" t="str">
        <f t="shared" si="23"/>
        <v>0182-04</v>
      </c>
    </row>
    <row r="94" spans="1:30" s="1" customFormat="1" x14ac:dyDescent="0.25">
      <c r="A94" s="34" t="s">
        <v>341</v>
      </c>
      <c r="B94" s="69">
        <v>4018</v>
      </c>
      <c r="C94" s="69" t="s">
        <v>60</v>
      </c>
      <c r="D94" s="69" t="s">
        <v>132</v>
      </c>
      <c r="E94" s="75">
        <v>42555.578668981485</v>
      </c>
      <c r="F94" s="75">
        <v>42555.580243055556</v>
      </c>
      <c r="G94" s="76">
        <v>2</v>
      </c>
      <c r="H94" s="75" t="s">
        <v>209</v>
      </c>
      <c r="I94" s="75">
        <v>42555.607997685183</v>
      </c>
      <c r="J94" s="69">
        <v>0</v>
      </c>
      <c r="K94" s="34" t="str">
        <f t="shared" si="12"/>
        <v>4017/4018</v>
      </c>
      <c r="L94" s="34" t="str">
        <f>VLOOKUP(A94,'Trips&amp;Operators'!$C$1:$E$10000,3,FALSE)</f>
        <v>LOZA</v>
      </c>
      <c r="M94" s="6">
        <f t="shared" si="13"/>
        <v>2.7754629627452232E-2</v>
      </c>
      <c r="N94" s="7">
        <f t="shared" si="14"/>
        <v>39.966666663531214</v>
      </c>
      <c r="O94" s="7"/>
      <c r="P94" s="7"/>
      <c r="Q94" s="35"/>
      <c r="R94" s="35"/>
      <c r="S94" s="59">
        <f t="shared" si="15"/>
        <v>1</v>
      </c>
      <c r="T94" s="1" t="str">
        <f t="shared" si="16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13:52:17-0600',mode:absolute,to:'2016-07-04 14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38" t="str">
        <f t="shared" si="18"/>
        <v>N</v>
      </c>
      <c r="X94" s="38">
        <f t="shared" si="19"/>
        <v>1</v>
      </c>
      <c r="Y94" s="38">
        <f t="shared" si="20"/>
        <v>4.5100000000000001E-2</v>
      </c>
      <c r="Z94" s="38">
        <f t="shared" si="21"/>
        <v>23.331900000000001</v>
      </c>
      <c r="AA94" s="38">
        <f t="shared" si="22"/>
        <v>23.286799999999999</v>
      </c>
      <c r="AB94" s="39" t="e">
        <f>VLOOKUP(A94,Enforcements!$C$7:$J$31,8,0)</f>
        <v>#N/A</v>
      </c>
      <c r="AC94" s="39" t="e">
        <f>VLOOKUP(A94,Enforcements!$C$7:$E$31,3,0)</f>
        <v>#N/A</v>
      </c>
      <c r="AD94" s="1" t="str">
        <f t="shared" si="23"/>
        <v>0183-04</v>
      </c>
    </row>
    <row r="95" spans="1:30" s="1" customFormat="1" x14ac:dyDescent="0.25">
      <c r="A95" s="34" t="s">
        <v>487</v>
      </c>
      <c r="B95" s="69">
        <v>4017</v>
      </c>
      <c r="C95" s="69" t="s">
        <v>60</v>
      </c>
      <c r="D95" s="69" t="s">
        <v>213</v>
      </c>
      <c r="E95" s="75">
        <v>42555.619155092594</v>
      </c>
      <c r="F95" s="75">
        <v>42555.620763888888</v>
      </c>
      <c r="G95" s="76">
        <v>2</v>
      </c>
      <c r="H95" s="75" t="s">
        <v>61</v>
      </c>
      <c r="I95" s="75">
        <v>42555.647858796299</v>
      </c>
      <c r="J95" s="69">
        <v>0</v>
      </c>
      <c r="K95" s="34" t="str">
        <f t="shared" si="12"/>
        <v>4017/4018</v>
      </c>
      <c r="L95" s="34" t="str">
        <f>VLOOKUP(A95,'Trips&amp;Operators'!$C$1:$E$10000,3,FALSE)</f>
        <v>LOZA</v>
      </c>
      <c r="M95" s="6">
        <f t="shared" si="13"/>
        <v>2.7094907411083113E-2</v>
      </c>
      <c r="N95" s="7">
        <f t="shared" si="14"/>
        <v>39.016666671959683</v>
      </c>
      <c r="O95" s="7"/>
      <c r="P95" s="7"/>
      <c r="Q95" s="35"/>
      <c r="R95" s="35"/>
      <c r="S95" s="59">
        <f t="shared" si="15"/>
        <v>1</v>
      </c>
      <c r="T95" s="1" t="str">
        <f t="shared" si="16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14:50:35-0600',mode:absolute,to:'2016-07-04 15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38" t="str">
        <f t="shared" si="18"/>
        <v>N</v>
      </c>
      <c r="X95" s="38">
        <f t="shared" si="19"/>
        <v>1</v>
      </c>
      <c r="Y95" s="38">
        <f t="shared" si="20"/>
        <v>23.299800000000001</v>
      </c>
      <c r="Z95" s="38">
        <f t="shared" si="21"/>
        <v>1.4500000000000001E-2</v>
      </c>
      <c r="AA95" s="38">
        <f t="shared" si="22"/>
        <v>23.285299999999999</v>
      </c>
      <c r="AB95" s="39" t="e">
        <f>VLOOKUP(A95,Enforcements!$C$7:$J$31,8,0)</f>
        <v>#N/A</v>
      </c>
      <c r="AC95" s="39" t="e">
        <f>VLOOKUP(A95,Enforcements!$C$7:$E$31,3,0)</f>
        <v>#N/A</v>
      </c>
      <c r="AD95" s="1" t="str">
        <f t="shared" si="23"/>
        <v>0184-04</v>
      </c>
    </row>
    <row r="96" spans="1:30" s="1" customFormat="1" x14ac:dyDescent="0.25">
      <c r="A96" s="34" t="s">
        <v>488</v>
      </c>
      <c r="B96" s="69">
        <v>4031</v>
      </c>
      <c r="C96" s="69" t="s">
        <v>60</v>
      </c>
      <c r="D96" s="69" t="s">
        <v>489</v>
      </c>
      <c r="E96" s="75">
        <v>42555.589201388888</v>
      </c>
      <c r="F96" s="75">
        <v>42555.590277777781</v>
      </c>
      <c r="G96" s="76">
        <v>1</v>
      </c>
      <c r="H96" s="75" t="s">
        <v>216</v>
      </c>
      <c r="I96" s="75">
        <v>42555.618541666663</v>
      </c>
      <c r="J96" s="69">
        <v>0</v>
      </c>
      <c r="K96" s="34" t="str">
        <f t="shared" si="12"/>
        <v>4031/4032</v>
      </c>
      <c r="L96" s="34" t="str">
        <f>VLOOKUP(A96,'Trips&amp;Operators'!$C$1:$E$10000,3,FALSE)</f>
        <v>HELVIE</v>
      </c>
      <c r="M96" s="6">
        <f t="shared" si="13"/>
        <v>2.8263888882065658E-2</v>
      </c>
      <c r="N96" s="7">
        <f t="shared" si="14"/>
        <v>40.699999990174547</v>
      </c>
      <c r="O96" s="7"/>
      <c r="P96" s="7"/>
      <c r="Q96" s="35"/>
      <c r="R96" s="35"/>
      <c r="S96" s="59">
        <f t="shared" si="15"/>
        <v>1</v>
      </c>
      <c r="T96" s="1" t="str">
        <f t="shared" si="16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14:07:27-0600',mode:absolute,to:'2016-07-04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6" s="38" t="str">
        <f t="shared" si="18"/>
        <v>N</v>
      </c>
      <c r="X96" s="38">
        <f t="shared" si="19"/>
        <v>1</v>
      </c>
      <c r="Y96" s="38">
        <f t="shared" si="20"/>
        <v>5.5100000000000003E-2</v>
      </c>
      <c r="Z96" s="38">
        <f t="shared" si="21"/>
        <v>23.330300000000001</v>
      </c>
      <c r="AA96" s="38">
        <f t="shared" si="22"/>
        <v>23.275200000000002</v>
      </c>
      <c r="AB96" s="39" t="e">
        <f>VLOOKUP(A96,Enforcements!$C$7:$J$31,8,0)</f>
        <v>#N/A</v>
      </c>
      <c r="AC96" s="39" t="e">
        <f>VLOOKUP(A96,Enforcements!$C$7:$E$31,3,0)</f>
        <v>#N/A</v>
      </c>
      <c r="AD96" s="1" t="str">
        <f t="shared" si="23"/>
        <v>0185-04</v>
      </c>
    </row>
    <row r="97" spans="1:30" s="1" customFormat="1" x14ac:dyDescent="0.25">
      <c r="A97" s="34" t="s">
        <v>490</v>
      </c>
      <c r="B97" s="69">
        <v>4032</v>
      </c>
      <c r="C97" s="69" t="s">
        <v>60</v>
      </c>
      <c r="D97" s="69" t="s">
        <v>82</v>
      </c>
      <c r="E97" s="75">
        <v>42555.629351851851</v>
      </c>
      <c r="F97" s="75">
        <v>42555.630312499998</v>
      </c>
      <c r="G97" s="76">
        <v>1</v>
      </c>
      <c r="H97" s="75" t="s">
        <v>139</v>
      </c>
      <c r="I97" s="75">
        <v>42555.658622685187</v>
      </c>
      <c r="J97" s="69">
        <v>0</v>
      </c>
      <c r="K97" s="34" t="str">
        <f t="shared" si="12"/>
        <v>4031/4032</v>
      </c>
      <c r="L97" s="34" t="str">
        <f>VLOOKUP(A97,'Trips&amp;Operators'!$C$1:$E$10000,3,FALSE)</f>
        <v>HELVIE</v>
      </c>
      <c r="M97" s="6">
        <f t="shared" si="13"/>
        <v>2.8310185189184267E-2</v>
      </c>
      <c r="N97" s="7">
        <f t="shared" si="14"/>
        <v>40.766666672425345</v>
      </c>
      <c r="O97" s="7"/>
      <c r="P97" s="7"/>
      <c r="Q97" s="35"/>
      <c r="R97" s="35"/>
      <c r="S97" s="59">
        <f t="shared" si="15"/>
        <v>1</v>
      </c>
      <c r="T97" s="1" t="str">
        <f t="shared" si="16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15:05:16-0600',mode:absolute,to:'2016-07-04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38" t="str">
        <f t="shared" si="18"/>
        <v>N</v>
      </c>
      <c r="X97" s="38">
        <f t="shared" si="19"/>
        <v>1</v>
      </c>
      <c r="Y97" s="38">
        <f t="shared" si="20"/>
        <v>23.297499999999999</v>
      </c>
      <c r="Z97" s="38">
        <f t="shared" si="21"/>
        <v>1.54E-2</v>
      </c>
      <c r="AA97" s="38">
        <f t="shared" si="22"/>
        <v>23.2821</v>
      </c>
      <c r="AB97" s="39" t="e">
        <f>VLOOKUP(A97,Enforcements!$C$7:$J$31,8,0)</f>
        <v>#N/A</v>
      </c>
      <c r="AC97" s="39" t="e">
        <f>VLOOKUP(A97,Enforcements!$C$7:$E$31,3,0)</f>
        <v>#N/A</v>
      </c>
      <c r="AD97" s="1" t="str">
        <f t="shared" si="23"/>
        <v>0186-04</v>
      </c>
    </row>
    <row r="98" spans="1:30" s="1" customFormat="1" x14ac:dyDescent="0.25">
      <c r="A98" s="34" t="s">
        <v>491</v>
      </c>
      <c r="B98" s="69">
        <v>4020</v>
      </c>
      <c r="C98" s="69" t="s">
        <v>60</v>
      </c>
      <c r="D98" s="69" t="s">
        <v>133</v>
      </c>
      <c r="E98" s="75">
        <v>42555.599664351852</v>
      </c>
      <c r="F98" s="75">
        <v>42555.600671296299</v>
      </c>
      <c r="G98" s="76">
        <v>1</v>
      </c>
      <c r="H98" s="75" t="s">
        <v>236</v>
      </c>
      <c r="I98" s="75">
        <v>42555.629432870373</v>
      </c>
      <c r="J98" s="69">
        <v>1</v>
      </c>
      <c r="K98" s="34" t="str">
        <f t="shared" si="12"/>
        <v>4019/4020</v>
      </c>
      <c r="L98" s="34" t="str">
        <f>VLOOKUP(A98,'Trips&amp;Operators'!$C$1:$E$10000,3,FALSE)</f>
        <v>WEBSTER</v>
      </c>
      <c r="M98" s="6">
        <f t="shared" si="13"/>
        <v>2.8761574074451346E-2</v>
      </c>
      <c r="N98" s="7">
        <f t="shared" si="14"/>
        <v>41.416666667209938</v>
      </c>
      <c r="O98" s="7"/>
      <c r="P98" s="7"/>
      <c r="Q98" s="35"/>
      <c r="R98" s="35"/>
      <c r="S98" s="59">
        <f t="shared" si="15"/>
        <v>1</v>
      </c>
      <c r="T98" s="1" t="str">
        <f t="shared" si="16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14:22:31-0600',mode:absolute,to:'2016-07-04 15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38" t="str">
        <f t="shared" si="18"/>
        <v>N</v>
      </c>
      <c r="X98" s="38">
        <f t="shared" si="19"/>
        <v>1</v>
      </c>
      <c r="Y98" s="38">
        <f t="shared" si="20"/>
        <v>4.4400000000000002E-2</v>
      </c>
      <c r="Z98" s="38">
        <f t="shared" si="21"/>
        <v>23.329799999999999</v>
      </c>
      <c r="AA98" s="38">
        <f t="shared" si="22"/>
        <v>23.285399999999999</v>
      </c>
      <c r="AB98" s="39" t="e">
        <f>VLOOKUP(A98,Enforcements!$C$7:$J$31,8,0)</f>
        <v>#N/A</v>
      </c>
      <c r="AC98" s="39" t="e">
        <f>VLOOKUP(A98,Enforcements!$C$7:$E$31,3,0)</f>
        <v>#N/A</v>
      </c>
      <c r="AD98" s="1" t="str">
        <f t="shared" si="23"/>
        <v>0187-04</v>
      </c>
    </row>
    <row r="99" spans="1:30" s="1" customFormat="1" x14ac:dyDescent="0.25">
      <c r="A99" s="34" t="s">
        <v>492</v>
      </c>
      <c r="B99" s="69">
        <v>4019</v>
      </c>
      <c r="C99" s="69" t="s">
        <v>60</v>
      </c>
      <c r="D99" s="69" t="s">
        <v>211</v>
      </c>
      <c r="E99" s="75">
        <v>42555.637060185189</v>
      </c>
      <c r="F99" s="75">
        <v>42555.638310185182</v>
      </c>
      <c r="G99" s="76">
        <v>1</v>
      </c>
      <c r="H99" s="75" t="s">
        <v>61</v>
      </c>
      <c r="I99" s="75">
        <v>42555.669641203705</v>
      </c>
      <c r="J99" s="69">
        <v>0</v>
      </c>
      <c r="K99" s="34" t="str">
        <f t="shared" si="12"/>
        <v>4019/4020</v>
      </c>
      <c r="L99" s="34" t="str">
        <f>VLOOKUP(A99,'Trips&amp;Operators'!$C$1:$E$10000,3,FALSE)</f>
        <v>WEBSTER</v>
      </c>
      <c r="M99" s="6">
        <f t="shared" si="13"/>
        <v>3.1331018522905651E-2</v>
      </c>
      <c r="N99" s="7">
        <f t="shared" si="14"/>
        <v>45.116666672984138</v>
      </c>
      <c r="O99" s="7"/>
      <c r="P99" s="7"/>
      <c r="Q99" s="35"/>
      <c r="R99" s="35"/>
      <c r="S99" s="59">
        <f t="shared" si="15"/>
        <v>1</v>
      </c>
      <c r="T99" s="1" t="str">
        <f t="shared" si="16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15:16:22-0600',mode:absolute,to:'2016-07-04 16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38" t="str">
        <f t="shared" si="18"/>
        <v>N</v>
      </c>
      <c r="X99" s="38">
        <f t="shared" si="19"/>
        <v>1</v>
      </c>
      <c r="Y99" s="38">
        <f t="shared" si="20"/>
        <v>23.298100000000002</v>
      </c>
      <c r="Z99" s="38">
        <f t="shared" si="21"/>
        <v>1.4500000000000001E-2</v>
      </c>
      <c r="AA99" s="38">
        <f t="shared" si="22"/>
        <v>23.2836</v>
      </c>
      <c r="AB99" s="39" t="e">
        <f>VLOOKUP(A99,Enforcements!$C$7:$J$31,8,0)</f>
        <v>#N/A</v>
      </c>
      <c r="AC99" s="39" t="e">
        <f>VLOOKUP(A99,Enforcements!$C$7:$E$31,3,0)</f>
        <v>#N/A</v>
      </c>
      <c r="AD99" s="1" t="str">
        <f t="shared" si="23"/>
        <v>0188-04</v>
      </c>
    </row>
    <row r="100" spans="1:30" s="1" customFormat="1" x14ac:dyDescent="0.25">
      <c r="A100" s="34" t="s">
        <v>493</v>
      </c>
      <c r="B100" s="69">
        <v>4042</v>
      </c>
      <c r="C100" s="69" t="s">
        <v>60</v>
      </c>
      <c r="D100" s="69" t="s">
        <v>77</v>
      </c>
      <c r="E100" s="75">
        <v>42555.60800925926</v>
      </c>
      <c r="F100" s="75">
        <v>42555.6091087963</v>
      </c>
      <c r="G100" s="76">
        <v>1</v>
      </c>
      <c r="H100" s="75" t="s">
        <v>309</v>
      </c>
      <c r="I100" s="75">
        <v>42555.639340277776</v>
      </c>
      <c r="J100" s="69">
        <v>0</v>
      </c>
      <c r="K100" s="34" t="str">
        <f t="shared" si="12"/>
        <v>4041/4042</v>
      </c>
      <c r="L100" s="34" t="str">
        <f>VLOOKUP(A100,'Trips&amp;Operators'!$C$1:$E$10000,3,FALSE)</f>
        <v>RIVERA</v>
      </c>
      <c r="M100" s="6">
        <f t="shared" si="13"/>
        <v>3.0231481476221234E-2</v>
      </c>
      <c r="N100" s="7">
        <f t="shared" si="14"/>
        <v>43.533333325758576</v>
      </c>
      <c r="O100" s="7"/>
      <c r="P100" s="7"/>
      <c r="Q100" s="35"/>
      <c r="R100" s="35"/>
      <c r="S100" s="59">
        <f t="shared" si="15"/>
        <v>1</v>
      </c>
      <c r="T100" s="1" t="str">
        <f t="shared" si="16"/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14:34:32-0600',mode:absolute,to:'2016-07-04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38" t="str">
        <f t="shared" si="18"/>
        <v>N</v>
      </c>
      <c r="X100" s="38">
        <f t="shared" si="19"/>
        <v>1</v>
      </c>
      <c r="Y100" s="38">
        <f t="shared" si="20"/>
        <v>4.53E-2</v>
      </c>
      <c r="Z100" s="38">
        <f t="shared" si="21"/>
        <v>23.328900000000001</v>
      </c>
      <c r="AA100" s="38">
        <f t="shared" si="22"/>
        <v>23.2836</v>
      </c>
      <c r="AB100" s="39" t="e">
        <f>VLOOKUP(A100,Enforcements!$C$7:$J$31,8,0)</f>
        <v>#N/A</v>
      </c>
      <c r="AC100" s="39" t="e">
        <f>VLOOKUP(A100,Enforcements!$C$7:$E$31,3,0)</f>
        <v>#N/A</v>
      </c>
      <c r="AD100" s="1" t="str">
        <f t="shared" si="23"/>
        <v>0189-04</v>
      </c>
    </row>
    <row r="101" spans="1:30" s="1" customFormat="1" x14ac:dyDescent="0.25">
      <c r="A101" s="34" t="s">
        <v>494</v>
      </c>
      <c r="B101" s="69">
        <v>4041</v>
      </c>
      <c r="C101" s="69" t="s">
        <v>60</v>
      </c>
      <c r="D101" s="69" t="s">
        <v>462</v>
      </c>
      <c r="E101" s="75">
        <v>42555.647673611114</v>
      </c>
      <c r="F101" s="75">
        <v>42555.64912037037</v>
      </c>
      <c r="G101" s="76">
        <v>2</v>
      </c>
      <c r="H101" s="75" t="s">
        <v>68</v>
      </c>
      <c r="I101" s="75">
        <v>42555.680775462963</v>
      </c>
      <c r="J101" s="69">
        <v>1</v>
      </c>
      <c r="K101" s="34" t="str">
        <f t="shared" si="12"/>
        <v>4041/4042</v>
      </c>
      <c r="L101" s="34" t="str">
        <f>VLOOKUP(A101,'Trips&amp;Operators'!$C$1:$E$10000,3,FALSE)</f>
        <v>RIVERA</v>
      </c>
      <c r="M101" s="6">
        <f t="shared" si="13"/>
        <v>3.1655092592700385E-2</v>
      </c>
      <c r="N101" s="7">
        <f t="shared" si="14"/>
        <v>45.583333333488554</v>
      </c>
      <c r="O101" s="7"/>
      <c r="P101" s="7"/>
      <c r="Q101" s="35"/>
      <c r="R101" s="35"/>
      <c r="S101" s="59">
        <f t="shared" si="15"/>
        <v>1</v>
      </c>
      <c r="T101" s="1" t="str">
        <f t="shared" si="16"/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15:31:39-0600',mode:absolute,to:'2016-07-04 16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38" t="str">
        <f t="shared" si="18"/>
        <v>N</v>
      </c>
      <c r="X101" s="38">
        <f t="shared" si="19"/>
        <v>1</v>
      </c>
      <c r="Y101" s="38">
        <f t="shared" si="20"/>
        <v>23.297999999999998</v>
      </c>
      <c r="Z101" s="38">
        <f t="shared" si="21"/>
        <v>1.6E-2</v>
      </c>
      <c r="AA101" s="38">
        <f t="shared" si="22"/>
        <v>23.282</v>
      </c>
      <c r="AB101" s="39" t="e">
        <f>VLOOKUP(A101,Enforcements!$C$7:$J$31,8,0)</f>
        <v>#N/A</v>
      </c>
      <c r="AC101" s="39" t="e">
        <f>VLOOKUP(A101,Enforcements!$C$7:$E$31,3,0)</f>
        <v>#N/A</v>
      </c>
      <c r="AD101" s="1" t="str">
        <f t="shared" si="23"/>
        <v>0190-04</v>
      </c>
    </row>
    <row r="102" spans="1:30" s="1" customFormat="1" x14ac:dyDescent="0.25">
      <c r="A102" s="34" t="s">
        <v>495</v>
      </c>
      <c r="B102" s="69">
        <v>4038</v>
      </c>
      <c r="C102" s="69" t="s">
        <v>60</v>
      </c>
      <c r="D102" s="69" t="s">
        <v>77</v>
      </c>
      <c r="E102" s="75">
        <v>42555.618692129632</v>
      </c>
      <c r="F102" s="75">
        <v>42555.619629629633</v>
      </c>
      <c r="G102" s="76">
        <v>1</v>
      </c>
      <c r="H102" s="75" t="s">
        <v>496</v>
      </c>
      <c r="I102" s="75">
        <v>42555.650752314818</v>
      </c>
      <c r="J102" s="69">
        <v>1</v>
      </c>
      <c r="K102" s="34" t="str">
        <f t="shared" si="12"/>
        <v>4037/4038</v>
      </c>
      <c r="L102" s="34" t="str">
        <f>VLOOKUP(A102,'Trips&amp;Operators'!$C$1:$E$10000,3,FALSE)</f>
        <v>BONDS</v>
      </c>
      <c r="M102" s="6">
        <f t="shared" si="13"/>
        <v>3.1122685184527654E-2</v>
      </c>
      <c r="N102" s="7">
        <f t="shared" si="14"/>
        <v>44.816666665719822</v>
      </c>
      <c r="O102" s="7"/>
      <c r="P102" s="7"/>
      <c r="Q102" s="35"/>
      <c r="R102" s="35"/>
      <c r="S102" s="59">
        <f t="shared" si="15"/>
        <v>1</v>
      </c>
      <c r="T102" s="1" t="str">
        <f t="shared" si="16"/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14:49:55-0600',mode:absolute,to:'2016-07-04 15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2" s="38" t="str">
        <f t="shared" si="18"/>
        <v>N</v>
      </c>
      <c r="X102" s="38">
        <f t="shared" si="19"/>
        <v>1</v>
      </c>
      <c r="Y102" s="38">
        <f t="shared" si="20"/>
        <v>4.53E-2</v>
      </c>
      <c r="Z102" s="38">
        <f t="shared" si="21"/>
        <v>23.334</v>
      </c>
      <c r="AA102" s="38">
        <f t="shared" si="22"/>
        <v>23.288699999999999</v>
      </c>
      <c r="AB102" s="39">
        <f>VLOOKUP(A102,Enforcements!$C$7:$J$31,8,0)</f>
        <v>63068</v>
      </c>
      <c r="AC102" s="39" t="str">
        <f>VLOOKUP(A102,Enforcements!$C$7:$E$31,3,0)</f>
        <v>GRADE CROSSING</v>
      </c>
      <c r="AD102" s="1" t="str">
        <f t="shared" si="23"/>
        <v>0191-04</v>
      </c>
    </row>
    <row r="103" spans="1:30" s="1" customFormat="1" x14ac:dyDescent="0.25">
      <c r="A103" s="34" t="s">
        <v>497</v>
      </c>
      <c r="B103" s="69">
        <v>4037</v>
      </c>
      <c r="C103" s="69" t="s">
        <v>60</v>
      </c>
      <c r="D103" s="69" t="s">
        <v>498</v>
      </c>
      <c r="E103" s="75">
        <v>42555.658136574071</v>
      </c>
      <c r="F103" s="75">
        <v>42555.660243055558</v>
      </c>
      <c r="G103" s="76">
        <v>3</v>
      </c>
      <c r="H103" s="75" t="s">
        <v>160</v>
      </c>
      <c r="I103" s="75">
        <v>42555.690312500003</v>
      </c>
      <c r="J103" s="69">
        <v>1</v>
      </c>
      <c r="K103" s="34" t="str">
        <f t="shared" si="12"/>
        <v>4037/4038</v>
      </c>
      <c r="L103" s="34" t="str">
        <f>VLOOKUP(A103,'Trips&amp;Operators'!$C$1:$E$10000,3,FALSE)</f>
        <v>BONDS</v>
      </c>
      <c r="M103" s="6">
        <f t="shared" si="13"/>
        <v>3.0069444444961846E-2</v>
      </c>
      <c r="N103" s="7">
        <f t="shared" si="14"/>
        <v>43.300000000745058</v>
      </c>
      <c r="O103" s="7"/>
      <c r="P103" s="7"/>
      <c r="Q103" s="35"/>
      <c r="R103" s="35"/>
      <c r="S103" s="59">
        <f t="shared" si="15"/>
        <v>1</v>
      </c>
      <c r="T103" s="1" t="str">
        <f t="shared" si="16"/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15:46:43-0600',mode:absolute,to:'2016-07-04 16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3" s="38" t="str">
        <f t="shared" si="18"/>
        <v>N</v>
      </c>
      <c r="X103" s="38">
        <f t="shared" si="19"/>
        <v>1</v>
      </c>
      <c r="Y103" s="38">
        <f t="shared" si="20"/>
        <v>23.302800000000001</v>
      </c>
      <c r="Z103" s="38">
        <f t="shared" si="21"/>
        <v>1.6299999999999999E-2</v>
      </c>
      <c r="AA103" s="38">
        <f t="shared" si="22"/>
        <v>23.2865</v>
      </c>
      <c r="AB103" s="39" t="e">
        <f>VLOOKUP(A103,Enforcements!$C$7:$J$31,8,0)</f>
        <v>#N/A</v>
      </c>
      <c r="AC103" s="39" t="e">
        <f>VLOOKUP(A103,Enforcements!$C$7:$E$31,3,0)</f>
        <v>#N/A</v>
      </c>
      <c r="AD103" s="1" t="str">
        <f t="shared" si="23"/>
        <v>0192-04</v>
      </c>
    </row>
    <row r="104" spans="1:30" s="1" customFormat="1" x14ac:dyDescent="0.25">
      <c r="A104" s="34" t="s">
        <v>499</v>
      </c>
      <c r="B104" s="69">
        <v>4029</v>
      </c>
      <c r="C104" s="69" t="s">
        <v>60</v>
      </c>
      <c r="D104" s="69" t="s">
        <v>500</v>
      </c>
      <c r="E104" s="75">
        <v>42555.633298611108</v>
      </c>
      <c r="F104" s="75">
        <v>42555.635891203703</v>
      </c>
      <c r="G104" s="76">
        <v>3</v>
      </c>
      <c r="H104" s="75" t="s">
        <v>482</v>
      </c>
      <c r="I104" s="75">
        <v>42555.660462962966</v>
      </c>
      <c r="J104" s="69">
        <v>0</v>
      </c>
      <c r="K104" s="34" t="str">
        <f t="shared" si="12"/>
        <v>4029/4030</v>
      </c>
      <c r="L104" s="34" t="str">
        <f>VLOOKUP(A104,'Trips&amp;Operators'!$C$1:$E$10000,3,FALSE)</f>
        <v>LOCKLEAR</v>
      </c>
      <c r="M104" s="6">
        <f t="shared" si="13"/>
        <v>2.457175926247146E-2</v>
      </c>
      <c r="N104" s="7">
        <f t="shared" si="14"/>
        <v>35.383333337958902</v>
      </c>
      <c r="O104" s="7"/>
      <c r="P104" s="7"/>
      <c r="Q104" s="35"/>
      <c r="R104" s="35"/>
      <c r="S104" s="59">
        <f t="shared" si="15"/>
        <v>1</v>
      </c>
      <c r="T104" s="1" t="str">
        <f t="shared" si="16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15:10:57-0600',mode:absolute,to:'2016-07-04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38" t="str">
        <f t="shared" si="18"/>
        <v>N</v>
      </c>
      <c r="X104" s="38">
        <f t="shared" si="19"/>
        <v>1</v>
      </c>
      <c r="Y104" s="38">
        <f t="shared" si="20"/>
        <v>0.15590000000000001</v>
      </c>
      <c r="Z104" s="38">
        <f t="shared" si="21"/>
        <v>23.334900000000001</v>
      </c>
      <c r="AA104" s="38">
        <f t="shared" si="22"/>
        <v>23.179000000000002</v>
      </c>
      <c r="AB104" s="39" t="e">
        <f>VLOOKUP(A104,Enforcements!$C$7:$J$31,8,0)</f>
        <v>#N/A</v>
      </c>
      <c r="AC104" s="39" t="e">
        <f>VLOOKUP(A104,Enforcements!$C$7:$E$31,3,0)</f>
        <v>#N/A</v>
      </c>
      <c r="AD104" s="1" t="str">
        <f t="shared" si="23"/>
        <v>0193-04</v>
      </c>
    </row>
    <row r="105" spans="1:30" s="1" customFormat="1" x14ac:dyDescent="0.25">
      <c r="A105" s="34" t="s">
        <v>499</v>
      </c>
      <c r="B105" s="69">
        <v>4029</v>
      </c>
      <c r="C105" s="69" t="s">
        <v>60</v>
      </c>
      <c r="D105" s="69" t="s">
        <v>501</v>
      </c>
      <c r="E105" s="75">
        <v>42555.633298611108</v>
      </c>
      <c r="F105" s="75">
        <v>42555.634479166663</v>
      </c>
      <c r="G105" s="76">
        <v>1</v>
      </c>
      <c r="H105" s="75" t="s">
        <v>482</v>
      </c>
      <c r="I105" s="75">
        <v>42555.660462962966</v>
      </c>
      <c r="J105" s="69">
        <v>0</v>
      </c>
      <c r="K105" s="34" t="str">
        <f t="shared" si="12"/>
        <v>4029/4030</v>
      </c>
      <c r="L105" s="34" t="str">
        <f>VLOOKUP(A105,'Trips&amp;Operators'!$C$1:$E$10000,3,FALSE)</f>
        <v>LOCKLEAR</v>
      </c>
      <c r="M105" s="6">
        <f t="shared" si="13"/>
        <v>2.5983796302170958E-2</v>
      </c>
      <c r="N105" s="7">
        <f t="shared" si="14"/>
        <v>37.41666667512618</v>
      </c>
      <c r="O105" s="7"/>
      <c r="P105" s="7"/>
      <c r="Q105" s="35"/>
      <c r="R105" s="35"/>
      <c r="S105" s="59">
        <f t="shared" si="15"/>
        <v>1</v>
      </c>
      <c r="T105" s="1" t="str">
        <f t="shared" si="16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15:10:57-0600',mode:absolute,to:'2016-07-04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5" s="38" t="str">
        <f t="shared" si="18"/>
        <v>N</v>
      </c>
      <c r="X105" s="38">
        <f t="shared" si="19"/>
        <v>0</v>
      </c>
      <c r="Y105" s="38">
        <f t="shared" si="20"/>
        <v>5.2200000000000003E-2</v>
      </c>
      <c r="Z105" s="38">
        <f t="shared" si="21"/>
        <v>23.334900000000001</v>
      </c>
      <c r="AA105" s="38">
        <f t="shared" si="22"/>
        <v>23.282700000000002</v>
      </c>
      <c r="AB105" s="39" t="e">
        <f>VLOOKUP(A105,Enforcements!$C$7:$J$31,8,0)</f>
        <v>#N/A</v>
      </c>
      <c r="AC105" s="39" t="e">
        <f>VLOOKUP(A105,Enforcements!$C$7:$E$31,3,0)</f>
        <v>#N/A</v>
      </c>
      <c r="AD105" s="1" t="str">
        <f t="shared" si="23"/>
        <v>0193-04</v>
      </c>
    </row>
    <row r="106" spans="1:30" s="1" customFormat="1" x14ac:dyDescent="0.25">
      <c r="A106" s="34" t="s">
        <v>502</v>
      </c>
      <c r="B106" s="69">
        <v>4030</v>
      </c>
      <c r="C106" s="69" t="s">
        <v>60</v>
      </c>
      <c r="D106" s="69" t="s">
        <v>503</v>
      </c>
      <c r="E106" s="75">
        <v>42555.671944444446</v>
      </c>
      <c r="F106" s="75">
        <v>42555.672719907408</v>
      </c>
      <c r="G106" s="76">
        <v>1</v>
      </c>
      <c r="H106" s="75" t="s">
        <v>67</v>
      </c>
      <c r="I106" s="75">
        <v>42555.70076388889</v>
      </c>
      <c r="J106" s="69">
        <v>0</v>
      </c>
      <c r="K106" s="34" t="str">
        <f t="shared" si="12"/>
        <v>4029/4030</v>
      </c>
      <c r="L106" s="34" t="str">
        <f>VLOOKUP(A106,'Trips&amp;Operators'!$C$1:$E$10000,3,FALSE)</f>
        <v>LOCKLEAR</v>
      </c>
      <c r="M106" s="6">
        <f t="shared" si="13"/>
        <v>2.8043981481459923E-2</v>
      </c>
      <c r="N106" s="7">
        <f t="shared" si="14"/>
        <v>40.383333333302289</v>
      </c>
      <c r="O106" s="7"/>
      <c r="P106" s="7"/>
      <c r="Q106" s="35"/>
      <c r="R106" s="35"/>
      <c r="S106" s="59">
        <f t="shared" si="15"/>
        <v>1</v>
      </c>
      <c r="T106" s="1" t="str">
        <f t="shared" si="16"/>
        <v>Southbound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16:06:36-0600',mode:absolute,to:'2016-07-04 16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6" s="38" t="str">
        <f t="shared" si="18"/>
        <v>N</v>
      </c>
      <c r="X106" s="38">
        <f t="shared" si="19"/>
        <v>1</v>
      </c>
      <c r="Y106" s="38">
        <f t="shared" si="20"/>
        <v>23.3034</v>
      </c>
      <c r="Z106" s="38">
        <f t="shared" si="21"/>
        <v>1.47E-2</v>
      </c>
      <c r="AA106" s="38">
        <f t="shared" si="22"/>
        <v>23.288699999999999</v>
      </c>
      <c r="AB106" s="39" t="e">
        <f>VLOOKUP(A106,Enforcements!$C$7:$J$31,8,0)</f>
        <v>#N/A</v>
      </c>
      <c r="AC106" s="39" t="e">
        <f>VLOOKUP(A106,Enforcements!$C$7:$E$31,3,0)</f>
        <v>#N/A</v>
      </c>
      <c r="AD106" s="1" t="str">
        <f t="shared" si="23"/>
        <v>0194-04</v>
      </c>
    </row>
    <row r="107" spans="1:30" s="1" customFormat="1" x14ac:dyDescent="0.25">
      <c r="A107" s="34" t="s">
        <v>504</v>
      </c>
      <c r="B107" s="69">
        <v>4040</v>
      </c>
      <c r="C107" s="69" t="s">
        <v>60</v>
      </c>
      <c r="D107" s="69" t="s">
        <v>442</v>
      </c>
      <c r="E107" s="75">
        <v>42555.639675925922</v>
      </c>
      <c r="F107" s="75">
        <v>42555.6406712963</v>
      </c>
      <c r="G107" s="76">
        <v>1</v>
      </c>
      <c r="H107" s="75" t="s">
        <v>505</v>
      </c>
      <c r="I107" s="75">
        <v>42555.670937499999</v>
      </c>
      <c r="J107" s="69">
        <v>0</v>
      </c>
      <c r="K107" s="34" t="str">
        <f t="shared" si="12"/>
        <v>4039/4040</v>
      </c>
      <c r="L107" s="34" t="str">
        <f>VLOOKUP(A107,'Trips&amp;Operators'!$C$1:$E$10000,3,FALSE)</f>
        <v>NEWELL</v>
      </c>
      <c r="M107" s="6">
        <f t="shared" si="13"/>
        <v>3.0266203699284233E-2</v>
      </c>
      <c r="N107" s="7">
        <f t="shared" si="14"/>
        <v>43.583333326969296</v>
      </c>
      <c r="O107" s="7"/>
      <c r="P107" s="7"/>
      <c r="Q107" s="35"/>
      <c r="R107" s="35"/>
      <c r="S107" s="59">
        <f t="shared" si="15"/>
        <v>1</v>
      </c>
      <c r="T107" s="1" t="str">
        <f t="shared" si="16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15:20:08-0600',mode:absolute,to:'2016-07-04 16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38" t="str">
        <f t="shared" si="18"/>
        <v>N</v>
      </c>
      <c r="X107" s="38">
        <f t="shared" si="19"/>
        <v>1</v>
      </c>
      <c r="Y107" s="38">
        <f t="shared" si="20"/>
        <v>4.58E-2</v>
      </c>
      <c r="Z107" s="38">
        <f t="shared" si="21"/>
        <v>23.335699999999999</v>
      </c>
      <c r="AA107" s="38">
        <f t="shared" si="22"/>
        <v>23.289899999999999</v>
      </c>
      <c r="AB107" s="39" t="e">
        <f>VLOOKUP(A107,Enforcements!$C$7:$J$31,8,0)</f>
        <v>#N/A</v>
      </c>
      <c r="AC107" s="39" t="e">
        <f>VLOOKUP(A107,Enforcements!$C$7:$E$31,3,0)</f>
        <v>#N/A</v>
      </c>
      <c r="AD107" s="1" t="str">
        <f t="shared" si="23"/>
        <v>0195-04</v>
      </c>
    </row>
    <row r="108" spans="1:30" s="1" customFormat="1" x14ac:dyDescent="0.25">
      <c r="A108" s="34" t="s">
        <v>506</v>
      </c>
      <c r="B108" s="69">
        <v>4039</v>
      </c>
      <c r="C108" s="69" t="s">
        <v>60</v>
      </c>
      <c r="D108" s="69" t="s">
        <v>507</v>
      </c>
      <c r="E108" s="75">
        <v>42555.676793981482</v>
      </c>
      <c r="F108" s="75">
        <v>42555.677812499998</v>
      </c>
      <c r="G108" s="76">
        <v>1</v>
      </c>
      <c r="H108" s="75" t="s">
        <v>153</v>
      </c>
      <c r="I108" s="75">
        <v>42555.710613425923</v>
      </c>
      <c r="J108" s="69">
        <v>1</v>
      </c>
      <c r="K108" s="34" t="str">
        <f t="shared" si="12"/>
        <v>4039/4040</v>
      </c>
      <c r="L108" s="34" t="str">
        <f>VLOOKUP(A108,'Trips&amp;Operators'!$C$1:$E$10000,3,FALSE)</f>
        <v>NEWELL</v>
      </c>
      <c r="M108" s="6">
        <f t="shared" si="13"/>
        <v>3.2800925924675539E-2</v>
      </c>
      <c r="N108" s="7">
        <f t="shared" si="14"/>
        <v>47.233333331532776</v>
      </c>
      <c r="O108" s="7"/>
      <c r="P108" s="7"/>
      <c r="Q108" s="35"/>
      <c r="R108" s="35"/>
      <c r="S108" s="59">
        <f t="shared" si="15"/>
        <v>1</v>
      </c>
      <c r="T108" s="1" t="str">
        <f t="shared" si="16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16:13:35-0600',mode:absolute,to:'2016-07-04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38" t="str">
        <f t="shared" si="18"/>
        <v>N</v>
      </c>
      <c r="X108" s="38">
        <f t="shared" si="19"/>
        <v>1</v>
      </c>
      <c r="Y108" s="38">
        <f t="shared" si="20"/>
        <v>23.303599999999999</v>
      </c>
      <c r="Z108" s="38">
        <f t="shared" si="21"/>
        <v>1.5599999999999999E-2</v>
      </c>
      <c r="AA108" s="38">
        <f t="shared" si="22"/>
        <v>23.288</v>
      </c>
      <c r="AB108" s="39" t="e">
        <f>VLOOKUP(A108,Enforcements!$C$7:$J$31,8,0)</f>
        <v>#N/A</v>
      </c>
      <c r="AC108" s="39" t="e">
        <f>VLOOKUP(A108,Enforcements!$C$7:$E$31,3,0)</f>
        <v>#N/A</v>
      </c>
      <c r="AD108" s="1" t="str">
        <f t="shared" si="23"/>
        <v>0196-04</v>
      </c>
    </row>
    <row r="109" spans="1:30" x14ac:dyDescent="0.25">
      <c r="A109" s="34" t="s">
        <v>508</v>
      </c>
      <c r="B109" s="69">
        <v>4018</v>
      </c>
      <c r="C109" s="69" t="s">
        <v>60</v>
      </c>
      <c r="D109" s="69" t="s">
        <v>69</v>
      </c>
      <c r="E109" s="75">
        <v>42555.653923611113</v>
      </c>
      <c r="F109" s="75">
        <v>42555.655127314814</v>
      </c>
      <c r="G109" s="76">
        <v>1</v>
      </c>
      <c r="H109" s="75" t="s">
        <v>309</v>
      </c>
      <c r="I109" s="75">
        <v>42555.681446759256</v>
      </c>
      <c r="J109" s="69">
        <v>0</v>
      </c>
      <c r="K109" s="34" t="str">
        <f t="shared" si="12"/>
        <v>4017/4018</v>
      </c>
      <c r="L109" s="34" t="str">
        <f>VLOOKUP(A109,'Trips&amp;Operators'!$C$1:$E$10000,3,FALSE)</f>
        <v>LOZA</v>
      </c>
      <c r="M109" s="6">
        <f t="shared" si="13"/>
        <v>2.6319444441469386E-2</v>
      </c>
      <c r="N109" s="7">
        <f t="shared" si="14"/>
        <v>37.899999995715916</v>
      </c>
      <c r="O109" s="7"/>
      <c r="P109" s="7"/>
      <c r="Q109" s="35"/>
      <c r="R109" s="35"/>
      <c r="S109" s="59">
        <f t="shared" si="15"/>
        <v>1</v>
      </c>
      <c r="T109" s="1" t="str">
        <f t="shared" si="16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15:40:39-0600',mode:absolute,to:'2016-07-04 16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9" s="38" t="str">
        <f t="shared" si="18"/>
        <v>N</v>
      </c>
      <c r="X109" s="38">
        <f t="shared" si="19"/>
        <v>1</v>
      </c>
      <c r="Y109" s="38">
        <f t="shared" si="20"/>
        <v>4.5999999999999999E-2</v>
      </c>
      <c r="Z109" s="38">
        <f t="shared" si="21"/>
        <v>23.328900000000001</v>
      </c>
      <c r="AA109" s="38">
        <f t="shared" si="22"/>
        <v>23.282900000000001</v>
      </c>
      <c r="AB109" s="39" t="e">
        <f>VLOOKUP(A109,Enforcements!$C$7:$J$31,8,0)</f>
        <v>#N/A</v>
      </c>
      <c r="AC109" s="39" t="e">
        <f>VLOOKUP(A109,Enforcements!$C$7:$E$31,3,0)</f>
        <v>#N/A</v>
      </c>
      <c r="AD109" s="1" t="str">
        <f t="shared" si="23"/>
        <v>0197-04</v>
      </c>
    </row>
    <row r="110" spans="1:30" x14ac:dyDescent="0.25">
      <c r="A110" s="34" t="s">
        <v>509</v>
      </c>
      <c r="B110" s="69">
        <v>4017</v>
      </c>
      <c r="C110" s="69" t="s">
        <v>60</v>
      </c>
      <c r="D110" s="69" t="s">
        <v>510</v>
      </c>
      <c r="E110" s="75">
        <v>42555.693287037036</v>
      </c>
      <c r="F110" s="75">
        <v>42555.69568287037</v>
      </c>
      <c r="G110" s="76">
        <v>3</v>
      </c>
      <c r="H110" s="75" t="s">
        <v>67</v>
      </c>
      <c r="I110" s="75">
        <v>42555.721122685187</v>
      </c>
      <c r="J110" s="69">
        <v>0</v>
      </c>
      <c r="K110" s="34" t="str">
        <f t="shared" si="12"/>
        <v>4017/4018</v>
      </c>
      <c r="L110" s="34" t="str">
        <f>VLOOKUP(A110,'Trips&amp;Operators'!$C$1:$E$10000,3,FALSE)</f>
        <v>LOZA</v>
      </c>
      <c r="M110" s="6">
        <f t="shared" si="13"/>
        <v>2.5439814817218576E-2</v>
      </c>
      <c r="N110" s="7">
        <f t="shared" si="14"/>
        <v>36.633333336794749</v>
      </c>
      <c r="O110" s="7"/>
      <c r="P110" s="7"/>
      <c r="Q110" s="35"/>
      <c r="R110" s="35"/>
      <c r="S110" s="59">
        <f t="shared" si="15"/>
        <v>1</v>
      </c>
      <c r="T110" s="1" t="str">
        <f t="shared" si="16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16:37:20-0600',mode:absolute,to:'2016-07-04 17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0" s="38" t="str">
        <f t="shared" si="18"/>
        <v>N</v>
      </c>
      <c r="X110" s="38">
        <f t="shared" si="19"/>
        <v>1</v>
      </c>
      <c r="Y110" s="38">
        <f t="shared" si="20"/>
        <v>23.2209</v>
      </c>
      <c r="Z110" s="38">
        <f t="shared" si="21"/>
        <v>1.47E-2</v>
      </c>
      <c r="AA110" s="38">
        <f t="shared" si="22"/>
        <v>23.206199999999999</v>
      </c>
      <c r="AB110" s="39" t="e">
        <f>VLOOKUP(A110,Enforcements!$C$7:$J$31,8,0)</f>
        <v>#N/A</v>
      </c>
      <c r="AC110" s="39" t="e">
        <f>VLOOKUP(A110,Enforcements!$C$7:$E$31,3,0)</f>
        <v>#N/A</v>
      </c>
      <c r="AD110" s="1" t="str">
        <f t="shared" si="23"/>
        <v>0198-04</v>
      </c>
    </row>
    <row r="111" spans="1:30" s="1" customFormat="1" x14ac:dyDescent="0.25">
      <c r="A111" s="34" t="s">
        <v>509</v>
      </c>
      <c r="B111" s="69">
        <v>4017</v>
      </c>
      <c r="C111" s="69" t="s">
        <v>60</v>
      </c>
      <c r="D111" s="69" t="s">
        <v>296</v>
      </c>
      <c r="E111" s="75">
        <v>42555.693287037036</v>
      </c>
      <c r="F111" s="75">
        <v>42555.694120370368</v>
      </c>
      <c r="G111" s="76">
        <v>1</v>
      </c>
      <c r="H111" s="75" t="s">
        <v>67</v>
      </c>
      <c r="I111" s="75">
        <v>42555.721122685187</v>
      </c>
      <c r="J111" s="69">
        <v>0</v>
      </c>
      <c r="K111" s="34" t="str">
        <f t="shared" si="12"/>
        <v>4017/4018</v>
      </c>
      <c r="L111" s="34" t="str">
        <f>VLOOKUP(A111,'Trips&amp;Operators'!$C$1:$E$10000,3,FALSE)</f>
        <v>LOZA</v>
      </c>
      <c r="M111" s="6">
        <f t="shared" si="13"/>
        <v>2.7002314818673767E-2</v>
      </c>
      <c r="N111" s="7">
        <f t="shared" si="14"/>
        <v>38.883333338890225</v>
      </c>
      <c r="O111" s="7"/>
      <c r="P111" s="7"/>
      <c r="Q111" s="35"/>
      <c r="R111" s="35"/>
      <c r="S111" s="59">
        <f t="shared" si="15"/>
        <v>1</v>
      </c>
      <c r="T111" s="1" t="str">
        <f t="shared" si="16"/>
        <v>Southbound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16:37:20-0600',mode:absolute,to:'2016-07-04 17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1" s="38" t="str">
        <f t="shared" si="18"/>
        <v>N</v>
      </c>
      <c r="X111" s="38">
        <f t="shared" si="19"/>
        <v>0</v>
      </c>
      <c r="Y111" s="38">
        <f t="shared" si="20"/>
        <v>23.299399999999999</v>
      </c>
      <c r="Z111" s="38">
        <f t="shared" si="21"/>
        <v>1.47E-2</v>
      </c>
      <c r="AA111" s="38">
        <f t="shared" si="22"/>
        <v>23.284699999999997</v>
      </c>
      <c r="AB111" s="39" t="e">
        <f>VLOOKUP(A111,Enforcements!$C$7:$J$31,8,0)</f>
        <v>#N/A</v>
      </c>
      <c r="AC111" s="39" t="e">
        <f>VLOOKUP(A111,Enforcements!$C$7:$E$31,3,0)</f>
        <v>#N/A</v>
      </c>
      <c r="AD111" s="1" t="str">
        <f t="shared" si="23"/>
        <v>0198-04</v>
      </c>
    </row>
    <row r="112" spans="1:30" x14ac:dyDescent="0.25">
      <c r="A112" s="34" t="s">
        <v>511</v>
      </c>
      <c r="B112" s="69">
        <v>4031</v>
      </c>
      <c r="C112" s="69" t="s">
        <v>60</v>
      </c>
      <c r="D112" s="69" t="s">
        <v>152</v>
      </c>
      <c r="E112" s="75">
        <v>42555.662442129629</v>
      </c>
      <c r="F112" s="75">
        <v>42555.663182870368</v>
      </c>
      <c r="G112" s="76">
        <v>1</v>
      </c>
      <c r="H112" s="75" t="s">
        <v>236</v>
      </c>
      <c r="I112" s="75">
        <v>42555.691412037035</v>
      </c>
      <c r="J112" s="69">
        <v>1</v>
      </c>
      <c r="K112" s="34" t="str">
        <f t="shared" si="12"/>
        <v>4031/4032</v>
      </c>
      <c r="L112" s="34" t="str">
        <f>VLOOKUP(A112,'Trips&amp;Operators'!$C$1:$E$10000,3,FALSE)</f>
        <v>HELVIE</v>
      </c>
      <c r="M112" s="6">
        <f t="shared" si="13"/>
        <v>2.8229166666278616E-2</v>
      </c>
      <c r="N112" s="7">
        <f t="shared" si="14"/>
        <v>40.649999999441206</v>
      </c>
      <c r="O112" s="7"/>
      <c r="P112" s="7"/>
      <c r="Q112" s="35"/>
      <c r="R112" s="35"/>
      <c r="S112" s="59">
        <f t="shared" si="15"/>
        <v>1</v>
      </c>
      <c r="T112" s="1" t="str">
        <f t="shared" si="16"/>
        <v>NorthBound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15:52:55-0600',mode:absolute,to:'2016-07-04 16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2" s="38" t="str">
        <f t="shared" si="18"/>
        <v>N</v>
      </c>
      <c r="X112" s="38">
        <f t="shared" si="19"/>
        <v>1</v>
      </c>
      <c r="Y112" s="38">
        <f t="shared" si="20"/>
        <v>4.4600000000000001E-2</v>
      </c>
      <c r="Z112" s="38">
        <f t="shared" si="21"/>
        <v>23.329799999999999</v>
      </c>
      <c r="AA112" s="38">
        <f t="shared" si="22"/>
        <v>23.2852</v>
      </c>
      <c r="AB112" s="39" t="e">
        <f>VLOOKUP(A112,Enforcements!$C$7:$J$31,8,0)</f>
        <v>#N/A</v>
      </c>
      <c r="AC112" s="39" t="e">
        <f>VLOOKUP(A112,Enforcements!$C$7:$E$31,3,0)</f>
        <v>#N/A</v>
      </c>
      <c r="AD112" s="1" t="str">
        <f t="shared" si="23"/>
        <v>0199-04</v>
      </c>
    </row>
    <row r="113" spans="1:30" x14ac:dyDescent="0.25">
      <c r="A113" s="34" t="s">
        <v>512</v>
      </c>
      <c r="B113" s="69">
        <v>4032</v>
      </c>
      <c r="C113" s="69" t="s">
        <v>60</v>
      </c>
      <c r="D113" s="69" t="s">
        <v>171</v>
      </c>
      <c r="E113" s="75">
        <v>42555.699259259258</v>
      </c>
      <c r="F113" s="75">
        <v>42555.70039351852</v>
      </c>
      <c r="G113" s="76">
        <v>1</v>
      </c>
      <c r="H113" s="75" t="s">
        <v>513</v>
      </c>
      <c r="I113" s="75">
        <v>42555.731712962966</v>
      </c>
      <c r="J113" s="69">
        <v>1</v>
      </c>
      <c r="K113" s="34" t="str">
        <f t="shared" si="12"/>
        <v>4031/4032</v>
      </c>
      <c r="L113" s="34" t="str">
        <f>VLOOKUP(A113,'Trips&amp;Operators'!$C$1:$E$10000,3,FALSE)</f>
        <v>HELVIE</v>
      </c>
      <c r="M113" s="6">
        <f t="shared" si="13"/>
        <v>3.1319444446125999E-2</v>
      </c>
      <c r="N113" s="7">
        <f t="shared" si="14"/>
        <v>45.100000002421439</v>
      </c>
      <c r="O113" s="7"/>
      <c r="P113" s="7"/>
      <c r="Q113" s="35"/>
      <c r="R113" s="35"/>
      <c r="S113" s="59">
        <f t="shared" si="15"/>
        <v>1</v>
      </c>
      <c r="T113" s="1" t="str">
        <f t="shared" si="16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16:45:56-0600',mode:absolute,to:'2016-07-04 17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3" s="38" t="str">
        <f t="shared" si="18"/>
        <v>N</v>
      </c>
      <c r="X113" s="38">
        <f t="shared" si="19"/>
        <v>1</v>
      </c>
      <c r="Y113" s="38">
        <f t="shared" si="20"/>
        <v>23.298300000000001</v>
      </c>
      <c r="Z113" s="38">
        <f t="shared" si="21"/>
        <v>1.9800000000000002E-2</v>
      </c>
      <c r="AA113" s="38">
        <f t="shared" si="22"/>
        <v>23.278500000000001</v>
      </c>
      <c r="AB113" s="39" t="e">
        <f>VLOOKUP(A113,Enforcements!$C$7:$J$31,8,0)</f>
        <v>#N/A</v>
      </c>
      <c r="AC113" s="39" t="e">
        <f>VLOOKUP(A113,Enforcements!$C$7:$E$31,3,0)</f>
        <v>#N/A</v>
      </c>
      <c r="AD113" s="1" t="str">
        <f t="shared" si="23"/>
        <v>0200-04</v>
      </c>
    </row>
    <row r="114" spans="1:30" x14ac:dyDescent="0.25">
      <c r="A114" s="34" t="s">
        <v>514</v>
      </c>
      <c r="B114" s="69">
        <v>4020</v>
      </c>
      <c r="C114" s="69" t="s">
        <v>60</v>
      </c>
      <c r="D114" s="69" t="s">
        <v>95</v>
      </c>
      <c r="E114" s="75">
        <v>42555.672523148147</v>
      </c>
      <c r="F114" s="75">
        <v>42555.673530092594</v>
      </c>
      <c r="G114" s="76">
        <v>1</v>
      </c>
      <c r="H114" s="75" t="s">
        <v>178</v>
      </c>
      <c r="I114" s="75">
        <v>42555.702106481483</v>
      </c>
      <c r="J114" s="69">
        <v>0</v>
      </c>
      <c r="K114" s="34" t="str">
        <f t="shared" si="12"/>
        <v>4019/4020</v>
      </c>
      <c r="L114" s="34" t="str">
        <f>VLOOKUP(A114,'Trips&amp;Operators'!$C$1:$E$10000,3,FALSE)</f>
        <v>WEBSTER</v>
      </c>
      <c r="M114" s="6">
        <f t="shared" si="13"/>
        <v>2.8576388889632653E-2</v>
      </c>
      <c r="N114" s="7">
        <f t="shared" si="14"/>
        <v>41.150000001071021</v>
      </c>
      <c r="O114" s="7"/>
      <c r="P114" s="7"/>
      <c r="Q114" s="35"/>
      <c r="R114" s="35"/>
      <c r="S114" s="59">
        <f t="shared" si="15"/>
        <v>1</v>
      </c>
      <c r="T114" s="1" t="str">
        <f t="shared" si="16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16:07:26-0600',mode:absolute,to:'2016-07-04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4" s="38" t="str">
        <f t="shared" si="18"/>
        <v>N</v>
      </c>
      <c r="X114" s="38">
        <f t="shared" si="19"/>
        <v>1</v>
      </c>
      <c r="Y114" s="38">
        <f t="shared" si="20"/>
        <v>4.6699999999999998E-2</v>
      </c>
      <c r="Z114" s="38">
        <f t="shared" si="21"/>
        <v>23.328800000000001</v>
      </c>
      <c r="AA114" s="38">
        <f t="shared" si="22"/>
        <v>23.2821</v>
      </c>
      <c r="AB114" s="39" t="e">
        <f>VLOOKUP(A114,Enforcements!$C$7:$J$31,8,0)</f>
        <v>#N/A</v>
      </c>
      <c r="AC114" s="39" t="e">
        <f>VLOOKUP(A114,Enforcements!$C$7:$E$31,3,0)</f>
        <v>#N/A</v>
      </c>
      <c r="AD114" s="1" t="str">
        <f t="shared" si="23"/>
        <v>0201-04</v>
      </c>
    </row>
    <row r="115" spans="1:30" x14ac:dyDescent="0.25">
      <c r="A115" s="34" t="s">
        <v>515</v>
      </c>
      <c r="B115" s="69">
        <v>4019</v>
      </c>
      <c r="C115" s="69" t="s">
        <v>60</v>
      </c>
      <c r="D115" s="69" t="s">
        <v>203</v>
      </c>
      <c r="E115" s="75">
        <v>42555.711504629631</v>
      </c>
      <c r="F115" s="75">
        <v>42555.712604166663</v>
      </c>
      <c r="G115" s="76">
        <v>1</v>
      </c>
      <c r="H115" s="75" t="s">
        <v>61</v>
      </c>
      <c r="I115" s="75">
        <v>42555.742939814816</v>
      </c>
      <c r="J115" s="69">
        <v>1</v>
      </c>
      <c r="K115" s="34" t="str">
        <f t="shared" si="12"/>
        <v>4019/4020</v>
      </c>
      <c r="L115" s="34" t="str">
        <f>VLOOKUP(A115,'Trips&amp;Operators'!$C$1:$E$10000,3,FALSE)</f>
        <v>WEBSTER</v>
      </c>
      <c r="M115" s="6">
        <f t="shared" si="13"/>
        <v>3.033564815268619E-2</v>
      </c>
      <c r="N115" s="7">
        <f t="shared" si="14"/>
        <v>43.683333339868113</v>
      </c>
      <c r="O115" s="7"/>
      <c r="P115" s="7"/>
      <c r="Q115" s="35"/>
      <c r="R115" s="35"/>
      <c r="S115" s="59">
        <f t="shared" si="15"/>
        <v>1</v>
      </c>
      <c r="T115" s="1" t="str">
        <f t="shared" si="16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17:03:34-0600',mode:absolute,to:'2016-07-04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5" s="38" t="str">
        <f t="shared" si="18"/>
        <v>N</v>
      </c>
      <c r="X115" s="38">
        <f t="shared" si="19"/>
        <v>1</v>
      </c>
      <c r="Y115" s="38">
        <f t="shared" si="20"/>
        <v>23.296700000000001</v>
      </c>
      <c r="Z115" s="38">
        <f t="shared" si="21"/>
        <v>1.4500000000000001E-2</v>
      </c>
      <c r="AA115" s="38">
        <f t="shared" si="22"/>
        <v>23.2822</v>
      </c>
      <c r="AB115" s="39" t="e">
        <f>VLOOKUP(A115,Enforcements!$C$7:$J$31,8,0)</f>
        <v>#N/A</v>
      </c>
      <c r="AC115" s="39" t="e">
        <f>VLOOKUP(A115,Enforcements!$C$7:$E$31,3,0)</f>
        <v>#N/A</v>
      </c>
      <c r="AD115" s="1" t="str">
        <f t="shared" si="23"/>
        <v>0202-04</v>
      </c>
    </row>
    <row r="116" spans="1:30" x14ac:dyDescent="0.25">
      <c r="A116" s="34" t="s">
        <v>516</v>
      </c>
      <c r="B116" s="69">
        <v>4042</v>
      </c>
      <c r="C116" s="69" t="s">
        <v>60</v>
      </c>
      <c r="D116" s="69" t="s">
        <v>237</v>
      </c>
      <c r="E116" s="75">
        <v>42555.68408564815</v>
      </c>
      <c r="F116" s="75">
        <v>42555.685185185182</v>
      </c>
      <c r="G116" s="76">
        <v>1</v>
      </c>
      <c r="H116" s="75" t="s">
        <v>220</v>
      </c>
      <c r="I116" s="75">
        <v>42555.712291666663</v>
      </c>
      <c r="J116" s="69">
        <v>1</v>
      </c>
      <c r="K116" s="34" t="str">
        <f t="shared" si="12"/>
        <v>4041/4042</v>
      </c>
      <c r="L116" s="34" t="str">
        <f>VLOOKUP(A116,'Trips&amp;Operators'!$C$1:$E$10000,3,FALSE)</f>
        <v>RIVERA</v>
      </c>
      <c r="M116" s="6">
        <f t="shared" si="13"/>
        <v>2.7106481480586808E-2</v>
      </c>
      <c r="N116" s="7">
        <f t="shared" si="14"/>
        <v>39.033333332045004</v>
      </c>
      <c r="O116" s="7"/>
      <c r="P116" s="7"/>
      <c r="Q116" s="35"/>
      <c r="R116" s="35"/>
      <c r="S116" s="59">
        <f t="shared" si="15"/>
        <v>1</v>
      </c>
      <c r="T116" s="1" t="str">
        <f t="shared" si="16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16:24:05-0600',mode:absolute,to:'2016-07-04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6" s="38" t="str">
        <f t="shared" si="18"/>
        <v>N</v>
      </c>
      <c r="X116" s="38">
        <f t="shared" si="19"/>
        <v>1</v>
      </c>
      <c r="Y116" s="38">
        <f t="shared" si="20"/>
        <v>4.3499999999999997E-2</v>
      </c>
      <c r="Z116" s="38">
        <f t="shared" si="21"/>
        <v>23.330200000000001</v>
      </c>
      <c r="AA116" s="38">
        <f t="shared" si="22"/>
        <v>23.2867</v>
      </c>
      <c r="AB116" s="39" t="e">
        <f>VLOOKUP(A116,Enforcements!$C$7:$J$31,8,0)</f>
        <v>#N/A</v>
      </c>
      <c r="AC116" s="39" t="e">
        <f>VLOOKUP(A116,Enforcements!$C$7:$E$31,3,0)</f>
        <v>#N/A</v>
      </c>
      <c r="AD116" s="1" t="str">
        <f t="shared" si="23"/>
        <v>0203-04</v>
      </c>
    </row>
    <row r="117" spans="1:30" x14ac:dyDescent="0.25">
      <c r="A117" s="34" t="s">
        <v>517</v>
      </c>
      <c r="B117" s="69">
        <v>4041</v>
      </c>
      <c r="C117" s="69" t="s">
        <v>60</v>
      </c>
      <c r="D117" s="69" t="s">
        <v>210</v>
      </c>
      <c r="E117" s="75">
        <v>42555.721296296295</v>
      </c>
      <c r="F117" s="75">
        <v>42555.722199074073</v>
      </c>
      <c r="G117" s="76">
        <v>1</v>
      </c>
      <c r="H117" s="75" t="s">
        <v>214</v>
      </c>
      <c r="I117" s="75">
        <v>42555.763182870367</v>
      </c>
      <c r="J117" s="69">
        <v>0</v>
      </c>
      <c r="K117" s="34" t="str">
        <f t="shared" si="12"/>
        <v>4041/4042</v>
      </c>
      <c r="L117" s="34" t="str">
        <f>VLOOKUP(A117,'Trips&amp;Operators'!$C$1:$E$10000,3,FALSE)</f>
        <v>RIVERA</v>
      </c>
      <c r="M117" s="6">
        <f t="shared" si="13"/>
        <v>4.0983796294312924E-2</v>
      </c>
      <c r="N117" s="7">
        <f t="shared" si="14"/>
        <v>59.016666663810611</v>
      </c>
      <c r="O117" s="7"/>
      <c r="P117" s="7"/>
      <c r="Q117" s="35"/>
      <c r="R117" s="35"/>
      <c r="S117" s="59">
        <f t="shared" si="15"/>
        <v>1</v>
      </c>
      <c r="T117" s="1" t="str">
        <f t="shared" si="16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17:17:40-0600',mode:absolute,to:'2016-07-04 18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7" s="38" t="str">
        <f t="shared" si="18"/>
        <v>N</v>
      </c>
      <c r="X117" s="38">
        <f t="shared" si="19"/>
        <v>1</v>
      </c>
      <c r="Y117" s="38">
        <f t="shared" si="20"/>
        <v>23.3</v>
      </c>
      <c r="Z117" s="38">
        <f t="shared" si="21"/>
        <v>1.41E-2</v>
      </c>
      <c r="AA117" s="38">
        <f t="shared" si="22"/>
        <v>23.285900000000002</v>
      </c>
      <c r="AB117" s="39" t="e">
        <f>VLOOKUP(A117,Enforcements!$C$7:$J$31,8,0)</f>
        <v>#N/A</v>
      </c>
      <c r="AC117" s="39" t="e">
        <f>VLOOKUP(A117,Enforcements!$C$7:$E$31,3,0)</f>
        <v>#N/A</v>
      </c>
      <c r="AD117" s="1" t="str">
        <f t="shared" si="23"/>
        <v>0204-04</v>
      </c>
    </row>
    <row r="118" spans="1:30" x14ac:dyDescent="0.25">
      <c r="A118" s="34" t="s">
        <v>518</v>
      </c>
      <c r="B118" s="69">
        <v>4038</v>
      </c>
      <c r="C118" s="69" t="s">
        <v>60</v>
      </c>
      <c r="D118" s="69" t="s">
        <v>519</v>
      </c>
      <c r="E118" s="75">
        <v>42555.69195601852</v>
      </c>
      <c r="F118" s="75">
        <v>42555.692893518521</v>
      </c>
      <c r="G118" s="76">
        <v>1</v>
      </c>
      <c r="H118" s="75" t="s">
        <v>311</v>
      </c>
      <c r="I118" s="75">
        <v>42555.723136574074</v>
      </c>
      <c r="J118" s="69">
        <v>0</v>
      </c>
      <c r="K118" s="34" t="str">
        <f t="shared" si="12"/>
        <v>4037/4038</v>
      </c>
      <c r="L118" s="34" t="str">
        <f>VLOOKUP(A118,'Trips&amp;Operators'!$C$1:$E$10000,3,FALSE)</f>
        <v>BONDS</v>
      </c>
      <c r="M118" s="6">
        <f t="shared" si="13"/>
        <v>3.0243055553000886E-2</v>
      </c>
      <c r="N118" s="7">
        <f t="shared" si="14"/>
        <v>43.549999996321276</v>
      </c>
      <c r="O118" s="7"/>
      <c r="P118" s="7"/>
      <c r="Q118" s="35"/>
      <c r="R118" s="35"/>
      <c r="S118" s="59">
        <f t="shared" si="15"/>
        <v>1</v>
      </c>
      <c r="T118" s="1" t="str">
        <f t="shared" si="16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16:35:25-0600',mode:absolute,to:'2016-07-04 17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38" t="str">
        <f t="shared" si="18"/>
        <v>N</v>
      </c>
      <c r="X118" s="38">
        <f t="shared" si="19"/>
        <v>1</v>
      </c>
      <c r="Y118" s="38">
        <f t="shared" si="20"/>
        <v>5.1700000000000003E-2</v>
      </c>
      <c r="Z118" s="38">
        <f t="shared" si="21"/>
        <v>23.331099999999999</v>
      </c>
      <c r="AA118" s="38">
        <f t="shared" si="22"/>
        <v>23.279399999999999</v>
      </c>
      <c r="AB118" s="39" t="e">
        <f>VLOOKUP(A118,Enforcements!$C$7:$J$31,8,0)</f>
        <v>#N/A</v>
      </c>
      <c r="AC118" s="39" t="e">
        <f>VLOOKUP(A118,Enforcements!$C$7:$E$31,3,0)</f>
        <v>#N/A</v>
      </c>
      <c r="AD118" s="1" t="str">
        <f t="shared" si="23"/>
        <v>0205-04</v>
      </c>
    </row>
    <row r="119" spans="1:30" x14ac:dyDescent="0.25">
      <c r="A119" s="34" t="s">
        <v>520</v>
      </c>
      <c r="B119" s="69">
        <v>4037</v>
      </c>
      <c r="C119" s="69" t="s">
        <v>60</v>
      </c>
      <c r="D119" s="69" t="s">
        <v>145</v>
      </c>
      <c r="E119" s="75">
        <v>42555.73232638889</v>
      </c>
      <c r="F119" s="75">
        <v>42555.733124999999</v>
      </c>
      <c r="G119" s="76">
        <v>1</v>
      </c>
      <c r="H119" s="75" t="s">
        <v>175</v>
      </c>
      <c r="I119" s="75">
        <v>42555.766840277778</v>
      </c>
      <c r="J119" s="69">
        <v>1</v>
      </c>
      <c r="K119" s="34" t="str">
        <f t="shared" si="12"/>
        <v>4037/4038</v>
      </c>
      <c r="L119" s="34" t="str">
        <f>VLOOKUP(A119,'Trips&amp;Operators'!$C$1:$E$10000,3,FALSE)</f>
        <v>BONDS</v>
      </c>
      <c r="M119" s="6">
        <f t="shared" si="13"/>
        <v>3.3715277779265307E-2</v>
      </c>
      <c r="N119" s="7">
        <f t="shared" si="14"/>
        <v>48.550000002142042</v>
      </c>
      <c r="O119" s="7"/>
      <c r="P119" s="7"/>
      <c r="Q119" s="35"/>
      <c r="R119" s="35"/>
      <c r="S119" s="59">
        <f t="shared" si="15"/>
        <v>1</v>
      </c>
      <c r="T119" s="1" t="str">
        <f t="shared" si="16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17:33:33-0600',mode:absolute,to:'2016-07-04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38" t="str">
        <f t="shared" si="18"/>
        <v>N</v>
      </c>
      <c r="X119" s="38">
        <f t="shared" si="19"/>
        <v>1</v>
      </c>
      <c r="Y119" s="38">
        <f t="shared" si="20"/>
        <v>23.299600000000002</v>
      </c>
      <c r="Z119" s="38">
        <f t="shared" si="21"/>
        <v>1.38E-2</v>
      </c>
      <c r="AA119" s="38">
        <f t="shared" si="22"/>
        <v>23.285800000000002</v>
      </c>
      <c r="AB119" s="39" t="e">
        <f>VLOOKUP(A119,Enforcements!$C$7:$J$31,8,0)</f>
        <v>#N/A</v>
      </c>
      <c r="AC119" s="39" t="e">
        <f>VLOOKUP(A119,Enforcements!$C$7:$E$31,3,0)</f>
        <v>#N/A</v>
      </c>
      <c r="AD119" s="1" t="str">
        <f t="shared" si="23"/>
        <v>0206-04</v>
      </c>
    </row>
    <row r="120" spans="1:30" x14ac:dyDescent="0.25">
      <c r="A120" s="34" t="s">
        <v>521</v>
      </c>
      <c r="B120" s="69">
        <v>4029</v>
      </c>
      <c r="C120" s="69" t="s">
        <v>60</v>
      </c>
      <c r="D120" s="69" t="s">
        <v>522</v>
      </c>
      <c r="E120" s="75">
        <v>42555.70548611111</v>
      </c>
      <c r="F120" s="75">
        <v>42555.714953703704</v>
      </c>
      <c r="G120" s="76">
        <v>13</v>
      </c>
      <c r="H120" s="75" t="s">
        <v>138</v>
      </c>
      <c r="I120" s="75">
        <v>42555.749027777776</v>
      </c>
      <c r="J120" s="69">
        <v>0</v>
      </c>
      <c r="K120" s="34" t="str">
        <f t="shared" si="12"/>
        <v>4029/4030</v>
      </c>
      <c r="L120" s="34" t="str">
        <f>VLOOKUP(A120,'Trips&amp;Operators'!$C$1:$E$10000,3,FALSE)</f>
        <v>LOCKLEAR</v>
      </c>
      <c r="M120" s="6">
        <f t="shared" si="13"/>
        <v>3.407407407212304E-2</v>
      </c>
      <c r="N120" s="7"/>
      <c r="O120" s="7"/>
      <c r="P120" s="7">
        <f>24*60*SUM($M120:$M121)</f>
        <v>50.466666666325182</v>
      </c>
      <c r="Q120" s="35"/>
      <c r="R120" s="35" t="s">
        <v>157</v>
      </c>
      <c r="S120" s="59">
        <f t="shared" si="15"/>
        <v>0</v>
      </c>
      <c r="T120" s="1" t="str">
        <f t="shared" si="16"/>
        <v>NorthBound</v>
      </c>
      <c r="U120" s="1">
        <f>COUNTIFS(Variables!$M$2:$M$19,IF(T120="NorthBound","&gt;=","&lt;=")&amp;Y120,Variables!$M$2:$M$19,IF(T120="NorthBound","&lt;=","&gt;=")&amp;Z120)</f>
        <v>0</v>
      </c>
      <c r="V12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17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0" s="38" t="str">
        <f t="shared" si="18"/>
        <v>Y</v>
      </c>
      <c r="X120" s="38">
        <f t="shared" si="19"/>
        <v>1</v>
      </c>
      <c r="Y120" s="38">
        <f t="shared" si="20"/>
        <v>1.9104000000000001</v>
      </c>
      <c r="Z120" s="38">
        <f t="shared" si="21"/>
        <v>4.6600000000000003E-2</v>
      </c>
      <c r="AA120" s="38">
        <f t="shared" si="22"/>
        <v>1.8638000000000001</v>
      </c>
      <c r="AB120" s="39">
        <f>VLOOKUP(A120,Enforcements!$C$7:$J$31,8,0)</f>
        <v>110617</v>
      </c>
      <c r="AC120" s="39" t="str">
        <f>VLOOKUP(A120,Enforcements!$C$7:$E$31,3,0)</f>
        <v>EQUIPMENT RESTRICTION</v>
      </c>
      <c r="AD120" s="1" t="str">
        <f t="shared" si="23"/>
        <v>0207-04</v>
      </c>
    </row>
    <row r="121" spans="1:30" x14ac:dyDescent="0.25">
      <c r="A121" s="34" t="s">
        <v>521</v>
      </c>
      <c r="B121" s="69">
        <v>4029</v>
      </c>
      <c r="C121" s="69" t="s">
        <v>60</v>
      </c>
      <c r="D121" s="69" t="s">
        <v>464</v>
      </c>
      <c r="E121" s="75">
        <v>42555.70548611111</v>
      </c>
      <c r="F121" s="75">
        <v>42555.706388888888</v>
      </c>
      <c r="G121" s="76">
        <v>1</v>
      </c>
      <c r="H121" s="75" t="s">
        <v>138</v>
      </c>
      <c r="I121" s="75">
        <v>42555.707361111112</v>
      </c>
      <c r="J121" s="69">
        <v>1</v>
      </c>
      <c r="K121" s="34" t="str">
        <f t="shared" si="12"/>
        <v>4029/4030</v>
      </c>
      <c r="L121" s="34" t="str">
        <f>VLOOKUP(A121,'Trips&amp;Operators'!$C$1:$E$10000,3,FALSE)</f>
        <v>LOCKLEAR</v>
      </c>
      <c r="M121" s="6">
        <f t="shared" si="13"/>
        <v>9.7222222393611446E-4</v>
      </c>
      <c r="N121" s="7"/>
      <c r="O121" s="7"/>
      <c r="P121" s="7"/>
      <c r="Q121" s="35"/>
      <c r="R121" s="35"/>
      <c r="S121" s="59"/>
      <c r="T121" s="1" t="str">
        <f t="shared" si="16"/>
        <v>NorthBound</v>
      </c>
      <c r="U121" s="1">
        <f>COUNTIFS(Variables!$M$2:$M$19,IF(T121="NorthBound","&gt;=","&lt;=")&amp;Y121,Variables!$M$2:$M$19,IF(T121="NorthBound","&lt;=","&gt;=")&amp;Z121)</f>
        <v>0</v>
      </c>
      <c r="V12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16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1" s="38" t="str">
        <f t="shared" si="18"/>
        <v>Y</v>
      </c>
      <c r="X121" s="38">
        <f t="shared" si="19"/>
        <v>0</v>
      </c>
      <c r="Y121" s="38">
        <f t="shared" si="20"/>
        <v>4.7800000000000002E-2</v>
      </c>
      <c r="Z121" s="38">
        <f t="shared" si="21"/>
        <v>4.6600000000000003E-2</v>
      </c>
      <c r="AA121" s="38">
        <f t="shared" si="22"/>
        <v>1.1999999999999997E-3</v>
      </c>
      <c r="AB121" s="39">
        <f>VLOOKUP(A121,Enforcements!$C$7:$J$31,8,0)</f>
        <v>110617</v>
      </c>
      <c r="AC121" s="39" t="str">
        <f>VLOOKUP(A121,Enforcements!$C$7:$E$31,3,0)</f>
        <v>EQUIPMENT RESTRICTION</v>
      </c>
      <c r="AD121" s="1" t="str">
        <f t="shared" si="23"/>
        <v>0207-04</v>
      </c>
    </row>
    <row r="122" spans="1:30" x14ac:dyDescent="0.25">
      <c r="A122" s="34" t="s">
        <v>523</v>
      </c>
      <c r="B122" s="69">
        <v>4040</v>
      </c>
      <c r="C122" s="69" t="s">
        <v>60</v>
      </c>
      <c r="D122" s="69" t="s">
        <v>464</v>
      </c>
      <c r="E122" s="75">
        <v>42555.71502314815</v>
      </c>
      <c r="F122" s="75">
        <v>42555.716099537036</v>
      </c>
      <c r="G122" s="76">
        <v>1</v>
      </c>
      <c r="H122" s="75" t="s">
        <v>90</v>
      </c>
      <c r="I122" s="75">
        <v>42555.75141203704</v>
      </c>
      <c r="J122" s="69">
        <v>0</v>
      </c>
      <c r="K122" s="34" t="str">
        <f t="shared" si="12"/>
        <v>4039/4040</v>
      </c>
      <c r="L122" s="34" t="str">
        <f>VLOOKUP(A122,'Trips&amp;Operators'!$C$1:$E$10000,3,FALSE)</f>
        <v>YOUNG</v>
      </c>
      <c r="M122" s="6">
        <f t="shared" si="13"/>
        <v>3.5312500003783498E-2</v>
      </c>
      <c r="N122" s="7">
        <f t="shared" si="14"/>
        <v>50.850000005448237</v>
      </c>
      <c r="O122" s="7"/>
      <c r="P122" s="7"/>
      <c r="Q122" s="35"/>
      <c r="R122" s="35"/>
      <c r="S122" s="59">
        <f t="shared" si="15"/>
        <v>1</v>
      </c>
      <c r="T122" s="1" t="str">
        <f t="shared" si="16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17:08:38-0600',mode:absolute,to:'2016-07-04 18:03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38" t="str">
        <f t="shared" si="18"/>
        <v>N</v>
      </c>
      <c r="X122" s="38">
        <f t="shared" si="19"/>
        <v>2</v>
      </c>
      <c r="Y122" s="38">
        <f t="shared" si="20"/>
        <v>4.7800000000000002E-2</v>
      </c>
      <c r="Z122" s="38">
        <f t="shared" si="21"/>
        <v>23.329499999999999</v>
      </c>
      <c r="AA122" s="38">
        <f t="shared" si="22"/>
        <v>23.281700000000001</v>
      </c>
      <c r="AB122" s="39" t="e">
        <f>VLOOKUP(A122,Enforcements!$C$7:$J$31,8,0)</f>
        <v>#N/A</v>
      </c>
      <c r="AC122" s="39" t="e">
        <f>VLOOKUP(A122,Enforcements!$C$7:$E$31,3,0)</f>
        <v>#N/A</v>
      </c>
      <c r="AD122" s="1" t="str">
        <f t="shared" si="23"/>
        <v>0209-04</v>
      </c>
    </row>
    <row r="123" spans="1:30" x14ac:dyDescent="0.25">
      <c r="A123" s="34" t="s">
        <v>524</v>
      </c>
      <c r="B123" s="69">
        <v>4039</v>
      </c>
      <c r="C123" s="69" t="s">
        <v>60</v>
      </c>
      <c r="D123" s="69" t="s">
        <v>210</v>
      </c>
      <c r="E123" s="75">
        <v>42555.754432870373</v>
      </c>
      <c r="F123" s="75">
        <v>42555.756597222222</v>
      </c>
      <c r="G123" s="76">
        <v>3</v>
      </c>
      <c r="H123" s="75" t="s">
        <v>312</v>
      </c>
      <c r="I123" s="75">
        <v>42555.787395833337</v>
      </c>
      <c r="J123" s="69">
        <v>0</v>
      </c>
      <c r="K123" s="34" t="str">
        <f t="shared" si="12"/>
        <v>4039/4040</v>
      </c>
      <c r="L123" s="34" t="str">
        <f>VLOOKUP(A123,'Trips&amp;Operators'!$C$1:$E$10000,3,FALSE)</f>
        <v>YOUNG</v>
      </c>
      <c r="M123" s="6">
        <f t="shared" si="13"/>
        <v>3.0798611114732921E-2</v>
      </c>
      <c r="N123" s="7">
        <f t="shared" si="14"/>
        <v>44.350000005215406</v>
      </c>
      <c r="O123" s="7"/>
      <c r="P123" s="7"/>
      <c r="Q123" s="35"/>
      <c r="R123" s="35"/>
      <c r="S123" s="59">
        <f t="shared" si="15"/>
        <v>1</v>
      </c>
      <c r="T123" s="1" t="str">
        <f t="shared" si="16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18:05:23-0600',mode:absolute,to:'2016-07-04 18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38" t="str">
        <f t="shared" si="18"/>
        <v>N</v>
      </c>
      <c r="X123" s="38">
        <f t="shared" si="19"/>
        <v>1</v>
      </c>
      <c r="Y123" s="38">
        <f t="shared" si="20"/>
        <v>23.3</v>
      </c>
      <c r="Z123" s="38">
        <f t="shared" si="21"/>
        <v>2.0299999999999999E-2</v>
      </c>
      <c r="AA123" s="38">
        <f t="shared" si="22"/>
        <v>23.279700000000002</v>
      </c>
      <c r="AB123" s="39" t="e">
        <f>VLOOKUP(A123,Enforcements!$C$7:$J$31,8,0)</f>
        <v>#N/A</v>
      </c>
      <c r="AC123" s="39" t="e">
        <f>VLOOKUP(A123,Enforcements!$C$7:$E$31,3,0)</f>
        <v>#N/A</v>
      </c>
      <c r="AD123" s="1" t="str">
        <f t="shared" si="23"/>
        <v>0210-04</v>
      </c>
    </row>
    <row r="124" spans="1:30" x14ac:dyDescent="0.25">
      <c r="A124" s="34" t="s">
        <v>525</v>
      </c>
      <c r="B124" s="69">
        <v>4018</v>
      </c>
      <c r="C124" s="69" t="s">
        <v>60</v>
      </c>
      <c r="D124" s="69" t="s">
        <v>237</v>
      </c>
      <c r="E124" s="75">
        <v>42555.724421296298</v>
      </c>
      <c r="F124" s="75">
        <v>42555.725821759261</v>
      </c>
      <c r="G124" s="76">
        <v>2</v>
      </c>
      <c r="H124" s="75" t="s">
        <v>446</v>
      </c>
      <c r="I124" s="75">
        <v>42555.753958333335</v>
      </c>
      <c r="J124" s="69">
        <v>0</v>
      </c>
      <c r="K124" s="34" t="str">
        <f t="shared" si="12"/>
        <v>4017/4018</v>
      </c>
      <c r="L124" s="34" t="str">
        <f>VLOOKUP(A124,'Trips&amp;Operators'!$C$1:$E$10000,3,FALSE)</f>
        <v>LOZA</v>
      </c>
      <c r="M124" s="6">
        <f t="shared" si="13"/>
        <v>2.8136574073869269E-2</v>
      </c>
      <c r="N124" s="7">
        <f t="shared" si="14"/>
        <v>40.516666666371748</v>
      </c>
      <c r="O124" s="7"/>
      <c r="P124" s="7"/>
      <c r="Q124" s="35"/>
      <c r="R124" s="35"/>
      <c r="S124" s="59">
        <f t="shared" si="15"/>
        <v>1</v>
      </c>
      <c r="T124" s="1" t="str">
        <f t="shared" si="16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17:22:10-0600',mode:absolute,to:'2016-07-04 18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4" s="38" t="str">
        <f t="shared" si="18"/>
        <v>N</v>
      </c>
      <c r="X124" s="38">
        <f t="shared" si="19"/>
        <v>1</v>
      </c>
      <c r="Y124" s="38">
        <f t="shared" si="20"/>
        <v>4.3499999999999997E-2</v>
      </c>
      <c r="Z124" s="38">
        <f t="shared" si="21"/>
        <v>23.3308</v>
      </c>
      <c r="AA124" s="38">
        <f t="shared" si="22"/>
        <v>23.287299999999998</v>
      </c>
      <c r="AB124" s="39" t="e">
        <f>VLOOKUP(A124,Enforcements!$C$7:$J$31,8,0)</f>
        <v>#N/A</v>
      </c>
      <c r="AC124" s="39" t="e">
        <f>VLOOKUP(A124,Enforcements!$C$7:$E$31,3,0)</f>
        <v>#N/A</v>
      </c>
      <c r="AD124" s="1" t="str">
        <f t="shared" si="23"/>
        <v>0211-04</v>
      </c>
    </row>
    <row r="125" spans="1:30" x14ac:dyDescent="0.25">
      <c r="A125" s="67" t="s">
        <v>526</v>
      </c>
      <c r="B125" s="34">
        <v>4017</v>
      </c>
      <c r="C125" s="34" t="s">
        <v>60</v>
      </c>
      <c r="D125" s="34" t="s">
        <v>210</v>
      </c>
      <c r="E125" s="20">
        <v>42555.764456018522</v>
      </c>
      <c r="F125" s="20">
        <v>42555.765370370369</v>
      </c>
      <c r="G125" s="23">
        <v>1</v>
      </c>
      <c r="H125" s="20" t="s">
        <v>527</v>
      </c>
      <c r="I125" s="20">
        <v>42555.794212962966</v>
      </c>
      <c r="J125" s="34">
        <v>1</v>
      </c>
      <c r="K125" s="34" t="str">
        <f t="shared" si="12"/>
        <v>4017/4018</v>
      </c>
      <c r="L125" s="34" t="str">
        <f>VLOOKUP(A125,'Trips&amp;Operators'!$C$1:$E$10000,3,FALSE)</f>
        <v>LOZA</v>
      </c>
      <c r="M125" s="6">
        <f t="shared" si="13"/>
        <v>2.8842592597356997E-2</v>
      </c>
      <c r="N125" s="7">
        <f t="shared" si="14"/>
        <v>41.533333340194076</v>
      </c>
      <c r="O125" s="7"/>
      <c r="P125" s="7"/>
      <c r="Q125" s="35"/>
      <c r="R125" s="35"/>
      <c r="S125" s="59">
        <f t="shared" si="15"/>
        <v>1</v>
      </c>
      <c r="T125" s="1" t="str">
        <f t="shared" si="16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18:19:49-0600',mode:absolute,to:'2016-07-04 19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5" s="38" t="str">
        <f t="shared" si="18"/>
        <v>N</v>
      </c>
      <c r="X125" s="38">
        <f t="shared" si="19"/>
        <v>1</v>
      </c>
      <c r="Y125" s="38">
        <f t="shared" si="20"/>
        <v>23.3</v>
      </c>
      <c r="Z125" s="38">
        <f t="shared" si="21"/>
        <v>0.1182</v>
      </c>
      <c r="AA125" s="38">
        <f t="shared" si="22"/>
        <v>23.181799999999999</v>
      </c>
      <c r="AB125" s="39" t="e">
        <f>VLOOKUP(A125,Enforcements!$C$7:$J$31,8,0)</f>
        <v>#N/A</v>
      </c>
      <c r="AC125" s="39" t="e">
        <f>VLOOKUP(A125,Enforcements!$C$7:$E$31,3,0)</f>
        <v>#N/A</v>
      </c>
      <c r="AD125" s="1" t="str">
        <f t="shared" si="23"/>
        <v>0212-04</v>
      </c>
    </row>
    <row r="126" spans="1:30" x14ac:dyDescent="0.25">
      <c r="A126" s="67" t="s">
        <v>528</v>
      </c>
      <c r="B126" s="34">
        <v>4031</v>
      </c>
      <c r="C126" s="34" t="s">
        <v>60</v>
      </c>
      <c r="D126" s="34" t="s">
        <v>303</v>
      </c>
      <c r="E126" s="20">
        <v>42555.734097222223</v>
      </c>
      <c r="F126" s="20">
        <v>42555.735451388886</v>
      </c>
      <c r="G126" s="23">
        <v>1</v>
      </c>
      <c r="H126" s="20" t="s">
        <v>208</v>
      </c>
      <c r="I126" s="20">
        <v>42555.764918981484</v>
      </c>
      <c r="J126" s="34">
        <v>0</v>
      </c>
      <c r="K126" s="34" t="str">
        <f t="shared" si="12"/>
        <v>4031/4032</v>
      </c>
      <c r="L126" s="34" t="str">
        <f>VLOOKUP(A126,'Trips&amp;Operators'!$C$1:$E$10000,3,FALSE)</f>
        <v>COOLAHAN</v>
      </c>
      <c r="M126" s="6">
        <f t="shared" si="13"/>
        <v>2.9467592597939074E-2</v>
      </c>
      <c r="N126" s="7">
        <f t="shared" si="14"/>
        <v>42.433333341032267</v>
      </c>
      <c r="O126" s="7"/>
      <c r="P126" s="7"/>
      <c r="Q126" s="35"/>
      <c r="R126" s="35"/>
      <c r="S126" s="59">
        <f t="shared" si="15"/>
        <v>1</v>
      </c>
      <c r="T126" s="1" t="str">
        <f t="shared" si="16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17:36:06-0600',mode:absolute,to:'2016-07-04 18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38" t="str">
        <f t="shared" si="18"/>
        <v>N</v>
      </c>
      <c r="X126" s="38">
        <f t="shared" si="19"/>
        <v>1</v>
      </c>
      <c r="Y126" s="38">
        <f t="shared" si="20"/>
        <v>5.11E-2</v>
      </c>
      <c r="Z126" s="38">
        <f t="shared" si="21"/>
        <v>23.332599999999999</v>
      </c>
      <c r="AA126" s="38">
        <f t="shared" si="22"/>
        <v>23.281499999999998</v>
      </c>
      <c r="AB126" s="39" t="e">
        <f>VLOOKUP(A126,Enforcements!$C$7:$J$31,8,0)</f>
        <v>#N/A</v>
      </c>
      <c r="AC126" s="39" t="e">
        <f>VLOOKUP(A126,Enforcements!$C$7:$E$31,3,0)</f>
        <v>#N/A</v>
      </c>
      <c r="AD126" s="1" t="str">
        <f t="shared" si="23"/>
        <v>0213-04</v>
      </c>
    </row>
    <row r="127" spans="1:30" x14ac:dyDescent="0.25">
      <c r="A127" s="67" t="s">
        <v>529</v>
      </c>
      <c r="B127" s="34">
        <v>4020</v>
      </c>
      <c r="C127" s="34" t="s">
        <v>60</v>
      </c>
      <c r="D127" s="34" t="s">
        <v>132</v>
      </c>
      <c r="E127" s="20">
        <v>42555.745625000003</v>
      </c>
      <c r="F127" s="20">
        <v>42555.746689814812</v>
      </c>
      <c r="G127" s="23">
        <v>1</v>
      </c>
      <c r="H127" s="20" t="s">
        <v>222</v>
      </c>
      <c r="I127" s="20">
        <v>42555.776053240741</v>
      </c>
      <c r="J127" s="34">
        <v>0</v>
      </c>
      <c r="K127" s="34" t="str">
        <f t="shared" si="12"/>
        <v>4019/4020</v>
      </c>
      <c r="L127" s="34" t="str">
        <f>VLOOKUP(A127,'Trips&amp;Operators'!$C$1:$E$10000,3,FALSE)</f>
        <v>WEBSTER</v>
      </c>
      <c r="M127" s="6">
        <f t="shared" si="13"/>
        <v>2.9363425928750075E-2</v>
      </c>
      <c r="N127" s="7">
        <f t="shared" si="14"/>
        <v>42.283333337400109</v>
      </c>
      <c r="O127" s="7"/>
      <c r="P127" s="7"/>
      <c r="Q127" s="35"/>
      <c r="R127" s="35"/>
      <c r="S127" s="59">
        <f t="shared" si="15"/>
        <v>1</v>
      </c>
      <c r="T127" s="1" t="str">
        <f t="shared" si="16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17:52:42-0600',mode:absolute,to:'2016-07-04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7" s="38" t="str">
        <f t="shared" si="18"/>
        <v>N</v>
      </c>
      <c r="X127" s="38">
        <f t="shared" si="19"/>
        <v>2</v>
      </c>
      <c r="Y127" s="38">
        <f t="shared" si="20"/>
        <v>4.5100000000000001E-2</v>
      </c>
      <c r="Z127" s="38">
        <f t="shared" si="21"/>
        <v>23.3306</v>
      </c>
      <c r="AA127" s="38">
        <f t="shared" si="22"/>
        <v>23.285499999999999</v>
      </c>
      <c r="AB127" s="39" t="e">
        <f>VLOOKUP(A127,Enforcements!$C$7:$J$31,8,0)</f>
        <v>#N/A</v>
      </c>
      <c r="AC127" s="39" t="e">
        <f>VLOOKUP(A127,Enforcements!$C$7:$E$31,3,0)</f>
        <v>#N/A</v>
      </c>
      <c r="AD127" s="1" t="str">
        <f t="shared" si="23"/>
        <v>0215-04</v>
      </c>
    </row>
    <row r="128" spans="1:30" x14ac:dyDescent="0.25">
      <c r="A128" s="67" t="s">
        <v>530</v>
      </c>
      <c r="B128" s="34">
        <v>4019</v>
      </c>
      <c r="C128" s="34" t="s">
        <v>60</v>
      </c>
      <c r="D128" s="34" t="s">
        <v>171</v>
      </c>
      <c r="E128" s="20">
        <v>42555.78392361111</v>
      </c>
      <c r="F128" s="20">
        <v>42555.784756944442</v>
      </c>
      <c r="G128" s="23">
        <v>1</v>
      </c>
      <c r="H128" s="20" t="s">
        <v>67</v>
      </c>
      <c r="I128" s="20">
        <v>42556.296655092592</v>
      </c>
      <c r="J128" s="34">
        <v>3</v>
      </c>
      <c r="K128" s="34" t="str">
        <f t="shared" si="12"/>
        <v>4019/4020</v>
      </c>
      <c r="L128" s="34" t="str">
        <f>VLOOKUP(A128,'Trips&amp;Operators'!$C$1:$E$10000,3,FALSE)</f>
        <v>WEBSTER</v>
      </c>
      <c r="M128" s="6">
        <f t="shared" si="13"/>
        <v>0.51189814815006685</v>
      </c>
      <c r="N128" s="7">
        <f t="shared" si="14"/>
        <v>737.13333333609626</v>
      </c>
      <c r="O128" s="7"/>
      <c r="P128" s="7"/>
      <c r="Q128" s="35"/>
      <c r="R128" s="35"/>
      <c r="S128" s="59">
        <f t="shared" si="15"/>
        <v>1</v>
      </c>
      <c r="T128" s="1" t="str">
        <f t="shared" si="16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18:47:51-0600',mode:absolute,to:'2016-07-05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38" t="str">
        <f t="shared" si="18"/>
        <v>N</v>
      </c>
      <c r="X128" s="38">
        <f t="shared" si="19"/>
        <v>1</v>
      </c>
      <c r="Y128" s="38">
        <f t="shared" si="20"/>
        <v>23.298300000000001</v>
      </c>
      <c r="Z128" s="38">
        <f t="shared" si="21"/>
        <v>1.47E-2</v>
      </c>
      <c r="AA128" s="38">
        <f t="shared" si="22"/>
        <v>23.2836</v>
      </c>
      <c r="AB128" s="39" t="e">
        <f>VLOOKUP(A128,Enforcements!$C$7:$J$31,8,0)</f>
        <v>#N/A</v>
      </c>
      <c r="AC128" s="39" t="e">
        <f>VLOOKUP(A128,Enforcements!$C$7:$E$31,3,0)</f>
        <v>#N/A</v>
      </c>
      <c r="AD128" s="1" t="str">
        <f t="shared" si="23"/>
        <v>0216-04</v>
      </c>
    </row>
    <row r="129" spans="1:30" x14ac:dyDescent="0.25">
      <c r="A129" s="67" t="s">
        <v>531</v>
      </c>
      <c r="B129" s="34">
        <v>4025</v>
      </c>
      <c r="C129" s="34" t="s">
        <v>60</v>
      </c>
      <c r="D129" s="34" t="s">
        <v>466</v>
      </c>
      <c r="E129" s="20">
        <v>42555.764004629629</v>
      </c>
      <c r="F129" s="20">
        <v>42555.765324074076</v>
      </c>
      <c r="G129" s="23">
        <v>1</v>
      </c>
      <c r="H129" s="20" t="s">
        <v>532</v>
      </c>
      <c r="I129" s="20">
        <v>42555.794907407406</v>
      </c>
      <c r="J129" s="34">
        <v>1</v>
      </c>
      <c r="K129" s="34" t="str">
        <f t="shared" si="12"/>
        <v>4025/4026</v>
      </c>
      <c r="L129" s="34" t="str">
        <f>VLOOKUP(A129,'Trips&amp;Operators'!$C$1:$E$10000,3,FALSE)</f>
        <v>BRUDER</v>
      </c>
      <c r="M129" s="6">
        <f t="shared" si="13"/>
        <v>2.958333332935581E-2</v>
      </c>
      <c r="N129" s="7">
        <f t="shared" si="14"/>
        <v>42.599999994272366</v>
      </c>
      <c r="O129" s="7"/>
      <c r="P129" s="7"/>
      <c r="Q129" s="35"/>
      <c r="R129" s="35"/>
      <c r="S129" s="59">
        <f t="shared" si="15"/>
        <v>1</v>
      </c>
      <c r="T129" s="1" t="str">
        <f t="shared" si="16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18:19:10-0600',mode:absolute,to:'2016-07-04 19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9" s="38" t="str">
        <f t="shared" si="18"/>
        <v>N</v>
      </c>
      <c r="X129" s="38">
        <f t="shared" si="19"/>
        <v>1</v>
      </c>
      <c r="Y129" s="38">
        <f t="shared" si="20"/>
        <v>0.15</v>
      </c>
      <c r="Z129" s="38">
        <f t="shared" si="21"/>
        <v>23.324000000000002</v>
      </c>
      <c r="AA129" s="38">
        <f t="shared" si="22"/>
        <v>23.174000000000003</v>
      </c>
      <c r="AB129" s="39" t="e">
        <f>VLOOKUP(A129,Enforcements!$C$7:$J$31,8,0)</f>
        <v>#N/A</v>
      </c>
      <c r="AC129" s="39" t="e">
        <f>VLOOKUP(A129,Enforcements!$C$7:$E$31,3,0)</f>
        <v>#N/A</v>
      </c>
      <c r="AD129" s="1" t="str">
        <f t="shared" si="23"/>
        <v>0217-04</v>
      </c>
    </row>
    <row r="130" spans="1:30" x14ac:dyDescent="0.25">
      <c r="A130" s="67" t="s">
        <v>533</v>
      </c>
      <c r="B130" s="34">
        <v>4026</v>
      </c>
      <c r="C130" s="34" t="s">
        <v>60</v>
      </c>
      <c r="D130" s="34" t="s">
        <v>534</v>
      </c>
      <c r="E130" s="20">
        <v>42555.79614583333</v>
      </c>
      <c r="F130" s="20">
        <v>42555.797361111108</v>
      </c>
      <c r="G130" s="20">
        <v>1</v>
      </c>
      <c r="H130" s="20" t="s">
        <v>312</v>
      </c>
      <c r="I130" s="20">
        <v>42555.825173611112</v>
      </c>
      <c r="J130" s="34">
        <v>0</v>
      </c>
      <c r="K130" s="34" t="str">
        <f t="shared" si="12"/>
        <v>4025/4026</v>
      </c>
      <c r="L130" s="34" t="str">
        <f>VLOOKUP(A130,'Trips&amp;Operators'!$C$1:$E$10000,3,FALSE)</f>
        <v>BRUDER</v>
      </c>
      <c r="M130" s="6">
        <f t="shared" si="13"/>
        <v>2.7812500004074536E-2</v>
      </c>
      <c r="N130" s="7">
        <f t="shared" si="14"/>
        <v>40.050000005867332</v>
      </c>
      <c r="O130" s="7"/>
      <c r="P130" s="7"/>
      <c r="Q130" s="35"/>
      <c r="R130" s="35"/>
      <c r="S130" s="59">
        <f t="shared" si="15"/>
        <v>1</v>
      </c>
      <c r="T130" s="1" t="str">
        <f t="shared" si="16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19:05:27-0600',mode:absolute,to:'2016-07-04 19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38" t="str">
        <f t="shared" si="18"/>
        <v>N</v>
      </c>
      <c r="X130" s="38">
        <f t="shared" si="19"/>
        <v>1</v>
      </c>
      <c r="Y130" s="38">
        <f t="shared" si="20"/>
        <v>23.293800000000001</v>
      </c>
      <c r="Z130" s="38">
        <f t="shared" si="21"/>
        <v>2.0299999999999999E-2</v>
      </c>
      <c r="AA130" s="38">
        <f t="shared" si="22"/>
        <v>23.273500000000002</v>
      </c>
      <c r="AB130" s="39" t="e">
        <f>VLOOKUP(A130,Enforcements!$C$7:$J$31,8,0)</f>
        <v>#N/A</v>
      </c>
      <c r="AC130" s="39" t="e">
        <f>VLOOKUP(A130,Enforcements!$C$7:$E$31,3,0)</f>
        <v>#N/A</v>
      </c>
      <c r="AD130" s="1" t="str">
        <f t="shared" si="23"/>
        <v>0218-04</v>
      </c>
    </row>
    <row r="131" spans="1:30" x14ac:dyDescent="0.25">
      <c r="A131" s="67" t="s">
        <v>535</v>
      </c>
      <c r="B131" s="34">
        <v>4038</v>
      </c>
      <c r="C131" s="34" t="s">
        <v>60</v>
      </c>
      <c r="D131" s="34" t="s">
        <v>204</v>
      </c>
      <c r="E131" s="20">
        <v>42555.768831018519</v>
      </c>
      <c r="F131" s="20">
        <v>42555.769872685189</v>
      </c>
      <c r="G131" s="20">
        <v>1</v>
      </c>
      <c r="H131" s="20" t="s">
        <v>220</v>
      </c>
      <c r="I131" s="20">
        <v>42555.797199074077</v>
      </c>
      <c r="J131" s="34">
        <v>0</v>
      </c>
      <c r="K131" s="34" t="str">
        <f t="shared" si="12"/>
        <v>4037/4038</v>
      </c>
      <c r="L131" s="34" t="str">
        <f>VLOOKUP(A131,'Trips&amp;Operators'!$C$1:$E$10000,3,FALSE)</f>
        <v>BARTLETT</v>
      </c>
      <c r="M131" s="6">
        <f t="shared" si="13"/>
        <v>2.73263888884685E-2</v>
      </c>
      <c r="N131" s="7">
        <f t="shared" si="14"/>
        <v>39.34999999939464</v>
      </c>
      <c r="O131" s="7"/>
      <c r="P131" s="7"/>
      <c r="Q131" s="35"/>
      <c r="R131" s="35"/>
      <c r="S131" s="59">
        <f t="shared" si="15"/>
        <v>1</v>
      </c>
      <c r="T131" s="1" t="str">
        <f t="shared" si="16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18:26:07-0600',mode:absolute,to:'2016-07-04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1" s="38" t="str">
        <f t="shared" si="18"/>
        <v>N</v>
      </c>
      <c r="X131" s="38">
        <f t="shared" si="19"/>
        <v>1</v>
      </c>
      <c r="Y131" s="38">
        <f t="shared" si="20"/>
        <v>4.4200000000000003E-2</v>
      </c>
      <c r="Z131" s="38">
        <f t="shared" si="21"/>
        <v>23.330200000000001</v>
      </c>
      <c r="AA131" s="38">
        <f t="shared" si="22"/>
        <v>23.286000000000001</v>
      </c>
      <c r="AB131" s="39" t="e">
        <f>VLOOKUP(A131,Enforcements!$C$7:$J$31,8,0)</f>
        <v>#N/A</v>
      </c>
      <c r="AC131" s="39" t="e">
        <f>VLOOKUP(A131,Enforcements!$C$7:$E$31,3,0)</f>
        <v>#N/A</v>
      </c>
      <c r="AD131" s="1" t="str">
        <f t="shared" si="23"/>
        <v>0219-04</v>
      </c>
    </row>
    <row r="132" spans="1:30" x14ac:dyDescent="0.25">
      <c r="A132" s="67" t="s">
        <v>536</v>
      </c>
      <c r="B132" s="34">
        <v>4037</v>
      </c>
      <c r="C132" s="34" t="s">
        <v>60</v>
      </c>
      <c r="D132" s="34" t="s">
        <v>189</v>
      </c>
      <c r="E132" s="20">
        <v>42555.807442129626</v>
      </c>
      <c r="F132" s="20">
        <v>42555.808449074073</v>
      </c>
      <c r="G132" s="20">
        <v>1</v>
      </c>
      <c r="H132" s="20" t="s">
        <v>537</v>
      </c>
      <c r="I132" s="20">
        <v>42555.836180555554</v>
      </c>
      <c r="J132" s="34">
        <v>0</v>
      </c>
      <c r="K132" s="34" t="str">
        <f t="shared" si="12"/>
        <v>4037/4038</v>
      </c>
      <c r="L132" s="34" t="str">
        <f>VLOOKUP(A132,'Trips&amp;Operators'!$C$1:$E$10000,3,FALSE)</f>
        <v>BARTLETT</v>
      </c>
      <c r="M132" s="6">
        <f t="shared" si="13"/>
        <v>2.7731481481168885E-2</v>
      </c>
      <c r="N132" s="7">
        <f t="shared" si="14"/>
        <v>39.933333332883194</v>
      </c>
      <c r="O132" s="7"/>
      <c r="P132" s="7"/>
      <c r="Q132" s="35"/>
      <c r="R132" s="35"/>
      <c r="S132" s="59">
        <f t="shared" si="15"/>
        <v>1</v>
      </c>
      <c r="T132" s="1" t="str">
        <f t="shared" si="16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19:21:43-0600',mode:absolute,to:'2016-07-04 20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2" s="38" t="str">
        <f t="shared" si="18"/>
        <v>N</v>
      </c>
      <c r="X132" s="38">
        <f t="shared" si="19"/>
        <v>1</v>
      </c>
      <c r="Y132" s="38">
        <f t="shared" si="20"/>
        <v>23.299099999999999</v>
      </c>
      <c r="Z132" s="38">
        <f t="shared" si="21"/>
        <v>0.2944</v>
      </c>
      <c r="AA132" s="38">
        <f t="shared" si="22"/>
        <v>23.0047</v>
      </c>
      <c r="AB132" s="39" t="e">
        <f>VLOOKUP(A132,Enforcements!$C$7:$J$31,8,0)</f>
        <v>#N/A</v>
      </c>
      <c r="AC132" s="39" t="e">
        <f>VLOOKUP(A132,Enforcements!$C$7:$E$31,3,0)</f>
        <v>#N/A</v>
      </c>
      <c r="AD132" s="1" t="str">
        <f t="shared" si="23"/>
        <v>0220-04</v>
      </c>
    </row>
    <row r="133" spans="1:30" x14ac:dyDescent="0.25">
      <c r="A133" s="67" t="s">
        <v>538</v>
      </c>
      <c r="B133" s="34">
        <v>4040</v>
      </c>
      <c r="C133" s="34" t="s">
        <v>60</v>
      </c>
      <c r="D133" s="34" t="s">
        <v>539</v>
      </c>
      <c r="E133" s="20">
        <v>42555.789363425924</v>
      </c>
      <c r="F133" s="20">
        <v>42555.790532407409</v>
      </c>
      <c r="G133" s="20">
        <v>1</v>
      </c>
      <c r="H133" s="20" t="s">
        <v>539</v>
      </c>
      <c r="I133" s="20">
        <v>42555.792314814818</v>
      </c>
      <c r="J133" s="34">
        <v>0</v>
      </c>
      <c r="K133" s="34" t="str">
        <f t="shared" si="12"/>
        <v>4039/4040</v>
      </c>
      <c r="L133" s="34" t="str">
        <f>VLOOKUP(A133,'Trips&amp;Operators'!$C$1:$E$10000,3,FALSE)</f>
        <v>YOUNG</v>
      </c>
      <c r="M133" s="6">
        <f t="shared" si="13"/>
        <v>1.7824074093368836E-3</v>
      </c>
      <c r="N133" s="7"/>
      <c r="O133" s="7"/>
      <c r="P133" s="7">
        <f>24*60*SUM($M133:$M134)</f>
        <v>3.5666666622273624</v>
      </c>
      <c r="Q133" s="35"/>
      <c r="R133" s="35" t="s">
        <v>157</v>
      </c>
      <c r="S133" s="59">
        <f t="shared" si="15"/>
        <v>0</v>
      </c>
      <c r="T133" s="1" t="str">
        <f t="shared" si="16"/>
        <v>NorthBound</v>
      </c>
      <c r="U133" s="1">
        <f>COUNTIFS(Variables!$M$2:$M$19,IF(T133="NorthBound","&gt;=","&lt;=")&amp;Y133,Variables!$M$2:$M$19,IF(T133="NorthBound","&lt;=","&gt;=")&amp;Z133)</f>
        <v>0</v>
      </c>
      <c r="V13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18:55:41-0600',mode:absolute,to:'2016-07-04 19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3" s="38" t="str">
        <f t="shared" si="18"/>
        <v>Y</v>
      </c>
      <c r="X133" s="38">
        <f t="shared" si="19"/>
        <v>1</v>
      </c>
      <c r="Y133" s="38">
        <f t="shared" si="20"/>
        <v>5.3999999999999999E-2</v>
      </c>
      <c r="Z133" s="38">
        <f t="shared" si="21"/>
        <v>5.3999999999999999E-2</v>
      </c>
      <c r="AA133" s="38">
        <f t="shared" si="22"/>
        <v>0</v>
      </c>
      <c r="AB133" s="39" t="e">
        <f>VLOOKUP(A133,Enforcements!$C$7:$J$31,8,0)</f>
        <v>#N/A</v>
      </c>
      <c r="AC133" s="39" t="e">
        <f>VLOOKUP(A133,Enforcements!$C$7:$E$31,3,0)</f>
        <v>#N/A</v>
      </c>
      <c r="AD133" s="1" t="str">
        <f t="shared" si="23"/>
        <v>0221-04</v>
      </c>
    </row>
    <row r="134" spans="1:30" x14ac:dyDescent="0.25">
      <c r="A134" s="67" t="s">
        <v>538</v>
      </c>
      <c r="B134" s="34">
        <v>4040</v>
      </c>
      <c r="C134" s="34" t="s">
        <v>60</v>
      </c>
      <c r="D134" s="34" t="s">
        <v>539</v>
      </c>
      <c r="E134" s="20">
        <v>42555.789363425924</v>
      </c>
      <c r="F134" s="20">
        <v>42555.792314814818</v>
      </c>
      <c r="G134" s="20">
        <v>4</v>
      </c>
      <c r="H134" s="20" t="s">
        <v>539</v>
      </c>
      <c r="I134" s="20">
        <v>42555.793009259258</v>
      </c>
      <c r="J134" s="34">
        <v>0</v>
      </c>
      <c r="K134" s="34" t="str">
        <f t="shared" si="12"/>
        <v>4039/4040</v>
      </c>
      <c r="L134" s="34" t="str">
        <f>VLOOKUP(A134,'Trips&amp;Operators'!$C$1:$E$10000,3,FALSE)</f>
        <v>YOUNG</v>
      </c>
      <c r="M134" s="6">
        <f t="shared" si="13"/>
        <v>6.9444443943211809E-4</v>
      </c>
      <c r="N134" s="7"/>
      <c r="O134" s="7"/>
      <c r="P134" s="7"/>
      <c r="Q134" s="35"/>
      <c r="R134" s="35"/>
      <c r="S134" s="59"/>
      <c r="T134" s="1" t="str">
        <f t="shared" si="16"/>
        <v>NorthBound</v>
      </c>
      <c r="U134" s="1">
        <f>COUNTIFS(Variables!$M$2:$M$19,IF(T134="NorthBound","&gt;=","&lt;=")&amp;Y134,Variables!$M$2:$M$19,IF(T134="NorthBound","&lt;=","&gt;=")&amp;Z134)</f>
        <v>0</v>
      </c>
      <c r="V13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18:55:41-0600',mode:absolute,to:'2016-07-04 19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4" s="38" t="str">
        <f t="shared" si="18"/>
        <v>Y</v>
      </c>
      <c r="X134" s="38">
        <f t="shared" si="19"/>
        <v>0</v>
      </c>
      <c r="Y134" s="38">
        <f t="shared" si="20"/>
        <v>5.3999999999999999E-2</v>
      </c>
      <c r="Z134" s="38">
        <f t="shared" si="21"/>
        <v>5.3999999999999999E-2</v>
      </c>
      <c r="AA134" s="38">
        <f t="shared" si="22"/>
        <v>0</v>
      </c>
      <c r="AB134" s="39" t="e">
        <f>VLOOKUP(A134,Enforcements!$C$7:$J$31,8,0)</f>
        <v>#N/A</v>
      </c>
      <c r="AC134" s="39" t="e">
        <f>VLOOKUP(A134,Enforcements!$C$7:$E$31,3,0)</f>
        <v>#N/A</v>
      </c>
      <c r="AD134" s="1" t="str">
        <f t="shared" si="23"/>
        <v>0221-04</v>
      </c>
    </row>
    <row r="135" spans="1:30" x14ac:dyDescent="0.25">
      <c r="A135" s="67" t="s">
        <v>540</v>
      </c>
      <c r="B135" s="34">
        <v>4039</v>
      </c>
      <c r="C135" s="34" t="s">
        <v>60</v>
      </c>
      <c r="D135" s="34" t="s">
        <v>541</v>
      </c>
      <c r="E135" s="20">
        <v>42555.830347222225</v>
      </c>
      <c r="F135" s="20">
        <v>42555.831238425926</v>
      </c>
      <c r="G135" s="20">
        <v>1</v>
      </c>
      <c r="H135" s="20" t="s">
        <v>542</v>
      </c>
      <c r="I135" s="20">
        <v>42555.862337962964</v>
      </c>
      <c r="J135" s="34">
        <v>0</v>
      </c>
      <c r="K135" s="34" t="str">
        <f t="shared" si="12"/>
        <v>4039/4040</v>
      </c>
      <c r="L135" s="34" t="str">
        <f>VLOOKUP(A135,'Trips&amp;Operators'!$C$1:$E$10000,3,FALSE)</f>
        <v>YOUNG</v>
      </c>
      <c r="M135" s="6">
        <f t="shared" si="13"/>
        <v>3.1099537038244307E-2</v>
      </c>
      <c r="N135" s="7">
        <f t="shared" si="14"/>
        <v>44.783333335071802</v>
      </c>
      <c r="O135" s="7"/>
      <c r="P135" s="7"/>
      <c r="Q135" s="35"/>
      <c r="R135" s="35"/>
      <c r="S135" s="59">
        <f t="shared" si="15"/>
        <v>1</v>
      </c>
      <c r="T135" s="1" t="str">
        <f t="shared" si="16"/>
        <v>Southbound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19:54:42-0600',mode:absolute,to:'2016-07-04 20:42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5" s="38" t="str">
        <f t="shared" si="18"/>
        <v>N</v>
      </c>
      <c r="X135" s="38">
        <f t="shared" si="19"/>
        <v>1</v>
      </c>
      <c r="Y135" s="38">
        <f t="shared" si="20"/>
        <v>23.298200000000001</v>
      </c>
      <c r="Z135" s="38">
        <f t="shared" si="21"/>
        <v>2.0899999999999998E-2</v>
      </c>
      <c r="AA135" s="38">
        <f t="shared" si="22"/>
        <v>23.2773</v>
      </c>
      <c r="AB135" s="39" t="e">
        <f>VLOOKUP(A135,Enforcements!$C$7:$J$31,8,0)</f>
        <v>#N/A</v>
      </c>
      <c r="AC135" s="39" t="e">
        <f>VLOOKUP(A135,Enforcements!$C$7:$E$31,3,0)</f>
        <v>#N/A</v>
      </c>
      <c r="AD135" s="1" t="str">
        <f t="shared" si="23"/>
        <v>0222-04</v>
      </c>
    </row>
    <row r="136" spans="1:30" x14ac:dyDescent="0.25">
      <c r="A136" s="67" t="s">
        <v>543</v>
      </c>
      <c r="B136" s="34">
        <v>4042</v>
      </c>
      <c r="C136" s="34" t="s">
        <v>60</v>
      </c>
      <c r="D136" s="34" t="s">
        <v>244</v>
      </c>
      <c r="E136" s="20">
        <v>42555.809594907405</v>
      </c>
      <c r="F136" s="20">
        <v>42555.811215277776</v>
      </c>
      <c r="G136" s="20">
        <v>2</v>
      </c>
      <c r="H136" s="20" t="s">
        <v>544</v>
      </c>
      <c r="I136" s="20">
        <v>42555.837372685186</v>
      </c>
      <c r="J136" s="34">
        <v>0</v>
      </c>
      <c r="K136" s="34" t="str">
        <f t="shared" si="12"/>
        <v>4041/4042</v>
      </c>
      <c r="L136" s="34" t="str">
        <f>VLOOKUP(A136,'Trips&amp;Operators'!$C$1:$E$10000,3,FALSE)</f>
        <v>COOLAHAN</v>
      </c>
      <c r="M136" s="6">
        <f t="shared" si="13"/>
        <v>2.6157407410209998E-2</v>
      </c>
      <c r="N136" s="7">
        <f t="shared" si="14"/>
        <v>37.666666670702398</v>
      </c>
      <c r="O136" s="7"/>
      <c r="P136" s="7"/>
      <c r="Q136" s="35"/>
      <c r="R136" s="35"/>
      <c r="S136" s="59">
        <f t="shared" si="15"/>
        <v>1</v>
      </c>
      <c r="T136" s="1" t="str">
        <f t="shared" si="16"/>
        <v>NorthBound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19:24:49-0600',mode:absolute,to:'2016-07-04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6" s="38" t="str">
        <f t="shared" si="18"/>
        <v>N</v>
      </c>
      <c r="X136" s="38">
        <f t="shared" si="19"/>
        <v>1</v>
      </c>
      <c r="Y136" s="38">
        <f t="shared" si="20"/>
        <v>4.9799999999999997E-2</v>
      </c>
      <c r="Z136" s="38">
        <f t="shared" si="21"/>
        <v>23.329899999999999</v>
      </c>
      <c r="AA136" s="38">
        <f t="shared" si="22"/>
        <v>23.280099999999997</v>
      </c>
      <c r="AB136" s="39" t="e">
        <f>VLOOKUP(A136,Enforcements!$C$7:$J$31,8,0)</f>
        <v>#N/A</v>
      </c>
      <c r="AC136" s="39" t="e">
        <f>VLOOKUP(A136,Enforcements!$C$7:$E$31,3,0)</f>
        <v>#N/A</v>
      </c>
      <c r="AD136" s="1" t="str">
        <f t="shared" si="23"/>
        <v>0223-04</v>
      </c>
    </row>
    <row r="137" spans="1:30" x14ac:dyDescent="0.25">
      <c r="A137" s="67" t="s">
        <v>545</v>
      </c>
      <c r="B137" s="34">
        <v>4041</v>
      </c>
      <c r="C137" s="34" t="s">
        <v>60</v>
      </c>
      <c r="D137" s="34" t="s">
        <v>161</v>
      </c>
      <c r="E137" s="20">
        <v>42555.851620370369</v>
      </c>
      <c r="F137" s="20">
        <v>42555.85255787037</v>
      </c>
      <c r="G137" s="20">
        <v>1</v>
      </c>
      <c r="H137" s="20" t="s">
        <v>98</v>
      </c>
      <c r="I137" s="20">
        <v>42555.880162037036</v>
      </c>
      <c r="J137" s="34">
        <v>0</v>
      </c>
      <c r="K137" s="34" t="str">
        <f t="shared" si="12"/>
        <v>4041/4042</v>
      </c>
      <c r="L137" s="34" t="str">
        <f>VLOOKUP(A137,'Trips&amp;Operators'!$C$1:$E$10000,3,FALSE)</f>
        <v>COOLAHAN</v>
      </c>
      <c r="M137" s="6">
        <f t="shared" si="13"/>
        <v>2.7604166665696539E-2</v>
      </c>
      <c r="N137" s="7">
        <f t="shared" si="14"/>
        <v>39.749999998603016</v>
      </c>
      <c r="O137" s="7"/>
      <c r="P137" s="7"/>
      <c r="Q137" s="35"/>
      <c r="R137" s="35"/>
      <c r="S137" s="59">
        <f t="shared" si="15"/>
        <v>1</v>
      </c>
      <c r="T137" s="1" t="str">
        <f t="shared" si="16"/>
        <v>Southbound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20:25:20-0600',mode:absolute,to:'2016-07-04 21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7" s="38" t="str">
        <f t="shared" si="18"/>
        <v>N</v>
      </c>
      <c r="X137" s="38">
        <f t="shared" si="19"/>
        <v>1</v>
      </c>
      <c r="Y137" s="38">
        <f t="shared" si="20"/>
        <v>23.297799999999999</v>
      </c>
      <c r="Z137" s="38">
        <f t="shared" si="21"/>
        <v>1.4999999999999999E-2</v>
      </c>
      <c r="AA137" s="38">
        <f t="shared" si="22"/>
        <v>23.282799999999998</v>
      </c>
      <c r="AB137" s="39" t="e">
        <f>VLOOKUP(A137,Enforcements!$C$7:$J$31,8,0)</f>
        <v>#N/A</v>
      </c>
      <c r="AC137" s="39" t="e">
        <f>VLOOKUP(A137,Enforcements!$C$7:$E$31,3,0)</f>
        <v>#N/A</v>
      </c>
      <c r="AD137" s="1" t="str">
        <f t="shared" si="23"/>
        <v>0224-04</v>
      </c>
    </row>
    <row r="138" spans="1:30" x14ac:dyDescent="0.25">
      <c r="A138" s="67" t="s">
        <v>546</v>
      </c>
      <c r="B138" s="34">
        <v>4025</v>
      </c>
      <c r="C138" s="34" t="s">
        <v>60</v>
      </c>
      <c r="D138" s="34" t="s">
        <v>519</v>
      </c>
      <c r="E138" s="20">
        <v>42555.829930555556</v>
      </c>
      <c r="F138" s="20">
        <v>42555.830925925926</v>
      </c>
      <c r="G138" s="20">
        <v>1</v>
      </c>
      <c r="H138" s="20" t="s">
        <v>547</v>
      </c>
      <c r="I138" s="20">
        <v>42555.857754629629</v>
      </c>
      <c r="J138" s="34">
        <v>0</v>
      </c>
      <c r="K138" s="34" t="str">
        <f t="shared" si="12"/>
        <v>4025/4026</v>
      </c>
      <c r="L138" s="34" t="str">
        <f>VLOOKUP(A138,'Trips&amp;Operators'!$C$1:$E$10000,3,FALSE)</f>
        <v>BRUDER</v>
      </c>
      <c r="M138" s="6">
        <f t="shared" si="13"/>
        <v>2.6828703703358769E-2</v>
      </c>
      <c r="N138" s="7">
        <f t="shared" si="14"/>
        <v>38.633333332836628</v>
      </c>
      <c r="O138" s="7"/>
      <c r="P138" s="7"/>
      <c r="Q138" s="35"/>
      <c r="R138" s="35"/>
      <c r="S138" s="59">
        <f t="shared" si="15"/>
        <v>1</v>
      </c>
      <c r="T138" s="1" t="str">
        <f t="shared" si="16"/>
        <v>NorthBound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19:54:06-0600',mode:absolute,to:'2016-07-04 20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38" t="str">
        <f t="shared" si="18"/>
        <v>N</v>
      </c>
      <c r="X138" s="38">
        <f t="shared" si="19"/>
        <v>1</v>
      </c>
      <c r="Y138" s="38">
        <f t="shared" si="20"/>
        <v>5.1700000000000003E-2</v>
      </c>
      <c r="Z138" s="38">
        <f t="shared" si="21"/>
        <v>23.325700000000001</v>
      </c>
      <c r="AA138" s="38">
        <f t="shared" si="22"/>
        <v>23.274000000000001</v>
      </c>
      <c r="AB138" s="39" t="e">
        <f>VLOOKUP(A138,Enforcements!$C$7:$J$31,8,0)</f>
        <v>#N/A</v>
      </c>
      <c r="AC138" s="39" t="e">
        <f>VLOOKUP(A138,Enforcements!$C$7:$E$31,3,0)</f>
        <v>#N/A</v>
      </c>
      <c r="AD138" s="1" t="str">
        <f t="shared" si="23"/>
        <v>0225-04</v>
      </c>
    </row>
    <row r="139" spans="1:30" x14ac:dyDescent="0.25">
      <c r="A139" s="67" t="s">
        <v>548</v>
      </c>
      <c r="B139" s="34">
        <v>4026</v>
      </c>
      <c r="C139" s="34" t="s">
        <v>60</v>
      </c>
      <c r="D139" s="34" t="s">
        <v>306</v>
      </c>
      <c r="E139" s="20">
        <v>42555.869583333333</v>
      </c>
      <c r="F139" s="20">
        <v>42555.87059027778</v>
      </c>
      <c r="G139" s="20">
        <v>1</v>
      </c>
      <c r="H139" s="20" t="s">
        <v>549</v>
      </c>
      <c r="I139" s="20">
        <v>42555.899710648147</v>
      </c>
      <c r="J139" s="34">
        <v>1</v>
      </c>
      <c r="K139" s="34" t="str">
        <f t="shared" si="12"/>
        <v>4025/4026</v>
      </c>
      <c r="L139" s="34" t="str">
        <f>VLOOKUP(A139,'Trips&amp;Operators'!$C$1:$E$10000,3,FALSE)</f>
        <v>BRUDER</v>
      </c>
      <c r="M139" s="6">
        <f t="shared" si="13"/>
        <v>2.9120370367309079E-2</v>
      </c>
      <c r="N139" s="7">
        <f t="shared" si="14"/>
        <v>41.933333328925073</v>
      </c>
      <c r="O139" s="7"/>
      <c r="P139" s="7"/>
      <c r="Q139" s="35"/>
      <c r="R139" s="35"/>
      <c r="S139" s="59">
        <f t="shared" si="15"/>
        <v>1</v>
      </c>
      <c r="T139" s="1" t="str">
        <f t="shared" si="16"/>
        <v>Southbound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20:51:12-0600',mode:absolute,to:'2016-07-04 21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38" t="str">
        <f t="shared" si="18"/>
        <v>N</v>
      </c>
      <c r="X139" s="38">
        <f t="shared" si="19"/>
        <v>1</v>
      </c>
      <c r="Y139" s="38">
        <f t="shared" si="20"/>
        <v>23.2925</v>
      </c>
      <c r="Z139" s="38">
        <f t="shared" si="21"/>
        <v>2.1100000000000001E-2</v>
      </c>
      <c r="AA139" s="38">
        <f t="shared" si="22"/>
        <v>23.2714</v>
      </c>
      <c r="AB139" s="39" t="e">
        <f>VLOOKUP(A139,Enforcements!$C$7:$J$31,8,0)</f>
        <v>#N/A</v>
      </c>
      <c r="AC139" s="39" t="e">
        <f>VLOOKUP(A139,Enforcements!$C$7:$E$31,3,0)</f>
        <v>#N/A</v>
      </c>
      <c r="AD139" s="1" t="str">
        <f t="shared" si="23"/>
        <v>0226-04</v>
      </c>
    </row>
    <row r="140" spans="1:30" x14ac:dyDescent="0.25">
      <c r="A140" s="67" t="s">
        <v>550</v>
      </c>
      <c r="B140" s="34">
        <v>4016</v>
      </c>
      <c r="C140" s="34" t="s">
        <v>60</v>
      </c>
      <c r="D140" s="34" t="s">
        <v>313</v>
      </c>
      <c r="E140" s="20">
        <v>42555.843831018516</v>
      </c>
      <c r="F140" s="20">
        <v>42555.845312500001</v>
      </c>
      <c r="G140" s="20">
        <v>2</v>
      </c>
      <c r="H140" s="20" t="s">
        <v>170</v>
      </c>
      <c r="I140" s="20">
        <v>42555.880601851852</v>
      </c>
      <c r="J140" s="34">
        <v>0</v>
      </c>
      <c r="K140" s="34" t="str">
        <f t="shared" si="12"/>
        <v>4015/4016</v>
      </c>
      <c r="L140" s="34" t="str">
        <f>VLOOKUP(A140,'Trips&amp;Operators'!$C$1:$E$10000,3,FALSE)</f>
        <v>BARTLETT</v>
      </c>
      <c r="M140" s="6">
        <f t="shared" si="13"/>
        <v>3.5289351850224193E-2</v>
      </c>
      <c r="N140" s="7">
        <f t="shared" si="14"/>
        <v>50.816666664322838</v>
      </c>
      <c r="O140" s="7"/>
      <c r="P140" s="7"/>
      <c r="Q140" s="35"/>
      <c r="R140" s="35"/>
      <c r="S140" s="59">
        <f t="shared" si="15"/>
        <v>1</v>
      </c>
      <c r="T140" s="1" t="str">
        <f t="shared" si="16"/>
        <v>NorthBound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20:14:07-0600',mode:absolute,to:'2016-07-04 21:09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38" t="str">
        <f t="shared" si="18"/>
        <v>N</v>
      </c>
      <c r="X140" s="38">
        <f t="shared" si="19"/>
        <v>1</v>
      </c>
      <c r="Y140" s="38">
        <f t="shared" si="20"/>
        <v>5.1999999999999998E-2</v>
      </c>
      <c r="Z140" s="38">
        <f t="shared" si="21"/>
        <v>23.330100000000002</v>
      </c>
      <c r="AA140" s="38">
        <f t="shared" si="22"/>
        <v>23.278100000000002</v>
      </c>
      <c r="AB140" s="39" t="e">
        <f>VLOOKUP(A140,Enforcements!$C$7:$J$31,8,0)</f>
        <v>#N/A</v>
      </c>
      <c r="AC140" s="39" t="e">
        <f>VLOOKUP(A140,Enforcements!$C$7:$E$31,3,0)</f>
        <v>#N/A</v>
      </c>
      <c r="AD140" s="1" t="str">
        <f t="shared" si="23"/>
        <v>0227-04</v>
      </c>
    </row>
    <row r="141" spans="1:30" x14ac:dyDescent="0.25">
      <c r="A141" s="67" t="s">
        <v>551</v>
      </c>
      <c r="B141" s="34">
        <v>4015</v>
      </c>
      <c r="C141" s="34" t="s">
        <v>60</v>
      </c>
      <c r="D141" s="34" t="s">
        <v>181</v>
      </c>
      <c r="E141" s="20">
        <v>42555.888506944444</v>
      </c>
      <c r="F141" s="20">
        <v>42555.889814814815</v>
      </c>
      <c r="G141" s="20">
        <v>1</v>
      </c>
      <c r="H141" s="20" t="s">
        <v>62</v>
      </c>
      <c r="I141" s="20">
        <v>42555.921203703707</v>
      </c>
      <c r="J141" s="34">
        <v>0</v>
      </c>
      <c r="K141" s="34" t="str">
        <f t="shared" si="12"/>
        <v>4015/4016</v>
      </c>
      <c r="L141" s="34" t="str">
        <f>VLOOKUP(A141,'Trips&amp;Operators'!$C$1:$E$10000,3,FALSE)</f>
        <v>BARTLETT</v>
      </c>
      <c r="M141" s="6">
        <f t="shared" si="13"/>
        <v>3.1388888892251998E-2</v>
      </c>
      <c r="N141" s="7">
        <f t="shared" si="14"/>
        <v>45.200000004842877</v>
      </c>
      <c r="O141" s="7"/>
      <c r="P141" s="7"/>
      <c r="Q141" s="35"/>
      <c r="R141" s="35"/>
      <c r="S141" s="59">
        <f t="shared" si="15"/>
        <v>1</v>
      </c>
      <c r="T141" s="1" t="str">
        <f t="shared" si="16"/>
        <v>Southbound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21:18:27-0600',mode:absolute,to:'2016-07-04 22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38" t="str">
        <f t="shared" si="18"/>
        <v>N</v>
      </c>
      <c r="X141" s="38">
        <f t="shared" si="19"/>
        <v>1</v>
      </c>
      <c r="Y141" s="38">
        <f t="shared" si="20"/>
        <v>23.296900000000001</v>
      </c>
      <c r="Z141" s="38">
        <f t="shared" si="21"/>
        <v>1.52E-2</v>
      </c>
      <c r="AA141" s="38">
        <f t="shared" si="22"/>
        <v>23.281700000000001</v>
      </c>
      <c r="AB141" s="39" t="e">
        <f>VLOOKUP(A141,Enforcements!$C$7:$J$31,8,0)</f>
        <v>#N/A</v>
      </c>
      <c r="AC141" s="39" t="e">
        <f>VLOOKUP(A141,Enforcements!$C$7:$E$31,3,0)</f>
        <v>#N/A</v>
      </c>
      <c r="AD141" s="1" t="str">
        <f t="shared" si="23"/>
        <v>0228-04</v>
      </c>
    </row>
    <row r="142" spans="1:30" x14ac:dyDescent="0.25">
      <c r="A142" s="67" t="s">
        <v>552</v>
      </c>
      <c r="B142" s="34">
        <v>4040</v>
      </c>
      <c r="C142" s="34" t="s">
        <v>60</v>
      </c>
      <c r="D142" s="34" t="s">
        <v>519</v>
      </c>
      <c r="E142" s="20">
        <v>42555.870289351849</v>
      </c>
      <c r="F142" s="20">
        <v>42555.87096064815</v>
      </c>
      <c r="G142" s="20">
        <v>0</v>
      </c>
      <c r="H142" s="20" t="s">
        <v>544</v>
      </c>
      <c r="I142" s="20">
        <v>42555.90834490741</v>
      </c>
      <c r="J142" s="34">
        <v>1</v>
      </c>
      <c r="K142" s="34" t="str">
        <f t="shared" ref="K142:K158" si="24">IF(ISEVEN(B142),(B142-1)&amp;"/"&amp;B142,B142&amp;"/"&amp;(B142+1))</f>
        <v>4039/4040</v>
      </c>
      <c r="L142" s="34" t="str">
        <f>VLOOKUP(A142,'Trips&amp;Operators'!$C$1:$E$10000,3,FALSE)</f>
        <v>YOUNG</v>
      </c>
      <c r="M142" s="6">
        <f t="shared" ref="M142:M158" si="25">I142-F142</f>
        <v>3.7384259259852115E-2</v>
      </c>
      <c r="N142" s="7">
        <f t="shared" ref="N142:N158" si="26">24*60*SUM($M142:$M142)</f>
        <v>53.833333334187046</v>
      </c>
      <c r="O142" s="7"/>
      <c r="P142" s="7"/>
      <c r="Q142" s="35"/>
      <c r="R142" s="35"/>
      <c r="S142" s="59">
        <f t="shared" ref="S142:S158" si="27">SUM(U142:U142)/12</f>
        <v>1</v>
      </c>
      <c r="T142" s="1" t="str">
        <f t="shared" ref="T142:T158" si="28">IF(ISEVEN(LEFT(A142,3)),"Southbound","NorthBound")</f>
        <v>NorthBound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ref="V142:V158" si="29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https://search-rtdc-monitor-bjffxe2xuh6vdkpspy63sjmuny.us-east-1.es.amazonaws.com/_plugin/kibana/#/discover/Steve-Slow-Train-Analysis-(2080s-and-2083s)?_g=(refreshInterval:(display:Off,section:0,value:0),time:(from:'2016-07-04 20:52:13-0600',mode:absolute,to:'2016-07-04 21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2" s="38" t="str">
        <f t="shared" ref="W142:W158" si="30">IF(AA142&lt;23,"Y","N")</f>
        <v>N</v>
      </c>
      <c r="X142" s="38">
        <f t="shared" ref="X142:X158" si="31">VALUE(LEFT(A142,3))-VALUE(LEFT(A141,3))</f>
        <v>1</v>
      </c>
      <c r="Y142" s="38">
        <f t="shared" ref="Y142:Y158" si="32">RIGHT(D142,LEN(D142)-4)/10000</f>
        <v>5.1700000000000003E-2</v>
      </c>
      <c r="Z142" s="38">
        <f t="shared" ref="Z142:Z158" si="33">RIGHT(H142,LEN(H142)-4)/10000</f>
        <v>23.329899999999999</v>
      </c>
      <c r="AA142" s="38">
        <f t="shared" ref="AA142:AA158" si="34">ABS(Z142-Y142)</f>
        <v>23.278199999999998</v>
      </c>
      <c r="AB142" s="39" t="e">
        <f>VLOOKUP(A142,Enforcements!$C$7:$J$31,8,0)</f>
        <v>#N/A</v>
      </c>
      <c r="AC142" s="39" t="e">
        <f>VLOOKUP(A142,Enforcements!$C$7:$E$31,3,0)</f>
        <v>#N/A</v>
      </c>
      <c r="AD142" s="1" t="str">
        <f t="shared" ref="AD142:AD158" si="35">IF(LEN(A142)=6,"0"&amp;A142,A142)</f>
        <v>0229-04</v>
      </c>
    </row>
    <row r="143" spans="1:30" x14ac:dyDescent="0.25">
      <c r="A143" s="67" t="s">
        <v>553</v>
      </c>
      <c r="B143" s="34">
        <v>4039</v>
      </c>
      <c r="C143" s="34" t="s">
        <v>60</v>
      </c>
      <c r="D143" s="34" t="s">
        <v>296</v>
      </c>
      <c r="E143" s="20">
        <v>42555.910428240742</v>
      </c>
      <c r="F143" s="20">
        <v>42555.912824074076</v>
      </c>
      <c r="G143" s="20">
        <v>3</v>
      </c>
      <c r="H143" s="20" t="s">
        <v>554</v>
      </c>
      <c r="I143" s="20">
        <v>42556.034837962965</v>
      </c>
      <c r="J143" s="34">
        <v>2</v>
      </c>
      <c r="K143" s="34" t="str">
        <f t="shared" si="24"/>
        <v>4039/4040</v>
      </c>
      <c r="L143" s="34" t="str">
        <f>VLOOKUP(A143,'Trips&amp;Operators'!$C$1:$E$10000,3,FALSE)</f>
        <v>YOUNG</v>
      </c>
      <c r="M143" s="6">
        <f t="shared" si="25"/>
        <v>0.12201388888934162</v>
      </c>
      <c r="N143" s="7">
        <f t="shared" si="26"/>
        <v>175.70000000065193</v>
      </c>
      <c r="O143" s="7"/>
      <c r="P143" s="7"/>
      <c r="Q143" s="35"/>
      <c r="R143" s="35"/>
      <c r="S143" s="59">
        <f t="shared" si="27"/>
        <v>1</v>
      </c>
      <c r="T143" s="1" t="str">
        <f t="shared" si="28"/>
        <v>Southbound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21:50:01-0600',mode:absolute,to:'2016-07-05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3" s="38" t="str">
        <f t="shared" si="30"/>
        <v>N</v>
      </c>
      <c r="X143" s="38">
        <f t="shared" si="31"/>
        <v>1</v>
      </c>
      <c r="Y143" s="38">
        <f t="shared" si="32"/>
        <v>23.299399999999999</v>
      </c>
      <c r="Z143" s="38">
        <f t="shared" si="33"/>
        <v>2.1600000000000001E-2</v>
      </c>
      <c r="AA143" s="38">
        <f t="shared" si="34"/>
        <v>23.277799999999999</v>
      </c>
      <c r="AB143" s="39" t="e">
        <f>VLOOKUP(A143,Enforcements!$C$7:$J$31,8,0)</f>
        <v>#N/A</v>
      </c>
      <c r="AC143" s="39" t="e">
        <f>VLOOKUP(A143,Enforcements!$C$7:$E$31,3,0)</f>
        <v>#N/A</v>
      </c>
      <c r="AD143" s="1" t="str">
        <f t="shared" si="35"/>
        <v>0230-04</v>
      </c>
    </row>
    <row r="144" spans="1:30" x14ac:dyDescent="0.25">
      <c r="A144" s="67" t="s">
        <v>553</v>
      </c>
      <c r="B144" s="34">
        <v>4039</v>
      </c>
      <c r="C144" s="34" t="s">
        <v>60</v>
      </c>
      <c r="D144" s="34" t="s">
        <v>145</v>
      </c>
      <c r="E144" s="20">
        <v>42555.910428240742</v>
      </c>
      <c r="F144" s="20">
        <v>42555.915555555555</v>
      </c>
      <c r="G144" s="20">
        <v>7</v>
      </c>
      <c r="H144" s="20" t="s">
        <v>554</v>
      </c>
      <c r="I144" s="20">
        <v>42556.034837962965</v>
      </c>
      <c r="J144" s="34">
        <v>2</v>
      </c>
      <c r="K144" s="34" t="str">
        <f t="shared" si="24"/>
        <v>4039/4040</v>
      </c>
      <c r="L144" s="34" t="str">
        <f>VLOOKUP(A144,'Trips&amp;Operators'!$C$1:$E$10000,3,FALSE)</f>
        <v>YOUNG</v>
      </c>
      <c r="M144" s="6">
        <f t="shared" si="25"/>
        <v>0.11928240740962792</v>
      </c>
      <c r="N144" s="7">
        <f t="shared" si="26"/>
        <v>171.76666666986421</v>
      </c>
      <c r="O144" s="7"/>
      <c r="P144" s="7"/>
      <c r="Q144" s="35"/>
      <c r="R144" s="35"/>
      <c r="S144" s="59">
        <f t="shared" si="27"/>
        <v>1</v>
      </c>
      <c r="T144" s="1" t="str">
        <f t="shared" si="28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21:50:01-0600',mode:absolute,to:'2016-07-05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38" t="str">
        <f t="shared" si="30"/>
        <v>N</v>
      </c>
      <c r="X144" s="38">
        <f t="shared" si="31"/>
        <v>0</v>
      </c>
      <c r="Y144" s="38">
        <f t="shared" si="32"/>
        <v>23.299600000000002</v>
      </c>
      <c r="Z144" s="38">
        <f t="shared" si="33"/>
        <v>2.1600000000000001E-2</v>
      </c>
      <c r="AA144" s="38">
        <f t="shared" si="34"/>
        <v>23.278000000000002</v>
      </c>
      <c r="AB144" s="39" t="e">
        <f>VLOOKUP(A144,Enforcements!$C$7:$J$31,8,0)</f>
        <v>#N/A</v>
      </c>
      <c r="AC144" s="39" t="e">
        <f>VLOOKUP(A144,Enforcements!$C$7:$E$31,3,0)</f>
        <v>#N/A</v>
      </c>
      <c r="AD144" s="1" t="str">
        <f t="shared" si="35"/>
        <v>0230-04</v>
      </c>
    </row>
    <row r="145" spans="1:30" x14ac:dyDescent="0.25">
      <c r="A145" s="67" t="s">
        <v>555</v>
      </c>
      <c r="B145" s="34">
        <v>4042</v>
      </c>
      <c r="C145" s="34" t="s">
        <v>60</v>
      </c>
      <c r="D145" s="34" t="s">
        <v>204</v>
      </c>
      <c r="E145" s="20">
        <v>42555.895972222221</v>
      </c>
      <c r="F145" s="20">
        <v>42555.897812499999</v>
      </c>
      <c r="G145" s="20">
        <v>2</v>
      </c>
      <c r="H145" s="20" t="s">
        <v>90</v>
      </c>
      <c r="I145" s="20">
        <v>42555.925335648149</v>
      </c>
      <c r="J145" s="34">
        <v>0</v>
      </c>
      <c r="K145" s="34" t="str">
        <f t="shared" si="24"/>
        <v>4041/4042</v>
      </c>
      <c r="L145" s="34" t="str">
        <f>VLOOKUP(A145,'Trips&amp;Operators'!$C$1:$E$10000,3,FALSE)</f>
        <v>COOLAHAN</v>
      </c>
      <c r="M145" s="6">
        <f t="shared" si="25"/>
        <v>2.7523148150066845E-2</v>
      </c>
      <c r="N145" s="7">
        <f t="shared" si="26"/>
        <v>39.633333336096257</v>
      </c>
      <c r="O145" s="7"/>
      <c r="P145" s="7"/>
      <c r="Q145" s="35"/>
      <c r="R145" s="35"/>
      <c r="S145" s="59">
        <f t="shared" si="27"/>
        <v>1</v>
      </c>
      <c r="T145" s="1" t="str">
        <f t="shared" si="28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21:29:12-0600',mode:absolute,to:'2016-07-04 22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5" s="38" t="str">
        <f t="shared" si="30"/>
        <v>N</v>
      </c>
      <c r="X145" s="38">
        <f t="shared" si="31"/>
        <v>1</v>
      </c>
      <c r="Y145" s="38">
        <f t="shared" si="32"/>
        <v>4.4200000000000003E-2</v>
      </c>
      <c r="Z145" s="38">
        <f t="shared" si="33"/>
        <v>23.329499999999999</v>
      </c>
      <c r="AA145" s="38">
        <f t="shared" si="34"/>
        <v>23.285299999999999</v>
      </c>
      <c r="AB145" s="39" t="e">
        <f>VLOOKUP(A145,Enforcements!$C$7:$J$31,8,0)</f>
        <v>#N/A</v>
      </c>
      <c r="AC145" s="39" t="e">
        <f>VLOOKUP(A145,Enforcements!$C$7:$E$31,3,0)</f>
        <v>#N/A</v>
      </c>
      <c r="AD145" s="1" t="str">
        <f t="shared" si="35"/>
        <v>0231-04</v>
      </c>
    </row>
    <row r="146" spans="1:30" x14ac:dyDescent="0.25">
      <c r="A146" s="67" t="s">
        <v>556</v>
      </c>
      <c r="B146" s="34">
        <v>4041</v>
      </c>
      <c r="C146" s="34" t="s">
        <v>60</v>
      </c>
      <c r="D146" s="34" t="s">
        <v>557</v>
      </c>
      <c r="E146" s="20">
        <v>42555.929791666669</v>
      </c>
      <c r="F146" s="20">
        <v>42555.930775462963</v>
      </c>
      <c r="G146" s="20">
        <v>1</v>
      </c>
      <c r="H146" s="20" t="s">
        <v>98</v>
      </c>
      <c r="I146" s="20">
        <v>42555.964131944442</v>
      </c>
      <c r="J146" s="34">
        <v>2</v>
      </c>
      <c r="K146" s="34" t="str">
        <f t="shared" si="24"/>
        <v>4041/4042</v>
      </c>
      <c r="L146" s="34" t="str">
        <f>VLOOKUP(A146,'Trips&amp;Operators'!$C$1:$E$10000,3,FALSE)</f>
        <v>COOLAHAN</v>
      </c>
      <c r="M146" s="6">
        <f t="shared" si="25"/>
        <v>3.3356481479131617E-2</v>
      </c>
      <c r="N146" s="7">
        <f t="shared" si="26"/>
        <v>48.033333329949528</v>
      </c>
      <c r="O146" s="7"/>
      <c r="P146" s="7"/>
      <c r="Q146" s="35"/>
      <c r="R146" s="35"/>
      <c r="S146" s="59">
        <f t="shared" si="27"/>
        <v>1</v>
      </c>
      <c r="T146" s="1" t="str">
        <f t="shared" si="28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6" s="38" t="str">
        <f t="shared" si="30"/>
        <v>N</v>
      </c>
      <c r="X146" s="38">
        <f t="shared" si="31"/>
        <v>1</v>
      </c>
      <c r="Y146" s="38">
        <f t="shared" si="32"/>
        <v>23.295500000000001</v>
      </c>
      <c r="Z146" s="38">
        <f t="shared" si="33"/>
        <v>1.4999999999999999E-2</v>
      </c>
      <c r="AA146" s="38">
        <f t="shared" si="34"/>
        <v>23.2805</v>
      </c>
      <c r="AB146" s="39">
        <f>VLOOKUP(A146,Enforcements!$C$7:$J$31,8,0)</f>
        <v>30562</v>
      </c>
      <c r="AC146" s="39" t="str">
        <f>VLOOKUP(A146,Enforcements!$C$7:$E$31,3,0)</f>
        <v>PERMANENT SPEED RESTRICTION</v>
      </c>
      <c r="AD146" s="1" t="str">
        <f t="shared" si="35"/>
        <v>0232-04</v>
      </c>
    </row>
    <row r="147" spans="1:30" x14ac:dyDescent="0.25">
      <c r="A147" s="67" t="s">
        <v>558</v>
      </c>
      <c r="B147" s="34">
        <v>4025</v>
      </c>
      <c r="C147" s="34" t="s">
        <v>60</v>
      </c>
      <c r="D147" s="34" t="s">
        <v>559</v>
      </c>
      <c r="E147" s="20">
        <v>42555.914039351854</v>
      </c>
      <c r="F147" s="20">
        <v>42555.915023148147</v>
      </c>
      <c r="G147" s="20">
        <v>1</v>
      </c>
      <c r="H147" s="20" t="s">
        <v>560</v>
      </c>
      <c r="I147" s="20">
        <v>42555.944560185184</v>
      </c>
      <c r="J147" s="34">
        <v>1</v>
      </c>
      <c r="K147" s="34" t="str">
        <f t="shared" si="24"/>
        <v>4025/4026</v>
      </c>
      <c r="L147" s="34" t="str">
        <f>VLOOKUP(A147,'Trips&amp;Operators'!$C$1:$E$10000,3,FALSE)</f>
        <v>BRUDER</v>
      </c>
      <c r="M147" s="6">
        <f t="shared" si="25"/>
        <v>2.9537037036789116E-2</v>
      </c>
      <c r="N147" s="7">
        <f t="shared" si="26"/>
        <v>42.533333332976326</v>
      </c>
      <c r="O147" s="7"/>
      <c r="P147" s="7"/>
      <c r="Q147" s="35"/>
      <c r="R147" s="35"/>
      <c r="S147" s="59">
        <f t="shared" si="27"/>
        <v>1</v>
      </c>
      <c r="T147" s="1" t="str">
        <f t="shared" si="28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21:55:13-0600',mode:absolute,to:'2016-07-04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7" s="38" t="str">
        <f t="shared" si="30"/>
        <v>N</v>
      </c>
      <c r="X147" s="38">
        <f t="shared" si="31"/>
        <v>1</v>
      </c>
      <c r="Y147" s="38">
        <f t="shared" si="32"/>
        <v>5.7700000000000001E-2</v>
      </c>
      <c r="Z147" s="38">
        <f t="shared" si="33"/>
        <v>23.325299999999999</v>
      </c>
      <c r="AA147" s="38">
        <f t="shared" si="34"/>
        <v>23.267599999999998</v>
      </c>
      <c r="AB147" s="39" t="e">
        <f>VLOOKUP(A147,Enforcements!$C$7:$J$31,8,0)</f>
        <v>#N/A</v>
      </c>
      <c r="AC147" s="39" t="e">
        <f>VLOOKUP(A147,Enforcements!$C$7:$E$31,3,0)</f>
        <v>#N/A</v>
      </c>
      <c r="AD147" s="1" t="str">
        <f t="shared" si="35"/>
        <v>0233-04</v>
      </c>
    </row>
    <row r="148" spans="1:30" x14ac:dyDescent="0.25">
      <c r="A148" s="67" t="s">
        <v>561</v>
      </c>
      <c r="B148" s="34">
        <v>4026</v>
      </c>
      <c r="C148" s="34" t="s">
        <v>60</v>
      </c>
      <c r="D148" s="34" t="s">
        <v>562</v>
      </c>
      <c r="E148" s="20">
        <v>42555.952013888891</v>
      </c>
      <c r="F148" s="20">
        <v>42555.953402777777</v>
      </c>
      <c r="G148" s="20">
        <v>1</v>
      </c>
      <c r="H148" s="20" t="s">
        <v>439</v>
      </c>
      <c r="I148" s="20">
        <v>42555.984467592592</v>
      </c>
      <c r="J148" s="34">
        <v>0</v>
      </c>
      <c r="K148" s="34" t="str">
        <f t="shared" si="24"/>
        <v>4025/4026</v>
      </c>
      <c r="L148" s="34" t="str">
        <f>VLOOKUP(A148,'Trips&amp;Operators'!$C$1:$E$10000,3,FALSE)</f>
        <v>BRUDER</v>
      </c>
      <c r="M148" s="6">
        <f t="shared" si="25"/>
        <v>3.1064814815181307E-2</v>
      </c>
      <c r="N148" s="7">
        <f t="shared" si="26"/>
        <v>44.733333333861083</v>
      </c>
      <c r="O148" s="7"/>
      <c r="P148" s="7"/>
      <c r="Q148" s="35"/>
      <c r="R148" s="35"/>
      <c r="S148" s="59">
        <f t="shared" si="27"/>
        <v>1</v>
      </c>
      <c r="T148" s="1" t="str">
        <f t="shared" si="28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22:49:54-0600',mode:absolute,to:'2016-07-04 23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8" s="38" t="str">
        <f t="shared" si="30"/>
        <v>N</v>
      </c>
      <c r="X148" s="38">
        <f t="shared" si="31"/>
        <v>1</v>
      </c>
      <c r="Y148" s="38">
        <f t="shared" si="32"/>
        <v>23.292999999999999</v>
      </c>
      <c r="Z148" s="38">
        <f t="shared" si="33"/>
        <v>2.2499999999999999E-2</v>
      </c>
      <c r="AA148" s="38">
        <f t="shared" si="34"/>
        <v>23.270499999999998</v>
      </c>
      <c r="AB148" s="39" t="e">
        <f>VLOOKUP(A148,Enforcements!$C$7:$J$31,8,0)</f>
        <v>#N/A</v>
      </c>
      <c r="AC148" s="39" t="e">
        <f>VLOOKUP(A148,Enforcements!$C$7:$E$31,3,0)</f>
        <v>#N/A</v>
      </c>
      <c r="AD148" s="1" t="str">
        <f t="shared" si="35"/>
        <v>0234-04</v>
      </c>
    </row>
    <row r="149" spans="1:30" x14ac:dyDescent="0.25">
      <c r="A149" s="34" t="s">
        <v>563</v>
      </c>
      <c r="B149" s="34">
        <v>4016</v>
      </c>
      <c r="C149" s="34" t="s">
        <v>60</v>
      </c>
      <c r="D149" s="34" t="s">
        <v>117</v>
      </c>
      <c r="E149" s="20">
        <v>42555.926307870373</v>
      </c>
      <c r="F149" s="20">
        <v>42555.927118055559</v>
      </c>
      <c r="G149" s="20">
        <v>1</v>
      </c>
      <c r="H149" s="20" t="s">
        <v>90</v>
      </c>
      <c r="I149" s="20">
        <v>42555.964999999997</v>
      </c>
      <c r="J149" s="34">
        <v>0</v>
      </c>
      <c r="K149" s="34" t="str">
        <f t="shared" si="24"/>
        <v>4015/4016</v>
      </c>
      <c r="L149" s="34" t="str">
        <f>VLOOKUP(A149,'Trips&amp;Operators'!$C$1:$E$10000,3,FALSE)</f>
        <v>BARTLETT</v>
      </c>
      <c r="M149" s="6">
        <f t="shared" si="25"/>
        <v>3.7881944437685888E-2</v>
      </c>
      <c r="N149" s="7">
        <f t="shared" si="26"/>
        <v>54.549999990267679</v>
      </c>
      <c r="O149" s="7"/>
      <c r="P149" s="7"/>
      <c r="Q149" s="35"/>
      <c r="R149" s="35"/>
      <c r="S149" s="59">
        <f t="shared" si="27"/>
        <v>1</v>
      </c>
      <c r="T149" s="1" t="str">
        <f t="shared" si="28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22:12:53-0600',mode:absolute,to:'2016-07-04 23:10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9" s="38" t="str">
        <f t="shared" si="30"/>
        <v>N</v>
      </c>
      <c r="X149" s="38">
        <f t="shared" si="31"/>
        <v>1</v>
      </c>
      <c r="Y149" s="38">
        <f t="shared" si="32"/>
        <v>4.7300000000000002E-2</v>
      </c>
      <c r="Z149" s="38">
        <f t="shared" si="33"/>
        <v>23.329499999999999</v>
      </c>
      <c r="AA149" s="38">
        <f t="shared" si="34"/>
        <v>23.2822</v>
      </c>
      <c r="AB149" s="39" t="e">
        <f>VLOOKUP(A149,Enforcements!$C$7:$J$31,8,0)</f>
        <v>#N/A</v>
      </c>
      <c r="AC149" s="39" t="e">
        <f>VLOOKUP(A149,Enforcements!$C$7:$E$31,3,0)</f>
        <v>#N/A</v>
      </c>
      <c r="AD149" s="1" t="str">
        <f t="shared" si="35"/>
        <v>0235-04</v>
      </c>
    </row>
    <row r="150" spans="1:30" x14ac:dyDescent="0.25">
      <c r="A150" s="34" t="s">
        <v>564</v>
      </c>
      <c r="B150" s="34">
        <v>4015</v>
      </c>
      <c r="C150" s="34" t="s">
        <v>60</v>
      </c>
      <c r="D150" s="34" t="s">
        <v>205</v>
      </c>
      <c r="E150" s="20">
        <v>42555.972777777781</v>
      </c>
      <c r="F150" s="20">
        <v>42555.97388888889</v>
      </c>
      <c r="G150" s="20">
        <v>1</v>
      </c>
      <c r="H150" s="20" t="s">
        <v>229</v>
      </c>
      <c r="I150" s="20">
        <v>42556.004236111112</v>
      </c>
      <c r="J150" s="34">
        <v>0</v>
      </c>
      <c r="K150" s="34" t="str">
        <f t="shared" si="24"/>
        <v>4015/4016</v>
      </c>
      <c r="L150" s="34" t="str">
        <f>VLOOKUP(A150,'Trips&amp;Operators'!$C$1:$E$10000,3,FALSE)</f>
        <v>BARTLETT</v>
      </c>
      <c r="M150" s="6">
        <f t="shared" si="25"/>
        <v>3.0347222222189885E-2</v>
      </c>
      <c r="N150" s="7">
        <f t="shared" si="26"/>
        <v>43.699999999953434</v>
      </c>
      <c r="O150" s="7"/>
      <c r="P150" s="7"/>
      <c r="Q150" s="35"/>
      <c r="R150" s="35"/>
      <c r="S150" s="59">
        <f t="shared" si="27"/>
        <v>1</v>
      </c>
      <c r="T150" s="1" t="str">
        <f t="shared" si="28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23:19:48-0600',mode:absolute,to:'2016-07-05 00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0" s="38" t="str">
        <f t="shared" si="30"/>
        <v>N</v>
      </c>
      <c r="X150" s="38">
        <f t="shared" si="31"/>
        <v>1</v>
      </c>
      <c r="Y150" s="38">
        <f t="shared" si="32"/>
        <v>23.2973</v>
      </c>
      <c r="Z150" s="38">
        <f t="shared" si="33"/>
        <v>1.61E-2</v>
      </c>
      <c r="AA150" s="38">
        <f t="shared" si="34"/>
        <v>23.281199999999998</v>
      </c>
      <c r="AB150" s="39" t="e">
        <f>VLOOKUP(A150,Enforcements!$C$7:$J$31,8,0)</f>
        <v>#N/A</v>
      </c>
      <c r="AC150" s="39" t="e">
        <f>VLOOKUP(A150,Enforcements!$C$7:$E$31,3,0)</f>
        <v>#N/A</v>
      </c>
      <c r="AD150" s="1" t="str">
        <f t="shared" si="35"/>
        <v>0236-04</v>
      </c>
    </row>
    <row r="151" spans="1:30" x14ac:dyDescent="0.25">
      <c r="A151" s="34" t="s">
        <v>565</v>
      </c>
      <c r="B151" s="34">
        <v>4040</v>
      </c>
      <c r="C151" s="34" t="s">
        <v>60</v>
      </c>
      <c r="D151" s="34" t="s">
        <v>305</v>
      </c>
      <c r="E151" s="20">
        <v>42555.956423611111</v>
      </c>
      <c r="F151" s="20">
        <v>42555.957418981481</v>
      </c>
      <c r="G151" s="20">
        <v>1</v>
      </c>
      <c r="H151" s="20" t="s">
        <v>566</v>
      </c>
      <c r="I151" s="20">
        <v>42555.991122685184</v>
      </c>
      <c r="J151" s="34">
        <v>0</v>
      </c>
      <c r="K151" s="34" t="str">
        <f t="shared" si="24"/>
        <v>4039/4040</v>
      </c>
      <c r="L151" s="34" t="str">
        <f>VLOOKUP(A151,'Trips&amp;Operators'!$C$1:$E$10000,3,FALSE)</f>
        <v>YOUNG</v>
      </c>
      <c r="M151" s="6">
        <f t="shared" si="25"/>
        <v>3.3703703702485655E-2</v>
      </c>
      <c r="N151" s="7">
        <f t="shared" si="26"/>
        <v>48.533333331579342</v>
      </c>
      <c r="O151" s="7"/>
      <c r="P151" s="7"/>
      <c r="Q151" s="35"/>
      <c r="R151" s="35"/>
      <c r="S151" s="59">
        <f t="shared" si="27"/>
        <v>1</v>
      </c>
      <c r="T151" s="1" t="str">
        <f t="shared" si="28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22:56:15-0600',mode:absolute,to:'2016-07-04 23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38" t="str">
        <f t="shared" si="30"/>
        <v>N</v>
      </c>
      <c r="X151" s="38">
        <f t="shared" si="31"/>
        <v>1</v>
      </c>
      <c r="Y151" s="38">
        <f t="shared" si="32"/>
        <v>5.0799999999999998E-2</v>
      </c>
      <c r="Z151" s="38">
        <f t="shared" si="33"/>
        <v>23.3324</v>
      </c>
      <c r="AA151" s="38">
        <f t="shared" si="34"/>
        <v>23.281600000000001</v>
      </c>
      <c r="AB151" s="39" t="e">
        <f>VLOOKUP(A151,Enforcements!$C$7:$J$31,8,0)</f>
        <v>#N/A</v>
      </c>
      <c r="AC151" s="39" t="e">
        <f>VLOOKUP(A151,Enforcements!$C$7:$E$31,3,0)</f>
        <v>#N/A</v>
      </c>
      <c r="AD151" s="1" t="str">
        <f t="shared" si="35"/>
        <v>0237-04</v>
      </c>
    </row>
    <row r="152" spans="1:30" x14ac:dyDescent="0.25">
      <c r="A152" s="34" t="s">
        <v>567</v>
      </c>
      <c r="B152" s="34">
        <v>4039</v>
      </c>
      <c r="C152" s="34" t="s">
        <v>60</v>
      </c>
      <c r="D152" s="34" t="s">
        <v>255</v>
      </c>
      <c r="E152" s="20">
        <v>42555.996249999997</v>
      </c>
      <c r="F152" s="20">
        <v>42555.998842592591</v>
      </c>
      <c r="G152" s="20">
        <v>3</v>
      </c>
      <c r="H152" s="20" t="s">
        <v>554</v>
      </c>
      <c r="I152" s="20">
        <v>42556.034837962965</v>
      </c>
      <c r="J152" s="34">
        <v>2</v>
      </c>
      <c r="K152" s="34" t="str">
        <f t="shared" si="24"/>
        <v>4039/4040</v>
      </c>
      <c r="L152" s="34" t="str">
        <f>VLOOKUP(A152,'Trips&amp;Operators'!$C$1:$E$10000,3,FALSE)</f>
        <v>YOUNG</v>
      </c>
      <c r="M152" s="6">
        <f t="shared" si="25"/>
        <v>3.5995370373711921E-2</v>
      </c>
      <c r="N152" s="7">
        <f t="shared" si="26"/>
        <v>51.833333338145167</v>
      </c>
      <c r="O152" s="7"/>
      <c r="P152" s="7"/>
      <c r="Q152" s="35"/>
      <c r="R152" s="35"/>
      <c r="S152" s="59">
        <f t="shared" si="27"/>
        <v>1</v>
      </c>
      <c r="T152" s="1" t="str">
        <f t="shared" si="28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38" t="str">
        <f t="shared" si="30"/>
        <v>N</v>
      </c>
      <c r="X152" s="38">
        <f t="shared" si="31"/>
        <v>1</v>
      </c>
      <c r="Y152" s="38">
        <f t="shared" si="32"/>
        <v>23.3003</v>
      </c>
      <c r="Z152" s="38">
        <f t="shared" si="33"/>
        <v>2.1600000000000001E-2</v>
      </c>
      <c r="AA152" s="38">
        <f t="shared" si="34"/>
        <v>23.278700000000001</v>
      </c>
      <c r="AB152" s="39" t="e">
        <f>VLOOKUP(A152,Enforcements!$C$7:$J$31,8,0)</f>
        <v>#N/A</v>
      </c>
      <c r="AC152" s="39" t="e">
        <f>VLOOKUP(A152,Enforcements!$C$7:$E$31,3,0)</f>
        <v>#N/A</v>
      </c>
      <c r="AD152" s="1" t="str">
        <f t="shared" si="35"/>
        <v>0238-04</v>
      </c>
    </row>
    <row r="153" spans="1:30" x14ac:dyDescent="0.25">
      <c r="A153" s="34" t="s">
        <v>568</v>
      </c>
      <c r="B153" s="34">
        <v>4042</v>
      </c>
      <c r="C153" s="34" t="s">
        <v>60</v>
      </c>
      <c r="D153" s="34" t="s">
        <v>95</v>
      </c>
      <c r="E153" s="20">
        <v>42555.976157407407</v>
      </c>
      <c r="F153" s="20">
        <v>42555.978090277778</v>
      </c>
      <c r="G153" s="20">
        <v>2</v>
      </c>
      <c r="H153" s="20" t="s">
        <v>201</v>
      </c>
      <c r="I153" s="20">
        <v>42556.005474537036</v>
      </c>
      <c r="J153" s="34">
        <v>0</v>
      </c>
      <c r="K153" s="34" t="str">
        <f t="shared" si="24"/>
        <v>4041/4042</v>
      </c>
      <c r="L153" s="34" t="str">
        <f>VLOOKUP(A153,'Trips&amp;Operators'!$C$1:$E$10000,3,FALSE)</f>
        <v>COOLAHAN</v>
      </c>
      <c r="M153" s="6">
        <f t="shared" si="25"/>
        <v>2.7384259257814847E-2</v>
      </c>
      <c r="N153" s="7">
        <f t="shared" si="26"/>
        <v>39.43333333125338</v>
      </c>
      <c r="O153" s="7"/>
      <c r="P153" s="7"/>
      <c r="Q153" s="35"/>
      <c r="R153" s="35"/>
      <c r="S153" s="59">
        <f t="shared" si="27"/>
        <v>1</v>
      </c>
      <c r="T153" s="1" t="str">
        <f t="shared" si="28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23:24:40-0600',mode:absolute,to:'2016-07-05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3" s="38" t="str">
        <f t="shared" si="30"/>
        <v>N</v>
      </c>
      <c r="X153" s="38">
        <f t="shared" si="31"/>
        <v>1</v>
      </c>
      <c r="Y153" s="38">
        <f t="shared" si="32"/>
        <v>4.6699999999999998E-2</v>
      </c>
      <c r="Z153" s="38">
        <f t="shared" si="33"/>
        <v>23.328600000000002</v>
      </c>
      <c r="AA153" s="38">
        <f t="shared" si="34"/>
        <v>23.2819</v>
      </c>
      <c r="AB153" s="39" t="e">
        <f>VLOOKUP(A153,Enforcements!$C$7:$J$31,8,0)</f>
        <v>#N/A</v>
      </c>
      <c r="AC153" s="39" t="e">
        <f>VLOOKUP(A153,Enforcements!$C$7:$E$31,3,0)</f>
        <v>#N/A</v>
      </c>
      <c r="AD153" s="1" t="str">
        <f t="shared" si="35"/>
        <v>0239-04</v>
      </c>
    </row>
    <row r="154" spans="1:30" x14ac:dyDescent="0.25">
      <c r="A154" s="34" t="s">
        <v>569</v>
      </c>
      <c r="B154" s="34">
        <v>4041</v>
      </c>
      <c r="C154" s="34" t="s">
        <v>60</v>
      </c>
      <c r="D154" s="34" t="s">
        <v>163</v>
      </c>
      <c r="E154" s="20">
        <v>42556.014189814814</v>
      </c>
      <c r="F154" s="20">
        <v>42556.015509259261</v>
      </c>
      <c r="G154" s="20">
        <v>1</v>
      </c>
      <c r="H154" s="20" t="s">
        <v>554</v>
      </c>
      <c r="I154" s="20">
        <v>42556.045185185183</v>
      </c>
      <c r="J154" s="34">
        <v>0</v>
      </c>
      <c r="K154" s="34" t="str">
        <f t="shared" si="24"/>
        <v>4041/4042</v>
      </c>
      <c r="L154" s="34" t="str">
        <f>VLOOKUP(A154,'Trips&amp;Operators'!$C$1:$E$10000,3,FALSE)</f>
        <v>COOLAHAN</v>
      </c>
      <c r="M154" s="6">
        <f t="shared" si="25"/>
        <v>2.9675925921765156E-2</v>
      </c>
      <c r="N154" s="7">
        <f t="shared" si="26"/>
        <v>42.733333327341825</v>
      </c>
      <c r="O154" s="7"/>
      <c r="P154" s="7"/>
      <c r="Q154" s="35"/>
      <c r="R154" s="35"/>
      <c r="S154" s="59">
        <f t="shared" si="27"/>
        <v>1</v>
      </c>
      <c r="T154" s="1" t="str">
        <f t="shared" si="28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00:19:26-0600',mode:absolute,to:'2016-07-05 01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4" s="38" t="str">
        <f t="shared" si="30"/>
        <v>N</v>
      </c>
      <c r="X154" s="38">
        <f t="shared" si="31"/>
        <v>1</v>
      </c>
      <c r="Y154" s="38">
        <f t="shared" si="32"/>
        <v>23.296500000000002</v>
      </c>
      <c r="Z154" s="38">
        <f t="shared" si="33"/>
        <v>2.1600000000000001E-2</v>
      </c>
      <c r="AA154" s="38">
        <f t="shared" si="34"/>
        <v>23.274900000000002</v>
      </c>
      <c r="AB154" s="39" t="e">
        <f>VLOOKUP(A154,Enforcements!$C$7:$J$31,8,0)</f>
        <v>#N/A</v>
      </c>
      <c r="AC154" s="39" t="e">
        <f>VLOOKUP(A154,Enforcements!$C$7:$E$31,3,0)</f>
        <v>#N/A</v>
      </c>
      <c r="AD154" s="1" t="str">
        <f t="shared" si="35"/>
        <v>0240-04</v>
      </c>
    </row>
    <row r="155" spans="1:30" x14ac:dyDescent="0.25">
      <c r="A155" s="34" t="s">
        <v>570</v>
      </c>
      <c r="B155" s="34">
        <v>4025</v>
      </c>
      <c r="C155" s="34" t="s">
        <v>60</v>
      </c>
      <c r="D155" s="34" t="s">
        <v>571</v>
      </c>
      <c r="E155" s="20">
        <v>42555.996863425928</v>
      </c>
      <c r="F155" s="20">
        <v>42555.997939814813</v>
      </c>
      <c r="G155" s="20">
        <v>1</v>
      </c>
      <c r="H155" s="20" t="s">
        <v>572</v>
      </c>
      <c r="I155" s="20">
        <v>42556.027465277781</v>
      </c>
      <c r="J155" s="34">
        <v>0</v>
      </c>
      <c r="K155" s="34" t="str">
        <f t="shared" si="24"/>
        <v>4025/4026</v>
      </c>
      <c r="L155" s="34" t="str">
        <f>VLOOKUP(A155,'Trips&amp;Operators'!$C$1:$E$10000,3,FALSE)</f>
        <v>BRUDER</v>
      </c>
      <c r="M155" s="6">
        <f t="shared" si="25"/>
        <v>2.9525462967285421E-2</v>
      </c>
      <c r="N155" s="7">
        <f t="shared" si="26"/>
        <v>42.516666672891006</v>
      </c>
      <c r="O155" s="7"/>
      <c r="P155" s="7"/>
      <c r="Q155" s="35"/>
      <c r="R155" s="35"/>
      <c r="S155" s="59">
        <f t="shared" si="27"/>
        <v>1</v>
      </c>
      <c r="T155" s="1" t="str">
        <f t="shared" si="28"/>
        <v>NorthBound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23:54:29-0600',mode:absolute,to:'2016-07-05 00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5" s="38" t="str">
        <f t="shared" si="30"/>
        <v>N</v>
      </c>
      <c r="X155" s="38">
        <f t="shared" si="31"/>
        <v>1</v>
      </c>
      <c r="Y155" s="38">
        <f t="shared" si="32"/>
        <v>5.1499999999999997E-2</v>
      </c>
      <c r="Z155" s="38">
        <f t="shared" si="33"/>
        <v>23.322399999999998</v>
      </c>
      <c r="AA155" s="38">
        <f t="shared" si="34"/>
        <v>23.270899999999997</v>
      </c>
      <c r="AB155" s="39" t="e">
        <f>VLOOKUP(A155,Enforcements!$C$7:$J$31,8,0)</f>
        <v>#N/A</v>
      </c>
      <c r="AC155" s="39" t="e">
        <f>VLOOKUP(A155,Enforcements!$C$7:$E$31,3,0)</f>
        <v>#N/A</v>
      </c>
      <c r="AD155" s="1" t="str">
        <f t="shared" si="35"/>
        <v>0241-04</v>
      </c>
    </row>
    <row r="156" spans="1:30" x14ac:dyDescent="0.25">
      <c r="A156" s="34" t="s">
        <v>573</v>
      </c>
      <c r="B156" s="34">
        <v>4026</v>
      </c>
      <c r="C156" s="34" t="s">
        <v>60</v>
      </c>
      <c r="D156" s="34" t="s">
        <v>574</v>
      </c>
      <c r="E156" s="20">
        <v>42556.035624999997</v>
      </c>
      <c r="F156" s="20">
        <v>42556.036631944444</v>
      </c>
      <c r="G156" s="20">
        <v>1</v>
      </c>
      <c r="H156" s="20" t="s">
        <v>542</v>
      </c>
      <c r="I156" s="20">
        <v>42556.065023148149</v>
      </c>
      <c r="J156" s="34">
        <v>1</v>
      </c>
      <c r="K156" s="34" t="str">
        <f t="shared" si="24"/>
        <v>4025/4026</v>
      </c>
      <c r="L156" s="34" t="e">
        <f>VLOOKUP(A156,'Trips&amp;Operators'!$C$1:$E$10000,3,FALSE)</f>
        <v>#N/A</v>
      </c>
      <c r="M156" s="6">
        <f t="shared" si="25"/>
        <v>2.8391203704813961E-2</v>
      </c>
      <c r="N156" s="7">
        <f t="shared" si="26"/>
        <v>40.883333334932104</v>
      </c>
      <c r="O156" s="7"/>
      <c r="P156" s="7"/>
      <c r="Q156" s="35"/>
      <c r="R156" s="35"/>
      <c r="S156" s="59">
        <f t="shared" si="27"/>
        <v>1</v>
      </c>
      <c r="T156" s="1" t="str">
        <f t="shared" si="28"/>
        <v>Southbound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00:50:18-0600',mode:absolute,to:'2016-07-05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6" s="38" t="str">
        <f t="shared" si="30"/>
        <v>N</v>
      </c>
      <c r="X156" s="38">
        <f t="shared" si="31"/>
        <v>1</v>
      </c>
      <c r="Y156" s="38">
        <f t="shared" si="32"/>
        <v>23.293199999999999</v>
      </c>
      <c r="Z156" s="38">
        <f t="shared" si="33"/>
        <v>2.0899999999999998E-2</v>
      </c>
      <c r="AA156" s="38">
        <f t="shared" si="34"/>
        <v>23.272299999999998</v>
      </c>
      <c r="AB156" s="39" t="e">
        <f>VLOOKUP(A156,Enforcements!$C$7:$J$31,8,0)</f>
        <v>#N/A</v>
      </c>
      <c r="AC156" s="39" t="e">
        <f>VLOOKUP(A156,Enforcements!$C$7:$E$31,3,0)</f>
        <v>#N/A</v>
      </c>
      <c r="AD156" s="1" t="str">
        <f t="shared" si="35"/>
        <v>0242-04</v>
      </c>
    </row>
    <row r="157" spans="1:30" x14ac:dyDescent="0.25">
      <c r="A157" s="67" t="s">
        <v>575</v>
      </c>
      <c r="B157" s="34">
        <v>4016</v>
      </c>
      <c r="C157" s="34" t="s">
        <v>60</v>
      </c>
      <c r="D157" s="34" t="s">
        <v>138</v>
      </c>
      <c r="E157" s="20">
        <v>42556.015567129631</v>
      </c>
      <c r="F157" s="20">
        <v>42556.018078703702</v>
      </c>
      <c r="G157" s="20">
        <v>3</v>
      </c>
      <c r="H157" s="20" t="s">
        <v>576</v>
      </c>
      <c r="I157" s="20">
        <v>42556.047766203701</v>
      </c>
      <c r="J157" s="34">
        <v>0</v>
      </c>
      <c r="K157" s="34" t="str">
        <f t="shared" si="24"/>
        <v>4015/4016</v>
      </c>
      <c r="L157" s="34" t="str">
        <f>VLOOKUP(A157,'Trips&amp;Operators'!$C$1:$E$10000,3,FALSE)</f>
        <v>BARTLETT</v>
      </c>
      <c r="M157" s="6">
        <f t="shared" si="25"/>
        <v>2.9687499998544808E-2</v>
      </c>
      <c r="N157" s="7">
        <f t="shared" si="26"/>
        <v>42.749999997904524</v>
      </c>
      <c r="O157" s="7"/>
      <c r="P157" s="7"/>
      <c r="Q157" s="35"/>
      <c r="R157" s="35"/>
      <c r="S157" s="59">
        <f t="shared" si="27"/>
        <v>1</v>
      </c>
      <c r="T157" s="1" t="str">
        <f t="shared" si="28"/>
        <v>NorthBound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00:21:25-0600',mode:absolute,to:'2016-07-05 01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7" s="38" t="str">
        <f t="shared" si="30"/>
        <v>N</v>
      </c>
      <c r="X157" s="38">
        <f t="shared" si="31"/>
        <v>1</v>
      </c>
      <c r="Y157" s="38">
        <f t="shared" si="32"/>
        <v>4.6600000000000003E-2</v>
      </c>
      <c r="Z157" s="38">
        <f t="shared" si="33"/>
        <v>23.325500000000002</v>
      </c>
      <c r="AA157" s="38">
        <f t="shared" si="34"/>
        <v>23.2789</v>
      </c>
      <c r="AB157" s="39" t="e">
        <f>VLOOKUP(A157,Enforcements!$C$7:$J$31,8,0)</f>
        <v>#N/A</v>
      </c>
      <c r="AC157" s="39" t="e">
        <f>VLOOKUP(A157,Enforcements!$C$7:$E$31,3,0)</f>
        <v>#N/A</v>
      </c>
      <c r="AD157" s="1" t="str">
        <f t="shared" si="35"/>
        <v>0243-04</v>
      </c>
    </row>
    <row r="158" spans="1:30" x14ac:dyDescent="0.25">
      <c r="A158" s="34" t="s">
        <v>577</v>
      </c>
      <c r="B158" s="34">
        <v>4015</v>
      </c>
      <c r="C158" s="34" t="s">
        <v>60</v>
      </c>
      <c r="D158" s="34" t="s">
        <v>163</v>
      </c>
      <c r="E158" s="20">
        <v>42556.055509259262</v>
      </c>
      <c r="F158" s="20">
        <v>42556.057060185187</v>
      </c>
      <c r="G158" s="20">
        <v>2</v>
      </c>
      <c r="H158" s="20" t="s">
        <v>312</v>
      </c>
      <c r="I158" s="20">
        <v>42556.086898148147</v>
      </c>
      <c r="J158" s="34">
        <v>0</v>
      </c>
      <c r="K158" s="34" t="str">
        <f t="shared" si="24"/>
        <v>4015/4016</v>
      </c>
      <c r="L158" s="34" t="e">
        <f>VLOOKUP(A158,'Trips&amp;Operators'!$C$1:$E$10000,3,FALSE)</f>
        <v>#N/A</v>
      </c>
      <c r="M158" s="6">
        <f t="shared" si="25"/>
        <v>2.9837962960300501E-2</v>
      </c>
      <c r="N158" s="7">
        <f t="shared" si="26"/>
        <v>42.966666662832722</v>
      </c>
      <c r="O158" s="7"/>
      <c r="P158" s="7"/>
      <c r="Q158" s="35"/>
      <c r="R158" s="35"/>
      <c r="S158" s="59">
        <f t="shared" si="27"/>
        <v>1</v>
      </c>
      <c r="T158" s="1" t="str">
        <f t="shared" si="28"/>
        <v>Southbound</v>
      </c>
      <c r="U158" s="1">
        <f>COUNTIFS(Variables!$M$2:$M$19,IF(T158="NorthBound","&gt;=","&lt;=")&amp;Y158,Variables!$M$2:$M$19,IF(T158="NorthBound","&lt;=","&gt;=")&amp;Z158)</f>
        <v>12</v>
      </c>
      <c r="V15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01:18:56-0600',mode:absolute,to:'2016-07-05 02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8" s="38" t="str">
        <f t="shared" si="30"/>
        <v>N</v>
      </c>
      <c r="X158" s="38">
        <f t="shared" si="31"/>
        <v>1</v>
      </c>
      <c r="Y158" s="38">
        <f t="shared" si="32"/>
        <v>23.296500000000002</v>
      </c>
      <c r="Z158" s="38">
        <f t="shared" si="33"/>
        <v>2.0299999999999999E-2</v>
      </c>
      <c r="AA158" s="38">
        <f t="shared" si="34"/>
        <v>23.276200000000003</v>
      </c>
      <c r="AB158" s="39" t="e">
        <f>VLOOKUP(A158,Enforcements!$C$7:$J$31,8,0)</f>
        <v>#N/A</v>
      </c>
      <c r="AC158" s="39" t="e">
        <f>VLOOKUP(A158,Enforcements!$C$7:$E$31,3,0)</f>
        <v>#N/A</v>
      </c>
      <c r="AD158" s="1" t="str">
        <f t="shared" si="35"/>
        <v>0244-04</v>
      </c>
    </row>
    <row r="159" spans="1:30" x14ac:dyDescent="0.25">
      <c r="A159" s="95" t="s">
        <v>410</v>
      </c>
      <c r="B159" s="95">
        <v>4008</v>
      </c>
      <c r="C159" s="95" t="s">
        <v>60</v>
      </c>
      <c r="D159" s="95" t="s">
        <v>578</v>
      </c>
      <c r="E159" s="96">
        <v>42555.218333333331</v>
      </c>
      <c r="F159" s="96">
        <v>42555.219317129631</v>
      </c>
      <c r="G159" s="96">
        <v>1</v>
      </c>
      <c r="H159" s="96" t="s">
        <v>579</v>
      </c>
      <c r="I159" s="96">
        <v>42555.229108796295</v>
      </c>
      <c r="J159" s="95">
        <v>1</v>
      </c>
      <c r="K159" s="100" t="str">
        <f t="shared" ref="K159:K191" si="36">IF(ISEVEN(B159),(B159-1)&amp;"/"&amp;B159,B159&amp;"/"&amp;(B159+1))</f>
        <v>4007/4008</v>
      </c>
      <c r="L159" s="100" t="str">
        <f>VLOOKUP(A159,'Trips&amp;Operators'!$C$1:$E$10000,3,FALSE)</f>
        <v>ADANE</v>
      </c>
      <c r="M159" s="101">
        <f t="shared" ref="M159:M191" si="37">I159-F159</f>
        <v>9.7916666636592709E-3</v>
      </c>
      <c r="N159" s="102"/>
      <c r="O159" s="7"/>
      <c r="P159" s="7"/>
      <c r="Q159" s="35"/>
      <c r="R159" s="35"/>
      <c r="S159" s="59"/>
      <c r="T159" s="1"/>
      <c r="U159" s="1"/>
      <c r="V159" s="38" t="str">
        <f t="shared" ref="V159:V191" si="38"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https://search-rtdc-monitor-bjffxe2xuh6vdkpspy63sjmuny.us-east-1.es.amazonaws.com/_plugin/kibana/#/discover/Steve-Slow-Train-Analysis-(2080s-and-2083s)?_g=(refreshInterval:(display:Off,section:0,value:0),time:(from:'2016-07-04 05:13:24-0600',mode:absolute,to:'2016-07-04 05:30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9" s="38"/>
      <c r="X159" s="38"/>
      <c r="Y159" s="38"/>
      <c r="Z159" s="38"/>
      <c r="AA159" s="38"/>
      <c r="AB159" s="39"/>
      <c r="AC159" s="39"/>
      <c r="AD159" s="1"/>
    </row>
    <row r="160" spans="1:30" x14ac:dyDescent="0.25">
      <c r="A160" s="95" t="s">
        <v>326</v>
      </c>
      <c r="B160" s="95">
        <v>4007</v>
      </c>
      <c r="C160" s="95" t="s">
        <v>60</v>
      </c>
      <c r="D160" s="95" t="s">
        <v>580</v>
      </c>
      <c r="E160" s="96">
        <v>42555.238078703704</v>
      </c>
      <c r="F160" s="96">
        <v>42555.239050925928</v>
      </c>
      <c r="G160" s="96">
        <v>1</v>
      </c>
      <c r="H160" s="96" t="s">
        <v>581</v>
      </c>
      <c r="I160" s="96">
        <v>42555.254120370373</v>
      </c>
      <c r="J160" s="95">
        <v>3</v>
      </c>
      <c r="K160" s="34" t="str">
        <f t="shared" si="36"/>
        <v>4007/4008</v>
      </c>
      <c r="L160" s="34" t="str">
        <f>VLOOKUP(A160,'Trips&amp;Operators'!$C$1:$E$10000,3,FALSE)</f>
        <v>ADANE</v>
      </c>
      <c r="M160" s="6">
        <f t="shared" si="37"/>
        <v>1.5069444445543922E-2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0" s="38"/>
      <c r="X160" s="38"/>
      <c r="Y160" s="38"/>
      <c r="Z160" s="38"/>
      <c r="AA160" s="38"/>
      <c r="AB160" s="39"/>
      <c r="AC160" s="39"/>
      <c r="AD160" s="1"/>
    </row>
    <row r="161" spans="1:30" x14ac:dyDescent="0.25">
      <c r="A161" s="95" t="s">
        <v>370</v>
      </c>
      <c r="B161" s="95">
        <v>4008</v>
      </c>
      <c r="C161" s="95" t="s">
        <v>60</v>
      </c>
      <c r="D161" s="95" t="s">
        <v>582</v>
      </c>
      <c r="E161" s="96">
        <v>42555.255543981482</v>
      </c>
      <c r="F161" s="96">
        <v>42555.256261574075</v>
      </c>
      <c r="G161" s="96">
        <v>1</v>
      </c>
      <c r="H161" s="96" t="s">
        <v>583</v>
      </c>
      <c r="I161" s="96">
        <v>42555.26730324074</v>
      </c>
      <c r="J161" s="95">
        <v>2</v>
      </c>
      <c r="K161" s="34" t="str">
        <f t="shared" si="36"/>
        <v>4007/4008</v>
      </c>
      <c r="L161" s="34" t="str">
        <f>VLOOKUP(A161,'Trips&amp;Operators'!$C$1:$E$10000,3,FALSE)</f>
        <v>ADANE</v>
      </c>
      <c r="M161" s="6">
        <f t="shared" si="37"/>
        <v>1.1041666664823424E-2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1" s="38"/>
      <c r="X161" s="38"/>
      <c r="Y161" s="38"/>
      <c r="Z161" s="38"/>
      <c r="AA161" s="38"/>
      <c r="AB161" s="39"/>
      <c r="AC161" s="39"/>
      <c r="AD161" s="1"/>
    </row>
    <row r="162" spans="1:30" x14ac:dyDescent="0.25">
      <c r="A162" s="95" t="s">
        <v>367</v>
      </c>
      <c r="B162" s="95">
        <v>4027</v>
      </c>
      <c r="C162" s="95" t="s">
        <v>60</v>
      </c>
      <c r="D162" s="95" t="s">
        <v>584</v>
      </c>
      <c r="E162" s="96">
        <v>42555.261817129627</v>
      </c>
      <c r="F162" s="96">
        <v>42555.263206018521</v>
      </c>
      <c r="G162" s="96">
        <v>1</v>
      </c>
      <c r="H162" s="96" t="s">
        <v>585</v>
      </c>
      <c r="I162" s="96">
        <v>42555.274710648147</v>
      </c>
      <c r="J162" s="95">
        <v>1</v>
      </c>
      <c r="K162" s="34" t="str">
        <f t="shared" si="36"/>
        <v>4027/4028</v>
      </c>
      <c r="L162" s="34" t="str">
        <f>VLOOKUP(A162,'Trips&amp;Operators'!$C$1:$E$10000,3,FALSE)</f>
        <v>NELSON</v>
      </c>
      <c r="M162" s="6">
        <f t="shared" si="37"/>
        <v>1.1504629626870155E-2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06:16:01-0600',mode:absolute,to:'2016-07-04 06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2" s="38"/>
      <c r="X162" s="38"/>
      <c r="Y162" s="38"/>
      <c r="Z162" s="38"/>
      <c r="AA162" s="38"/>
      <c r="AB162" s="39"/>
      <c r="AC162" s="39"/>
      <c r="AD162" s="1"/>
    </row>
    <row r="163" spans="1:30" x14ac:dyDescent="0.25">
      <c r="A163" s="95" t="s">
        <v>334</v>
      </c>
      <c r="B163" s="95">
        <v>4028</v>
      </c>
      <c r="C163" s="95" t="s">
        <v>60</v>
      </c>
      <c r="D163" s="95" t="s">
        <v>179</v>
      </c>
      <c r="E163" s="96">
        <v>42555.276550925926</v>
      </c>
      <c r="F163" s="96">
        <v>42555.277557870373</v>
      </c>
      <c r="G163" s="96">
        <v>1</v>
      </c>
      <c r="H163" s="96" t="s">
        <v>586</v>
      </c>
      <c r="I163" s="96">
        <v>42555.288819444446</v>
      </c>
      <c r="J163" s="95">
        <v>1</v>
      </c>
      <c r="K163" s="34" t="str">
        <f t="shared" si="36"/>
        <v>4027/4028</v>
      </c>
      <c r="L163" s="34" t="str">
        <f>VLOOKUP(A163,'Trips&amp;Operators'!$C$1:$E$10000,3,FALSE)</f>
        <v>NELSON</v>
      </c>
      <c r="M163" s="6">
        <f t="shared" si="37"/>
        <v>1.1261574072705116E-2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06:37:14-0600',mode:absolute,to:'2016-07-04 06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3" s="38"/>
      <c r="X163" s="38"/>
      <c r="Y163" s="38"/>
      <c r="Z163" s="38"/>
      <c r="AA163" s="38"/>
      <c r="AB163" s="39"/>
      <c r="AC163" s="39"/>
      <c r="AD163" s="1"/>
    </row>
    <row r="164" spans="1:30" x14ac:dyDescent="0.25">
      <c r="A164" s="95" t="s">
        <v>376</v>
      </c>
      <c r="B164" s="95">
        <v>4007</v>
      </c>
      <c r="C164" s="95" t="s">
        <v>60</v>
      </c>
      <c r="D164" s="95" t="s">
        <v>587</v>
      </c>
      <c r="E164" s="96">
        <v>42555.280324074076</v>
      </c>
      <c r="F164" s="96">
        <v>42555.281215277777</v>
      </c>
      <c r="G164" s="96">
        <v>1</v>
      </c>
      <c r="H164" s="96" t="s">
        <v>588</v>
      </c>
      <c r="I164" s="96">
        <v>42555.294409722221</v>
      </c>
      <c r="J164" s="95">
        <v>1</v>
      </c>
      <c r="K164" s="34" t="str">
        <f t="shared" si="36"/>
        <v>4007/4008</v>
      </c>
      <c r="L164" s="34" t="str">
        <f>VLOOKUP(A164,'Trips&amp;Operators'!$C$1:$E$10000,3,FALSE)</f>
        <v>ADANE</v>
      </c>
      <c r="M164" s="6">
        <f t="shared" si="37"/>
        <v>1.3194444443797693E-2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06:42:40-0600',mode:absolute,to:'2016-07-04 07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4" s="38"/>
      <c r="X164" s="38"/>
      <c r="Y164" s="38"/>
      <c r="Z164" s="38"/>
      <c r="AA164" s="38"/>
      <c r="AB164" s="39"/>
      <c r="AC164" s="39"/>
      <c r="AD164" s="1"/>
    </row>
    <row r="165" spans="1:30" x14ac:dyDescent="0.25">
      <c r="A165" s="95" t="s">
        <v>361</v>
      </c>
      <c r="B165" s="95">
        <v>4008</v>
      </c>
      <c r="C165" s="95" t="s">
        <v>60</v>
      </c>
      <c r="D165" s="95" t="s">
        <v>267</v>
      </c>
      <c r="E165" s="96">
        <v>42555.295902777776</v>
      </c>
      <c r="F165" s="96">
        <v>42555.296747685185</v>
      </c>
      <c r="G165" s="96">
        <v>1</v>
      </c>
      <c r="H165" s="96" t="s">
        <v>589</v>
      </c>
      <c r="I165" s="96">
        <v>42555.308981481481</v>
      </c>
      <c r="J165" s="95">
        <v>0</v>
      </c>
      <c r="K165" s="34" t="str">
        <f t="shared" si="36"/>
        <v>4007/4008</v>
      </c>
      <c r="L165" s="34" t="str">
        <f>VLOOKUP(A165,'Trips&amp;Operators'!$C$1:$E$10000,3,FALSE)</f>
        <v>ADANE</v>
      </c>
      <c r="M165" s="6">
        <f t="shared" si="37"/>
        <v>1.2233796296641231E-2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07:05:06-0600',mode:absolute,to:'2016-07-04 07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5" s="38"/>
      <c r="X165" s="38"/>
      <c r="Y165" s="38"/>
      <c r="Z165" s="38"/>
      <c r="AA165" s="38"/>
      <c r="AB165" s="39"/>
      <c r="AC165" s="39"/>
      <c r="AD165" s="1"/>
    </row>
    <row r="166" spans="1:30" x14ac:dyDescent="0.25">
      <c r="A166" s="95" t="s">
        <v>415</v>
      </c>
      <c r="B166" s="95">
        <v>4027</v>
      </c>
      <c r="C166" s="95" t="s">
        <v>60</v>
      </c>
      <c r="D166" s="95" t="s">
        <v>590</v>
      </c>
      <c r="E166" s="96">
        <v>42555.299791666665</v>
      </c>
      <c r="F166" s="96">
        <v>42555.30064814815</v>
      </c>
      <c r="G166" s="96">
        <v>1</v>
      </c>
      <c r="H166" s="96" t="s">
        <v>591</v>
      </c>
      <c r="I166" s="96">
        <v>42555.315011574072</v>
      </c>
      <c r="J166" s="95">
        <v>0</v>
      </c>
      <c r="K166" s="34" t="str">
        <f t="shared" si="36"/>
        <v>4027/4028</v>
      </c>
      <c r="L166" s="34" t="str">
        <f>VLOOKUP(A166,'Trips&amp;Operators'!$C$1:$E$10000,3,FALSE)</f>
        <v>NELSON</v>
      </c>
      <c r="M166" s="6">
        <f t="shared" si="37"/>
        <v>1.4363425922056194E-2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07:10:42-0600',mode:absolute,to:'2016-07-04 07:34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6" s="38"/>
      <c r="X166" s="38"/>
      <c r="Y166" s="38"/>
      <c r="Z166" s="38"/>
      <c r="AA166" s="38"/>
      <c r="AB166" s="39"/>
      <c r="AC166" s="39"/>
      <c r="AD166" s="1"/>
    </row>
    <row r="167" spans="1:30" x14ac:dyDescent="0.25">
      <c r="A167" s="95" t="s">
        <v>355</v>
      </c>
      <c r="B167" s="95">
        <v>4028</v>
      </c>
      <c r="C167" s="95" t="s">
        <v>60</v>
      </c>
      <c r="D167" s="95" t="s">
        <v>275</v>
      </c>
      <c r="E167" s="96">
        <v>42555.316886574074</v>
      </c>
      <c r="F167" s="96">
        <v>42555.317928240744</v>
      </c>
      <c r="G167" s="96">
        <v>1</v>
      </c>
      <c r="H167" s="96" t="s">
        <v>592</v>
      </c>
      <c r="I167" s="96">
        <v>42555.329432870371</v>
      </c>
      <c r="J167" s="95">
        <v>0</v>
      </c>
      <c r="K167" s="34" t="str">
        <f t="shared" si="36"/>
        <v>4027/4028</v>
      </c>
      <c r="L167" s="34" t="str">
        <f>VLOOKUP(A167,'Trips&amp;Operators'!$C$1:$E$10000,3,FALSE)</f>
        <v>NELSON</v>
      </c>
      <c r="M167" s="6">
        <f t="shared" si="37"/>
        <v>1.1504629626870155E-2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07:35:19-0600',mode:absolute,to:'2016-07-04 07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7" s="38"/>
      <c r="X167" s="38"/>
      <c r="Y167" s="38"/>
      <c r="Z167" s="38"/>
      <c r="AA167" s="38"/>
      <c r="AB167" s="39"/>
      <c r="AC167" s="39"/>
      <c r="AD167" s="1"/>
    </row>
    <row r="168" spans="1:30" x14ac:dyDescent="0.25">
      <c r="A168" s="95" t="s">
        <v>366</v>
      </c>
      <c r="B168" s="95">
        <v>4007</v>
      </c>
      <c r="C168" s="95" t="s">
        <v>60</v>
      </c>
      <c r="D168" s="95" t="s">
        <v>593</v>
      </c>
      <c r="E168" s="96">
        <v>42555.322210648148</v>
      </c>
      <c r="F168" s="96">
        <v>42555.322939814818</v>
      </c>
      <c r="G168" s="96">
        <v>1</v>
      </c>
      <c r="H168" s="96" t="s">
        <v>588</v>
      </c>
      <c r="I168" s="96">
        <v>42555.334756944445</v>
      </c>
      <c r="J168" s="95">
        <v>0</v>
      </c>
      <c r="K168" s="34" t="str">
        <f t="shared" si="36"/>
        <v>4007/4008</v>
      </c>
      <c r="L168" s="34" t="str">
        <f>VLOOKUP(A168,'Trips&amp;Operators'!$C$1:$E$10000,3,FALSE)</f>
        <v>ADANE</v>
      </c>
      <c r="M168" s="6">
        <f t="shared" si="37"/>
        <v>1.1817129627161194E-2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07:42:59-0600',mode:absolute,to:'2016-07-04 08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8" s="38"/>
      <c r="X168" s="38"/>
      <c r="Y168" s="38"/>
      <c r="Z168" s="38"/>
      <c r="AA168" s="38"/>
      <c r="AB168" s="39"/>
      <c r="AC168" s="39"/>
      <c r="AD168" s="1"/>
    </row>
    <row r="169" spans="1:30" x14ac:dyDescent="0.25">
      <c r="A169" s="95" t="s">
        <v>413</v>
      </c>
      <c r="B169" s="95">
        <v>4008</v>
      </c>
      <c r="C169" s="95" t="s">
        <v>60</v>
      </c>
      <c r="D169" s="95" t="s">
        <v>273</v>
      </c>
      <c r="E169" s="96">
        <v>42555.336770833332</v>
      </c>
      <c r="F169" s="96">
        <v>42555.337581018517</v>
      </c>
      <c r="G169" s="96">
        <v>1</v>
      </c>
      <c r="H169" s="96" t="s">
        <v>594</v>
      </c>
      <c r="I169" s="96">
        <v>42555.350474537037</v>
      </c>
      <c r="J169" s="95">
        <v>0</v>
      </c>
      <c r="K169" s="34" t="str">
        <f t="shared" si="36"/>
        <v>4007/4008</v>
      </c>
      <c r="L169" s="34" t="str">
        <f>VLOOKUP(A169,'Trips&amp;Operators'!$C$1:$E$10000,3,FALSE)</f>
        <v>ADANE</v>
      </c>
      <c r="M169" s="6">
        <f t="shared" si="37"/>
        <v>1.2893518520286307E-2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08:03:57-0600',mode:absolute,to:'2016-07-04 08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9" s="38"/>
      <c r="X169" s="38"/>
      <c r="Y169" s="38"/>
      <c r="Z169" s="38"/>
      <c r="AA169" s="38"/>
      <c r="AB169" s="39"/>
      <c r="AC169" s="39"/>
      <c r="AD169" s="1"/>
    </row>
    <row r="170" spans="1:30" x14ac:dyDescent="0.25">
      <c r="A170" s="95" t="s">
        <v>379</v>
      </c>
      <c r="B170" s="95">
        <v>4027</v>
      </c>
      <c r="C170" s="95" t="s">
        <v>60</v>
      </c>
      <c r="D170" s="95" t="s">
        <v>595</v>
      </c>
      <c r="E170" s="96">
        <v>42555.338460648149</v>
      </c>
      <c r="F170" s="96">
        <v>42555.339317129627</v>
      </c>
      <c r="G170" s="96">
        <v>1</v>
      </c>
      <c r="H170" s="96" t="s">
        <v>596</v>
      </c>
      <c r="I170" s="96">
        <v>42555.35664351852</v>
      </c>
      <c r="J170" s="95">
        <v>0</v>
      </c>
      <c r="K170" s="34" t="str">
        <f t="shared" si="36"/>
        <v>4027/4028</v>
      </c>
      <c r="L170" s="34" t="str">
        <f>VLOOKUP(A170,'Trips&amp;Operators'!$C$1:$E$10000,3,FALSE)</f>
        <v>NELSON</v>
      </c>
      <c r="M170" s="6">
        <f t="shared" si="37"/>
        <v>1.732638889370719E-2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08:06:23-0600',mode:absolute,to:'2016-07-04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0" s="38"/>
      <c r="X170" s="38"/>
      <c r="Y170" s="38"/>
      <c r="Z170" s="38"/>
      <c r="AA170" s="38"/>
      <c r="AB170" s="39"/>
      <c r="AC170" s="39"/>
      <c r="AD170" s="1"/>
    </row>
    <row r="171" spans="1:30" x14ac:dyDescent="0.25">
      <c r="A171" s="95" t="s">
        <v>418</v>
      </c>
      <c r="B171" s="97">
        <v>4028</v>
      </c>
      <c r="C171" s="97" t="s">
        <v>60</v>
      </c>
      <c r="D171" s="97" t="s">
        <v>180</v>
      </c>
      <c r="E171" s="98">
        <v>42555.358993055554</v>
      </c>
      <c r="F171" s="98">
        <v>42555.360092592593</v>
      </c>
      <c r="G171" s="99">
        <v>1</v>
      </c>
      <c r="H171" s="98" t="s">
        <v>597</v>
      </c>
      <c r="I171" s="98">
        <v>42555.370798611111</v>
      </c>
      <c r="J171" s="97">
        <v>0</v>
      </c>
      <c r="K171" s="34" t="str">
        <f t="shared" si="36"/>
        <v>4027/4028</v>
      </c>
      <c r="L171" s="34" t="str">
        <f>VLOOKUP(A171,'Trips&amp;Operators'!$C$1:$E$10000,3,FALSE)</f>
        <v>NELSON</v>
      </c>
      <c r="M171" s="6">
        <f t="shared" si="37"/>
        <v>1.0706018518249039E-2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08:35:57-0600',mode:absolute,to:'2016-07-04 08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1" s="38"/>
      <c r="X171" s="38"/>
      <c r="Y171" s="38"/>
      <c r="Z171" s="38"/>
      <c r="AA171" s="38"/>
      <c r="AB171" s="39"/>
      <c r="AC171" s="39"/>
      <c r="AD171" s="1"/>
    </row>
    <row r="172" spans="1:30" x14ac:dyDescent="0.25">
      <c r="A172" s="94" t="s">
        <v>360</v>
      </c>
      <c r="B172" s="95">
        <v>4027</v>
      </c>
      <c r="C172" s="95" t="s">
        <v>60</v>
      </c>
      <c r="D172" s="95" t="s">
        <v>598</v>
      </c>
      <c r="E172" s="96">
        <v>42555.379895833335</v>
      </c>
      <c r="F172" s="96">
        <v>42555.380891203706</v>
      </c>
      <c r="G172" s="96">
        <v>1</v>
      </c>
      <c r="H172" s="96" t="s">
        <v>596</v>
      </c>
      <c r="I172" s="96">
        <v>42555.398402777777</v>
      </c>
      <c r="J172" s="95">
        <v>0</v>
      </c>
      <c r="K172" s="34" t="str">
        <f t="shared" si="36"/>
        <v>4027/4028</v>
      </c>
      <c r="L172" s="34" t="str">
        <f>VLOOKUP(A172,'Trips&amp;Operators'!$C$1:$E$10000,3,FALSE)</f>
        <v>NELSON</v>
      </c>
      <c r="M172" s="6">
        <f t="shared" si="37"/>
        <v>1.7511574071249925E-2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2" s="38"/>
      <c r="X172" s="38"/>
      <c r="Y172" s="38"/>
      <c r="Z172" s="38"/>
      <c r="AA172" s="38"/>
      <c r="AB172" s="39"/>
      <c r="AC172" s="39"/>
      <c r="AD172" s="1"/>
    </row>
    <row r="173" spans="1:30" x14ac:dyDescent="0.25">
      <c r="A173" s="95" t="s">
        <v>358</v>
      </c>
      <c r="B173" s="97">
        <v>4028</v>
      </c>
      <c r="C173" s="97" t="s">
        <v>60</v>
      </c>
      <c r="D173" s="97" t="s">
        <v>278</v>
      </c>
      <c r="E173" s="98">
        <v>42555.40053240741</v>
      </c>
      <c r="F173" s="98">
        <v>42555.401365740741</v>
      </c>
      <c r="G173" s="99">
        <v>1</v>
      </c>
      <c r="H173" s="98" t="s">
        <v>599</v>
      </c>
      <c r="I173" s="98">
        <v>42555.412766203706</v>
      </c>
      <c r="J173" s="97">
        <v>0</v>
      </c>
      <c r="K173" s="34" t="str">
        <f t="shared" si="36"/>
        <v>4027/4028</v>
      </c>
      <c r="L173" s="34" t="str">
        <f>VLOOKUP(A173,'Trips&amp;Operators'!$C$1:$E$10000,3,FALSE)</f>
        <v>NELSON</v>
      </c>
      <c r="M173" s="6">
        <f t="shared" si="37"/>
        <v>1.1400462964957114E-2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09:35:46-0600',mode:absolute,to:'2016-07-04 09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3" s="38"/>
      <c r="X173" s="38"/>
      <c r="Y173" s="38"/>
      <c r="Z173" s="38"/>
      <c r="AA173" s="38"/>
      <c r="AB173" s="39"/>
      <c r="AC173" s="39"/>
      <c r="AD173" s="1"/>
    </row>
    <row r="174" spans="1:30" x14ac:dyDescent="0.25">
      <c r="A174" s="95" t="s">
        <v>390</v>
      </c>
      <c r="B174" s="97">
        <v>4027</v>
      </c>
      <c r="C174" s="97" t="s">
        <v>60</v>
      </c>
      <c r="D174" s="97" t="s">
        <v>600</v>
      </c>
      <c r="E174" s="98">
        <v>42555.426782407405</v>
      </c>
      <c r="F174" s="98">
        <v>42555.427662037036</v>
      </c>
      <c r="G174" s="99">
        <v>1</v>
      </c>
      <c r="H174" s="98" t="s">
        <v>276</v>
      </c>
      <c r="I174" s="98">
        <v>42555.440196759257</v>
      </c>
      <c r="J174" s="97">
        <v>0</v>
      </c>
      <c r="K174" s="34" t="str">
        <f t="shared" si="36"/>
        <v>4027/4028</v>
      </c>
      <c r="L174" s="34" t="str">
        <f>VLOOKUP(A174,'Trips&amp;Operators'!$C$1:$E$10000,3,FALSE)</f>
        <v>NELSON</v>
      </c>
      <c r="M174" s="6">
        <f t="shared" si="37"/>
        <v>1.2534722220152617E-2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10:13:34-0600',mode:absolute,to:'2016-07-04 10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4" s="38"/>
      <c r="X174" s="38"/>
      <c r="Y174" s="38"/>
      <c r="Z174" s="38"/>
      <c r="AA174" s="38"/>
      <c r="AB174" s="39"/>
      <c r="AC174" s="39"/>
      <c r="AD174" s="1"/>
    </row>
    <row r="175" spans="1:30" x14ac:dyDescent="0.25">
      <c r="A175" s="95" t="s">
        <v>391</v>
      </c>
      <c r="B175" s="97">
        <v>4028</v>
      </c>
      <c r="C175" s="97" t="s">
        <v>60</v>
      </c>
      <c r="D175" s="97" t="s">
        <v>601</v>
      </c>
      <c r="E175" s="98">
        <v>42555.442719907405</v>
      </c>
      <c r="F175" s="98">
        <v>42555.443564814814</v>
      </c>
      <c r="G175" s="99">
        <v>1</v>
      </c>
      <c r="H175" s="98" t="s">
        <v>599</v>
      </c>
      <c r="I175" s="98">
        <v>42555.455081018517</v>
      </c>
      <c r="J175" s="97">
        <v>1</v>
      </c>
      <c r="K175" s="34" t="str">
        <f t="shared" si="36"/>
        <v>4027/4028</v>
      </c>
      <c r="L175" s="34" t="str">
        <f>VLOOKUP(A175,'Trips&amp;Operators'!$C$1:$E$10000,3,FALSE)</f>
        <v>NELSON</v>
      </c>
      <c r="M175" s="6">
        <f t="shared" si="37"/>
        <v>1.1516203703649808E-2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10:36:31-0600',mode:absolute,to:'2016-07-04 10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5" s="38"/>
      <c r="X175" s="38"/>
      <c r="Y175" s="38"/>
      <c r="Z175" s="38"/>
      <c r="AA175" s="38"/>
      <c r="AB175" s="39"/>
      <c r="AC175" s="39"/>
      <c r="AD175" s="1"/>
    </row>
    <row r="176" spans="1:30" x14ac:dyDescent="0.25">
      <c r="A176" s="95" t="s">
        <v>352</v>
      </c>
      <c r="B176" s="97">
        <v>4027</v>
      </c>
      <c r="C176" s="97" t="s">
        <v>60</v>
      </c>
      <c r="D176" s="97" t="s">
        <v>598</v>
      </c>
      <c r="E176" s="98">
        <v>42555.464641203704</v>
      </c>
      <c r="F176" s="98">
        <v>42555.465798611112</v>
      </c>
      <c r="G176" s="99">
        <v>1</v>
      </c>
      <c r="H176" s="98" t="s">
        <v>212</v>
      </c>
      <c r="I176" s="98">
        <v>42555.482048611113</v>
      </c>
      <c r="J176" s="97">
        <v>1</v>
      </c>
      <c r="K176" s="34" t="str">
        <f t="shared" si="36"/>
        <v>4027/4028</v>
      </c>
      <c r="L176" s="34" t="str">
        <f>VLOOKUP(A176,'Trips&amp;Operators'!$C$1:$E$10000,3,FALSE)</f>
        <v>NELSON</v>
      </c>
      <c r="M176" s="6">
        <f t="shared" si="37"/>
        <v>1.6250000000582077E-2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11:08:05-0600',mode:absolute,to:'2016-07-04 11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6" s="38"/>
      <c r="X176" s="38"/>
      <c r="Y176" s="38"/>
      <c r="Z176" s="38"/>
      <c r="AA176" s="38"/>
      <c r="AB176" s="39"/>
      <c r="AC176" s="39"/>
      <c r="AD176" s="1"/>
    </row>
    <row r="177" spans="1:30" x14ac:dyDescent="0.25">
      <c r="A177" s="95" t="s">
        <v>383</v>
      </c>
      <c r="B177" s="97">
        <v>4028</v>
      </c>
      <c r="C177" s="97" t="s">
        <v>60</v>
      </c>
      <c r="D177" s="97" t="s">
        <v>179</v>
      </c>
      <c r="E177" s="98">
        <v>42555.48609953704</v>
      </c>
      <c r="F177" s="98">
        <v>42555.486875000002</v>
      </c>
      <c r="G177" s="99">
        <v>1</v>
      </c>
      <c r="H177" s="98" t="s">
        <v>586</v>
      </c>
      <c r="I177" s="98">
        <v>42555.495787037034</v>
      </c>
      <c r="J177" s="97">
        <v>0</v>
      </c>
      <c r="K177" s="34" t="str">
        <f t="shared" si="36"/>
        <v>4027/4028</v>
      </c>
      <c r="L177" s="34" t="str">
        <f>VLOOKUP(A177,'Trips&amp;Operators'!$C$1:$E$10000,3,FALSE)</f>
        <v>NELSON</v>
      </c>
      <c r="M177" s="6">
        <f t="shared" si="37"/>
        <v>8.9120370321325026E-3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11:38:59-0600',mode:absolute,to:'2016-07-04 11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7" s="38"/>
      <c r="X177" s="38"/>
      <c r="Y177" s="38"/>
      <c r="Z177" s="38"/>
      <c r="AA177" s="38"/>
      <c r="AB177" s="39"/>
      <c r="AC177" s="39"/>
      <c r="AD177" s="1"/>
    </row>
    <row r="178" spans="1:30" x14ac:dyDescent="0.25">
      <c r="A178" s="95" t="s">
        <v>395</v>
      </c>
      <c r="B178" s="97">
        <v>4027</v>
      </c>
      <c r="C178" s="97" t="s">
        <v>60</v>
      </c>
      <c r="D178" s="97" t="s">
        <v>602</v>
      </c>
      <c r="E178" s="98">
        <v>42555.510625000003</v>
      </c>
      <c r="F178" s="98">
        <v>42555.515208333331</v>
      </c>
      <c r="G178" s="99">
        <v>6</v>
      </c>
      <c r="H178" s="98" t="s">
        <v>603</v>
      </c>
      <c r="I178" s="98">
        <v>42555.516446759262</v>
      </c>
      <c r="J178" s="97">
        <v>0</v>
      </c>
      <c r="K178" s="34" t="str">
        <f t="shared" si="36"/>
        <v>4027/4028</v>
      </c>
      <c r="L178" s="34" t="str">
        <f>VLOOKUP(A178,'Trips&amp;Operators'!$C$1:$E$10000,3,FALSE)</f>
        <v>NELSON</v>
      </c>
      <c r="M178" s="6">
        <f t="shared" si="37"/>
        <v>1.2384259316604584E-3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12:14:18-0600',mode:absolute,to:'2016-07-04 12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8" s="38"/>
      <c r="X178" s="38"/>
      <c r="Y178" s="38"/>
      <c r="Z178" s="38"/>
      <c r="AA178" s="38"/>
      <c r="AB178" s="39"/>
      <c r="AC178" s="39"/>
      <c r="AD178" s="1"/>
    </row>
    <row r="179" spans="1:30" x14ac:dyDescent="0.25">
      <c r="A179" s="95" t="s">
        <v>385</v>
      </c>
      <c r="B179" s="97">
        <v>4028</v>
      </c>
      <c r="C179" s="97" t="s">
        <v>60</v>
      </c>
      <c r="D179" s="97" t="s">
        <v>179</v>
      </c>
      <c r="E179" s="98">
        <v>42555.526550925926</v>
      </c>
      <c r="F179" s="98">
        <v>42555.527546296296</v>
      </c>
      <c r="G179" s="99">
        <v>1</v>
      </c>
      <c r="H179" s="98" t="s">
        <v>604</v>
      </c>
      <c r="I179" s="98">
        <v>42555.537326388891</v>
      </c>
      <c r="J179" s="97">
        <v>0</v>
      </c>
      <c r="K179" s="34" t="str">
        <f t="shared" si="36"/>
        <v>4027/4028</v>
      </c>
      <c r="L179" s="34" t="str">
        <f>VLOOKUP(A179,'Trips&amp;Operators'!$C$1:$E$10000,3,FALSE)</f>
        <v>NELSON</v>
      </c>
      <c r="M179" s="6">
        <f t="shared" si="37"/>
        <v>9.7800925941555761E-3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12:37:14-0600',mode:absolute,to:'2016-07-04 12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9" s="38"/>
      <c r="X179" s="38"/>
      <c r="Y179" s="38"/>
      <c r="Z179" s="38"/>
      <c r="AA179" s="38"/>
      <c r="AB179" s="39"/>
      <c r="AC179" s="39"/>
      <c r="AD179" s="1"/>
    </row>
    <row r="180" spans="1:30" x14ac:dyDescent="0.25">
      <c r="A180" s="95" t="s">
        <v>426</v>
      </c>
      <c r="B180" s="97">
        <v>4027</v>
      </c>
      <c r="C180" s="97" t="s">
        <v>60</v>
      </c>
      <c r="D180" s="97" t="s">
        <v>605</v>
      </c>
      <c r="E180" s="98">
        <v>42555.544907407406</v>
      </c>
      <c r="F180" s="98">
        <v>42555.545949074076</v>
      </c>
      <c r="G180" s="99">
        <v>1</v>
      </c>
      <c r="H180" s="98" t="s">
        <v>606</v>
      </c>
      <c r="I180" s="98">
        <v>42555.564942129633</v>
      </c>
      <c r="J180" s="97">
        <v>0</v>
      </c>
      <c r="K180" s="34" t="str">
        <f t="shared" si="36"/>
        <v>4027/4028</v>
      </c>
      <c r="L180" s="34" t="str">
        <f>VLOOKUP(A180,'Trips&amp;Operators'!$C$1:$E$10000,3,FALSE)</f>
        <v>NELSON</v>
      </c>
      <c r="M180" s="6">
        <f t="shared" si="37"/>
        <v>1.8993055557075422E-2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13:03:40-0600',mode:absolute,to:'2016-07-04 13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0" s="38"/>
      <c r="X180" s="38"/>
      <c r="Y180" s="38"/>
      <c r="Z180" s="38"/>
      <c r="AA180" s="38"/>
      <c r="AB180" s="39"/>
      <c r="AC180" s="39"/>
      <c r="AD180" s="1"/>
    </row>
    <row r="181" spans="1:30" x14ac:dyDescent="0.25">
      <c r="A181" s="95" t="s">
        <v>362</v>
      </c>
      <c r="B181" s="97">
        <v>4028</v>
      </c>
      <c r="C181" s="97" t="s">
        <v>60</v>
      </c>
      <c r="D181" s="97" t="s">
        <v>262</v>
      </c>
      <c r="E181" s="98">
        <v>42555.56658564815</v>
      </c>
      <c r="F181" s="98">
        <v>42555.567708333336</v>
      </c>
      <c r="G181" s="99">
        <v>1</v>
      </c>
      <c r="H181" s="98" t="s">
        <v>607</v>
      </c>
      <c r="I181" s="98">
        <v>42555.57912037037</v>
      </c>
      <c r="J181" s="97">
        <v>0</v>
      </c>
      <c r="K181" s="34" t="str">
        <f t="shared" si="36"/>
        <v>4027/4028</v>
      </c>
      <c r="L181" s="34" t="str">
        <f>VLOOKUP(A181,'Trips&amp;Operators'!$C$1:$E$10000,3,FALSE)</f>
        <v>NELSON</v>
      </c>
      <c r="M181" s="6">
        <f t="shared" si="37"/>
        <v>1.1412037034460809E-2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13:34:53-0600',mode:absolute,to:'2016-07-04 13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1" s="38"/>
      <c r="X181" s="38"/>
      <c r="Y181" s="38"/>
      <c r="Z181" s="38"/>
      <c r="AA181" s="38"/>
      <c r="AB181" s="39"/>
      <c r="AC181" s="39"/>
      <c r="AD181" s="1"/>
    </row>
    <row r="182" spans="1:30" x14ac:dyDescent="0.25">
      <c r="A182" s="95" t="s">
        <v>608</v>
      </c>
      <c r="B182" s="97">
        <v>4027</v>
      </c>
      <c r="C182" s="97" t="s">
        <v>60</v>
      </c>
      <c r="D182" s="97" t="s">
        <v>609</v>
      </c>
      <c r="E182" s="98">
        <v>42555.589988425927</v>
      </c>
      <c r="F182" s="98">
        <v>42555.591249999998</v>
      </c>
      <c r="G182" s="99">
        <v>1</v>
      </c>
      <c r="H182" s="98" t="s">
        <v>610</v>
      </c>
      <c r="I182" s="98">
        <v>42555.608263888891</v>
      </c>
      <c r="J182" s="97">
        <v>3</v>
      </c>
      <c r="K182" s="34" t="str">
        <f t="shared" si="36"/>
        <v>4027/4028</v>
      </c>
      <c r="L182" s="34" t="str">
        <f>VLOOKUP(A182,'Trips&amp;Operators'!$C$1:$E$10000,3,FALSE)</f>
        <v>STRICKLAND</v>
      </c>
      <c r="M182" s="6">
        <f t="shared" si="37"/>
        <v>1.7013888893416151E-2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2" s="38"/>
      <c r="X182" s="38"/>
      <c r="Y182" s="38"/>
      <c r="Z182" s="38"/>
      <c r="AA182" s="38"/>
      <c r="AB182" s="39"/>
      <c r="AC182" s="39"/>
      <c r="AD182" s="1"/>
    </row>
    <row r="183" spans="1:30" x14ac:dyDescent="0.25">
      <c r="A183" s="95" t="s">
        <v>611</v>
      </c>
      <c r="B183" s="97">
        <v>4028</v>
      </c>
      <c r="C183" s="97" t="s">
        <v>60</v>
      </c>
      <c r="D183" s="97" t="s">
        <v>612</v>
      </c>
      <c r="E183" s="98">
        <v>42555.610636574071</v>
      </c>
      <c r="F183" s="98">
        <v>42555.612326388888</v>
      </c>
      <c r="G183" s="99">
        <v>2</v>
      </c>
      <c r="H183" s="98" t="s">
        <v>613</v>
      </c>
      <c r="I183" s="98">
        <v>42555.694803240738</v>
      </c>
      <c r="J183" s="97">
        <v>9</v>
      </c>
      <c r="K183" s="34" t="str">
        <f t="shared" si="36"/>
        <v>4027/4028</v>
      </c>
      <c r="L183" s="34" t="str">
        <f>VLOOKUP(A183,'Trips&amp;Operators'!$C$1:$E$10000,3,FALSE)</f>
        <v>STRICKLAND</v>
      </c>
      <c r="M183" s="6">
        <f t="shared" si="37"/>
        <v>8.2476851850515231E-2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3" s="38"/>
      <c r="X183" s="38"/>
      <c r="Y183" s="38"/>
      <c r="Z183" s="38"/>
      <c r="AA183" s="38"/>
      <c r="AB183" s="39"/>
      <c r="AC183" s="39"/>
      <c r="AD183" s="1"/>
    </row>
    <row r="184" spans="1:30" x14ac:dyDescent="0.25">
      <c r="A184" s="95" t="s">
        <v>614</v>
      </c>
      <c r="B184" s="97">
        <v>4027</v>
      </c>
      <c r="C184" s="97" t="s">
        <v>60</v>
      </c>
      <c r="D184" s="97" t="s">
        <v>615</v>
      </c>
      <c r="E184" s="98">
        <v>42555.626701388886</v>
      </c>
      <c r="F184" s="98">
        <v>42555.627893518518</v>
      </c>
      <c r="G184" s="99">
        <v>1</v>
      </c>
      <c r="H184" s="98" t="s">
        <v>616</v>
      </c>
      <c r="I184" s="98">
        <v>42555.65048611111</v>
      </c>
      <c r="J184" s="97">
        <v>4</v>
      </c>
      <c r="K184" s="34" t="str">
        <f t="shared" si="36"/>
        <v>4027/4028</v>
      </c>
      <c r="L184" s="34" t="str">
        <f>VLOOKUP(A184,'Trips&amp;Operators'!$C$1:$E$10000,3,FALSE)</f>
        <v>STRICKLAND</v>
      </c>
      <c r="M184" s="6">
        <f t="shared" si="37"/>
        <v>2.2592592591536231E-2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4" s="38"/>
      <c r="X184" s="38"/>
      <c r="Y184" s="38"/>
      <c r="Z184" s="38"/>
      <c r="AA184" s="38"/>
      <c r="AB184" s="39"/>
      <c r="AC184" s="39"/>
      <c r="AD184" s="1"/>
    </row>
    <row r="185" spans="1:30" x14ac:dyDescent="0.25">
      <c r="A185" s="95" t="s">
        <v>617</v>
      </c>
      <c r="B185" s="97">
        <v>4028</v>
      </c>
      <c r="C185" s="97" t="s">
        <v>60</v>
      </c>
      <c r="D185" s="97" t="s">
        <v>618</v>
      </c>
      <c r="E185" s="98">
        <v>42555.651331018518</v>
      </c>
      <c r="F185" s="98">
        <v>42555.653854166667</v>
      </c>
      <c r="G185" s="99">
        <v>3</v>
      </c>
      <c r="H185" s="98" t="s">
        <v>613</v>
      </c>
      <c r="I185" s="98">
        <v>42555.694803240738</v>
      </c>
      <c r="J185" s="97">
        <v>3</v>
      </c>
      <c r="K185" s="34" t="str">
        <f t="shared" si="36"/>
        <v>4027/4028</v>
      </c>
      <c r="L185" s="34" t="str">
        <f>VLOOKUP(A185,'Trips&amp;Operators'!$C$1:$E$10000,3,FALSE)</f>
        <v>STRICKLAND</v>
      </c>
      <c r="M185" s="6">
        <f t="shared" si="37"/>
        <v>4.0949074071249925E-2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5" s="38"/>
      <c r="X185" s="38"/>
      <c r="Y185" s="38"/>
      <c r="Z185" s="38"/>
      <c r="AA185" s="38"/>
      <c r="AB185" s="39"/>
      <c r="AC185" s="39"/>
      <c r="AD185" s="1"/>
    </row>
    <row r="186" spans="1:30" x14ac:dyDescent="0.25">
      <c r="A186" s="95" t="s">
        <v>619</v>
      </c>
      <c r="B186" s="97">
        <v>4044</v>
      </c>
      <c r="C186" s="97" t="s">
        <v>60</v>
      </c>
      <c r="D186" s="97" t="s">
        <v>620</v>
      </c>
      <c r="E186" s="98">
        <v>42555.665266203701</v>
      </c>
      <c r="F186" s="98">
        <v>42555.667210648149</v>
      </c>
      <c r="G186" s="99">
        <v>2</v>
      </c>
      <c r="H186" s="98" t="s">
        <v>621</v>
      </c>
      <c r="I186" s="98">
        <v>42555.678310185183</v>
      </c>
      <c r="J186" s="97">
        <v>1</v>
      </c>
      <c r="K186" s="34" t="str">
        <f t="shared" si="36"/>
        <v>4043/4044</v>
      </c>
      <c r="L186" s="34" t="str">
        <f>VLOOKUP(A186,'Trips&amp;Operators'!$C$1:$E$10000,3,FALSE)</f>
        <v>ALONZO</v>
      </c>
      <c r="M186" s="6">
        <f t="shared" si="37"/>
        <v>1.1099537034169771E-2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6" s="38"/>
      <c r="X186" s="38"/>
      <c r="Y186" s="38"/>
      <c r="Z186" s="38"/>
      <c r="AA186" s="38"/>
      <c r="AB186" s="39"/>
      <c r="AC186" s="39"/>
      <c r="AD186" s="1"/>
    </row>
    <row r="187" spans="1:30" x14ac:dyDescent="0.25">
      <c r="A187" s="95" t="s">
        <v>619</v>
      </c>
      <c r="B187" s="97">
        <v>4044</v>
      </c>
      <c r="C187" s="97" t="s">
        <v>60</v>
      </c>
      <c r="D187" s="97" t="s">
        <v>622</v>
      </c>
      <c r="E187" s="98">
        <v>42555.665266203701</v>
      </c>
      <c r="F187" s="98">
        <v>42555.668310185189</v>
      </c>
      <c r="G187" s="99">
        <v>4</v>
      </c>
      <c r="H187" s="98" t="s">
        <v>621</v>
      </c>
      <c r="I187" s="98">
        <v>42555.678310185183</v>
      </c>
      <c r="J187" s="97">
        <v>1</v>
      </c>
      <c r="K187" s="34" t="str">
        <f t="shared" si="36"/>
        <v>4043/4044</v>
      </c>
      <c r="L187" s="34" t="str">
        <f>VLOOKUP(A187,'Trips&amp;Operators'!$C$1:$E$10000,3,FALSE)</f>
        <v>ALONZO</v>
      </c>
      <c r="M187" s="6">
        <f t="shared" si="37"/>
        <v>9.9999999947613105E-3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7" s="38"/>
      <c r="X187" s="38"/>
      <c r="Y187" s="38"/>
      <c r="Z187" s="38"/>
      <c r="AA187" s="38"/>
      <c r="AB187" s="39"/>
      <c r="AC187" s="39"/>
      <c r="AD187" s="1"/>
    </row>
    <row r="188" spans="1:30" x14ac:dyDescent="0.25">
      <c r="A188" s="95" t="s">
        <v>623</v>
      </c>
      <c r="B188" s="97">
        <v>4043</v>
      </c>
      <c r="C188" s="97" t="s">
        <v>60</v>
      </c>
      <c r="D188" s="97" t="s">
        <v>624</v>
      </c>
      <c r="E188" s="98">
        <v>42555.679386574076</v>
      </c>
      <c r="F188" s="98">
        <v>42555.680648148147</v>
      </c>
      <c r="G188" s="99">
        <v>1</v>
      </c>
      <c r="H188" s="98" t="s">
        <v>625</v>
      </c>
      <c r="I188" s="98">
        <v>42555.689780092594</v>
      </c>
      <c r="J188" s="97">
        <v>0</v>
      </c>
      <c r="K188" s="34" t="str">
        <f t="shared" si="36"/>
        <v>4043/4044</v>
      </c>
      <c r="L188" s="34" t="str">
        <f>VLOOKUP(A188,'Trips&amp;Operators'!$C$1:$E$10000,3,FALSE)</f>
        <v>ALONZO</v>
      </c>
      <c r="M188" s="6">
        <f t="shared" si="37"/>
        <v>9.1319444472901523E-3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16:17:19-0600',mode:absolute,to:'2016-07-04 16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8" s="38"/>
      <c r="X188" s="38"/>
      <c r="Y188" s="38"/>
      <c r="Z188" s="38"/>
      <c r="AA188" s="38"/>
      <c r="AB188" s="39"/>
      <c r="AC188" s="39"/>
      <c r="AD188" s="1"/>
    </row>
    <row r="189" spans="1:30" x14ac:dyDescent="0.25">
      <c r="A189" s="95" t="s">
        <v>626</v>
      </c>
      <c r="B189" s="97">
        <v>4027</v>
      </c>
      <c r="C189" s="97" t="s">
        <v>60</v>
      </c>
      <c r="D189" s="97" t="s">
        <v>627</v>
      </c>
      <c r="E189" s="98">
        <v>42555.672430555554</v>
      </c>
      <c r="F189" s="98">
        <v>42555.673379629632</v>
      </c>
      <c r="G189" s="99">
        <v>1</v>
      </c>
      <c r="H189" s="98" t="s">
        <v>628</v>
      </c>
      <c r="I189" s="98">
        <v>42555.692546296297</v>
      </c>
      <c r="J189" s="97">
        <v>1</v>
      </c>
      <c r="K189" s="34" t="str">
        <f t="shared" si="36"/>
        <v>4027/4028</v>
      </c>
      <c r="L189" s="34" t="str">
        <f>VLOOKUP(A189,'Trips&amp;Operators'!$C$1:$E$10000,3,FALSE)</f>
        <v>STRICKLAND</v>
      </c>
      <c r="M189" s="6">
        <f t="shared" si="37"/>
        <v>1.9166666665114462E-2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16:07:18-0600',mode:absolute,to:'2016-07-04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9" s="38"/>
      <c r="X189" s="38"/>
      <c r="Y189" s="38"/>
      <c r="Z189" s="38"/>
      <c r="AA189" s="38"/>
      <c r="AB189" s="39"/>
      <c r="AC189" s="39"/>
      <c r="AD189" s="1"/>
    </row>
    <row r="190" spans="1:30" x14ac:dyDescent="0.25">
      <c r="A190" s="95" t="s">
        <v>629</v>
      </c>
      <c r="B190" s="97">
        <v>4028</v>
      </c>
      <c r="C190" s="97" t="s">
        <v>60</v>
      </c>
      <c r="D190" s="97" t="s">
        <v>630</v>
      </c>
      <c r="E190" s="98">
        <v>42555.693368055552</v>
      </c>
      <c r="F190" s="98">
        <v>42555.694374999999</v>
      </c>
      <c r="G190" s="99">
        <v>1</v>
      </c>
      <c r="H190" s="98" t="s">
        <v>613</v>
      </c>
      <c r="I190" s="98">
        <v>42555.694803240738</v>
      </c>
      <c r="J190" s="97">
        <v>0</v>
      </c>
      <c r="K190" s="34" t="str">
        <f t="shared" si="36"/>
        <v>4027/4028</v>
      </c>
      <c r="L190" s="34" t="str">
        <f>VLOOKUP(A190,'Trips&amp;Operators'!$C$1:$E$10000,3,FALSE)</f>
        <v>STRICKLAND</v>
      </c>
      <c r="M190" s="6">
        <f t="shared" si="37"/>
        <v>4.2824073898373172E-4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0" s="38"/>
      <c r="X190" s="38"/>
      <c r="Y190" s="38"/>
      <c r="Z190" s="38"/>
      <c r="AA190" s="38"/>
      <c r="AB190" s="39"/>
      <c r="AC190" s="39"/>
      <c r="AD190" s="1"/>
    </row>
    <row r="191" spans="1:30" x14ac:dyDescent="0.25">
      <c r="A191" s="95" t="s">
        <v>629</v>
      </c>
      <c r="B191" s="97">
        <v>4028</v>
      </c>
      <c r="C191" s="97" t="s">
        <v>60</v>
      </c>
      <c r="D191" s="97" t="s">
        <v>631</v>
      </c>
      <c r="E191" s="98">
        <v>42555.696979166663</v>
      </c>
      <c r="F191" s="98">
        <v>42555.698067129626</v>
      </c>
      <c r="G191" s="99">
        <v>1</v>
      </c>
      <c r="H191" s="98" t="s">
        <v>632</v>
      </c>
      <c r="I191" s="98">
        <v>42555.709120370368</v>
      </c>
      <c r="J191" s="97">
        <v>2</v>
      </c>
      <c r="K191" s="34" t="str">
        <f t="shared" si="36"/>
        <v>4027/4028</v>
      </c>
      <c r="L191" s="34" t="str">
        <f>VLOOKUP(A191,'Trips&amp;Operators'!$C$1:$E$10000,3,FALSE)</f>
        <v>STRICKLAND</v>
      </c>
      <c r="M191" s="6">
        <f t="shared" si="37"/>
        <v>1.1053240741603076E-2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16:42:39-0600',mode:absolute,to:'2016-07-04 17:02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38"/>
      <c r="X191" s="38"/>
      <c r="Y191" s="38"/>
      <c r="Z191" s="38"/>
      <c r="AA191" s="38"/>
      <c r="AB191" s="39"/>
      <c r="AC191" s="39"/>
      <c r="AD191" s="1"/>
    </row>
    <row r="192" spans="1:30" x14ac:dyDescent="0.25">
      <c r="A192" s="77" t="s">
        <v>633</v>
      </c>
      <c r="B192" s="51">
        <v>4044</v>
      </c>
      <c r="C192" s="51" t="s">
        <v>60</v>
      </c>
      <c r="D192" s="51" t="s">
        <v>634</v>
      </c>
      <c r="E192" s="70">
        <v>42555.692476851851</v>
      </c>
      <c r="F192" s="70">
        <v>42555.693449074075</v>
      </c>
      <c r="G192" s="71">
        <v>1</v>
      </c>
      <c r="H192" s="70" t="s">
        <v>270</v>
      </c>
      <c r="I192" s="70">
        <v>42555.711585648147</v>
      </c>
      <c r="J192" s="51">
        <v>0</v>
      </c>
      <c r="K192" s="34" t="str">
        <f t="shared" ref="K192:K209" si="39">IF(ISEVEN(B192),(B192-1)&amp;"/"&amp;B192,B192&amp;"/"&amp;(B192+1))</f>
        <v>4043/4044</v>
      </c>
      <c r="L192" s="34" t="str">
        <f>VLOOKUP(A192,'Trips&amp;Operators'!$C$1:$E$10000,3,FALSE)</f>
        <v>ALONZO</v>
      </c>
      <c r="M192" s="6">
        <f t="shared" ref="M192:M209" si="40">I192-F192</f>
        <v>1.8136574071832001E-2</v>
      </c>
      <c r="N192" s="7"/>
      <c r="O192" s="7"/>
      <c r="P192" s="7"/>
      <c r="Q192" s="35"/>
      <c r="R192" s="35"/>
      <c r="S192" s="59"/>
      <c r="T192" s="1"/>
      <c r="U192" s="1"/>
      <c r="V192" s="38" t="str">
        <f t="shared" ref="V192:V209" si="41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https://search-rtdc-monitor-bjffxe2xuh6vdkpspy63sjmuny.us-east-1.es.amazonaws.com/_plugin/kibana/#/discover/Steve-Slow-Train-Analysis-(2080s-and-2083s)?_g=(refreshInterval:(display:Off,section:0,value:0),time:(from:'2016-07-04 16:36:10-0600',mode:absolute,to:'2016-07-04 17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AD192" s="1"/>
    </row>
    <row r="193" spans="1:30" x14ac:dyDescent="0.25">
      <c r="A193" s="77" t="s">
        <v>635</v>
      </c>
      <c r="B193" s="51">
        <v>4043</v>
      </c>
      <c r="C193" s="51" t="s">
        <v>60</v>
      </c>
      <c r="D193" s="51" t="s">
        <v>278</v>
      </c>
      <c r="E193" s="70">
        <v>42555.712708333333</v>
      </c>
      <c r="F193" s="70">
        <v>42555.713842592595</v>
      </c>
      <c r="G193" s="71">
        <v>1</v>
      </c>
      <c r="H193" s="70" t="s">
        <v>636</v>
      </c>
      <c r="I193" s="70">
        <v>42555.725613425922</v>
      </c>
      <c r="J193" s="51">
        <v>0</v>
      </c>
      <c r="K193" s="34" t="str">
        <f t="shared" si="39"/>
        <v>4043/4044</v>
      </c>
      <c r="L193" s="34" t="str">
        <f>VLOOKUP(A193,'Trips&amp;Operators'!$C$1:$E$10000,3,FALSE)</f>
        <v>ALONZO</v>
      </c>
      <c r="M193" s="6">
        <f t="shared" si="40"/>
        <v>1.1770833327318542E-2</v>
      </c>
      <c r="N193" s="7"/>
      <c r="O193" s="7"/>
      <c r="P193" s="7"/>
      <c r="Q193" s="35"/>
      <c r="R193" s="35"/>
      <c r="S193" s="59"/>
      <c r="T193" s="1"/>
      <c r="U193" s="1"/>
      <c r="V193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17:05:18-0600',mode:absolute,to:'2016-07-04 17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AD193" s="1"/>
    </row>
    <row r="194" spans="1:30" x14ac:dyDescent="0.25">
      <c r="A194" s="77" t="s">
        <v>637</v>
      </c>
      <c r="B194" s="51">
        <v>4027</v>
      </c>
      <c r="C194" s="51" t="s">
        <v>60</v>
      </c>
      <c r="D194" s="51" t="s">
        <v>638</v>
      </c>
      <c r="E194" s="70">
        <v>42555.712592592594</v>
      </c>
      <c r="F194" s="70">
        <v>42555.714270833334</v>
      </c>
      <c r="G194" s="71">
        <v>2</v>
      </c>
      <c r="H194" s="70" t="s">
        <v>639</v>
      </c>
      <c r="I194" s="70">
        <v>42555.734895833331</v>
      </c>
      <c r="J194" s="51">
        <v>4</v>
      </c>
      <c r="K194" s="34" t="str">
        <f t="shared" si="39"/>
        <v>4027/4028</v>
      </c>
      <c r="L194" s="34" t="str">
        <f>VLOOKUP(A194,'Trips&amp;Operators'!$C$1:$E$10000,3,FALSE)</f>
        <v>STRICKLAND</v>
      </c>
      <c r="M194" s="6">
        <f t="shared" si="40"/>
        <v>2.0624999997380655E-2</v>
      </c>
      <c r="N194" s="7"/>
      <c r="O194" s="7"/>
      <c r="P194" s="7"/>
      <c r="Q194" s="35"/>
      <c r="R194" s="35"/>
      <c r="S194" s="59"/>
      <c r="T194" s="1"/>
      <c r="U194" s="1"/>
      <c r="V194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AD194" s="1"/>
    </row>
    <row r="195" spans="1:30" x14ac:dyDescent="0.25">
      <c r="A195" s="77" t="s">
        <v>640</v>
      </c>
      <c r="B195" s="51">
        <v>4028</v>
      </c>
      <c r="C195" s="51" t="s">
        <v>60</v>
      </c>
      <c r="D195" s="51" t="s">
        <v>641</v>
      </c>
      <c r="E195" s="70">
        <v>42555.73537037037</v>
      </c>
      <c r="F195" s="70">
        <v>42555.736458333333</v>
      </c>
      <c r="G195" s="71">
        <v>1</v>
      </c>
      <c r="H195" s="70" t="s">
        <v>642</v>
      </c>
      <c r="I195" s="70">
        <v>42555.789097222223</v>
      </c>
      <c r="J195" s="51">
        <v>7</v>
      </c>
      <c r="K195" s="34" t="str">
        <f t="shared" si="39"/>
        <v>4027/4028</v>
      </c>
      <c r="L195" s="34" t="str">
        <f>VLOOKUP(A195,'Trips&amp;Operators'!$C$1:$E$10000,3,FALSE)</f>
        <v>STRICKLAND</v>
      </c>
      <c r="M195" s="6">
        <f t="shared" si="40"/>
        <v>5.263888889021473E-2</v>
      </c>
      <c r="N195" s="7"/>
      <c r="O195" s="7"/>
      <c r="P195" s="7"/>
      <c r="Q195" s="35"/>
      <c r="R195" s="35"/>
      <c r="S195" s="59"/>
      <c r="T195" s="1"/>
      <c r="U195" s="1"/>
      <c r="V195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AD195" s="1"/>
    </row>
    <row r="196" spans="1:30" x14ac:dyDescent="0.25">
      <c r="A196" s="77" t="s">
        <v>643</v>
      </c>
      <c r="B196" s="51">
        <v>4044</v>
      </c>
      <c r="C196" s="51" t="s">
        <v>60</v>
      </c>
      <c r="D196" s="51" t="s">
        <v>586</v>
      </c>
      <c r="E196" s="70">
        <v>42555.738842592589</v>
      </c>
      <c r="F196" s="70">
        <v>42555.739722222221</v>
      </c>
      <c r="G196" s="71">
        <v>1</v>
      </c>
      <c r="H196" s="70" t="s">
        <v>644</v>
      </c>
      <c r="I196" s="70">
        <v>42555.753101851849</v>
      </c>
      <c r="J196" s="51">
        <v>1</v>
      </c>
      <c r="K196" s="34" t="str">
        <f t="shared" si="39"/>
        <v>4043/4044</v>
      </c>
      <c r="L196" s="34" t="str">
        <f>VLOOKUP(A196,'Trips&amp;Operators'!$C$1:$E$10000,3,FALSE)</f>
        <v>ALONZO</v>
      </c>
      <c r="M196" s="6">
        <f t="shared" si="40"/>
        <v>1.3379629628616385E-2</v>
      </c>
      <c r="N196" s="7"/>
      <c r="O196" s="7"/>
      <c r="P196" s="7"/>
      <c r="Q196" s="35"/>
      <c r="R196" s="35"/>
      <c r="S196" s="59"/>
      <c r="T196" s="1"/>
      <c r="U196" s="1"/>
      <c r="V196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17:42:56-0600',mode:absolute,to:'2016-07-04 18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197" spans="1:30" x14ac:dyDescent="0.25">
      <c r="A197" s="77" t="s">
        <v>645</v>
      </c>
      <c r="B197" s="51">
        <v>4043</v>
      </c>
      <c r="C197" s="51" t="s">
        <v>60</v>
      </c>
      <c r="D197" s="51" t="s">
        <v>646</v>
      </c>
      <c r="E197" s="70">
        <v>42555.754351851851</v>
      </c>
      <c r="F197" s="70">
        <v>42555.755162037036</v>
      </c>
      <c r="G197" s="71">
        <v>1</v>
      </c>
      <c r="H197" s="70" t="s">
        <v>647</v>
      </c>
      <c r="I197" s="70">
        <v>42555.76767361111</v>
      </c>
      <c r="J197" s="51">
        <v>0</v>
      </c>
      <c r="K197" s="34" t="str">
        <f t="shared" si="39"/>
        <v>4043/4044</v>
      </c>
      <c r="L197" s="34" t="str">
        <f>VLOOKUP(A197,'Trips&amp;Operators'!$C$1:$E$10000,3,FALSE)</f>
        <v>ALONZO</v>
      </c>
      <c r="M197" s="6">
        <f t="shared" si="40"/>
        <v>1.2511574073869269E-2</v>
      </c>
      <c r="N197" s="7"/>
      <c r="O197" s="7"/>
      <c r="P197" s="7"/>
      <c r="Q197" s="35"/>
      <c r="R197" s="35"/>
      <c r="S197" s="59"/>
      <c r="T197" s="1"/>
      <c r="U197" s="1"/>
      <c r="V197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18:05:16-0600',mode:absolute,to:'2016-07-04 18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98" spans="1:30" x14ac:dyDescent="0.25">
      <c r="A198" s="77" t="s">
        <v>648</v>
      </c>
      <c r="B198" s="51">
        <v>4027</v>
      </c>
      <c r="C198" s="51" t="s">
        <v>60</v>
      </c>
      <c r="D198" s="51" t="s">
        <v>649</v>
      </c>
      <c r="E198" s="70">
        <v>42555.75545138889</v>
      </c>
      <c r="F198" s="70">
        <v>42555.756666666668</v>
      </c>
      <c r="G198" s="71">
        <v>1</v>
      </c>
      <c r="H198" s="70" t="s">
        <v>650</v>
      </c>
      <c r="I198" s="70">
        <v>42555.788402777776</v>
      </c>
      <c r="J198" s="51">
        <v>4</v>
      </c>
      <c r="K198" s="34" t="str">
        <f t="shared" si="39"/>
        <v>4027/4028</v>
      </c>
      <c r="L198" s="34" t="str">
        <f>VLOOKUP(A198,'Trips&amp;Operators'!$C$1:$E$10000,3,FALSE)</f>
        <v>STRICKLAND</v>
      </c>
      <c r="M198" s="6">
        <f t="shared" si="40"/>
        <v>3.1736111108330078E-2</v>
      </c>
      <c r="N198" s="7"/>
      <c r="O198" s="7"/>
      <c r="P198" s="7"/>
      <c r="Q198" s="35"/>
      <c r="R198" s="35"/>
      <c r="S198" s="59"/>
      <c r="T198" s="1"/>
      <c r="U198" s="1"/>
      <c r="V198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199" spans="1:30" x14ac:dyDescent="0.25">
      <c r="A199" s="77" t="s">
        <v>651</v>
      </c>
      <c r="B199" s="51">
        <v>4028</v>
      </c>
      <c r="C199" s="51" t="s">
        <v>60</v>
      </c>
      <c r="D199" s="51" t="s">
        <v>180</v>
      </c>
      <c r="E199" s="70">
        <v>42555.778113425928</v>
      </c>
      <c r="F199" s="70">
        <v>42555.779293981483</v>
      </c>
      <c r="G199" s="71">
        <v>1</v>
      </c>
      <c r="H199" s="70" t="s">
        <v>642</v>
      </c>
      <c r="I199" s="70">
        <v>42555.789097222223</v>
      </c>
      <c r="J199" s="51">
        <v>0</v>
      </c>
      <c r="K199" s="34" t="str">
        <f t="shared" si="39"/>
        <v>4027/4028</v>
      </c>
      <c r="L199" s="34" t="str">
        <f>VLOOKUP(A199,'Trips&amp;Operators'!$C$1:$E$10000,3,FALSE)</f>
        <v>STRICKLAND</v>
      </c>
      <c r="M199" s="6">
        <f t="shared" si="40"/>
        <v>9.8032407404389232E-3</v>
      </c>
      <c r="N199" s="7"/>
      <c r="O199" s="7"/>
      <c r="P199" s="7"/>
      <c r="Q199" s="35"/>
      <c r="R199" s="35"/>
      <c r="S199" s="59"/>
      <c r="T199" s="1"/>
      <c r="U199" s="1"/>
      <c r="V199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18:39:29-0600',mode:absolute,to:'2016-07-04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0" spans="1:30" x14ac:dyDescent="0.25">
      <c r="A200" s="77" t="s">
        <v>652</v>
      </c>
      <c r="B200" s="51">
        <v>4044</v>
      </c>
      <c r="C200" s="51" t="s">
        <v>60</v>
      </c>
      <c r="D200" s="51" t="s">
        <v>653</v>
      </c>
      <c r="E200" s="70">
        <v>42555.7812962963</v>
      </c>
      <c r="F200" s="70">
        <v>42555.782314814816</v>
      </c>
      <c r="G200" s="71">
        <v>1</v>
      </c>
      <c r="H200" s="70" t="s">
        <v>591</v>
      </c>
      <c r="I200" s="70">
        <v>42555.794618055559</v>
      </c>
      <c r="J200" s="51">
        <v>0</v>
      </c>
      <c r="K200" s="34" t="str">
        <f t="shared" si="39"/>
        <v>4043/4044</v>
      </c>
      <c r="L200" s="34" t="str">
        <f>VLOOKUP(A200,'Trips&amp;Operators'!$C$1:$E$10000,3,FALSE)</f>
        <v>ALONZO</v>
      </c>
      <c r="M200" s="6">
        <f t="shared" si="40"/>
        <v>1.230324074276723E-2</v>
      </c>
      <c r="N200" s="7"/>
      <c r="O200" s="7"/>
      <c r="P200" s="7"/>
      <c r="Q200" s="35"/>
      <c r="R200" s="35"/>
      <c r="S200" s="59"/>
      <c r="T200" s="1"/>
      <c r="U200" s="1"/>
      <c r="V200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18:44:04-0600',mode:absolute,to:'2016-07-04 19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01" spans="1:30" x14ac:dyDescent="0.25">
      <c r="A201" s="77" t="s">
        <v>654</v>
      </c>
      <c r="B201" s="51">
        <v>4028</v>
      </c>
      <c r="C201" s="51" t="s">
        <v>60</v>
      </c>
      <c r="D201" s="51" t="s">
        <v>179</v>
      </c>
      <c r="E201" s="70">
        <v>42555.817245370374</v>
      </c>
      <c r="F201" s="70">
        <v>42555.818229166667</v>
      </c>
      <c r="G201" s="71">
        <v>1</v>
      </c>
      <c r="H201" s="70" t="s">
        <v>655</v>
      </c>
      <c r="I201" s="70">
        <v>42555.830428240741</v>
      </c>
      <c r="J201" s="51">
        <v>0</v>
      </c>
      <c r="K201" s="34" t="str">
        <f t="shared" si="39"/>
        <v>4027/4028</v>
      </c>
      <c r="L201" s="34" t="str">
        <f>VLOOKUP(A201,'Trips&amp;Operators'!$C$1:$E$10000,3,FALSE)</f>
        <v>STRICKLAND</v>
      </c>
      <c r="M201" s="6">
        <f t="shared" si="40"/>
        <v>1.2199074073578231E-2</v>
      </c>
      <c r="N201" s="7"/>
      <c r="O201" s="7"/>
      <c r="P201" s="7"/>
      <c r="Q201" s="35"/>
      <c r="R201" s="35"/>
      <c r="S201" s="59"/>
      <c r="T201" s="1"/>
      <c r="U201" s="1"/>
      <c r="V201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19:35:50-0600',mode:absolute,to:'2016-07-04 19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2" spans="1:30" x14ac:dyDescent="0.25">
      <c r="A202" s="77" t="s">
        <v>656</v>
      </c>
      <c r="B202" s="51">
        <v>4027</v>
      </c>
      <c r="C202" s="51" t="s">
        <v>60</v>
      </c>
      <c r="D202" s="51" t="s">
        <v>657</v>
      </c>
      <c r="E202" s="70">
        <v>42555.797083333331</v>
      </c>
      <c r="F202" s="70">
        <v>42555.798368055555</v>
      </c>
      <c r="G202" s="71">
        <v>1</v>
      </c>
      <c r="H202" s="70" t="s">
        <v>606</v>
      </c>
      <c r="I202" s="70">
        <v>42555.816192129627</v>
      </c>
      <c r="J202" s="51">
        <v>0</v>
      </c>
      <c r="K202" s="34" t="str">
        <f t="shared" si="39"/>
        <v>4027/4028</v>
      </c>
      <c r="L202" s="34" t="str">
        <f>VLOOKUP(A202,'Trips&amp;Operators'!$C$1:$E$10000,3,FALSE)</f>
        <v>STRICKLAND</v>
      </c>
      <c r="M202" s="6">
        <f t="shared" si="40"/>
        <v>1.7824074071540963E-2</v>
      </c>
      <c r="N202" s="7"/>
      <c r="O202" s="7"/>
      <c r="P202" s="7"/>
      <c r="Q202" s="35"/>
      <c r="R202" s="35"/>
      <c r="S202" s="59"/>
      <c r="T202" s="1"/>
      <c r="U202" s="1"/>
      <c r="V202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19:06:48-0600',mode:absolute,to:'2016-07-04 19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3" spans="1:30" x14ac:dyDescent="0.25">
      <c r="A203" s="77" t="s">
        <v>658</v>
      </c>
      <c r="B203" s="51">
        <v>4028</v>
      </c>
      <c r="C203" s="51" t="s">
        <v>60</v>
      </c>
      <c r="D203" s="51" t="s">
        <v>659</v>
      </c>
      <c r="E203" s="70">
        <v>42555.859780092593</v>
      </c>
      <c r="F203" s="70">
        <v>42555.860682870371</v>
      </c>
      <c r="G203" s="71">
        <v>1</v>
      </c>
      <c r="H203" s="70" t="s">
        <v>460</v>
      </c>
      <c r="I203" s="70">
        <v>42555.873865740738</v>
      </c>
      <c r="J203" s="51">
        <v>1</v>
      </c>
      <c r="K203" s="34" t="str">
        <f t="shared" si="39"/>
        <v>4027/4028</v>
      </c>
      <c r="L203" s="34" t="str">
        <f>VLOOKUP(A203,'Trips&amp;Operators'!$C$1:$E$10000,3,FALSE)</f>
        <v>STRICKLAND</v>
      </c>
      <c r="M203" s="6">
        <f t="shared" si="40"/>
        <v>1.318287036701804E-2</v>
      </c>
      <c r="N203" s="7"/>
      <c r="O203" s="7"/>
      <c r="P203" s="7"/>
      <c r="Q203" s="35"/>
      <c r="R203" s="35"/>
      <c r="S203" s="59"/>
      <c r="T203" s="1"/>
      <c r="U203" s="1"/>
      <c r="V203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20:37:05-0600',mode:absolute,to:'2016-07-04 20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4" spans="1:30" x14ac:dyDescent="0.25">
      <c r="A204" s="77" t="s">
        <v>660</v>
      </c>
      <c r="B204" s="51">
        <v>4027</v>
      </c>
      <c r="C204" s="51" t="s">
        <v>60</v>
      </c>
      <c r="D204" s="51" t="s">
        <v>661</v>
      </c>
      <c r="E204" s="70">
        <v>42555.842916666668</v>
      </c>
      <c r="F204" s="70">
        <v>42555.843784722223</v>
      </c>
      <c r="G204" s="71">
        <v>1</v>
      </c>
      <c r="H204" s="70" t="s">
        <v>662</v>
      </c>
      <c r="I204" s="70">
        <v>42555.858773148146</v>
      </c>
      <c r="J204" s="51">
        <v>0</v>
      </c>
      <c r="K204" s="34" t="str">
        <f t="shared" si="39"/>
        <v>4027/4028</v>
      </c>
      <c r="L204" s="34" t="str">
        <f>VLOOKUP(A204,'Trips&amp;Operators'!$C$1:$E$10000,3,FALSE)</f>
        <v>STRICKLAND</v>
      </c>
      <c r="M204" s="6">
        <f t="shared" si="40"/>
        <v>1.4988425922638271E-2</v>
      </c>
      <c r="N204" s="7"/>
      <c r="O204" s="7"/>
      <c r="P204" s="7"/>
      <c r="Q204" s="35"/>
      <c r="R204" s="35"/>
      <c r="S204" s="59"/>
      <c r="T204" s="1"/>
      <c r="U204" s="1"/>
      <c r="V204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20:12:48-0600',mode:absolute,to:'2016-07-04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5" spans="1:30" x14ac:dyDescent="0.25">
      <c r="A205" s="77" t="s">
        <v>663</v>
      </c>
      <c r="B205" s="51">
        <v>4028</v>
      </c>
      <c r="C205" s="51" t="s">
        <v>60</v>
      </c>
      <c r="D205" s="51" t="s">
        <v>664</v>
      </c>
      <c r="E205" s="70">
        <v>42555.900590277779</v>
      </c>
      <c r="F205" s="70">
        <v>42555.90152777778</v>
      </c>
      <c r="G205" s="71">
        <v>1</v>
      </c>
      <c r="H205" s="70" t="s">
        <v>665</v>
      </c>
      <c r="I205" s="70">
        <v>42555.913437499999</v>
      </c>
      <c r="J205" s="51">
        <v>2</v>
      </c>
      <c r="K205" s="34" t="str">
        <f t="shared" si="39"/>
        <v>4027/4028</v>
      </c>
      <c r="L205" s="34" t="str">
        <f>VLOOKUP(A205,'Trips&amp;Operators'!$C$1:$E$10000,3,FALSE)</f>
        <v>STRICKLAND</v>
      </c>
      <c r="M205" s="6">
        <f t="shared" si="40"/>
        <v>1.190972221957054E-2</v>
      </c>
      <c r="N205" s="7"/>
      <c r="O205" s="7"/>
      <c r="P205" s="7"/>
      <c r="Q205" s="35"/>
      <c r="R205" s="35"/>
      <c r="S205" s="59"/>
      <c r="T205" s="1"/>
      <c r="U205" s="1"/>
      <c r="V205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6" spans="1:30" x14ac:dyDescent="0.25">
      <c r="A206" s="77" t="s">
        <v>666</v>
      </c>
      <c r="B206" s="51">
        <v>4027</v>
      </c>
      <c r="C206" s="51" t="s">
        <v>60</v>
      </c>
      <c r="D206" s="51" t="s">
        <v>667</v>
      </c>
      <c r="E206" s="70">
        <v>42555.883171296293</v>
      </c>
      <c r="F206" s="70">
        <v>42555.884560185186</v>
      </c>
      <c r="G206" s="71">
        <v>1</v>
      </c>
      <c r="H206" s="70" t="s">
        <v>668</v>
      </c>
      <c r="I206" s="70">
        <v>42555.899791666663</v>
      </c>
      <c r="J206" s="51">
        <v>2</v>
      </c>
      <c r="K206" s="34" t="str">
        <f t="shared" si="39"/>
        <v>4027/4028</v>
      </c>
      <c r="L206" s="34" t="str">
        <f>VLOOKUP(A206,'Trips&amp;Operators'!$C$1:$E$10000,3,FALSE)</f>
        <v>STRICKLAND</v>
      </c>
      <c r="M206" s="6">
        <f t="shared" si="40"/>
        <v>1.523148147680331E-2</v>
      </c>
      <c r="N206" s="7"/>
      <c r="O206" s="7"/>
      <c r="P206" s="7"/>
      <c r="Q206" s="35"/>
      <c r="R206" s="35"/>
      <c r="S206" s="59"/>
      <c r="T206" s="1"/>
      <c r="U206" s="1"/>
      <c r="V206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7" spans="1:30" x14ac:dyDescent="0.25">
      <c r="A207" s="77" t="s">
        <v>669</v>
      </c>
      <c r="B207" s="51">
        <v>4027</v>
      </c>
      <c r="C207" s="51" t="s">
        <v>60</v>
      </c>
      <c r="D207" s="51" t="s">
        <v>670</v>
      </c>
      <c r="E207" s="70">
        <v>42555.923402777778</v>
      </c>
      <c r="F207" s="70">
        <v>42555.924270833333</v>
      </c>
      <c r="G207" s="71">
        <v>1</v>
      </c>
      <c r="H207" s="70" t="s">
        <v>671</v>
      </c>
      <c r="I207" s="70">
        <v>42555.941620370373</v>
      </c>
      <c r="J207" s="51">
        <v>3</v>
      </c>
      <c r="K207" s="34" t="str">
        <f t="shared" si="39"/>
        <v>4027/4028</v>
      </c>
      <c r="L207" s="34" t="str">
        <f>VLOOKUP(A207,'Trips&amp;Operators'!$C$1:$E$10000,3,FALSE)</f>
        <v>STRICKLAND</v>
      </c>
      <c r="M207" s="6">
        <f t="shared" si="40"/>
        <v>1.7349537039990537E-2</v>
      </c>
      <c r="N207" s="7"/>
      <c r="O207" s="7"/>
      <c r="P207" s="7"/>
      <c r="Q207" s="35"/>
      <c r="R207" s="35"/>
      <c r="S207" s="59"/>
      <c r="T207" s="1"/>
      <c r="U207" s="1"/>
      <c r="V207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8" spans="1:30" x14ac:dyDescent="0.25">
      <c r="A208" s="77" t="s">
        <v>324</v>
      </c>
      <c r="B208" s="51">
        <v>4007</v>
      </c>
      <c r="C208" s="51" t="s">
        <v>60</v>
      </c>
      <c r="D208" s="51" t="s">
        <v>672</v>
      </c>
      <c r="E208" s="70">
        <v>42555.207268518519</v>
      </c>
      <c r="F208" s="70">
        <v>42555.210300925923</v>
      </c>
      <c r="G208" s="71">
        <v>4</v>
      </c>
      <c r="H208" s="70" t="s">
        <v>673</v>
      </c>
      <c r="I208" s="70">
        <v>42555.210775462961</v>
      </c>
      <c r="J208" s="51">
        <v>0</v>
      </c>
      <c r="K208" s="34" t="str">
        <f t="shared" si="39"/>
        <v>4007/4008</v>
      </c>
      <c r="L208" s="34" t="str">
        <f>VLOOKUP(A208,'Trips&amp;Operators'!$C$1:$E$10000,3,FALSE)</f>
        <v>ADANE</v>
      </c>
      <c r="M208" s="6">
        <f t="shared" si="40"/>
        <v>4.7453703882638365E-4</v>
      </c>
      <c r="N208" s="7"/>
      <c r="O208" s="7"/>
      <c r="P208" s="7"/>
      <c r="Q208" s="35"/>
      <c r="R208" s="35"/>
      <c r="S208" s="59"/>
      <c r="T208" s="1"/>
      <c r="U208" s="1"/>
      <c r="V208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04:57:28-0600',mode:absolute,to:'2016-07-04 05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209" spans="1:22" x14ac:dyDescent="0.25">
      <c r="A209" s="77" t="s">
        <v>674</v>
      </c>
      <c r="B209" s="51">
        <v>4028</v>
      </c>
      <c r="C209" s="51" t="s">
        <v>60</v>
      </c>
      <c r="D209" s="51" t="s">
        <v>675</v>
      </c>
      <c r="E209" s="70">
        <v>42555.942499999997</v>
      </c>
      <c r="F209" s="70">
        <v>42555.943240740744</v>
      </c>
      <c r="G209" s="71">
        <v>1</v>
      </c>
      <c r="H209" s="70" t="s">
        <v>676</v>
      </c>
      <c r="I209" s="70">
        <v>42555.95071759259</v>
      </c>
      <c r="J209" s="51">
        <v>1</v>
      </c>
      <c r="K209" s="34" t="str">
        <f t="shared" si="39"/>
        <v>4027/4028</v>
      </c>
      <c r="L209" s="34" t="str">
        <f>VLOOKUP(A209,'Trips&amp;Operators'!$C$1:$E$10000,3,FALSE)</f>
        <v>STRICKLAND</v>
      </c>
      <c r="M209" s="6">
        <f t="shared" si="40"/>
        <v>7.4768518461496569E-3</v>
      </c>
      <c r="N209" s="7"/>
      <c r="O209" s="7"/>
      <c r="P209" s="7"/>
      <c r="Q209" s="35"/>
      <c r="R209" s="35"/>
      <c r="S209" s="59"/>
      <c r="T209" s="1"/>
      <c r="U209" s="1"/>
      <c r="V209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22:36:12-0600',mode:absolute,to:'2016-07-04 22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2" priority="75" operator="equal">
      <formula>"Y"</formula>
    </cfRule>
  </conditionalFormatting>
  <conditionalFormatting sqref="X13:X1048576">
    <cfRule type="cellIs" dxfId="11" priority="58" operator="greaterThan">
      <formula>1</formula>
    </cfRule>
  </conditionalFormatting>
  <conditionalFormatting sqref="X12:X1048576">
    <cfRule type="cellIs" dxfId="10" priority="55" operator="equal">
      <formula>0</formula>
    </cfRule>
  </conditionalFormatting>
  <conditionalFormatting sqref="A14:S14 A13:J13 L13:S13 A15:J139 A141:J156 K15:S209">
    <cfRule type="expression" dxfId="9" priority="51">
      <formula>$O13&gt;0</formula>
    </cfRule>
  </conditionalFormatting>
  <conditionalFormatting sqref="A14:S14 A13:J13 L13:S13 A15:J139 A141:J156 K15:S209">
    <cfRule type="expression" dxfId="8" priority="50">
      <formula>$P13&gt;0</formula>
    </cfRule>
  </conditionalFormatting>
  <conditionalFormatting sqref="K13">
    <cfRule type="expression" dxfId="7" priority="6">
      <formula>$O13&gt;0</formula>
    </cfRule>
  </conditionalFormatting>
  <conditionalFormatting sqref="K13">
    <cfRule type="expression" dxfId="6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tabSelected="1" topLeftCell="A46" zoomScale="85" zoomScaleNormal="85" workbookViewId="0">
      <selection activeCell="N70" sqref="N70:N75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123</v>
      </c>
      <c r="L2" s="61"/>
      <c r="M2" s="62">
        <f>COUNTIF($M$7:$M$823,"=Y")</f>
        <v>20</v>
      </c>
      <c r="P2" s="44"/>
    </row>
    <row r="3" spans="1:17" s="33" customFormat="1" ht="15.75" thickBot="1" x14ac:dyDescent="0.3">
      <c r="A3" s="8"/>
      <c r="F3" s="2"/>
      <c r="K3" s="63" t="s">
        <v>124</v>
      </c>
      <c r="L3" s="64"/>
      <c r="M3" s="65">
        <f>COUNTA($M$7:$M$823)-M2</f>
        <v>102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16" t="str">
        <f>"Eagle P3 Braking Events - "&amp;TEXT(Variables!$A$2,"YYYY-mm-dd")</f>
        <v>Eagle P3 Braking Events - 2016-07-04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7"/>
      <c r="P5" s="42"/>
    </row>
    <row r="6" spans="1:17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0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42555.432858796295</v>
      </c>
      <c r="B7" s="55" t="s">
        <v>92</v>
      </c>
      <c r="C7" s="55" t="s">
        <v>338</v>
      </c>
      <c r="D7" s="55" t="s">
        <v>50</v>
      </c>
      <c r="E7" s="88" t="s">
        <v>318</v>
      </c>
      <c r="F7" s="91">
        <v>790</v>
      </c>
      <c r="G7" s="55">
        <v>15</v>
      </c>
      <c r="H7" s="55">
        <v>36749</v>
      </c>
      <c r="I7" s="88" t="s">
        <v>59</v>
      </c>
      <c r="J7" s="55">
        <v>68497</v>
      </c>
      <c r="K7" s="55" t="s">
        <v>54</v>
      </c>
      <c r="L7" s="11" t="str">
        <f>VLOOKUP(C7,'Trips&amp;Operators'!$C$2:$E$10000,3,FALSE)</f>
        <v>ROCHA</v>
      </c>
      <c r="M7" s="10" t="s">
        <v>121</v>
      </c>
      <c r="N7" s="11" t="s">
        <v>157</v>
      </c>
      <c r="P7" s="43" t="str">
        <f>VLOOKUP(C7,'Train Runs'!$A$13:$V$972,22,0)</f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" s="9" t="str">
        <f t="shared" ref="Q7:Q21" si="0">MID(B7,13,4)</f>
        <v>4041</v>
      </c>
    </row>
    <row r="8" spans="1:17" s="1" customFormat="1" x14ac:dyDescent="0.25">
      <c r="A8" s="13">
        <v>42555.706932870373</v>
      </c>
      <c r="B8" s="12" t="s">
        <v>148</v>
      </c>
      <c r="C8" s="12" t="s">
        <v>521</v>
      </c>
      <c r="D8" s="12" t="s">
        <v>50</v>
      </c>
      <c r="E8" s="89" t="s">
        <v>318</v>
      </c>
      <c r="F8" s="92">
        <v>790</v>
      </c>
      <c r="G8" s="12">
        <v>780</v>
      </c>
      <c r="H8" s="12">
        <v>144054</v>
      </c>
      <c r="I8" s="89" t="s">
        <v>59</v>
      </c>
      <c r="J8" s="12">
        <v>110617</v>
      </c>
      <c r="K8" s="11" t="s">
        <v>53</v>
      </c>
      <c r="L8" s="11" t="str">
        <f>VLOOKUP(C8,'Trips&amp;Operators'!$C$2:$E$10000,3,FALSE)</f>
        <v>LOCKLEAR</v>
      </c>
      <c r="M8" s="10" t="s">
        <v>121</v>
      </c>
      <c r="N8" s="11" t="s">
        <v>157</v>
      </c>
      <c r="O8" s="33"/>
      <c r="P8" s="43" t="str">
        <f>VLOOKUP(C8,'Train Runs'!$A$13:$V$972,22,0)</f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17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" s="9" t="str">
        <f t="shared" si="0"/>
        <v>4029</v>
      </c>
    </row>
    <row r="9" spans="1:17" s="1" customFormat="1" x14ac:dyDescent="0.25">
      <c r="A9" s="66">
        <v>42555.342812499999</v>
      </c>
      <c r="B9" s="55" t="s">
        <v>165</v>
      </c>
      <c r="C9" s="55" t="s">
        <v>321</v>
      </c>
      <c r="D9" s="55" t="s">
        <v>50</v>
      </c>
      <c r="E9" s="88" t="s">
        <v>75</v>
      </c>
      <c r="F9" s="91">
        <v>0</v>
      </c>
      <c r="G9" s="55">
        <v>82</v>
      </c>
      <c r="H9" s="55">
        <v>62494</v>
      </c>
      <c r="I9" s="88" t="s">
        <v>76</v>
      </c>
      <c r="J9" s="55">
        <v>63068</v>
      </c>
      <c r="K9" s="55" t="s">
        <v>53</v>
      </c>
      <c r="L9" s="11" t="str">
        <f>VLOOKUP(C9,'Trips&amp;Operators'!$C$2:$E$10000,3,FALSE)</f>
        <v>YANAI</v>
      </c>
      <c r="M9" s="10" t="s">
        <v>121</v>
      </c>
      <c r="N9" s="11" t="s">
        <v>157</v>
      </c>
      <c r="P9" s="43" t="str">
        <f>VLOOKUP(C9,'Train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9" s="9" t="str">
        <f t="shared" si="0"/>
        <v>4015</v>
      </c>
    </row>
    <row r="10" spans="1:17" s="1" customFormat="1" x14ac:dyDescent="0.25">
      <c r="A10" s="66">
        <v>42555.343310185184</v>
      </c>
      <c r="B10" s="55" t="s">
        <v>165</v>
      </c>
      <c r="C10" s="55" t="s">
        <v>321</v>
      </c>
      <c r="D10" s="55" t="s">
        <v>55</v>
      </c>
      <c r="E10" s="88" t="s">
        <v>75</v>
      </c>
      <c r="F10" s="91">
        <v>0</v>
      </c>
      <c r="G10" s="55">
        <v>3</v>
      </c>
      <c r="H10" s="55">
        <v>63124</v>
      </c>
      <c r="I10" s="88" t="s">
        <v>76</v>
      </c>
      <c r="J10" s="55">
        <v>63068</v>
      </c>
      <c r="K10" s="55" t="s">
        <v>53</v>
      </c>
      <c r="L10" s="11" t="str">
        <f>VLOOKUP(C10,'Trips&amp;Operators'!$C$2:$E$10000,3,FALSE)</f>
        <v>YANAI</v>
      </c>
      <c r="M10" s="10" t="s">
        <v>122</v>
      </c>
      <c r="N10" s="11" t="s">
        <v>158</v>
      </c>
      <c r="O10" s="33"/>
      <c r="P10" s="43" t="str">
        <f>VLOOKUP(C10,'Train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0" s="9" t="str">
        <f t="shared" si="0"/>
        <v>4015</v>
      </c>
    </row>
    <row r="11" spans="1:17" s="1" customFormat="1" x14ac:dyDescent="0.25">
      <c r="A11" s="66">
        <v>42555.349247685182</v>
      </c>
      <c r="B11" s="55" t="s">
        <v>165</v>
      </c>
      <c r="C11" s="55" t="s">
        <v>321</v>
      </c>
      <c r="D11" s="55" t="s">
        <v>50</v>
      </c>
      <c r="E11" s="88" t="s">
        <v>75</v>
      </c>
      <c r="F11" s="91">
        <v>620</v>
      </c>
      <c r="G11" s="55">
        <v>768</v>
      </c>
      <c r="H11" s="55">
        <v>105746</v>
      </c>
      <c r="I11" s="88" t="s">
        <v>76</v>
      </c>
      <c r="J11" s="55">
        <v>108954</v>
      </c>
      <c r="K11" s="55" t="s">
        <v>53</v>
      </c>
      <c r="L11" s="11" t="str">
        <f>VLOOKUP(C11,'Trips&amp;Operators'!$C$2:$E$10000,3,FALSE)</f>
        <v>YANAI</v>
      </c>
      <c r="M11" s="10" t="s">
        <v>122</v>
      </c>
      <c r="N11" s="11" t="s">
        <v>430</v>
      </c>
      <c r="O11" s="33"/>
      <c r="P11" s="43" t="str">
        <f>VLOOKUP(C11,'Train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1" s="9" t="str">
        <f t="shared" si="0"/>
        <v>4015</v>
      </c>
    </row>
    <row r="12" spans="1:17" s="1" customFormat="1" x14ac:dyDescent="0.25">
      <c r="A12" s="13">
        <v>42555.488622685189</v>
      </c>
      <c r="B12" s="12" t="s">
        <v>126</v>
      </c>
      <c r="C12" s="12" t="s">
        <v>339</v>
      </c>
      <c r="D12" s="12" t="s">
        <v>50</v>
      </c>
      <c r="E12" s="89" t="s">
        <v>75</v>
      </c>
      <c r="F12" s="92">
        <v>0</v>
      </c>
      <c r="G12" s="12">
        <v>43</v>
      </c>
      <c r="H12" s="12">
        <v>62984</v>
      </c>
      <c r="I12" s="89" t="s">
        <v>76</v>
      </c>
      <c r="J12" s="12">
        <v>63068</v>
      </c>
      <c r="K12" s="11" t="s">
        <v>53</v>
      </c>
      <c r="L12" s="11" t="str">
        <f>VLOOKUP(C12,'Trips&amp;Operators'!$C$2:$E$10000,3,FALSE)</f>
        <v>BONDS</v>
      </c>
      <c r="M12" s="10" t="s">
        <v>122</v>
      </c>
      <c r="N12" s="11" t="s">
        <v>158</v>
      </c>
      <c r="P12" s="43" t="str">
        <f>VLOOKUP(C12,'Train Runs'!$A$13:$V$972,22,0)</f>
        <v>https://search-rtdc-monitor-bjffxe2xuh6vdkpspy63sjmuny.us-east-1.es.amazonaws.com/_plugin/kibana/#/discover/Steve-Slow-Train-Analysis-(2080s-and-2083s)?_g=(refreshInterval:(display:Off,section:0,value:0),time:(from:'2016-07-04 11:15:35-0600',mode:absolute,to:'2016-07-04 12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2" s="9" t="str">
        <f t="shared" si="0"/>
        <v>4038</v>
      </c>
    </row>
    <row r="13" spans="1:17" s="1" customFormat="1" x14ac:dyDescent="0.25">
      <c r="A13" s="13">
        <v>42555.634317129632</v>
      </c>
      <c r="B13" s="12" t="s">
        <v>126</v>
      </c>
      <c r="C13" s="12" t="s">
        <v>495</v>
      </c>
      <c r="D13" s="12" t="s">
        <v>50</v>
      </c>
      <c r="E13" s="89" t="s">
        <v>75</v>
      </c>
      <c r="F13" s="92">
        <v>0</v>
      </c>
      <c r="G13" s="12">
        <v>38</v>
      </c>
      <c r="H13" s="12">
        <v>62917</v>
      </c>
      <c r="I13" s="89" t="s">
        <v>76</v>
      </c>
      <c r="J13" s="12">
        <v>63068</v>
      </c>
      <c r="K13" s="11" t="s">
        <v>53</v>
      </c>
      <c r="L13" s="11" t="str">
        <f>VLOOKUP(C13,'Trips&amp;Operators'!$C$2:$E$10000,3,FALSE)</f>
        <v>BONDS</v>
      </c>
      <c r="M13" s="10" t="s">
        <v>122</v>
      </c>
      <c r="N13" s="11" t="s">
        <v>158</v>
      </c>
      <c r="P13" s="43" t="str">
        <f>VLOOKUP(C13,'Train Runs'!$A$13:$V$972,22,0)</f>
        <v>https://search-rtdc-monitor-bjffxe2xuh6vdkpspy63sjmuny.us-east-1.es.amazonaws.com/_plugin/kibana/#/discover/Steve-Slow-Train-Analysis-(2080s-and-2083s)?_g=(refreshInterval:(display:Off,section:0,value:0),time:(from:'2016-07-04 14:49:55-0600',mode:absolute,to:'2016-07-04 15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9" t="str">
        <f t="shared" si="0"/>
        <v>4038</v>
      </c>
    </row>
    <row r="14" spans="1:17" s="1" customFormat="1" x14ac:dyDescent="0.25">
      <c r="A14" s="13">
        <v>42555.294085648151</v>
      </c>
      <c r="B14" s="12" t="s">
        <v>92</v>
      </c>
      <c r="C14" s="12" t="s">
        <v>416</v>
      </c>
      <c r="D14" s="12" t="s">
        <v>50</v>
      </c>
      <c r="E14" s="89" t="s">
        <v>58</v>
      </c>
      <c r="F14" s="92">
        <v>450</v>
      </c>
      <c r="G14" s="12">
        <v>433</v>
      </c>
      <c r="H14" s="12">
        <v>191462</v>
      </c>
      <c r="I14" s="89" t="s">
        <v>59</v>
      </c>
      <c r="J14" s="12">
        <v>191108</v>
      </c>
      <c r="K14" s="11" t="s">
        <v>54</v>
      </c>
      <c r="L14" s="11" t="str">
        <f>VLOOKUP(C14,'Trips&amp;Operators'!$C$2:$E$10000,3,FALSE)</f>
        <v>ROCHA</v>
      </c>
      <c r="M14" s="10" t="s">
        <v>122</v>
      </c>
      <c r="N14" s="11"/>
      <c r="P14" s="43" t="str">
        <f>VLOOKUP(C14,'Train Runs'!$A$13:$V$972,22,0)</f>
        <v>https://search-rtdc-monitor-bjffxe2xuh6vdkpspy63sjmuny.us-east-1.es.amazonaws.com/_plugin/kibana/#/discover/Steve-Slow-Train-Analysis-(2080s-and-2083s)?_g=(refreshInterval:(display:Off,section:0,value:0),time:(from:'2016-07-04 06:46:11-0600',mode:absolute,to:'2016-07-04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9" t="str">
        <f t="shared" si="0"/>
        <v>4041</v>
      </c>
    </row>
    <row r="15" spans="1:17" s="1" customFormat="1" x14ac:dyDescent="0.25">
      <c r="A15" s="13">
        <v>42555.311238425929</v>
      </c>
      <c r="B15" s="12" t="s">
        <v>149</v>
      </c>
      <c r="C15" s="12" t="s">
        <v>323</v>
      </c>
      <c r="D15" s="12" t="s">
        <v>55</v>
      </c>
      <c r="E15" s="89" t="s">
        <v>58</v>
      </c>
      <c r="F15" s="92">
        <v>350</v>
      </c>
      <c r="G15" s="12">
        <v>401</v>
      </c>
      <c r="H15" s="12">
        <v>228568</v>
      </c>
      <c r="I15" s="89" t="s">
        <v>59</v>
      </c>
      <c r="J15" s="12">
        <v>232107</v>
      </c>
      <c r="K15" s="11" t="s">
        <v>54</v>
      </c>
      <c r="L15" s="11" t="str">
        <f>VLOOKUP(C15,'Trips&amp;Operators'!$C$2:$E$10000,3,FALSE)</f>
        <v>SPECTOR</v>
      </c>
      <c r="M15" s="10" t="s">
        <v>122</v>
      </c>
      <c r="N15" s="11"/>
      <c r="P15" s="43" t="str">
        <f>VLOOKUP(C15,'Train Runs'!$A$13:$V$972,22,0)</f>
        <v>https://search-rtdc-monitor-bjffxe2xuh6vdkpspy63sjmuny.us-east-1.es.amazonaws.com/_plugin/kibana/#/discover/Steve-Slow-Train-Analysis-(2080s-and-2083s)?_g=(refreshInterval:(display:Off,section:0,value:0),time:(from:'2016-07-04 07:20:45-0600',mode:absolute,to:'2016-07-04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5" s="9" t="str">
        <f t="shared" si="0"/>
        <v>4030</v>
      </c>
    </row>
    <row r="16" spans="1:17" s="1" customFormat="1" x14ac:dyDescent="0.25">
      <c r="A16" s="66">
        <v>42555.3675</v>
      </c>
      <c r="B16" s="55" t="s">
        <v>92</v>
      </c>
      <c r="C16" s="55" t="s">
        <v>336</v>
      </c>
      <c r="D16" s="55" t="s">
        <v>55</v>
      </c>
      <c r="E16" s="88" t="s">
        <v>58</v>
      </c>
      <c r="F16" s="91">
        <v>600</v>
      </c>
      <c r="G16" s="55">
        <v>651</v>
      </c>
      <c r="H16" s="55">
        <v>184326</v>
      </c>
      <c r="I16" s="88" t="s">
        <v>59</v>
      </c>
      <c r="J16" s="55">
        <v>190834</v>
      </c>
      <c r="K16" s="55" t="s">
        <v>54</v>
      </c>
      <c r="L16" s="11" t="str">
        <f>VLOOKUP(C16,'Trips&amp;Operators'!$C$2:$E$10000,3,FALSE)</f>
        <v>CUSHING</v>
      </c>
      <c r="M16" s="10" t="s">
        <v>122</v>
      </c>
      <c r="N16" s="11"/>
      <c r="P16" s="43" t="str">
        <f>VLOOKUP(C16,'Train Runs'!$A$13:$V$972,22,0)</f>
        <v>https://search-rtdc-monitor-bjffxe2xuh6vdkpspy63sjmuny.us-east-1.es.amazonaws.com/_plugin/kibana/#/discover/Steve-Slow-Train-Analysis-(2080s-and-2083s)?_g=(refreshInterval:(display:Off,section:0,value:0),time:(from:'2016-07-04 08:31:15-0600',mode:absolute,to:'2016-07-04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6" s="9" t="str">
        <f t="shared" si="0"/>
        <v>4041</v>
      </c>
    </row>
    <row r="17" spans="1:17" s="1" customFormat="1" x14ac:dyDescent="0.25">
      <c r="A17" s="13">
        <v>42555.399293981478</v>
      </c>
      <c r="B17" s="12" t="s">
        <v>143</v>
      </c>
      <c r="C17" s="12" t="s">
        <v>408</v>
      </c>
      <c r="D17" s="12" t="s">
        <v>50</v>
      </c>
      <c r="E17" s="89" t="s">
        <v>58</v>
      </c>
      <c r="F17" s="92">
        <v>150</v>
      </c>
      <c r="G17" s="12">
        <v>196</v>
      </c>
      <c r="H17" s="12">
        <v>229783</v>
      </c>
      <c r="I17" s="89" t="s">
        <v>59</v>
      </c>
      <c r="J17" s="12">
        <v>230436</v>
      </c>
      <c r="K17" s="11" t="s">
        <v>53</v>
      </c>
      <c r="L17" s="11" t="str">
        <f>VLOOKUP(C17,'Trips&amp;Operators'!$C$2:$E$10000,3,FALSE)</f>
        <v>MALAVE</v>
      </c>
      <c r="M17" s="10" t="s">
        <v>122</v>
      </c>
      <c r="N17" s="11"/>
      <c r="O17" s="33"/>
      <c r="P17" s="43" t="str">
        <f>VLOOKUP(C17,'Train Runs'!$A$13:$V$972,22,0)</f>
        <v>https://search-rtdc-monitor-bjffxe2xuh6vdkpspy63sjmuny.us-east-1.es.amazonaws.com/_plugin/kibana/#/discover/Steve-Slow-Train-Analysis-(2080s-and-2083s)?_g=(refreshInterval:(display:Off,section:0,value:0),time:(from:'2016-07-04 08:56:48-0600',mode:absolute,to:'2016-07-04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7" s="9" t="str">
        <f t="shared" si="0"/>
        <v>4025</v>
      </c>
    </row>
    <row r="18" spans="1:17" s="1" customFormat="1" x14ac:dyDescent="0.25">
      <c r="A18" s="66">
        <v>42555.45685185185</v>
      </c>
      <c r="B18" s="55" t="s">
        <v>165</v>
      </c>
      <c r="C18" s="55" t="s">
        <v>407</v>
      </c>
      <c r="D18" s="55" t="s">
        <v>50</v>
      </c>
      <c r="E18" s="88" t="s">
        <v>58</v>
      </c>
      <c r="F18" s="91">
        <v>450</v>
      </c>
      <c r="G18" s="55">
        <v>487</v>
      </c>
      <c r="H18" s="55">
        <v>111479</v>
      </c>
      <c r="I18" s="88" t="s">
        <v>59</v>
      </c>
      <c r="J18" s="55">
        <v>110617</v>
      </c>
      <c r="K18" s="55" t="s">
        <v>54</v>
      </c>
      <c r="L18" s="11" t="str">
        <f>VLOOKUP(C18,'Trips&amp;Operators'!$C$2:$E$10000,3,FALSE)</f>
        <v>YANAI</v>
      </c>
      <c r="M18" s="10" t="s">
        <v>122</v>
      </c>
      <c r="N18" s="11"/>
      <c r="P18" s="43" t="str">
        <f>VLOOKUP(C18,'Train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10:21:47-0600',mode:absolute,to:'2016-07-04 11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8" s="9" t="str">
        <f t="shared" si="0"/>
        <v>4015</v>
      </c>
    </row>
    <row r="19" spans="1:17" s="1" customFormat="1" x14ac:dyDescent="0.25">
      <c r="A19" s="66">
        <v>42555.440057870372</v>
      </c>
      <c r="B19" s="55" t="s">
        <v>80</v>
      </c>
      <c r="C19" s="55" t="s">
        <v>325</v>
      </c>
      <c r="D19" s="55" t="s">
        <v>50</v>
      </c>
      <c r="E19" s="88" t="s">
        <v>58</v>
      </c>
      <c r="F19" s="91">
        <v>450</v>
      </c>
      <c r="G19" s="55">
        <v>464</v>
      </c>
      <c r="H19" s="55">
        <v>10426</v>
      </c>
      <c r="I19" s="88" t="s">
        <v>59</v>
      </c>
      <c r="J19" s="55">
        <v>11201</v>
      </c>
      <c r="K19" s="55" t="s">
        <v>53</v>
      </c>
      <c r="L19" s="11" t="str">
        <f>VLOOKUP(C19,'Trips&amp;Operators'!$C$2:$E$10000,3,FALSE)</f>
        <v>BEAM</v>
      </c>
      <c r="M19" s="10" t="s">
        <v>122</v>
      </c>
      <c r="N19" s="11"/>
      <c r="P19" s="43" t="str">
        <f>VLOOKUP(C19,'Train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9" t="str">
        <f t="shared" si="0"/>
        <v>4018</v>
      </c>
    </row>
    <row r="20" spans="1:17" s="1" customFormat="1" x14ac:dyDescent="0.25">
      <c r="A20" s="66">
        <v>42555.473564814813</v>
      </c>
      <c r="B20" s="55" t="s">
        <v>79</v>
      </c>
      <c r="C20" s="55" t="s">
        <v>406</v>
      </c>
      <c r="D20" s="55" t="s">
        <v>50</v>
      </c>
      <c r="E20" s="88" t="s">
        <v>58</v>
      </c>
      <c r="F20" s="91">
        <v>400</v>
      </c>
      <c r="G20" s="55">
        <v>442</v>
      </c>
      <c r="H20" s="55">
        <v>116333</v>
      </c>
      <c r="I20" s="88" t="s">
        <v>59</v>
      </c>
      <c r="J20" s="55">
        <v>116838</v>
      </c>
      <c r="K20" s="55" t="s">
        <v>53</v>
      </c>
      <c r="L20" s="11" t="str">
        <f>VLOOKUP(C20,'Trips&amp;Operators'!$C$2:$E$10000,3,FALSE)</f>
        <v>MALAVE</v>
      </c>
      <c r="M20" s="10" t="s">
        <v>122</v>
      </c>
      <c r="N20" s="11"/>
      <c r="P20" s="43" t="str">
        <f>VLOOKUP(C20,'Train Runs'!$A$13:$V$972,22,0)</f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0" s="9" t="str">
        <f t="shared" si="0"/>
        <v>4020</v>
      </c>
    </row>
    <row r="21" spans="1:17" s="1" customFormat="1" x14ac:dyDescent="0.25">
      <c r="A21" s="13">
        <v>42555.522615740738</v>
      </c>
      <c r="B21" s="12" t="s">
        <v>78</v>
      </c>
      <c r="C21" s="12" t="s">
        <v>401</v>
      </c>
      <c r="D21" s="12" t="s">
        <v>50</v>
      </c>
      <c r="E21" s="89" t="s">
        <v>58</v>
      </c>
      <c r="F21" s="92">
        <v>150</v>
      </c>
      <c r="G21" s="12">
        <v>195</v>
      </c>
      <c r="H21" s="12">
        <v>5067</v>
      </c>
      <c r="I21" s="89" t="s">
        <v>59</v>
      </c>
      <c r="J21" s="12">
        <v>4677</v>
      </c>
      <c r="K21" s="11" t="s">
        <v>54</v>
      </c>
      <c r="L21" s="11" t="str">
        <f>VLOOKUP(C21,'Trips&amp;Operators'!$C$2:$E$10000,3,FALSE)</f>
        <v>MALAVE</v>
      </c>
      <c r="M21" s="10" t="s">
        <v>122</v>
      </c>
      <c r="N21" s="11"/>
      <c r="P21" s="43" t="str">
        <f>VLOOKUP(C21,'Train Runs'!$A$13:$V$972,22,0)</f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1" s="9" t="str">
        <f t="shared" si="0"/>
        <v>4019</v>
      </c>
    </row>
    <row r="22" spans="1:17" s="1" customFormat="1" x14ac:dyDescent="0.25">
      <c r="A22" s="66">
        <v>42555.55128472222</v>
      </c>
      <c r="B22" s="55" t="s">
        <v>149</v>
      </c>
      <c r="C22" s="55" t="s">
        <v>320</v>
      </c>
      <c r="D22" s="55" t="s">
        <v>50</v>
      </c>
      <c r="E22" s="88" t="s">
        <v>58</v>
      </c>
      <c r="F22" s="91">
        <v>450</v>
      </c>
      <c r="G22" s="55">
        <v>446</v>
      </c>
      <c r="H22" s="55">
        <v>17338</v>
      </c>
      <c r="I22" s="88" t="s">
        <v>59</v>
      </c>
      <c r="J22" s="55">
        <v>15167</v>
      </c>
      <c r="K22" s="55" t="s">
        <v>54</v>
      </c>
      <c r="L22" s="11" t="str">
        <f>VLOOKUP(C22,'Trips&amp;Operators'!$C$2:$E$10000,3,FALSE)</f>
        <v>LOCKLEAR</v>
      </c>
      <c r="M22" s="10" t="s">
        <v>122</v>
      </c>
      <c r="N22" s="11"/>
      <c r="P22" s="43" t="str">
        <f>VLOOKUP(C22,'Train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2" s="9" t="str">
        <f t="shared" ref="Q22:Q29" si="1">MID(B22,13,4)</f>
        <v>4030</v>
      </c>
    </row>
    <row r="23" spans="1:17" s="1" customFormat="1" x14ac:dyDescent="0.25">
      <c r="A23" s="66">
        <v>42555.95789351852</v>
      </c>
      <c r="B23" s="55" t="s">
        <v>92</v>
      </c>
      <c r="C23" s="55" t="s">
        <v>556</v>
      </c>
      <c r="D23" s="55" t="s">
        <v>50</v>
      </c>
      <c r="E23" s="55" t="s">
        <v>58</v>
      </c>
      <c r="F23" s="91">
        <v>200</v>
      </c>
      <c r="G23" s="55">
        <v>246</v>
      </c>
      <c r="H23" s="55">
        <v>31267</v>
      </c>
      <c r="I23" s="55" t="s">
        <v>59</v>
      </c>
      <c r="J23" s="55">
        <v>30562</v>
      </c>
      <c r="K23" s="55" t="s">
        <v>54</v>
      </c>
      <c r="L23" s="11" t="str">
        <f>VLOOKUP(C23,'Trips&amp;Operators'!$C$2:$E$10000,3,FALSE)</f>
        <v>COOLAHAN</v>
      </c>
      <c r="M23" s="10" t="s">
        <v>122</v>
      </c>
      <c r="N23" s="11"/>
      <c r="O23" s="33"/>
      <c r="P23" s="43" t="str">
        <f>VLOOKUP(C23,'Train Runs'!$A$13:$V$972,22,0)</f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9" t="str">
        <f t="shared" si="1"/>
        <v>4041</v>
      </c>
    </row>
    <row r="24" spans="1:17" s="1" customFormat="1" x14ac:dyDescent="0.25">
      <c r="A24" s="66">
        <v>42555.93608796296</v>
      </c>
      <c r="B24" s="55" t="s">
        <v>92</v>
      </c>
      <c r="C24" s="55" t="s">
        <v>556</v>
      </c>
      <c r="D24" s="55" t="s">
        <v>50</v>
      </c>
      <c r="E24" s="55" t="s">
        <v>58</v>
      </c>
      <c r="F24" s="91">
        <v>150</v>
      </c>
      <c r="G24" s="55">
        <v>211</v>
      </c>
      <c r="H24" s="55">
        <v>229667</v>
      </c>
      <c r="I24" s="55" t="s">
        <v>59</v>
      </c>
      <c r="J24" s="55">
        <v>229055</v>
      </c>
      <c r="K24" s="55" t="s">
        <v>54</v>
      </c>
      <c r="L24" s="11" t="str">
        <f>VLOOKUP(C24,'Trips&amp;Operators'!$C$2:$E$10000,3,FALSE)</f>
        <v>COOLAHAN</v>
      </c>
      <c r="M24" s="10" t="s">
        <v>122</v>
      </c>
      <c r="N24" s="11"/>
      <c r="O24" s="33"/>
      <c r="P24" s="43" t="str">
        <f>VLOOKUP(C24,'Train Runs'!$A$13:$V$972,22,0)</f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4" s="9" t="str">
        <f t="shared" si="1"/>
        <v>4041</v>
      </c>
    </row>
    <row r="25" spans="1:17" s="1" customFormat="1" x14ac:dyDescent="0.25">
      <c r="A25" s="66">
        <v>42555.247442129628</v>
      </c>
      <c r="B25" s="55" t="s">
        <v>193</v>
      </c>
      <c r="C25" s="55" t="s">
        <v>326</v>
      </c>
      <c r="D25" s="55" t="s">
        <v>50</v>
      </c>
      <c r="E25" s="88" t="s">
        <v>58</v>
      </c>
      <c r="F25" s="91">
        <v>300</v>
      </c>
      <c r="G25" s="55">
        <v>298</v>
      </c>
      <c r="H25" s="55">
        <v>20180</v>
      </c>
      <c r="I25" s="88" t="s">
        <v>59</v>
      </c>
      <c r="J25" s="55">
        <v>21314</v>
      </c>
      <c r="K25" s="55" t="s">
        <v>53</v>
      </c>
      <c r="L25" s="11" t="str">
        <f>VLOOKUP(C25,'Trips&amp;Operators'!$C$2:$E$10000,3,FALSE)</f>
        <v>ADANE</v>
      </c>
      <c r="M25" s="10" t="s">
        <v>122</v>
      </c>
      <c r="N25" s="11"/>
      <c r="P25" s="43" t="str">
        <f>VLOOKUP(C25,'Train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5" s="9" t="str">
        <f t="shared" si="1"/>
        <v>4007</v>
      </c>
    </row>
    <row r="26" spans="1:17" s="1" customFormat="1" x14ac:dyDescent="0.25">
      <c r="A26" s="66">
        <v>42555.249201388891</v>
      </c>
      <c r="B26" s="55" t="s">
        <v>193</v>
      </c>
      <c r="C26" s="55" t="s">
        <v>326</v>
      </c>
      <c r="D26" s="55" t="s">
        <v>50</v>
      </c>
      <c r="E26" s="88" t="s">
        <v>58</v>
      </c>
      <c r="F26" s="91">
        <v>600</v>
      </c>
      <c r="G26" s="55">
        <v>646</v>
      </c>
      <c r="H26" s="55">
        <v>29330</v>
      </c>
      <c r="I26" s="88" t="s">
        <v>59</v>
      </c>
      <c r="J26" s="55">
        <v>30784</v>
      </c>
      <c r="K26" s="55" t="s">
        <v>53</v>
      </c>
      <c r="L26" s="11" t="str">
        <f>VLOOKUP(C26,'Trips&amp;Operators'!$C$2:$E$10000,3,FALSE)</f>
        <v>ADANE</v>
      </c>
      <c r="M26" s="10" t="s">
        <v>122</v>
      </c>
      <c r="N26" s="11"/>
      <c r="P26" s="43" t="str">
        <f>VLOOKUP(C26,'Train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9" t="str">
        <f t="shared" si="1"/>
        <v>4007</v>
      </c>
    </row>
    <row r="27" spans="1:17" s="1" customFormat="1" x14ac:dyDescent="0.25">
      <c r="A27" s="66">
        <v>42555.447569444441</v>
      </c>
      <c r="B27" s="55" t="s">
        <v>144</v>
      </c>
      <c r="C27" s="55" t="s">
        <v>391</v>
      </c>
      <c r="D27" s="55" t="s">
        <v>55</v>
      </c>
      <c r="E27" s="88" t="s">
        <v>58</v>
      </c>
      <c r="F27" s="91">
        <v>150</v>
      </c>
      <c r="G27" s="55">
        <v>202</v>
      </c>
      <c r="H27" s="55">
        <v>56976</v>
      </c>
      <c r="I27" s="88" t="s">
        <v>59</v>
      </c>
      <c r="J27" s="55">
        <v>59050</v>
      </c>
      <c r="K27" s="55" t="s">
        <v>54</v>
      </c>
      <c r="L27" s="11" t="str">
        <f>VLOOKUP(C27,'Trips&amp;Operators'!$C$2:$E$10000,3,FALSE)</f>
        <v>NELSON</v>
      </c>
      <c r="M27" s="10" t="s">
        <v>122</v>
      </c>
      <c r="N27" s="11"/>
      <c r="P27" s="43" t="str">
        <f>VLOOKUP(C27,'Train Runs'!$A$13:$V$972,22,0)</f>
        <v>https://search-rtdc-monitor-bjffxe2xuh6vdkpspy63sjmuny.us-east-1.es.amazonaws.com/_plugin/kibana/#/discover/Steve-Slow-Train-Analysis-(2080s-and-2083s)?_g=(refreshInterval:(display:Off,section:0,value:0),time:(from:'2016-07-04 10:36:31-0600',mode:absolute,to:'2016-07-04 10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9" t="str">
        <f t="shared" si="1"/>
        <v>4028</v>
      </c>
    </row>
    <row r="28" spans="1:17" s="1" customFormat="1" x14ac:dyDescent="0.25">
      <c r="A28" s="66">
        <v>42555.602175925924</v>
      </c>
      <c r="B28" s="55" t="s">
        <v>150</v>
      </c>
      <c r="C28" s="55" t="s">
        <v>608</v>
      </c>
      <c r="D28" s="55" t="s">
        <v>50</v>
      </c>
      <c r="E28" s="88" t="s">
        <v>58</v>
      </c>
      <c r="F28" s="91">
        <v>300</v>
      </c>
      <c r="G28" s="55">
        <v>305</v>
      </c>
      <c r="H28" s="55">
        <v>20523</v>
      </c>
      <c r="I28" s="88" t="s">
        <v>59</v>
      </c>
      <c r="J28" s="55">
        <v>21314</v>
      </c>
      <c r="K28" s="55" t="s">
        <v>53</v>
      </c>
      <c r="L28" s="11" t="str">
        <f>VLOOKUP(C28,'Trips&amp;Operators'!$C$2:$E$10000,3,FALSE)</f>
        <v>STRICKLAND</v>
      </c>
      <c r="M28" s="10" t="s">
        <v>122</v>
      </c>
      <c r="N28" s="11"/>
      <c r="P28" s="43" t="str">
        <f>VLOOKUP(C28,'Train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8" s="9" t="str">
        <f t="shared" si="1"/>
        <v>4027</v>
      </c>
    </row>
    <row r="29" spans="1:17" s="1" customFormat="1" x14ac:dyDescent="0.25">
      <c r="A29" s="66">
        <v>42555.604884259257</v>
      </c>
      <c r="B29" s="55" t="s">
        <v>150</v>
      </c>
      <c r="C29" s="55" t="s">
        <v>608</v>
      </c>
      <c r="D29" s="55" t="s">
        <v>50</v>
      </c>
      <c r="E29" s="88" t="s">
        <v>58</v>
      </c>
      <c r="F29" s="91">
        <v>300</v>
      </c>
      <c r="G29" s="55">
        <v>307</v>
      </c>
      <c r="H29" s="55">
        <v>40483</v>
      </c>
      <c r="I29" s="88" t="s">
        <v>59</v>
      </c>
      <c r="J29" s="55">
        <v>40977</v>
      </c>
      <c r="K29" s="55" t="s">
        <v>53</v>
      </c>
      <c r="L29" s="11" t="str">
        <f>VLOOKUP(C29,'Trips&amp;Operators'!$C$2:$E$10000,3,FALSE)</f>
        <v>STRICKLAND</v>
      </c>
      <c r="M29" s="10" t="s">
        <v>122</v>
      </c>
      <c r="N29" s="11"/>
      <c r="P29" s="43" t="str">
        <f>VLOOKUP(C29,'Train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9" s="9" t="str">
        <f t="shared" si="1"/>
        <v>4027</v>
      </c>
    </row>
    <row r="30" spans="1:17" s="1" customFormat="1" x14ac:dyDescent="0.25">
      <c r="A30" s="66">
        <v>42555.621793981481</v>
      </c>
      <c r="B30" s="55" t="s">
        <v>144</v>
      </c>
      <c r="C30" s="55" t="s">
        <v>611</v>
      </c>
      <c r="D30" s="55" t="s">
        <v>50</v>
      </c>
      <c r="E30" s="88" t="s">
        <v>58</v>
      </c>
      <c r="F30" s="91">
        <v>150</v>
      </c>
      <c r="G30" s="55">
        <v>180</v>
      </c>
      <c r="H30" s="55">
        <v>6084</v>
      </c>
      <c r="I30" s="88" t="s">
        <v>59</v>
      </c>
      <c r="J30" s="55">
        <v>5315</v>
      </c>
      <c r="K30" s="55" t="s">
        <v>54</v>
      </c>
      <c r="L30" s="11" t="str">
        <f>VLOOKUP(C30,'Trips&amp;Operators'!$C$2:$E$10000,3,FALSE)</f>
        <v>STRICKLAND</v>
      </c>
      <c r="M30" s="10" t="s">
        <v>122</v>
      </c>
      <c r="N30" s="11"/>
      <c r="P30" s="43" t="str">
        <f>VLOOKUP(C30,'Train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9" t="str">
        <f t="shared" ref="Q30:Q43" si="2">MID(B30,13,4)</f>
        <v>4028</v>
      </c>
    </row>
    <row r="31" spans="1:17" s="1" customFormat="1" x14ac:dyDescent="0.25">
      <c r="A31" s="66">
        <v>42555.644108796296</v>
      </c>
      <c r="B31" s="55" t="s">
        <v>144</v>
      </c>
      <c r="C31" s="55" t="s">
        <v>611</v>
      </c>
      <c r="D31" s="55" t="s">
        <v>55</v>
      </c>
      <c r="E31" s="88" t="s">
        <v>58</v>
      </c>
      <c r="F31" s="91">
        <v>300</v>
      </c>
      <c r="G31" s="55">
        <v>350</v>
      </c>
      <c r="H31" s="55">
        <v>23385</v>
      </c>
      <c r="I31" s="88" t="s">
        <v>59</v>
      </c>
      <c r="J31" s="55">
        <v>21314</v>
      </c>
      <c r="K31" s="55" t="s">
        <v>53</v>
      </c>
      <c r="L31" s="11" t="str">
        <f>VLOOKUP(C31,'Trips&amp;Operators'!$C$2:$E$10000,3,FALSE)</f>
        <v>STRICKLAND</v>
      </c>
      <c r="M31" s="10" t="s">
        <v>122</v>
      </c>
      <c r="N31" s="11"/>
      <c r="P31" s="43" t="str">
        <f>VLOOKUP(C31,'Train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9" t="str">
        <f t="shared" si="2"/>
        <v>4028</v>
      </c>
    </row>
    <row r="32" spans="1:17" x14ac:dyDescent="0.25">
      <c r="A32" s="66">
        <v>42555.645937499998</v>
      </c>
      <c r="B32" s="55" t="s">
        <v>144</v>
      </c>
      <c r="C32" s="55" t="s">
        <v>611</v>
      </c>
      <c r="D32" s="55" t="s">
        <v>50</v>
      </c>
      <c r="E32" s="88" t="s">
        <v>58</v>
      </c>
      <c r="F32" s="91">
        <v>400</v>
      </c>
      <c r="G32" s="55">
        <v>448</v>
      </c>
      <c r="H32" s="55">
        <v>37741</v>
      </c>
      <c r="I32" s="88" t="s">
        <v>59</v>
      </c>
      <c r="J32" s="55">
        <v>38171</v>
      </c>
      <c r="K32" s="55" t="s">
        <v>53</v>
      </c>
      <c r="L32" s="11" t="str">
        <f>VLOOKUP(C32,'Trips&amp;Operators'!$C$2:$E$10000,3,FALSE)</f>
        <v>STRICKLAND</v>
      </c>
      <c r="M32" s="10" t="s">
        <v>122</v>
      </c>
      <c r="N32" s="11"/>
      <c r="O32" s="1"/>
      <c r="P32" s="43" t="str">
        <f>VLOOKUP(C32,'Train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2" s="9" t="str">
        <f t="shared" si="2"/>
        <v>4028</v>
      </c>
    </row>
    <row r="33" spans="1:17" x14ac:dyDescent="0.25">
      <c r="A33" s="66">
        <v>42555.647430555553</v>
      </c>
      <c r="B33" s="55" t="s">
        <v>144</v>
      </c>
      <c r="C33" s="55" t="s">
        <v>611</v>
      </c>
      <c r="D33" s="55" t="s">
        <v>50</v>
      </c>
      <c r="E33" s="88" t="s">
        <v>58</v>
      </c>
      <c r="F33" s="91">
        <v>300</v>
      </c>
      <c r="G33" s="55">
        <v>304</v>
      </c>
      <c r="H33" s="55">
        <v>40948</v>
      </c>
      <c r="I33" s="88" t="s">
        <v>59</v>
      </c>
      <c r="J33" s="55">
        <v>40977</v>
      </c>
      <c r="K33" s="55" t="s">
        <v>53</v>
      </c>
      <c r="L33" s="11" t="str">
        <f>VLOOKUP(C33,'Trips&amp;Operators'!$C$2:$E$10000,3,FALSE)</f>
        <v>STRICKLAND</v>
      </c>
      <c r="M33" s="10" t="s">
        <v>122</v>
      </c>
      <c r="N33" s="11"/>
      <c r="O33" s="1"/>
      <c r="P33" s="43" t="str">
        <f>VLOOKUP(C33,'Train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9" t="str">
        <f t="shared" si="2"/>
        <v>4028</v>
      </c>
    </row>
    <row r="34" spans="1:17" x14ac:dyDescent="0.25">
      <c r="A34" s="66">
        <v>42555.643425925926</v>
      </c>
      <c r="B34" s="55" t="s">
        <v>150</v>
      </c>
      <c r="C34" s="55" t="s">
        <v>614</v>
      </c>
      <c r="D34" s="55" t="s">
        <v>50</v>
      </c>
      <c r="E34" s="88" t="s">
        <v>58</v>
      </c>
      <c r="F34" s="91">
        <v>300</v>
      </c>
      <c r="G34" s="55">
        <v>326</v>
      </c>
      <c r="H34" s="55">
        <v>21083</v>
      </c>
      <c r="I34" s="88" t="s">
        <v>59</v>
      </c>
      <c r="J34" s="55">
        <v>21314</v>
      </c>
      <c r="K34" s="55" t="s">
        <v>53</v>
      </c>
      <c r="L34" s="11" t="str">
        <f>VLOOKUP(C34,'Trips&amp;Operators'!$C$2:$E$10000,3,FALSE)</f>
        <v>STRICKLAND</v>
      </c>
      <c r="M34" s="10" t="s">
        <v>122</v>
      </c>
      <c r="N34" s="11"/>
      <c r="O34" s="1"/>
      <c r="P34" s="43" t="str">
        <f>VLOOKUP(C34,'Train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4" s="9" t="str">
        <f t="shared" si="2"/>
        <v>4027</v>
      </c>
    </row>
    <row r="35" spans="1:17" x14ac:dyDescent="0.25">
      <c r="A35" s="66">
        <v>42555.644108796296</v>
      </c>
      <c r="B35" s="55" t="s">
        <v>150</v>
      </c>
      <c r="C35" s="55" t="s">
        <v>614</v>
      </c>
      <c r="D35" s="55" t="s">
        <v>55</v>
      </c>
      <c r="E35" s="88" t="s">
        <v>58</v>
      </c>
      <c r="F35" s="91">
        <v>300</v>
      </c>
      <c r="G35" s="55">
        <v>350</v>
      </c>
      <c r="H35" s="55">
        <v>23184</v>
      </c>
      <c r="I35" s="88" t="s">
        <v>59</v>
      </c>
      <c r="J35" s="55">
        <v>21314</v>
      </c>
      <c r="K35" s="55" t="s">
        <v>53</v>
      </c>
      <c r="L35" s="11" t="str">
        <f>VLOOKUP(C35,'Trips&amp;Operators'!$C$2:$E$10000,3,FALSE)</f>
        <v>STRICKLAND</v>
      </c>
      <c r="M35" s="10" t="s">
        <v>122</v>
      </c>
      <c r="N35" s="11"/>
      <c r="O35" s="1"/>
      <c r="P35" s="43" t="str">
        <f>VLOOKUP(C35,'Train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9" t="str">
        <f t="shared" si="2"/>
        <v>4027</v>
      </c>
    </row>
    <row r="36" spans="1:17" x14ac:dyDescent="0.25">
      <c r="A36" s="66">
        <v>42555.645937499998</v>
      </c>
      <c r="B36" s="55" t="s">
        <v>150</v>
      </c>
      <c r="C36" s="55" t="s">
        <v>614</v>
      </c>
      <c r="D36" s="55" t="s">
        <v>50</v>
      </c>
      <c r="E36" s="88" t="s">
        <v>58</v>
      </c>
      <c r="F36" s="91">
        <v>400</v>
      </c>
      <c r="G36" s="55">
        <v>450</v>
      </c>
      <c r="H36" s="55">
        <v>37612</v>
      </c>
      <c r="I36" s="88" t="s">
        <v>59</v>
      </c>
      <c r="J36" s="55">
        <v>38171</v>
      </c>
      <c r="K36" s="55" t="s">
        <v>53</v>
      </c>
      <c r="L36" s="11" t="str">
        <f>VLOOKUP(C36,'Trips&amp;Operators'!$C$2:$E$10000,3,FALSE)</f>
        <v>STRICKLAND</v>
      </c>
      <c r="M36" s="10" t="s">
        <v>122</v>
      </c>
      <c r="N36" s="11"/>
      <c r="O36" s="33"/>
      <c r="P36" s="43" t="str">
        <f>VLOOKUP(C36,'Train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6" s="9" t="str">
        <f t="shared" si="2"/>
        <v>4027</v>
      </c>
    </row>
    <row r="37" spans="1:17" x14ac:dyDescent="0.25">
      <c r="A37" s="66">
        <v>42555.647430555553</v>
      </c>
      <c r="B37" s="55" t="s">
        <v>150</v>
      </c>
      <c r="C37" s="55" t="s">
        <v>614</v>
      </c>
      <c r="D37" s="55" t="s">
        <v>50</v>
      </c>
      <c r="E37" s="88" t="s">
        <v>58</v>
      </c>
      <c r="F37" s="91">
        <v>400</v>
      </c>
      <c r="G37" s="55">
        <v>471</v>
      </c>
      <c r="H37" s="55">
        <v>46693</v>
      </c>
      <c r="I37" s="88" t="s">
        <v>59</v>
      </c>
      <c r="J37" s="55">
        <v>47808</v>
      </c>
      <c r="K37" s="55" t="s">
        <v>53</v>
      </c>
      <c r="L37" s="11" t="str">
        <f>VLOOKUP(C37,'Trips&amp;Operators'!$C$2:$E$10000,3,FALSE)</f>
        <v>STRICKLAND</v>
      </c>
      <c r="M37" s="10" t="s">
        <v>122</v>
      </c>
      <c r="N37" s="11"/>
      <c r="O37" s="33"/>
      <c r="P37" s="43" t="str">
        <f>VLOOKUP(C37,'Train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7" s="9" t="str">
        <f t="shared" si="2"/>
        <v>4027</v>
      </c>
    </row>
    <row r="38" spans="1:17" x14ac:dyDescent="0.25">
      <c r="A38" s="66">
        <v>42555.663298611114</v>
      </c>
      <c r="B38" s="55" t="s">
        <v>144</v>
      </c>
      <c r="C38" s="55" t="s">
        <v>617</v>
      </c>
      <c r="D38" s="55" t="s">
        <v>50</v>
      </c>
      <c r="E38" s="88" t="s">
        <v>58</v>
      </c>
      <c r="F38" s="91">
        <v>150</v>
      </c>
      <c r="G38" s="55">
        <v>167</v>
      </c>
      <c r="H38" s="55">
        <v>5907</v>
      </c>
      <c r="I38" s="88" t="s">
        <v>59</v>
      </c>
      <c r="J38" s="55">
        <v>5315</v>
      </c>
      <c r="K38" s="55" t="s">
        <v>54</v>
      </c>
      <c r="L38" s="11" t="str">
        <f>VLOOKUP(C38,'Trips&amp;Operators'!$C$2:$E$10000,3,FALSE)</f>
        <v>STRICKLAND</v>
      </c>
      <c r="M38" s="10" t="s">
        <v>122</v>
      </c>
      <c r="N38" s="11"/>
      <c r="O38" s="1"/>
      <c r="P38" s="43" t="str">
        <f>VLOOKUP(C38,'Train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9" t="str">
        <f t="shared" si="2"/>
        <v>4028</v>
      </c>
    </row>
    <row r="39" spans="1:17" x14ac:dyDescent="0.25">
      <c r="A39" s="13">
        <v>42555.663738425923</v>
      </c>
      <c r="B39" s="12" t="s">
        <v>144</v>
      </c>
      <c r="C39" s="12" t="s">
        <v>617</v>
      </c>
      <c r="D39" s="12" t="s">
        <v>50</v>
      </c>
      <c r="E39" s="89" t="s">
        <v>58</v>
      </c>
      <c r="F39" s="92">
        <v>150</v>
      </c>
      <c r="G39" s="12">
        <v>114</v>
      </c>
      <c r="H39" s="12">
        <v>5482</v>
      </c>
      <c r="I39" s="89" t="s">
        <v>59</v>
      </c>
      <c r="J39" s="12">
        <v>5315</v>
      </c>
      <c r="K39" s="11" t="s">
        <v>54</v>
      </c>
      <c r="L39" s="11" t="str">
        <f>VLOOKUP(C39,'Trips&amp;Operators'!$C$2:$E$10000,3,FALSE)</f>
        <v>STRICKLAND</v>
      </c>
      <c r="M39" s="10" t="s">
        <v>122</v>
      </c>
      <c r="N39" s="11"/>
      <c r="O39" s="1"/>
      <c r="P39" s="43" t="str">
        <f>VLOOKUP(C39,'Train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9" t="str">
        <f t="shared" si="2"/>
        <v>4028</v>
      </c>
    </row>
    <row r="40" spans="1:17" x14ac:dyDescent="0.25">
      <c r="A40" s="13">
        <v>42555.689363425925</v>
      </c>
      <c r="B40" s="12" t="s">
        <v>144</v>
      </c>
      <c r="C40" s="12" t="s">
        <v>617</v>
      </c>
      <c r="D40" s="12" t="s">
        <v>50</v>
      </c>
      <c r="E40" s="89" t="s">
        <v>58</v>
      </c>
      <c r="F40" s="92">
        <v>400</v>
      </c>
      <c r="G40" s="12">
        <v>437</v>
      </c>
      <c r="H40" s="12">
        <v>46797</v>
      </c>
      <c r="I40" s="89" t="s">
        <v>59</v>
      </c>
      <c r="J40" s="12">
        <v>47808</v>
      </c>
      <c r="K40" s="11" t="s">
        <v>53</v>
      </c>
      <c r="L40" s="11" t="str">
        <f>VLOOKUP(C40,'Trips&amp;Operators'!$C$2:$E$10000,3,FALSE)</f>
        <v>STRICKLAND</v>
      </c>
      <c r="M40" s="10" t="s">
        <v>122</v>
      </c>
      <c r="N40" s="11"/>
      <c r="O40" s="33"/>
      <c r="P40" s="43" t="str">
        <f>VLOOKUP(C40,'Train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0" s="9" t="str">
        <f t="shared" si="2"/>
        <v>4028</v>
      </c>
    </row>
    <row r="41" spans="1:17" x14ac:dyDescent="0.25">
      <c r="A41" s="13">
        <v>42555.689363425925</v>
      </c>
      <c r="B41" s="12" t="s">
        <v>150</v>
      </c>
      <c r="C41" s="12" t="s">
        <v>626</v>
      </c>
      <c r="D41" s="12" t="s">
        <v>50</v>
      </c>
      <c r="E41" s="89" t="s">
        <v>58</v>
      </c>
      <c r="F41" s="92">
        <v>400</v>
      </c>
      <c r="G41" s="12">
        <v>427</v>
      </c>
      <c r="H41" s="12">
        <v>46676</v>
      </c>
      <c r="I41" s="89" t="s">
        <v>59</v>
      </c>
      <c r="J41" s="12">
        <v>47808</v>
      </c>
      <c r="K41" s="11" t="s">
        <v>53</v>
      </c>
      <c r="L41" s="11" t="str">
        <f>VLOOKUP(C41,'Trips&amp;Operators'!$C$2:$E$10000,3,FALSE)</f>
        <v>STRICKLAND</v>
      </c>
      <c r="M41" s="10" t="s">
        <v>122</v>
      </c>
      <c r="N41" s="11"/>
      <c r="O41" s="33"/>
      <c r="P41" s="43" t="str">
        <f>VLOOKUP(C41,'Train Runs'!$A$13:$V$972,22,0)</f>
        <v>https://search-rtdc-monitor-bjffxe2xuh6vdkpspy63sjmuny.us-east-1.es.amazonaws.com/_plugin/kibana/#/discover/Steve-Slow-Train-Analysis-(2080s-and-2083s)?_g=(refreshInterval:(display:Off,section:0,value:0),time:(from:'2016-07-04 16:07:18-0600',mode:absolute,to:'2016-07-04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1" s="9" t="str">
        <f t="shared" si="2"/>
        <v>4027</v>
      </c>
    </row>
    <row r="42" spans="1:17" x14ac:dyDescent="0.25">
      <c r="A42" s="66">
        <v>42555.706122685187</v>
      </c>
      <c r="B42" s="55" t="s">
        <v>144</v>
      </c>
      <c r="C42" s="55" t="s">
        <v>629</v>
      </c>
      <c r="D42" s="55" t="s">
        <v>50</v>
      </c>
      <c r="E42" s="88" t="s">
        <v>58</v>
      </c>
      <c r="F42" s="91">
        <v>150</v>
      </c>
      <c r="G42" s="55">
        <v>187</v>
      </c>
      <c r="H42" s="55">
        <v>6296</v>
      </c>
      <c r="I42" s="88" t="s">
        <v>59</v>
      </c>
      <c r="J42" s="55">
        <v>5315</v>
      </c>
      <c r="K42" s="55" t="s">
        <v>54</v>
      </c>
      <c r="L42" s="11" t="str">
        <f>VLOOKUP(C42,'Trips&amp;Operators'!$C$2:$E$10000,3,FALSE)</f>
        <v>STRICKLAND</v>
      </c>
      <c r="M42" s="10" t="s">
        <v>122</v>
      </c>
      <c r="N42" s="11"/>
      <c r="O42" s="33"/>
      <c r="P42" s="43" t="str">
        <f>VLOOKUP(C42,'Train Runs'!$A$13:$V$972,22,0)</f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2" s="9" t="str">
        <f t="shared" si="2"/>
        <v>4028</v>
      </c>
    </row>
    <row r="43" spans="1:17" x14ac:dyDescent="0.25">
      <c r="A43" s="13">
        <v>42555.706597222219</v>
      </c>
      <c r="B43" s="12" t="s">
        <v>144</v>
      </c>
      <c r="C43" s="12" t="s">
        <v>629</v>
      </c>
      <c r="D43" s="12" t="s">
        <v>50</v>
      </c>
      <c r="E43" s="89" t="s">
        <v>58</v>
      </c>
      <c r="F43" s="92">
        <v>150</v>
      </c>
      <c r="G43" s="12">
        <v>131</v>
      </c>
      <c r="H43" s="12">
        <v>5759</v>
      </c>
      <c r="I43" s="89" t="s">
        <v>59</v>
      </c>
      <c r="J43" s="12">
        <v>5315</v>
      </c>
      <c r="K43" s="11" t="s">
        <v>54</v>
      </c>
      <c r="L43" s="11" t="str">
        <f>VLOOKUP(C43,'Trips&amp;Operators'!$C$2:$E$10000,3,FALSE)</f>
        <v>STRICKLAND</v>
      </c>
      <c r="M43" s="10" t="s">
        <v>122</v>
      </c>
      <c r="N43" s="11"/>
      <c r="O43" s="33"/>
      <c r="P43" s="43" t="str">
        <f>VLOOKUP(C43,'Train Runs'!$A$13:$V$972,22,0)</f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3" s="9" t="str">
        <f t="shared" si="2"/>
        <v>4028</v>
      </c>
    </row>
    <row r="44" spans="1:17" x14ac:dyDescent="0.25">
      <c r="A44" s="66">
        <v>42555.732187499998</v>
      </c>
      <c r="B44" s="55" t="s">
        <v>150</v>
      </c>
      <c r="C44" s="55" t="s">
        <v>637</v>
      </c>
      <c r="D44" s="55" t="s">
        <v>50</v>
      </c>
      <c r="E44" s="55" t="s">
        <v>58</v>
      </c>
      <c r="F44" s="91">
        <v>150</v>
      </c>
      <c r="G44" s="55">
        <v>142</v>
      </c>
      <c r="H44" s="55">
        <v>56414</v>
      </c>
      <c r="I44" s="55" t="s">
        <v>59</v>
      </c>
      <c r="J44" s="55">
        <v>57008</v>
      </c>
      <c r="K44" s="55" t="s">
        <v>53</v>
      </c>
      <c r="L44" s="11" t="str">
        <f>VLOOKUP(C44,'Trips&amp;Operators'!$C$2:$E$10000,3,FALSE)</f>
        <v>STRICKLAND</v>
      </c>
      <c r="M44" s="10" t="s">
        <v>122</v>
      </c>
      <c r="N44" s="11"/>
      <c r="O44" s="33"/>
      <c r="P44" s="43" t="str">
        <f>VLOOKUP(C44,'Train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4" s="9" t="str">
        <f t="shared" ref="Q44:Q67" si="3">MID(B44,13,4)</f>
        <v>4027</v>
      </c>
    </row>
    <row r="45" spans="1:17" x14ac:dyDescent="0.25">
      <c r="A45" s="66">
        <v>42555.76734953704</v>
      </c>
      <c r="B45" s="55" t="s">
        <v>144</v>
      </c>
      <c r="C45" s="55" t="s">
        <v>640</v>
      </c>
      <c r="D45" s="55" t="s">
        <v>55</v>
      </c>
      <c r="E45" s="55" t="s">
        <v>58</v>
      </c>
      <c r="F45" s="91">
        <v>200</v>
      </c>
      <c r="G45" s="55">
        <v>251</v>
      </c>
      <c r="H45" s="55">
        <v>6103</v>
      </c>
      <c r="I45" s="55" t="s">
        <v>59</v>
      </c>
      <c r="J45" s="55">
        <v>4790</v>
      </c>
      <c r="K45" s="55" t="s">
        <v>53</v>
      </c>
      <c r="L45" s="11" t="str">
        <f>VLOOKUP(C45,'Trips&amp;Operators'!$C$2:$E$10000,3,FALSE)</f>
        <v>STRICKLAND</v>
      </c>
      <c r="M45" s="10" t="s">
        <v>122</v>
      </c>
      <c r="N45" s="11"/>
      <c r="O45" s="33"/>
      <c r="P45" s="43" t="str">
        <f>VLOOKUP(C45,'Train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5" s="9" t="str">
        <f t="shared" si="3"/>
        <v>4028</v>
      </c>
    </row>
    <row r="46" spans="1:17" x14ac:dyDescent="0.25">
      <c r="A46" s="66">
        <v>42555.742384259262</v>
      </c>
      <c r="B46" s="55" t="s">
        <v>144</v>
      </c>
      <c r="C46" s="55" t="s">
        <v>640</v>
      </c>
      <c r="D46" s="55" t="s">
        <v>50</v>
      </c>
      <c r="E46" s="55" t="s">
        <v>58</v>
      </c>
      <c r="F46" s="91">
        <v>300</v>
      </c>
      <c r="G46" s="55">
        <v>328</v>
      </c>
      <c r="H46" s="55">
        <v>23682</v>
      </c>
      <c r="I46" s="55" t="s">
        <v>59</v>
      </c>
      <c r="J46" s="55">
        <v>23491</v>
      </c>
      <c r="K46" s="55" t="s">
        <v>54</v>
      </c>
      <c r="L46" s="11" t="str">
        <f>VLOOKUP(C46,'Trips&amp;Operators'!$C$2:$E$10000,3,FALSE)</f>
        <v>STRICKLAND</v>
      </c>
      <c r="M46" s="10" t="s">
        <v>122</v>
      </c>
      <c r="N46" s="11"/>
      <c r="O46" s="33"/>
      <c r="P46" s="43" t="str">
        <f>VLOOKUP(C46,'Train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6" s="9" t="str">
        <f t="shared" si="3"/>
        <v>4028</v>
      </c>
    </row>
    <row r="47" spans="1:17" x14ac:dyDescent="0.25">
      <c r="A47" s="66">
        <v>42555.775312500002</v>
      </c>
      <c r="B47" s="55" t="s">
        <v>144</v>
      </c>
      <c r="C47" s="55" t="s">
        <v>640</v>
      </c>
      <c r="D47" s="55" t="s">
        <v>50</v>
      </c>
      <c r="E47" s="55" t="s">
        <v>58</v>
      </c>
      <c r="F47" s="91">
        <v>150</v>
      </c>
      <c r="G47" s="55">
        <v>178</v>
      </c>
      <c r="H47" s="55">
        <v>56088</v>
      </c>
      <c r="I47" s="55" t="s">
        <v>59</v>
      </c>
      <c r="J47" s="55">
        <v>57008</v>
      </c>
      <c r="K47" s="55" t="s">
        <v>53</v>
      </c>
      <c r="L47" s="11" t="str">
        <f>VLOOKUP(C47,'Trips&amp;Operators'!$C$2:$E$10000,3,FALSE)</f>
        <v>STRICKLAND</v>
      </c>
      <c r="M47" s="10" t="s">
        <v>122</v>
      </c>
      <c r="N47" s="11"/>
      <c r="O47" s="33"/>
      <c r="P47" s="43" t="str">
        <f>VLOOKUP(C47,'Train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9" t="str">
        <f t="shared" si="3"/>
        <v>4028</v>
      </c>
    </row>
    <row r="48" spans="1:17" x14ac:dyDescent="0.25">
      <c r="A48" s="66">
        <v>42555.776041666664</v>
      </c>
      <c r="B48" s="55" t="s">
        <v>144</v>
      </c>
      <c r="C48" s="55" t="s">
        <v>640</v>
      </c>
      <c r="D48" s="55" t="s">
        <v>50</v>
      </c>
      <c r="E48" s="55" t="s">
        <v>58</v>
      </c>
      <c r="F48" s="91">
        <v>150</v>
      </c>
      <c r="G48" s="55">
        <v>120</v>
      </c>
      <c r="H48" s="55">
        <v>56671</v>
      </c>
      <c r="I48" s="55" t="s">
        <v>59</v>
      </c>
      <c r="J48" s="55">
        <v>57008</v>
      </c>
      <c r="K48" s="55" t="s">
        <v>53</v>
      </c>
      <c r="L48" s="11" t="str">
        <f>VLOOKUP(C48,'Trips&amp;Operators'!$C$2:$E$10000,3,FALSE)</f>
        <v>STRICKLAND</v>
      </c>
      <c r="M48" s="10" t="s">
        <v>122</v>
      </c>
      <c r="N48" s="11"/>
      <c r="O48" s="33"/>
      <c r="P48" s="43" t="str">
        <f>VLOOKUP(C48,'Train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8" s="9" t="str">
        <f t="shared" si="3"/>
        <v>4028</v>
      </c>
    </row>
    <row r="49" spans="1:17" x14ac:dyDescent="0.25">
      <c r="A49" s="66">
        <v>42555.76734953704</v>
      </c>
      <c r="B49" s="55" t="s">
        <v>150</v>
      </c>
      <c r="C49" s="55" t="s">
        <v>648</v>
      </c>
      <c r="D49" s="55" t="s">
        <v>55</v>
      </c>
      <c r="E49" s="55" t="s">
        <v>58</v>
      </c>
      <c r="F49" s="91">
        <v>200</v>
      </c>
      <c r="G49" s="55">
        <v>250</v>
      </c>
      <c r="H49" s="55">
        <v>6114</v>
      </c>
      <c r="I49" s="55" t="s">
        <v>59</v>
      </c>
      <c r="J49" s="55">
        <v>4790</v>
      </c>
      <c r="K49" s="55" t="s">
        <v>53</v>
      </c>
      <c r="L49" s="11" t="str">
        <f>VLOOKUP(C49,'Trips&amp;Operators'!$C$2:$E$10000,3,FALSE)</f>
        <v>STRICKLAND</v>
      </c>
      <c r="M49" s="10" t="s">
        <v>122</v>
      </c>
      <c r="N49" s="11"/>
      <c r="O49" s="33"/>
      <c r="P49" s="43" t="str">
        <f>VLOOKUP(C49,'Train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9" s="9" t="str">
        <f t="shared" si="3"/>
        <v>4027</v>
      </c>
    </row>
    <row r="50" spans="1:17" x14ac:dyDescent="0.25">
      <c r="A50" s="66">
        <v>42555.775312500002</v>
      </c>
      <c r="B50" s="55" t="s">
        <v>150</v>
      </c>
      <c r="C50" s="55" t="s">
        <v>648</v>
      </c>
      <c r="D50" s="55" t="s">
        <v>50</v>
      </c>
      <c r="E50" s="55" t="s">
        <v>58</v>
      </c>
      <c r="F50" s="91">
        <v>150</v>
      </c>
      <c r="G50" s="55">
        <v>184</v>
      </c>
      <c r="H50" s="55">
        <v>56287</v>
      </c>
      <c r="I50" s="55" t="s">
        <v>59</v>
      </c>
      <c r="J50" s="55">
        <v>57008</v>
      </c>
      <c r="K50" s="55" t="s">
        <v>53</v>
      </c>
      <c r="L50" s="11" t="str">
        <f>VLOOKUP(C50,'Trips&amp;Operators'!$C$2:$E$10000,3,FALSE)</f>
        <v>STRICKLAND</v>
      </c>
      <c r="M50" s="10" t="s">
        <v>122</v>
      </c>
      <c r="N50" s="11"/>
      <c r="O50" s="33"/>
      <c r="P50" s="43" t="str">
        <f>VLOOKUP(C50,'Train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0" s="9" t="str">
        <f t="shared" si="3"/>
        <v>4027</v>
      </c>
    </row>
    <row r="51" spans="1:17" x14ac:dyDescent="0.25">
      <c r="A51" s="66">
        <v>42555.863599537035</v>
      </c>
      <c r="B51" s="55" t="s">
        <v>144</v>
      </c>
      <c r="C51" s="55" t="s">
        <v>658</v>
      </c>
      <c r="D51" s="55" t="s">
        <v>55</v>
      </c>
      <c r="E51" s="55" t="s">
        <v>58</v>
      </c>
      <c r="F51" s="91">
        <v>150</v>
      </c>
      <c r="G51" s="55">
        <v>203</v>
      </c>
      <c r="H51" s="55">
        <v>56671</v>
      </c>
      <c r="I51" s="55" t="s">
        <v>59</v>
      </c>
      <c r="J51" s="55">
        <v>59050</v>
      </c>
      <c r="K51" s="55" t="s">
        <v>54</v>
      </c>
      <c r="L51" s="11" t="str">
        <f>VLOOKUP(C51,'Trips&amp;Operators'!$C$2:$E$10000,3,FALSE)</f>
        <v>STRICKLAND</v>
      </c>
      <c r="M51" s="10" t="s">
        <v>122</v>
      </c>
      <c r="N51" s="11"/>
      <c r="O51" s="33"/>
      <c r="P51" s="43" t="str">
        <f>VLOOKUP(C51,'Train Runs'!$A$13:$V$972,22,0)</f>
        <v>https://search-rtdc-monitor-bjffxe2xuh6vdkpspy63sjmuny.us-east-1.es.amazonaws.com/_plugin/kibana/#/discover/Steve-Slow-Train-Analysis-(2080s-and-2083s)?_g=(refreshInterval:(display:Off,section:0,value:0),time:(from:'2016-07-04 20:37:05-0600',mode:absolute,to:'2016-07-04 20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1" s="9" t="str">
        <f t="shared" si="3"/>
        <v>4028</v>
      </c>
    </row>
    <row r="52" spans="1:17" x14ac:dyDescent="0.25">
      <c r="A52" s="66">
        <v>42555.905381944445</v>
      </c>
      <c r="B52" s="55" t="s">
        <v>144</v>
      </c>
      <c r="C52" s="55" t="s">
        <v>663</v>
      </c>
      <c r="D52" s="55" t="s">
        <v>55</v>
      </c>
      <c r="E52" s="55" t="s">
        <v>58</v>
      </c>
      <c r="F52" s="91">
        <v>150</v>
      </c>
      <c r="G52" s="55">
        <v>205</v>
      </c>
      <c r="H52" s="55">
        <v>56974</v>
      </c>
      <c r="I52" s="55" t="s">
        <v>59</v>
      </c>
      <c r="J52" s="55">
        <v>59050</v>
      </c>
      <c r="K52" s="55" t="s">
        <v>54</v>
      </c>
      <c r="L52" s="11" t="str">
        <f>VLOOKUP(C52,'Trips&amp;Operators'!$C$2:$E$10000,3,FALSE)</f>
        <v>STRICKLAND</v>
      </c>
      <c r="M52" s="10" t="s">
        <v>122</v>
      </c>
      <c r="N52" s="11"/>
      <c r="O52" s="33"/>
      <c r="P52" s="43" t="str">
        <f>VLOOKUP(C52,'Train Runs'!$A$13:$V$972,22,0)</f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2" s="9" t="str">
        <f t="shared" si="3"/>
        <v>4028</v>
      </c>
    </row>
    <row r="53" spans="1:17" x14ac:dyDescent="0.25">
      <c r="A53" s="66">
        <v>42555.937314814815</v>
      </c>
      <c r="B53" s="55" t="s">
        <v>150</v>
      </c>
      <c r="C53" s="55" t="s">
        <v>669</v>
      </c>
      <c r="D53" s="55" t="s">
        <v>55</v>
      </c>
      <c r="E53" s="55" t="s">
        <v>58</v>
      </c>
      <c r="F53" s="91">
        <v>400</v>
      </c>
      <c r="G53" s="55">
        <v>453</v>
      </c>
      <c r="H53" s="55">
        <v>43720</v>
      </c>
      <c r="I53" s="55" t="s">
        <v>59</v>
      </c>
      <c r="J53" s="55">
        <v>41797</v>
      </c>
      <c r="K53" s="55" t="s">
        <v>53</v>
      </c>
      <c r="L53" s="11" t="str">
        <f>VLOOKUP(C53,'Trips&amp;Operators'!$C$2:$E$10000,3,FALSE)</f>
        <v>STRICKLAND</v>
      </c>
      <c r="M53" s="10" t="s">
        <v>122</v>
      </c>
      <c r="N53" s="11"/>
      <c r="O53" s="33"/>
      <c r="P53" s="43" t="str">
        <f>VLOOKUP(C53,'Train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3" s="9" t="str">
        <f t="shared" si="3"/>
        <v>4027</v>
      </c>
    </row>
    <row r="54" spans="1:17" x14ac:dyDescent="0.25">
      <c r="A54" s="66">
        <v>42555.945219907408</v>
      </c>
      <c r="B54" s="55" t="s">
        <v>144</v>
      </c>
      <c r="C54" s="55" t="s">
        <v>674</v>
      </c>
      <c r="D54" s="55" t="s">
        <v>55</v>
      </c>
      <c r="E54" s="55" t="s">
        <v>58</v>
      </c>
      <c r="F54" s="91">
        <v>150</v>
      </c>
      <c r="G54" s="55">
        <v>202</v>
      </c>
      <c r="H54" s="55">
        <v>56836</v>
      </c>
      <c r="I54" s="55" t="s">
        <v>59</v>
      </c>
      <c r="J54" s="55">
        <v>59050</v>
      </c>
      <c r="K54" s="55" t="s">
        <v>54</v>
      </c>
      <c r="L54" s="11" t="str">
        <f>VLOOKUP(C54,'Trips&amp;Operators'!$C$2:$E$10000,3,FALSE)</f>
        <v>STRICKLAND</v>
      </c>
      <c r="M54" s="10" t="s">
        <v>122</v>
      </c>
      <c r="N54" s="11"/>
      <c r="O54" s="33"/>
      <c r="P54" s="43" t="str">
        <f>VLOOKUP(C54,'Train Runs'!$A$13:$V$972,22,0)</f>
        <v>https://search-rtdc-monitor-bjffxe2xuh6vdkpspy63sjmuny.us-east-1.es.amazonaws.com/_plugin/kibana/#/discover/Steve-Slow-Train-Analysis-(2080s-and-2083s)?_g=(refreshInterval:(display:Off,section:0,value:0),time:(from:'2016-07-04 22:36:12-0600',mode:absolute,to:'2016-07-04 22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4" s="9" t="str">
        <f t="shared" si="3"/>
        <v>4028</v>
      </c>
    </row>
    <row r="55" spans="1:17" x14ac:dyDescent="0.25">
      <c r="A55" s="66">
        <v>42555.324386574073</v>
      </c>
      <c r="B55" s="55" t="s">
        <v>143</v>
      </c>
      <c r="C55" s="55" t="s">
        <v>356</v>
      </c>
      <c r="D55" s="55" t="s">
        <v>50</v>
      </c>
      <c r="E55" s="88" t="s">
        <v>56</v>
      </c>
      <c r="F55" s="91">
        <v>0</v>
      </c>
      <c r="G55" s="55">
        <v>691</v>
      </c>
      <c r="H55" s="55">
        <v>194138</v>
      </c>
      <c r="I55" s="88" t="s">
        <v>57</v>
      </c>
      <c r="J55" s="55">
        <v>198242</v>
      </c>
      <c r="K55" s="55" t="s">
        <v>53</v>
      </c>
      <c r="L55" s="11" t="str">
        <f>VLOOKUP(C55,'Trips&amp;Operators'!$C$2:$E$10000,3,FALSE)</f>
        <v>MALAVE</v>
      </c>
      <c r="M55" s="10" t="s">
        <v>121</v>
      </c>
      <c r="N55" s="11" t="s">
        <v>683</v>
      </c>
      <c r="O55" s="33"/>
      <c r="P55" s="43" t="str">
        <f>VLOOKUP(C55,'Train Runs'!$A$13:$V$972,22,0)</f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5" s="9" t="str">
        <f t="shared" si="3"/>
        <v>4025</v>
      </c>
    </row>
    <row r="56" spans="1:17" x14ac:dyDescent="0.25">
      <c r="A56" s="66">
        <v>42555.471446759257</v>
      </c>
      <c r="B56" s="55" t="s">
        <v>149</v>
      </c>
      <c r="C56" s="55" t="s">
        <v>353</v>
      </c>
      <c r="D56" s="55" t="s">
        <v>55</v>
      </c>
      <c r="E56" s="88" t="s">
        <v>56</v>
      </c>
      <c r="F56" s="91">
        <v>0</v>
      </c>
      <c r="G56" s="55">
        <v>9</v>
      </c>
      <c r="H56" s="55">
        <v>67870</v>
      </c>
      <c r="I56" s="88" t="s">
        <v>57</v>
      </c>
      <c r="J56" s="55">
        <v>69363</v>
      </c>
      <c r="K56" s="55" t="s">
        <v>54</v>
      </c>
      <c r="L56" s="11" t="str">
        <f>VLOOKUP(C56,'Trips&amp;Operators'!$C$2:$E$10000,3,FALSE)</f>
        <v>SPECTOR</v>
      </c>
      <c r="M56" s="10" t="s">
        <v>121</v>
      </c>
      <c r="N56" s="11" t="s">
        <v>159</v>
      </c>
      <c r="O56" s="1"/>
      <c r="P56" s="43" t="str">
        <f>VLOOKUP(C56,'Train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6" s="9" t="str">
        <f t="shared" si="3"/>
        <v>4030</v>
      </c>
    </row>
    <row r="57" spans="1:17" x14ac:dyDescent="0.25">
      <c r="A57" s="66">
        <v>42555.471967592595</v>
      </c>
      <c r="B57" s="55" t="s">
        <v>149</v>
      </c>
      <c r="C57" s="55" t="s">
        <v>353</v>
      </c>
      <c r="D57" s="55" t="s">
        <v>55</v>
      </c>
      <c r="E57" s="88" t="s">
        <v>56</v>
      </c>
      <c r="F57" s="91">
        <v>0</v>
      </c>
      <c r="G57" s="55">
        <v>6</v>
      </c>
      <c r="H57" s="55">
        <v>67788</v>
      </c>
      <c r="I57" s="88" t="s">
        <v>57</v>
      </c>
      <c r="J57" s="55">
        <v>69363</v>
      </c>
      <c r="K57" s="55" t="s">
        <v>54</v>
      </c>
      <c r="L57" s="11" t="str">
        <f>VLOOKUP(C57,'Trips&amp;Operators'!$C$2:$E$10000,3,FALSE)</f>
        <v>SPECTOR</v>
      </c>
      <c r="M57" s="10" t="s">
        <v>121</v>
      </c>
      <c r="N57" s="11" t="s">
        <v>159</v>
      </c>
      <c r="O57" s="1"/>
      <c r="P57" s="43" t="str">
        <f>VLOOKUP(C57,'Train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7" s="9" t="str">
        <f t="shared" si="3"/>
        <v>4030</v>
      </c>
    </row>
    <row r="58" spans="1:17" x14ac:dyDescent="0.25">
      <c r="A58" s="66">
        <v>42555.87568287037</v>
      </c>
      <c r="B58" s="55" t="s">
        <v>198</v>
      </c>
      <c r="C58" s="55" t="s">
        <v>552</v>
      </c>
      <c r="D58" s="55" t="s">
        <v>50</v>
      </c>
      <c r="E58" s="55" t="s">
        <v>56</v>
      </c>
      <c r="F58" s="91">
        <v>0</v>
      </c>
      <c r="G58" s="55">
        <v>138</v>
      </c>
      <c r="H58" s="55">
        <v>1386</v>
      </c>
      <c r="I58" s="55" t="s">
        <v>57</v>
      </c>
      <c r="J58" s="55">
        <v>1692</v>
      </c>
      <c r="K58" s="55" t="s">
        <v>53</v>
      </c>
      <c r="L58" s="11" t="str">
        <f>VLOOKUP(C58,'Trips&amp;Operators'!$C$2:$E$10000,3,FALSE)</f>
        <v>YOUNG</v>
      </c>
      <c r="M58" s="10" t="s">
        <v>121</v>
      </c>
      <c r="N58" s="11" t="s">
        <v>684</v>
      </c>
      <c r="O58" s="33"/>
      <c r="P58" s="43" t="str">
        <f>VLOOKUP(C58,'Train Runs'!$A$13:$V$972,22,0)</f>
        <v>https://search-rtdc-monitor-bjffxe2xuh6vdkpspy63sjmuny.us-east-1.es.amazonaws.com/_plugin/kibana/#/discover/Steve-Slow-Train-Analysis-(2080s-and-2083s)?_g=(refreshInterval:(display:Off,section:0,value:0),time:(from:'2016-07-04 20:52:13-0600',mode:absolute,to:'2016-07-04 21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8" s="9" t="str">
        <f t="shared" si="3"/>
        <v>4040</v>
      </c>
    </row>
    <row r="59" spans="1:17" x14ac:dyDescent="0.25">
      <c r="A59" s="66">
        <v>42556.008599537039</v>
      </c>
      <c r="B59" s="55" t="s">
        <v>317</v>
      </c>
      <c r="C59" s="55" t="s">
        <v>567</v>
      </c>
      <c r="D59" s="55" t="s">
        <v>50</v>
      </c>
      <c r="E59" s="55" t="s">
        <v>56</v>
      </c>
      <c r="F59" s="91">
        <v>0</v>
      </c>
      <c r="G59" s="55">
        <v>528</v>
      </c>
      <c r="H59" s="55">
        <v>150126</v>
      </c>
      <c r="I59" s="55" t="s">
        <v>57</v>
      </c>
      <c r="J59" s="55">
        <v>149700</v>
      </c>
      <c r="K59" s="55" t="s">
        <v>54</v>
      </c>
      <c r="L59" s="11" t="str">
        <f>VLOOKUP(C59,'Trips&amp;Operators'!$C$2:$E$10000,3,FALSE)</f>
        <v>YOUNG</v>
      </c>
      <c r="M59" s="10" t="s">
        <v>121</v>
      </c>
      <c r="N59" s="11" t="s">
        <v>159</v>
      </c>
      <c r="O59" s="33"/>
      <c r="P59" s="43" t="str">
        <f>VLOOKUP(C59,'Train Runs'!$A$13:$V$972,22,0)</f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9" s="9" t="str">
        <f t="shared" si="3"/>
        <v>4039</v>
      </c>
    </row>
    <row r="60" spans="1:17" x14ac:dyDescent="0.25">
      <c r="A60" s="66">
        <v>42556.005972222221</v>
      </c>
      <c r="B60" s="55" t="s">
        <v>317</v>
      </c>
      <c r="C60" s="55" t="s">
        <v>567</v>
      </c>
      <c r="D60" s="55" t="s">
        <v>50</v>
      </c>
      <c r="E60" s="55" t="s">
        <v>56</v>
      </c>
      <c r="F60" s="91">
        <v>0</v>
      </c>
      <c r="G60" s="55">
        <v>635</v>
      </c>
      <c r="H60" s="55">
        <v>165181</v>
      </c>
      <c r="I60" s="55" t="s">
        <v>57</v>
      </c>
      <c r="J60" s="55">
        <v>162262</v>
      </c>
      <c r="K60" s="55" t="s">
        <v>54</v>
      </c>
      <c r="L60" s="11" t="str">
        <f>VLOOKUP(C60,'Trips&amp;Operators'!$C$2:$E$10000,3,FALSE)</f>
        <v>YOUNG</v>
      </c>
      <c r="M60" s="10" t="s">
        <v>121</v>
      </c>
      <c r="N60" s="11" t="s">
        <v>159</v>
      </c>
      <c r="O60" s="33"/>
      <c r="P60" s="43" t="str">
        <f>VLOOKUP(C60,'Train Runs'!$A$13:$V$972,22,0)</f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0" s="9" t="str">
        <f t="shared" si="3"/>
        <v>4039</v>
      </c>
    </row>
    <row r="61" spans="1:17" x14ac:dyDescent="0.25">
      <c r="A61" s="66">
        <v>42555.267280092594</v>
      </c>
      <c r="B61" s="55" t="s">
        <v>150</v>
      </c>
      <c r="C61" s="55" t="s">
        <v>367</v>
      </c>
      <c r="D61" s="55" t="s">
        <v>50</v>
      </c>
      <c r="E61" s="88" t="s">
        <v>56</v>
      </c>
      <c r="F61" s="91">
        <v>0</v>
      </c>
      <c r="G61" s="55">
        <v>438</v>
      </c>
      <c r="H61" s="55">
        <v>10526</v>
      </c>
      <c r="I61" s="88" t="s">
        <v>57</v>
      </c>
      <c r="J61" s="55">
        <v>10988</v>
      </c>
      <c r="K61" s="55" t="s">
        <v>53</v>
      </c>
      <c r="L61" s="11" t="str">
        <f>VLOOKUP(C61,'Trips&amp;Operators'!$C$2:$E$10000,3,FALSE)</f>
        <v>NELSON</v>
      </c>
      <c r="M61" s="10" t="s">
        <v>682</v>
      </c>
      <c r="N61" s="11"/>
      <c r="O61" s="1"/>
      <c r="P61" s="43" t="str">
        <f>VLOOKUP(C61,'Train Runs'!$A$13:$V$972,22,0)</f>
        <v>https://search-rtdc-monitor-bjffxe2xuh6vdkpspy63sjmuny.us-east-1.es.amazonaws.com/_plugin/kibana/#/discover/Steve-Slow-Train-Analysis-(2080s-and-2083s)?_g=(refreshInterval:(display:Off,section:0,value:0),time:(from:'2016-07-04 06:16:01-0600',mode:absolute,to:'2016-07-04 06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1" s="9" t="str">
        <f t="shared" si="3"/>
        <v>4027</v>
      </c>
    </row>
    <row r="62" spans="1:17" x14ac:dyDescent="0.25">
      <c r="A62" s="13">
        <v>42555.286099537036</v>
      </c>
      <c r="B62" s="12" t="s">
        <v>144</v>
      </c>
      <c r="C62" s="12" t="s">
        <v>334</v>
      </c>
      <c r="D62" s="12" t="s">
        <v>50</v>
      </c>
      <c r="E62" s="89" t="s">
        <v>56</v>
      </c>
      <c r="F62" s="92">
        <v>0</v>
      </c>
      <c r="G62" s="12">
        <v>133</v>
      </c>
      <c r="H62" s="12">
        <v>5253</v>
      </c>
      <c r="I62" s="89" t="s">
        <v>57</v>
      </c>
      <c r="J62" s="12">
        <v>4798</v>
      </c>
      <c r="K62" s="11" t="s">
        <v>54</v>
      </c>
      <c r="L62" s="11" t="str">
        <f>VLOOKUP(C62,'Trips&amp;Operators'!$C$2:$E$10000,3,FALSE)</f>
        <v>NELSON</v>
      </c>
      <c r="M62" s="10" t="s">
        <v>682</v>
      </c>
      <c r="N62" s="11"/>
      <c r="O62" s="33"/>
      <c r="P62" s="43" t="str">
        <f>VLOOKUP(C62,'Train Runs'!$A$13:$V$972,22,0)</f>
        <v>https://search-rtdc-monitor-bjffxe2xuh6vdkpspy63sjmuny.us-east-1.es.amazonaws.com/_plugin/kibana/#/discover/Steve-Slow-Train-Analysis-(2080s-and-2083s)?_g=(refreshInterval:(display:Off,section:0,value:0),time:(from:'2016-07-04 06:37:14-0600',mode:absolute,to:'2016-07-04 06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2" s="9" t="str">
        <f t="shared" si="3"/>
        <v>4028</v>
      </c>
    </row>
    <row r="63" spans="1:17" x14ac:dyDescent="0.25">
      <c r="A63" s="66">
        <v>42555.287511574075</v>
      </c>
      <c r="B63" s="55" t="s">
        <v>193</v>
      </c>
      <c r="C63" s="55" t="s">
        <v>376</v>
      </c>
      <c r="D63" s="55" t="s">
        <v>50</v>
      </c>
      <c r="E63" s="88" t="s">
        <v>56</v>
      </c>
      <c r="F63" s="91">
        <v>0</v>
      </c>
      <c r="G63" s="55">
        <v>253</v>
      </c>
      <c r="H63" s="55">
        <v>6633</v>
      </c>
      <c r="I63" s="88" t="s">
        <v>57</v>
      </c>
      <c r="J63" s="55">
        <v>6798</v>
      </c>
      <c r="K63" s="55" t="s">
        <v>53</v>
      </c>
      <c r="L63" s="11" t="str">
        <f>VLOOKUP(C63,'Trips&amp;Operators'!$C$2:$E$10000,3,FALSE)</f>
        <v>ADANE</v>
      </c>
      <c r="M63" s="10" t="s">
        <v>682</v>
      </c>
      <c r="N63" s="11"/>
      <c r="O63" s="33"/>
      <c r="P63" s="43" t="str">
        <f>VLOOKUP(C63,'Train Runs'!$A$13:$V$972,22,0)</f>
        <v>https://search-rtdc-monitor-bjffxe2xuh6vdkpspy63sjmuny.us-east-1.es.amazonaws.com/_plugin/kibana/#/discover/Steve-Slow-Train-Analysis-(2080s-and-2083s)?_g=(refreshInterval:(display:Off,section:0,value:0),time:(from:'2016-07-04 06:42:40-0600',mode:absolute,to:'2016-07-04 07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3" s="9" t="str">
        <f t="shared" si="3"/>
        <v>4007</v>
      </c>
    </row>
    <row r="64" spans="1:17" x14ac:dyDescent="0.25">
      <c r="A64" s="66">
        <v>42555.728703703702</v>
      </c>
      <c r="B64" s="55" t="s">
        <v>150</v>
      </c>
      <c r="C64" s="55" t="s">
        <v>637</v>
      </c>
      <c r="D64" s="55" t="s">
        <v>50</v>
      </c>
      <c r="E64" s="88" t="s">
        <v>56</v>
      </c>
      <c r="F64" s="91">
        <v>0</v>
      </c>
      <c r="G64" s="55">
        <v>435</v>
      </c>
      <c r="H64" s="55">
        <v>33205</v>
      </c>
      <c r="I64" s="88" t="s">
        <v>57</v>
      </c>
      <c r="J64" s="55">
        <v>33252</v>
      </c>
      <c r="K64" s="55" t="s">
        <v>53</v>
      </c>
      <c r="L64" s="11" t="str">
        <f>VLOOKUP(C64,'Trips&amp;Operators'!$C$2:$E$10000,3,FALSE)</f>
        <v>STRICKLAND</v>
      </c>
      <c r="M64" s="10" t="s">
        <v>682</v>
      </c>
      <c r="N64" s="11"/>
      <c r="O64" s="1"/>
      <c r="P64" s="43" t="str">
        <f>VLOOKUP(C64,'Train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4" s="9" t="str">
        <f t="shared" si="3"/>
        <v>4027</v>
      </c>
    </row>
    <row r="65" spans="1:17" x14ac:dyDescent="0.25">
      <c r="A65" s="66">
        <v>42555.471064814818</v>
      </c>
      <c r="B65" s="55" t="s">
        <v>149</v>
      </c>
      <c r="C65" s="55" t="s">
        <v>353</v>
      </c>
      <c r="D65" s="55" t="s">
        <v>50</v>
      </c>
      <c r="E65" s="88" t="s">
        <v>119</v>
      </c>
      <c r="F65" s="91">
        <v>0</v>
      </c>
      <c r="G65" s="55">
        <v>725</v>
      </c>
      <c r="H65" s="55">
        <v>71200</v>
      </c>
      <c r="I65" s="88" t="s">
        <v>120</v>
      </c>
      <c r="J65" s="55">
        <v>69363</v>
      </c>
      <c r="K65" s="55" t="s">
        <v>54</v>
      </c>
      <c r="L65" s="11" t="str">
        <f>VLOOKUP(C65,'Trips&amp;Operators'!$C$2:$E$10000,3,FALSE)</f>
        <v>SPECTOR</v>
      </c>
      <c r="M65" s="10" t="s">
        <v>121</v>
      </c>
      <c r="N65" s="11" t="s">
        <v>159</v>
      </c>
      <c r="O65" s="1"/>
      <c r="P65" s="43" t="str">
        <f>VLOOKUP(C65,'Train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5" s="9" t="str">
        <f t="shared" si="3"/>
        <v>4030</v>
      </c>
    </row>
    <row r="66" spans="1:17" x14ac:dyDescent="0.25">
      <c r="A66" s="66">
        <v>42555.466863425929</v>
      </c>
      <c r="B66" s="55" t="s">
        <v>317</v>
      </c>
      <c r="C66" s="55" t="s">
        <v>428</v>
      </c>
      <c r="D66" s="55" t="s">
        <v>55</v>
      </c>
      <c r="E66" s="88" t="s">
        <v>119</v>
      </c>
      <c r="F66" s="91">
        <v>0</v>
      </c>
      <c r="G66" s="55">
        <v>159</v>
      </c>
      <c r="H66" s="55">
        <v>230799</v>
      </c>
      <c r="I66" s="88" t="s">
        <v>120</v>
      </c>
      <c r="J66" s="55">
        <v>231147</v>
      </c>
      <c r="K66" s="55" t="s">
        <v>54</v>
      </c>
      <c r="L66" s="11" t="str">
        <f>VLOOKUP(C66,'Trips&amp;Operators'!$C$2:$E$10000,3,FALSE)</f>
        <v>NEWELL</v>
      </c>
      <c r="M66" s="10" t="s">
        <v>121</v>
      </c>
      <c r="N66" s="11" t="s">
        <v>159</v>
      </c>
      <c r="O66" s="33"/>
      <c r="P66" s="43" t="str">
        <f>VLOOKUP(C66,'Train Runs'!$A$13:$V$972,22,0)</f>
        <v>https://search-rtdc-monitor-bjffxe2xuh6vdkpspy63sjmuny.us-east-1.es.amazonaws.com/_plugin/kibana/#/discover/Steve-Slow-Train-Analysis-(2080s-and-2083s)?_g=(refreshInterval:(display:Off,section:0,value:0),time:(from:'2016-07-04 10:57:33-0600',mode:absolute,to:'2016-07-04 11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9" t="str">
        <f t="shared" si="3"/>
        <v>4039</v>
      </c>
    </row>
    <row r="67" spans="1:17" x14ac:dyDescent="0.25">
      <c r="A67" s="66">
        <v>42555.520787037036</v>
      </c>
      <c r="B67" s="55" t="s">
        <v>78</v>
      </c>
      <c r="C67" s="55" t="s">
        <v>401</v>
      </c>
      <c r="D67" s="55" t="s">
        <v>50</v>
      </c>
      <c r="E67" s="88" t="s">
        <v>119</v>
      </c>
      <c r="F67" s="91">
        <v>0</v>
      </c>
      <c r="G67" s="55">
        <v>408</v>
      </c>
      <c r="H67" s="55">
        <v>17938</v>
      </c>
      <c r="I67" s="88" t="s">
        <v>120</v>
      </c>
      <c r="J67" s="55">
        <v>17100</v>
      </c>
      <c r="K67" s="55" t="s">
        <v>54</v>
      </c>
      <c r="L67" s="11" t="str">
        <f>VLOOKUP(C67,'Trips&amp;Operators'!$C$2:$E$10000,3,FALSE)</f>
        <v>MALAVE</v>
      </c>
      <c r="M67" s="10" t="s">
        <v>121</v>
      </c>
      <c r="N67" s="11" t="s">
        <v>159</v>
      </c>
      <c r="O67" s="1"/>
      <c r="P67" s="43" t="str">
        <f>VLOOKUP(C67,'Train Runs'!$A$13:$V$972,22,0)</f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7" s="9" t="str">
        <f t="shared" si="3"/>
        <v>4019</v>
      </c>
    </row>
    <row r="68" spans="1:17" x14ac:dyDescent="0.25">
      <c r="A68" s="13">
        <v>42555.581412037034</v>
      </c>
      <c r="B68" s="12" t="s">
        <v>92</v>
      </c>
      <c r="C68" s="12" t="s">
        <v>398</v>
      </c>
      <c r="D68" s="12" t="s">
        <v>55</v>
      </c>
      <c r="E68" s="89" t="s">
        <v>119</v>
      </c>
      <c r="F68" s="92">
        <v>0</v>
      </c>
      <c r="G68" s="12">
        <v>249</v>
      </c>
      <c r="H68" s="12">
        <v>230979</v>
      </c>
      <c r="I68" s="89" t="s">
        <v>120</v>
      </c>
      <c r="J68" s="12">
        <v>231650</v>
      </c>
      <c r="K68" s="11" t="s">
        <v>54</v>
      </c>
      <c r="L68" s="11" t="str">
        <f>VLOOKUP(C68,'Trips&amp;Operators'!$C$2:$E$10000,3,FALSE)</f>
        <v>RIVERA</v>
      </c>
      <c r="M68" s="10" t="s">
        <v>121</v>
      </c>
      <c r="N68" s="11" t="s">
        <v>159</v>
      </c>
      <c r="O68" s="33"/>
      <c r="P68" s="43" t="str">
        <f>VLOOKUP(C68,'Train Runs'!$A$13:$V$972,22,0)</f>
        <v>https://search-rtdc-monitor-bjffxe2xuh6vdkpspy63sjmuny.us-east-1.es.amazonaws.com/_plugin/kibana/#/discover/Steve-Slow-Train-Analysis-(2080s-and-2083s)?_g=(refreshInterval:(display:Off,section:0,value:0),time:(from:'2016-07-04 13:47:36-0600',mode:absolute,to:'2016-07-04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9" t="str">
        <f>MID(B68,13,4)</f>
        <v>4041</v>
      </c>
    </row>
    <row r="69" spans="1:17" x14ac:dyDescent="0.25">
      <c r="A69" s="13">
        <v>42555.226805555554</v>
      </c>
      <c r="B69" s="12" t="s">
        <v>185</v>
      </c>
      <c r="C69" s="12" t="s">
        <v>410</v>
      </c>
      <c r="D69" s="12" t="s">
        <v>55</v>
      </c>
      <c r="E69" s="89" t="s">
        <v>119</v>
      </c>
      <c r="F69" s="92">
        <v>0</v>
      </c>
      <c r="G69" s="12">
        <v>137</v>
      </c>
      <c r="H69" s="12">
        <v>4490</v>
      </c>
      <c r="I69" s="89" t="s">
        <v>120</v>
      </c>
      <c r="J69" s="12">
        <v>4498</v>
      </c>
      <c r="K69" s="11" t="s">
        <v>54</v>
      </c>
      <c r="L69" s="11" t="str">
        <f>VLOOKUP(C69,'Trips&amp;Operators'!$C$2:$E$10000,3,FALSE)</f>
        <v>ADANE</v>
      </c>
      <c r="M69" s="10" t="s">
        <v>121</v>
      </c>
      <c r="N69" s="11" t="s">
        <v>159</v>
      </c>
      <c r="O69" s="33"/>
      <c r="P69" s="43" t="str">
        <f>VLOOKUP(C69,'Train Runs'!$A$13:$V$972,22,0)</f>
        <v>https://search-rtdc-monitor-bjffxe2xuh6vdkpspy63sjmuny.us-east-1.es.amazonaws.com/_plugin/kibana/#/discover/Steve-Slow-Train-Analysis-(2080s-and-2083s)?_g=(refreshInterval:(display:Off,section:0,value:0),time:(from:'2016-07-04 05:13:24-0600',mode:absolute,to:'2016-07-04 05:30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9" s="9" t="str">
        <f>MID(B69,13,4)</f>
        <v>4008</v>
      </c>
    </row>
    <row r="70" spans="1:17" x14ac:dyDescent="0.25">
      <c r="A70" s="13">
        <v>42555.265219907407</v>
      </c>
      <c r="B70" s="12" t="s">
        <v>185</v>
      </c>
      <c r="C70" s="12" t="s">
        <v>370</v>
      </c>
      <c r="D70" s="12" t="s">
        <v>50</v>
      </c>
      <c r="E70" s="89" t="s">
        <v>119</v>
      </c>
      <c r="F70" s="92">
        <v>0</v>
      </c>
      <c r="G70" s="12">
        <v>144</v>
      </c>
      <c r="H70" s="12">
        <v>4729</v>
      </c>
      <c r="I70" s="89" t="s">
        <v>120</v>
      </c>
      <c r="J70" s="12">
        <v>4498</v>
      </c>
      <c r="K70" s="11" t="s">
        <v>54</v>
      </c>
      <c r="L70" s="11" t="str">
        <f>VLOOKUP(C70,'Trips&amp;Operators'!$C$2:$E$10000,3,FALSE)</f>
        <v>ADANE</v>
      </c>
      <c r="M70" s="10" t="s">
        <v>121</v>
      </c>
      <c r="N70" s="11" t="s">
        <v>159</v>
      </c>
      <c r="O70" s="1"/>
      <c r="P70" s="43" t="str">
        <f>VLOOKUP(C70,'Train Runs'!$A$13:$V$972,22,0)</f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0" s="9" t="str">
        <f>MID(B70,13,4)</f>
        <v>4008</v>
      </c>
    </row>
    <row r="71" spans="1:17" x14ac:dyDescent="0.25">
      <c r="A71" s="13">
        <v>42555.643437500003</v>
      </c>
      <c r="B71" s="12" t="s">
        <v>144</v>
      </c>
      <c r="C71" s="12" t="s">
        <v>611</v>
      </c>
      <c r="D71" s="12" t="s">
        <v>50</v>
      </c>
      <c r="E71" s="89" t="s">
        <v>677</v>
      </c>
      <c r="F71" s="92">
        <v>470</v>
      </c>
      <c r="G71" s="12">
        <v>470</v>
      </c>
      <c r="H71" s="12">
        <v>9255</v>
      </c>
      <c r="I71" s="89" t="s">
        <v>678</v>
      </c>
      <c r="J71" s="12">
        <v>10716</v>
      </c>
      <c r="K71" s="11" t="s">
        <v>53</v>
      </c>
      <c r="L71" s="11" t="str">
        <f>VLOOKUP(C71,'Trips&amp;Operators'!$C$2:$E$10000,3,FALSE)</f>
        <v>STRICKLAND</v>
      </c>
      <c r="M71" s="10" t="s">
        <v>121</v>
      </c>
      <c r="N71" s="11" t="s">
        <v>159</v>
      </c>
      <c r="O71" s="1"/>
      <c r="P71" s="43" t="str">
        <f>VLOOKUP(C71,'Train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1" s="9" t="str">
        <f>MID(B71,13,4)</f>
        <v>4028</v>
      </c>
    </row>
    <row r="72" spans="1:17" x14ac:dyDescent="0.25">
      <c r="A72" s="13">
        <v>42555.670960648145</v>
      </c>
      <c r="B72" s="12" t="s">
        <v>182</v>
      </c>
      <c r="C72" s="12" t="s">
        <v>619</v>
      </c>
      <c r="D72" s="12" t="s">
        <v>50</v>
      </c>
      <c r="E72" s="89" t="s">
        <v>677</v>
      </c>
      <c r="F72" s="92">
        <v>470</v>
      </c>
      <c r="G72" s="12">
        <v>494</v>
      </c>
      <c r="H72" s="12">
        <v>9240</v>
      </c>
      <c r="I72" s="89" t="s">
        <v>678</v>
      </c>
      <c r="J72" s="12">
        <v>10716</v>
      </c>
      <c r="K72" s="11" t="s">
        <v>53</v>
      </c>
      <c r="L72" s="11" t="str">
        <f>VLOOKUP(C72,'Trips&amp;Operators'!$C$2:$E$10000,3,FALSE)</f>
        <v>ALONZO</v>
      </c>
      <c r="M72" s="10" t="s">
        <v>121</v>
      </c>
      <c r="N72" s="11" t="s">
        <v>159</v>
      </c>
      <c r="O72" s="1"/>
      <c r="P72" s="43" t="str">
        <f>VLOOKUP(C72,'Train Runs'!$A$13:$V$972,22,0)</f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2" s="9" t="str">
        <f>MID(B72,13,4)</f>
        <v>4044</v>
      </c>
    </row>
    <row r="73" spans="1:17" x14ac:dyDescent="0.25">
      <c r="A73" s="13">
        <v>42555.72556712963</v>
      </c>
      <c r="B73" s="12" t="s">
        <v>150</v>
      </c>
      <c r="C73" s="12" t="s">
        <v>637</v>
      </c>
      <c r="D73" s="12" t="s">
        <v>50</v>
      </c>
      <c r="E73" s="89" t="s">
        <v>677</v>
      </c>
      <c r="F73" s="92">
        <v>470</v>
      </c>
      <c r="G73" s="12">
        <v>488</v>
      </c>
      <c r="H73" s="12">
        <v>9309</v>
      </c>
      <c r="I73" s="89" t="s">
        <v>678</v>
      </c>
      <c r="J73" s="12">
        <v>10716</v>
      </c>
      <c r="K73" s="11" t="s">
        <v>53</v>
      </c>
      <c r="L73" s="11" t="str">
        <f>VLOOKUP(C73,'Trips&amp;Operators'!$C$2:$E$10000,3,FALSE)</f>
        <v>STRICKLAND</v>
      </c>
      <c r="M73" s="10" t="s">
        <v>121</v>
      </c>
      <c r="N73" s="11" t="s">
        <v>159</v>
      </c>
      <c r="O73" s="1"/>
      <c r="P73" s="43" t="str">
        <f>VLOOKUP(C73,'Train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3" s="9" t="str">
        <f t="shared" ref="Q73:Q77" si="4">MID(B73,13,4)</f>
        <v>4027</v>
      </c>
    </row>
    <row r="74" spans="1:17" x14ac:dyDescent="0.25">
      <c r="A74" s="13">
        <v>42555.768321759257</v>
      </c>
      <c r="B74" s="12" t="s">
        <v>144</v>
      </c>
      <c r="C74" s="12" t="s">
        <v>640</v>
      </c>
      <c r="D74" s="12" t="s">
        <v>50</v>
      </c>
      <c r="E74" s="89" t="s">
        <v>677</v>
      </c>
      <c r="F74" s="92">
        <v>470</v>
      </c>
      <c r="G74" s="12">
        <v>453</v>
      </c>
      <c r="H74" s="12">
        <v>9098</v>
      </c>
      <c r="I74" s="89" t="s">
        <v>678</v>
      </c>
      <c r="J74" s="12">
        <v>10716</v>
      </c>
      <c r="K74" s="11" t="s">
        <v>53</v>
      </c>
      <c r="L74" s="11" t="str">
        <f>VLOOKUP(C74,'Trips&amp;Operators'!$C$2:$E$10000,3,FALSE)</f>
        <v>STRICKLAND</v>
      </c>
      <c r="M74" s="10" t="s">
        <v>121</v>
      </c>
      <c r="N74" s="11" t="s">
        <v>159</v>
      </c>
      <c r="P74" s="43" t="str">
        <f>VLOOKUP(C74,'Train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4" s="9" t="str">
        <f t="shared" si="4"/>
        <v>4028</v>
      </c>
    </row>
    <row r="75" spans="1:17" x14ac:dyDescent="0.25">
      <c r="A75" s="13">
        <v>42555.768321759257</v>
      </c>
      <c r="B75" s="12" t="s">
        <v>150</v>
      </c>
      <c r="C75" s="12" t="s">
        <v>648</v>
      </c>
      <c r="D75" s="12" t="s">
        <v>50</v>
      </c>
      <c r="E75" s="89" t="s">
        <v>677</v>
      </c>
      <c r="F75" s="92">
        <v>470</v>
      </c>
      <c r="G75" s="12">
        <v>473</v>
      </c>
      <c r="H75" s="12">
        <v>9362</v>
      </c>
      <c r="I75" s="89" t="s">
        <v>678</v>
      </c>
      <c r="J75" s="12">
        <v>10716</v>
      </c>
      <c r="K75" s="11" t="s">
        <v>53</v>
      </c>
      <c r="L75" s="11" t="str">
        <f>VLOOKUP(C75,'Trips&amp;Operators'!$C$2:$E$10000,3,FALSE)</f>
        <v>STRICKLAND</v>
      </c>
      <c r="M75" s="10" t="s">
        <v>121</v>
      </c>
      <c r="N75" s="11" t="s">
        <v>159</v>
      </c>
      <c r="P75" s="43" t="str">
        <f>VLOOKUP(C75,'Train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5" s="9" t="str">
        <f t="shared" si="4"/>
        <v>4027</v>
      </c>
    </row>
    <row r="76" spans="1:17" x14ac:dyDescent="0.25">
      <c r="A76" s="13">
        <v>42555.181898148148</v>
      </c>
      <c r="B76" s="12" t="s">
        <v>143</v>
      </c>
      <c r="C76" s="12" t="s">
        <v>333</v>
      </c>
      <c r="D76" s="12" t="s">
        <v>50</v>
      </c>
      <c r="E76" s="89" t="s">
        <v>51</v>
      </c>
      <c r="F76" s="92">
        <v>0</v>
      </c>
      <c r="G76" s="12">
        <v>8</v>
      </c>
      <c r="H76" s="12">
        <v>233314</v>
      </c>
      <c r="I76" s="89" t="s">
        <v>52</v>
      </c>
      <c r="J76" s="12">
        <v>233491</v>
      </c>
      <c r="K76" s="11" t="s">
        <v>53</v>
      </c>
      <c r="L76" s="11" t="str">
        <f>VLOOKUP(C76,'Trips&amp;Operators'!$C$2:$E$10000,3,FALSE)</f>
        <v>STURGEON</v>
      </c>
      <c r="M76" s="10" t="s">
        <v>122</v>
      </c>
      <c r="N76" s="11"/>
      <c r="O76" s="1"/>
      <c r="P76" s="43" t="e">
        <f>VLOOKUP(C76,'Train Runs'!$A$13:$V$972,22,0)</f>
        <v>#N/A</v>
      </c>
      <c r="Q76" s="9" t="str">
        <f t="shared" si="4"/>
        <v>4025</v>
      </c>
    </row>
    <row r="77" spans="1:17" x14ac:dyDescent="0.25">
      <c r="A77" s="66">
        <v>42555.201874999999</v>
      </c>
      <c r="B77" s="55" t="s">
        <v>93</v>
      </c>
      <c r="C77" s="55" t="s">
        <v>422</v>
      </c>
      <c r="D77" s="55" t="s">
        <v>50</v>
      </c>
      <c r="E77" s="88" t="s">
        <v>51</v>
      </c>
      <c r="F77" s="91">
        <v>0</v>
      </c>
      <c r="G77" s="55">
        <v>8</v>
      </c>
      <c r="H77" s="55">
        <v>233328</v>
      </c>
      <c r="I77" s="88" t="s">
        <v>52</v>
      </c>
      <c r="J77" s="55">
        <v>233491</v>
      </c>
      <c r="K77" s="55" t="s">
        <v>53</v>
      </c>
      <c r="L77" s="11" t="str">
        <f>VLOOKUP(C77,'Trips&amp;Operators'!$C$2:$E$10000,3,FALSE)</f>
        <v>ROCHA</v>
      </c>
      <c r="M77" s="10" t="s">
        <v>122</v>
      </c>
      <c r="N77" s="11"/>
      <c r="O77" s="1"/>
      <c r="P77" s="43" t="str">
        <f>VLOOKUP(C77,'Train Runs'!$A$13:$V$972,22,0)</f>
        <v>https://search-rtdc-monitor-bjffxe2xuh6vdkpspy63sjmuny.us-east-1.es.amazonaws.com/_plugin/kibana/#/discover/Steve-Slow-Train-Analysis-(2080s-and-2083s)?_g=(refreshInterval:(display:Off,section:0,value:0),time:(from:'2016-07-04 04:12:14-0600',mode:absolute,to:'2016-07-04 04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7" s="9" t="str">
        <f t="shared" si="4"/>
        <v>4042</v>
      </c>
    </row>
    <row r="78" spans="1:17" x14ac:dyDescent="0.25">
      <c r="A78" s="66">
        <v>42555.305856481478</v>
      </c>
      <c r="B78" s="55" t="s">
        <v>198</v>
      </c>
      <c r="C78" s="55" t="s">
        <v>419</v>
      </c>
      <c r="D78" s="55" t="s">
        <v>50</v>
      </c>
      <c r="E78" s="88" t="s">
        <v>51</v>
      </c>
      <c r="F78" s="91">
        <v>0</v>
      </c>
      <c r="G78" s="55">
        <v>7</v>
      </c>
      <c r="H78" s="55">
        <v>233334</v>
      </c>
      <c r="I78" s="88" t="s">
        <v>52</v>
      </c>
      <c r="J78" s="55">
        <v>233491</v>
      </c>
      <c r="K78" s="55" t="s">
        <v>53</v>
      </c>
      <c r="L78" s="11" t="str">
        <f>VLOOKUP(C78,'Trips&amp;Operators'!$C$2:$E$10000,3,FALSE)</f>
        <v>BEAM</v>
      </c>
      <c r="M78" s="10" t="s">
        <v>122</v>
      </c>
      <c r="N78" s="11"/>
      <c r="O78" s="1"/>
      <c r="P78" s="43" t="str">
        <f>VLOOKUP(C78,'Train Runs'!$A$13:$V$972,22,0)</f>
        <v>https://search-rtdc-monitor-bjffxe2xuh6vdkpspy63sjmuny.us-east-1.es.amazonaws.com/_plugin/kibana/#/discover/Steve-Slow-Train-Analysis-(2080s-and-2083s)?_g=(refreshInterval:(display:Off,section:0,value:0),time:(from:'2016-07-04 06:38:50-0600',mode:absolute,to:'2016-07-04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8" s="9" t="str">
        <f t="shared" ref="Q78:Q97" si="5">MID(B78,13,4)</f>
        <v>4040</v>
      </c>
    </row>
    <row r="79" spans="1:17" x14ac:dyDescent="0.25">
      <c r="A79" s="66">
        <v>42555.328206018516</v>
      </c>
      <c r="B79" s="55" t="s">
        <v>143</v>
      </c>
      <c r="C79" s="55" t="s">
        <v>356</v>
      </c>
      <c r="D79" s="55" t="s">
        <v>50</v>
      </c>
      <c r="E79" s="88" t="s">
        <v>51</v>
      </c>
      <c r="F79" s="91">
        <v>0</v>
      </c>
      <c r="G79" s="55">
        <v>5</v>
      </c>
      <c r="H79" s="55">
        <v>233322</v>
      </c>
      <c r="I79" s="88" t="s">
        <v>52</v>
      </c>
      <c r="J79" s="55">
        <v>233491</v>
      </c>
      <c r="K79" s="55" t="s">
        <v>53</v>
      </c>
      <c r="L79" s="11" t="str">
        <f>VLOOKUP(C79,'Trips&amp;Operators'!$C$2:$E$10000,3,FALSE)</f>
        <v>MALAVE</v>
      </c>
      <c r="M79" s="10" t="s">
        <v>122</v>
      </c>
      <c r="N79" s="11"/>
      <c r="O79" s="1"/>
      <c r="P79" s="43" t="str">
        <f>VLOOKUP(C79,'Train Runs'!$A$13:$V$972,22,0)</f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9" s="9" t="str">
        <f t="shared" si="5"/>
        <v>4025</v>
      </c>
    </row>
    <row r="80" spans="1:17" x14ac:dyDescent="0.25">
      <c r="A80" s="66">
        <v>42555.409108796295</v>
      </c>
      <c r="B80" s="55" t="s">
        <v>149</v>
      </c>
      <c r="C80" s="55" t="s">
        <v>380</v>
      </c>
      <c r="D80" s="55" t="s">
        <v>50</v>
      </c>
      <c r="E80" s="88" t="s">
        <v>51</v>
      </c>
      <c r="F80" s="91">
        <v>0</v>
      </c>
      <c r="G80" s="55">
        <v>61</v>
      </c>
      <c r="H80" s="55">
        <v>203</v>
      </c>
      <c r="I80" s="88" t="s">
        <v>52</v>
      </c>
      <c r="J80" s="55">
        <v>1</v>
      </c>
      <c r="K80" s="55" t="s">
        <v>54</v>
      </c>
      <c r="L80" s="11" t="str">
        <f>VLOOKUP(C80,'Trips&amp;Operators'!$C$2:$E$10000,3,FALSE)</f>
        <v>SPECTOR</v>
      </c>
      <c r="M80" s="10" t="s">
        <v>122</v>
      </c>
      <c r="N80" s="11"/>
      <c r="O80" s="33"/>
      <c r="P80" s="43" t="str">
        <f>VLOOKUP(C80,'Train Runs'!$A$13:$V$972,22,0)</f>
        <v>https://search-rtdc-monitor-bjffxe2xuh6vdkpspy63sjmuny.us-east-1.es.amazonaws.com/_plugin/kibana/#/discover/Steve-Slow-Train-Analysis-(2080s-and-2083s)?_g=(refreshInterval:(display:Off,section:0,value:0),time:(from:'2016-07-04 09:03:09-0600',mode:absolute,to:'2016-07-04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0" s="9" t="str">
        <f t="shared" si="5"/>
        <v>4030</v>
      </c>
    </row>
    <row r="81" spans="1:17" x14ac:dyDescent="0.25">
      <c r="A81" s="13">
        <v>42555.429282407407</v>
      </c>
      <c r="B81" s="12" t="s">
        <v>81</v>
      </c>
      <c r="C81" s="12" t="s">
        <v>388</v>
      </c>
      <c r="D81" s="12" t="s">
        <v>50</v>
      </c>
      <c r="E81" s="89" t="s">
        <v>51</v>
      </c>
      <c r="F81" s="92">
        <v>0</v>
      </c>
      <c r="G81" s="12">
        <v>6</v>
      </c>
      <c r="H81" s="12">
        <v>125</v>
      </c>
      <c r="I81" s="89" t="s">
        <v>52</v>
      </c>
      <c r="J81" s="12">
        <v>1</v>
      </c>
      <c r="K81" s="11" t="s">
        <v>54</v>
      </c>
      <c r="L81" s="11" t="str">
        <f>VLOOKUP(C81,'Trips&amp;Operators'!$C$2:$E$10000,3,FALSE)</f>
        <v>CANFIELD</v>
      </c>
      <c r="M81" s="10" t="s">
        <v>122</v>
      </c>
      <c r="N81" s="11"/>
      <c r="O81" s="1"/>
      <c r="P81" s="43" t="str">
        <f>VLOOKUP(C81,'Train Runs'!$A$13:$V$972,22,0)</f>
        <v>https://search-rtdc-monitor-bjffxe2xuh6vdkpspy63sjmuny.us-east-1.es.amazonaws.com/_plugin/kibana/#/discover/Steve-Slow-Train-Analysis-(2080s-and-2083s)?_g=(refreshInterval:(display:Off,section:0,value:0),time:(from:'2016-07-04 09:27:07-0600',mode:absolute,to:'2016-07-04 10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1" s="9" t="str">
        <f t="shared" si="5"/>
        <v>4017</v>
      </c>
    </row>
    <row r="82" spans="1:17" x14ac:dyDescent="0.25">
      <c r="A82" s="66">
        <v>42555.410138888888</v>
      </c>
      <c r="B82" s="55" t="s">
        <v>79</v>
      </c>
      <c r="C82" s="55" t="s">
        <v>381</v>
      </c>
      <c r="D82" s="55" t="s">
        <v>50</v>
      </c>
      <c r="E82" s="88" t="s">
        <v>51</v>
      </c>
      <c r="F82" s="91">
        <v>0</v>
      </c>
      <c r="G82" s="55">
        <v>8</v>
      </c>
      <c r="H82" s="55">
        <v>233309</v>
      </c>
      <c r="I82" s="88" t="s">
        <v>52</v>
      </c>
      <c r="J82" s="55">
        <v>233491</v>
      </c>
      <c r="K82" s="55" t="s">
        <v>53</v>
      </c>
      <c r="L82" s="11" t="str">
        <f>VLOOKUP(C82,'Trips&amp;Operators'!$C$2:$E$10000,3,FALSE)</f>
        <v>STURGEON</v>
      </c>
      <c r="M82" s="10" t="s">
        <v>122</v>
      </c>
      <c r="N82" s="11"/>
      <c r="O82" s="33"/>
      <c r="P82" s="43" t="str">
        <f>VLOOKUP(C82,'Train Runs'!$A$13:$V$972,22,0)</f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2" s="9" t="str">
        <f t="shared" si="5"/>
        <v>4020</v>
      </c>
    </row>
    <row r="83" spans="1:17" x14ac:dyDescent="0.25">
      <c r="A83" s="66">
        <v>42555.452499999999</v>
      </c>
      <c r="B83" s="55" t="s">
        <v>198</v>
      </c>
      <c r="C83" s="55" t="s">
        <v>404</v>
      </c>
      <c r="D83" s="55" t="s">
        <v>50</v>
      </c>
      <c r="E83" s="88" t="s">
        <v>51</v>
      </c>
      <c r="F83" s="91">
        <v>0</v>
      </c>
      <c r="G83" s="55">
        <v>7</v>
      </c>
      <c r="H83" s="55">
        <v>233324</v>
      </c>
      <c r="I83" s="88" t="s">
        <v>52</v>
      </c>
      <c r="J83" s="55">
        <v>233491</v>
      </c>
      <c r="K83" s="55" t="s">
        <v>53</v>
      </c>
      <c r="L83" s="11" t="str">
        <f>VLOOKUP(C83,'Trips&amp;Operators'!$C$2:$E$10000,3,FALSE)</f>
        <v>NEWELL</v>
      </c>
      <c r="M83" s="10" t="s">
        <v>122</v>
      </c>
      <c r="N83" s="11"/>
      <c r="O83" s="1"/>
      <c r="P83" s="43" t="str">
        <f>VLOOKUP(C83,'Train Runs'!$A$13:$V$972,22,0)</f>
        <v>https://search-rtdc-monitor-bjffxe2xuh6vdkpspy63sjmuny.us-east-1.es.amazonaws.com/_plugin/kibana/#/discover/Steve-Slow-Train-Analysis-(2080s-and-2083s)?_g=(refreshInterval:(display:Off,section:0,value:0),time:(from:'2016-07-04 10:06:41-0600',mode:absolute,to:'2016-07-04 10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3" s="9" t="str">
        <f t="shared" si="5"/>
        <v>4040</v>
      </c>
    </row>
    <row r="84" spans="1:17" x14ac:dyDescent="0.25">
      <c r="A84" s="66">
        <v>42555.462384259263</v>
      </c>
      <c r="B84" s="55" t="s">
        <v>80</v>
      </c>
      <c r="C84" s="55" t="s">
        <v>325</v>
      </c>
      <c r="D84" s="55" t="s">
        <v>50</v>
      </c>
      <c r="E84" s="88" t="s">
        <v>51</v>
      </c>
      <c r="F84" s="91">
        <v>0</v>
      </c>
      <c r="G84" s="55">
        <v>5</v>
      </c>
      <c r="H84" s="55">
        <v>233340</v>
      </c>
      <c r="I84" s="88" t="s">
        <v>52</v>
      </c>
      <c r="J84" s="55">
        <v>233491</v>
      </c>
      <c r="K84" s="55" t="s">
        <v>53</v>
      </c>
      <c r="L84" s="11" t="str">
        <f>VLOOKUP(C84,'Trips&amp;Operators'!$C$2:$E$10000,3,FALSE)</f>
        <v>BEAM</v>
      </c>
      <c r="M84" s="10" t="s">
        <v>122</v>
      </c>
      <c r="N84" s="11"/>
      <c r="O84" s="1"/>
      <c r="P84" s="43" t="str">
        <f>VLOOKUP(C84,'Train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4" s="9" t="str">
        <f t="shared" si="5"/>
        <v>4018</v>
      </c>
    </row>
    <row r="85" spans="1:17" x14ac:dyDescent="0.25">
      <c r="A85" s="13">
        <v>42555.484444444446</v>
      </c>
      <c r="B85" s="12" t="s">
        <v>79</v>
      </c>
      <c r="C85" s="12" t="s">
        <v>406</v>
      </c>
      <c r="D85" s="12" t="s">
        <v>50</v>
      </c>
      <c r="E85" s="89" t="s">
        <v>51</v>
      </c>
      <c r="F85" s="92">
        <v>0</v>
      </c>
      <c r="G85" s="12">
        <v>6</v>
      </c>
      <c r="H85" s="12">
        <v>233323</v>
      </c>
      <c r="I85" s="89" t="s">
        <v>52</v>
      </c>
      <c r="J85" s="12">
        <v>233491</v>
      </c>
      <c r="K85" s="11" t="s">
        <v>53</v>
      </c>
      <c r="L85" s="11" t="str">
        <f>VLOOKUP(C85,'Trips&amp;Operators'!$C$2:$E$10000,3,FALSE)</f>
        <v>MALAVE</v>
      </c>
      <c r="M85" s="10" t="s">
        <v>122</v>
      </c>
      <c r="N85" s="11"/>
      <c r="O85" s="1"/>
      <c r="P85" s="43" t="str">
        <f>VLOOKUP(C85,'Train Runs'!$A$13:$V$972,22,0)</f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5" s="9" t="str">
        <f t="shared" si="5"/>
        <v>4020</v>
      </c>
    </row>
    <row r="86" spans="1:17" x14ac:dyDescent="0.25">
      <c r="A86" s="66">
        <v>42555.53334490741</v>
      </c>
      <c r="B86" s="55" t="s">
        <v>92</v>
      </c>
      <c r="C86" s="55" t="s">
        <v>357</v>
      </c>
      <c r="D86" s="55" t="s">
        <v>50</v>
      </c>
      <c r="E86" s="88" t="s">
        <v>51</v>
      </c>
      <c r="F86" s="91">
        <v>0</v>
      </c>
      <c r="G86" s="55">
        <v>4</v>
      </c>
      <c r="H86" s="55">
        <v>119</v>
      </c>
      <c r="I86" s="88" t="s">
        <v>52</v>
      </c>
      <c r="J86" s="55">
        <v>1</v>
      </c>
      <c r="K86" s="55" t="s">
        <v>54</v>
      </c>
      <c r="L86" s="11" t="str">
        <f>VLOOKUP(C86,'Trips&amp;Operators'!$C$2:$E$10000,3,FALSE)</f>
        <v>RIVERA</v>
      </c>
      <c r="M86" s="10" t="s">
        <v>122</v>
      </c>
      <c r="N86" s="11"/>
      <c r="O86" s="1"/>
      <c r="P86" s="43" t="str">
        <f>VLOOKUP(C86,'Train Runs'!$A$13:$V$972,22,0)</f>
        <v>https://search-rtdc-monitor-bjffxe2xuh6vdkpspy63sjmuny.us-east-1.es.amazonaws.com/_plugin/kibana/#/discover/Steve-Slow-Train-Analysis-(2080s-and-2083s)?_g=(refreshInterval:(display:Off,section:0,value:0),time:(from:'2016-07-04 12:02:20-0600',mode:absolute,to:'2016-07-04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86" s="9" t="str">
        <f t="shared" si="5"/>
        <v>4041</v>
      </c>
    </row>
    <row r="87" spans="1:17" x14ac:dyDescent="0.25">
      <c r="A87" s="13">
        <v>42555.554884259262</v>
      </c>
      <c r="B87" s="12" t="s">
        <v>149</v>
      </c>
      <c r="C87" s="12" t="s">
        <v>320</v>
      </c>
      <c r="D87" s="12" t="s">
        <v>50</v>
      </c>
      <c r="E87" s="89" t="s">
        <v>51</v>
      </c>
      <c r="F87" s="92">
        <v>0</v>
      </c>
      <c r="G87" s="12">
        <v>51</v>
      </c>
      <c r="H87" s="12">
        <v>165</v>
      </c>
      <c r="I87" s="89" t="s">
        <v>52</v>
      </c>
      <c r="J87" s="12">
        <v>1</v>
      </c>
      <c r="K87" s="11" t="s">
        <v>54</v>
      </c>
      <c r="L87" s="11" t="str">
        <f>VLOOKUP(C87,'Trips&amp;Operators'!$C$2:$E$10000,3,FALSE)</f>
        <v>LOCKLEAR</v>
      </c>
      <c r="M87" s="10" t="s">
        <v>122</v>
      </c>
      <c r="N87" s="11"/>
      <c r="O87" s="1"/>
      <c r="P87" s="43" t="str">
        <f>VLOOKUP(C87,'Train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7" s="9" t="str">
        <f t="shared" si="5"/>
        <v>4030</v>
      </c>
    </row>
    <row r="88" spans="1:17" x14ac:dyDescent="0.25">
      <c r="A88" s="13">
        <v>42555.564930555556</v>
      </c>
      <c r="B88" s="12" t="s">
        <v>317</v>
      </c>
      <c r="C88" s="12" t="s">
        <v>393</v>
      </c>
      <c r="D88" s="12" t="s">
        <v>50</v>
      </c>
      <c r="E88" s="89" t="s">
        <v>51</v>
      </c>
      <c r="F88" s="92">
        <v>0</v>
      </c>
      <c r="G88" s="12">
        <v>7</v>
      </c>
      <c r="H88" s="12">
        <v>121</v>
      </c>
      <c r="I88" s="89" t="s">
        <v>52</v>
      </c>
      <c r="J88" s="12">
        <v>1</v>
      </c>
      <c r="K88" s="11" t="s">
        <v>54</v>
      </c>
      <c r="L88" s="11" t="str">
        <f>VLOOKUP(C88,'Trips&amp;Operators'!$C$2:$E$10000,3,FALSE)</f>
        <v>NEWELL</v>
      </c>
      <c r="M88" s="10" t="s">
        <v>122</v>
      </c>
      <c r="N88" s="11"/>
      <c r="O88" s="1"/>
      <c r="P88" s="43" t="str">
        <f>VLOOKUP(C88,'Train Runs'!$A$13:$V$972,22,0)</f>
        <v>https://search-rtdc-monitor-bjffxe2xuh6vdkpspy63sjmuny.us-east-1.es.amazonaws.com/_plugin/kibana/#/discover/Steve-Slow-Train-Analysis-(2080s-and-2083s)?_g=(refreshInterval:(display:Off,section:0,value:0),time:(from:'2016-07-04 12:43:33-0600',mode:absolute,to:'2016-07-04 13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8" s="9" t="str">
        <f t="shared" si="5"/>
        <v>4039</v>
      </c>
    </row>
    <row r="89" spans="1:17" x14ac:dyDescent="0.25">
      <c r="A89" s="13">
        <v>42555.535243055558</v>
      </c>
      <c r="B89" s="12" t="s">
        <v>80</v>
      </c>
      <c r="C89" s="12" t="s">
        <v>384</v>
      </c>
      <c r="D89" s="12" t="s">
        <v>50</v>
      </c>
      <c r="E89" s="89" t="s">
        <v>51</v>
      </c>
      <c r="F89" s="92">
        <v>0</v>
      </c>
      <c r="G89" s="12">
        <v>4</v>
      </c>
      <c r="H89" s="12">
        <v>233412</v>
      </c>
      <c r="I89" s="89" t="s">
        <v>52</v>
      </c>
      <c r="J89" s="12">
        <v>233491</v>
      </c>
      <c r="K89" s="11" t="s">
        <v>53</v>
      </c>
      <c r="L89" s="11" t="str">
        <f>VLOOKUP(C89,'Trips&amp;Operators'!$C$2:$E$10000,3,FALSE)</f>
        <v>LOZA</v>
      </c>
      <c r="M89" s="10" t="s">
        <v>122</v>
      </c>
      <c r="N89" s="11"/>
      <c r="O89" s="1"/>
      <c r="P89" s="43" t="str">
        <f>VLOOKUP(C89,'Train Runs'!$A$13:$V$972,22,0)</f>
        <v>https://search-rtdc-monitor-bjffxe2xuh6vdkpspy63sjmuny.us-east-1.es.amazonaws.com/_plugin/kibana/#/discover/Steve-Slow-Train-Analysis-(2080s-and-2083s)?_g=(refreshInterval:(display:Off,section:0,value:0),time:(from:'2016-07-04 12:08:32-0600',mode:absolute,to:'2016-07-04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9" s="9" t="str">
        <f t="shared" si="5"/>
        <v>4018</v>
      </c>
    </row>
    <row r="90" spans="1:17" x14ac:dyDescent="0.25">
      <c r="A90" s="66">
        <v>42555.575046296297</v>
      </c>
      <c r="B90" s="55" t="s">
        <v>81</v>
      </c>
      <c r="C90" s="55" t="s">
        <v>429</v>
      </c>
      <c r="D90" s="55" t="s">
        <v>50</v>
      </c>
      <c r="E90" s="88" t="s">
        <v>51</v>
      </c>
      <c r="F90" s="91">
        <v>0</v>
      </c>
      <c r="G90" s="55">
        <v>37</v>
      </c>
      <c r="H90" s="55">
        <v>138</v>
      </c>
      <c r="I90" s="88" t="s">
        <v>52</v>
      </c>
      <c r="J90" s="55">
        <v>1</v>
      </c>
      <c r="K90" s="55" t="s">
        <v>54</v>
      </c>
      <c r="L90" s="11" t="str">
        <f>VLOOKUP(C90,'Trips&amp;Operators'!$C$2:$E$10000,3,FALSE)</f>
        <v>LOZA</v>
      </c>
      <c r="M90" s="10" t="s">
        <v>122</v>
      </c>
      <c r="N90" s="11"/>
      <c r="O90" s="1"/>
      <c r="P90" s="43" t="str">
        <f>VLOOKUP(C90,'Train Runs'!$A$13:$V$972,22,0)</f>
        <v>https://search-rtdc-monitor-bjffxe2xuh6vdkpspy63sjmuny.us-east-1.es.amazonaws.com/_plugin/kibana/#/discover/Steve-Slow-Train-Analysis-(2080s-and-2083s)?_g=(refreshInterval:(display:Off,section:0,value:0),time:(from:'2016-07-04 13:02:10-0600',mode:absolute,to:'2016-07-04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90" s="9" t="str">
        <f t="shared" si="5"/>
        <v>4017</v>
      </c>
    </row>
    <row r="91" spans="1:17" x14ac:dyDescent="0.25">
      <c r="A91" s="66">
        <v>42555.585092592592</v>
      </c>
      <c r="B91" s="55" t="s">
        <v>70</v>
      </c>
      <c r="C91" s="55" t="s">
        <v>405</v>
      </c>
      <c r="D91" s="55" t="s">
        <v>50</v>
      </c>
      <c r="E91" s="88" t="s">
        <v>51</v>
      </c>
      <c r="F91" s="91">
        <v>0</v>
      </c>
      <c r="G91" s="55">
        <v>4</v>
      </c>
      <c r="H91" s="55">
        <v>247</v>
      </c>
      <c r="I91" s="88" t="s">
        <v>52</v>
      </c>
      <c r="J91" s="55">
        <v>1</v>
      </c>
      <c r="K91" s="55" t="s">
        <v>54</v>
      </c>
      <c r="L91" s="11" t="str">
        <f>VLOOKUP(C91,'Trips&amp;Operators'!$C$2:$E$10000,3,FALSE)</f>
        <v>HELVIE</v>
      </c>
      <c r="M91" s="10" t="s">
        <v>122</v>
      </c>
      <c r="N91" s="11"/>
      <c r="O91" s="1"/>
      <c r="P91" s="43" t="str">
        <f>VLOOKUP(C91,'Train Runs'!$A$13:$V$972,22,0)</f>
        <v>https://search-rtdc-monitor-bjffxe2xuh6vdkpspy63sjmuny.us-east-1.es.amazonaws.com/_plugin/kibana/#/discover/Steve-Slow-Train-Analysis-(2080s-and-2083s)?_g=(refreshInterval:(display:Off,section:0,value:0),time:(from:'2016-07-04 13:15:28-0600',mode:absolute,to:'2016-07-04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91" s="9" t="str">
        <f t="shared" si="5"/>
        <v>4032</v>
      </c>
    </row>
    <row r="92" spans="1:17" x14ac:dyDescent="0.25">
      <c r="A92" s="13">
        <v>42555.55678240741</v>
      </c>
      <c r="B92" s="12" t="s">
        <v>79</v>
      </c>
      <c r="C92" s="12" t="s">
        <v>427</v>
      </c>
      <c r="D92" s="12" t="s">
        <v>50</v>
      </c>
      <c r="E92" s="89" t="s">
        <v>51</v>
      </c>
      <c r="F92" s="92">
        <v>0</v>
      </c>
      <c r="G92" s="12">
        <v>4</v>
      </c>
      <c r="H92" s="12">
        <v>233334</v>
      </c>
      <c r="I92" s="89" t="s">
        <v>52</v>
      </c>
      <c r="J92" s="12">
        <v>233491</v>
      </c>
      <c r="K92" s="11" t="s">
        <v>53</v>
      </c>
      <c r="L92" s="11" t="str">
        <f>VLOOKUP(C92,'Trips&amp;Operators'!$C$2:$E$10000,3,FALSE)</f>
        <v>WEBSTER</v>
      </c>
      <c r="M92" s="10" t="s">
        <v>122</v>
      </c>
      <c r="N92" s="11"/>
      <c r="O92" s="1"/>
      <c r="P92" s="43" t="str">
        <f>VLOOKUP(C92,'Train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12:38:27-0600',mode:absolute,to:'2016-07-04 13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2" s="9" t="str">
        <f t="shared" si="5"/>
        <v>4020</v>
      </c>
    </row>
    <row r="93" spans="1:17" x14ac:dyDescent="0.25">
      <c r="A93" s="13">
        <v>42555.616990740738</v>
      </c>
      <c r="B93" s="12" t="s">
        <v>146</v>
      </c>
      <c r="C93" s="12" t="s">
        <v>348</v>
      </c>
      <c r="D93" s="12" t="s">
        <v>50</v>
      </c>
      <c r="E93" s="89" t="s">
        <v>51</v>
      </c>
      <c r="F93" s="92">
        <v>0</v>
      </c>
      <c r="G93" s="12">
        <v>38</v>
      </c>
      <c r="H93" s="12">
        <v>134</v>
      </c>
      <c r="I93" s="89" t="s">
        <v>52</v>
      </c>
      <c r="J93" s="12">
        <v>1</v>
      </c>
      <c r="K93" s="11" t="s">
        <v>54</v>
      </c>
      <c r="L93" s="11" t="str">
        <f>VLOOKUP(C93,'Trips&amp;Operators'!$C$2:$E$10000,3,FALSE)</f>
        <v>BONDS</v>
      </c>
      <c r="M93" s="10" t="s">
        <v>122</v>
      </c>
      <c r="N93" s="11"/>
      <c r="O93" s="33"/>
      <c r="P93" s="43" t="str">
        <f>VLOOKUP(C93,'Train Runs'!$A$13:$V$972,22,0)</f>
        <v>https://search-rtdc-monitor-bjffxe2xuh6vdkpspy63sjmuny.us-east-1.es.amazonaws.com/_plugin/kibana/#/discover/Steve-Slow-Train-Analysis-(2080s-and-2083s)?_g=(refreshInterval:(display:Off,section:0,value:0),time:(from:'2016-07-04 13:59:48-0600',mode:absolute,to:'2016-07-04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3" s="9" t="str">
        <f t="shared" si="5"/>
        <v>4037</v>
      </c>
    </row>
    <row r="94" spans="1:17" x14ac:dyDescent="0.25">
      <c r="A94" s="48">
        <v>42555.627337962964</v>
      </c>
      <c r="B94" s="41" t="s">
        <v>149</v>
      </c>
      <c r="C94" s="41" t="s">
        <v>483</v>
      </c>
      <c r="D94" s="41" t="s">
        <v>50</v>
      </c>
      <c r="E94" s="105" t="s">
        <v>51</v>
      </c>
      <c r="F94" s="93">
        <v>0</v>
      </c>
      <c r="G94" s="41">
        <v>26</v>
      </c>
      <c r="H94" s="41">
        <v>56</v>
      </c>
      <c r="I94" s="105" t="s">
        <v>52</v>
      </c>
      <c r="J94" s="41">
        <v>1</v>
      </c>
      <c r="K94" s="41" t="s">
        <v>54</v>
      </c>
      <c r="L94" s="11" t="str">
        <f>VLOOKUP(C94,'Trips&amp;Operators'!$C$2:$E$10000,3,FALSE)</f>
        <v>LOCKLEAR</v>
      </c>
      <c r="M94" s="10" t="s">
        <v>122</v>
      </c>
      <c r="N94" s="11"/>
      <c r="O94" s="1"/>
      <c r="P94" s="43" t="str">
        <f>VLOOKUP(C94,'Train Runs'!$A$13:$V$972,22,0)</f>
        <v>https://search-rtdc-monitor-bjffxe2xuh6vdkpspy63sjmuny.us-east-1.es.amazonaws.com/_plugin/kibana/#/discover/Steve-Slow-Train-Analysis-(2080s-and-2083s)?_g=(refreshInterval:(display:Off,section:0,value:0),time:(from:'2016-07-04 14:21:37-0600',mode:absolute,to:'2016-07-04 15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94" s="9" t="str">
        <f t="shared" si="5"/>
        <v>4030</v>
      </c>
    </row>
    <row r="95" spans="1:17" x14ac:dyDescent="0.25">
      <c r="A95" s="48">
        <v>42555.597696759258</v>
      </c>
      <c r="B95" s="41" t="s">
        <v>198</v>
      </c>
      <c r="C95" s="41" t="s">
        <v>346</v>
      </c>
      <c r="D95" s="41" t="s">
        <v>50</v>
      </c>
      <c r="E95" s="105" t="s">
        <v>51</v>
      </c>
      <c r="F95" s="93">
        <v>0</v>
      </c>
      <c r="G95" s="41">
        <v>9</v>
      </c>
      <c r="H95" s="41">
        <v>233359</v>
      </c>
      <c r="I95" s="105" t="s">
        <v>52</v>
      </c>
      <c r="J95" s="41">
        <v>233491</v>
      </c>
      <c r="K95" s="41" t="s">
        <v>53</v>
      </c>
      <c r="L95" s="11" t="str">
        <f>VLOOKUP(C95,'Trips&amp;Operators'!$C$2:$E$10000,3,FALSE)</f>
        <v>NEWELL</v>
      </c>
      <c r="M95" s="10" t="s">
        <v>122</v>
      </c>
      <c r="N95" s="11"/>
      <c r="O95" s="1"/>
      <c r="P95" s="43" t="str">
        <f>VLOOKUP(C95,'Train Runs'!$A$13:$V$972,22,0)</f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95" s="9" t="str">
        <f t="shared" si="5"/>
        <v>4040</v>
      </c>
    </row>
    <row r="96" spans="1:17" x14ac:dyDescent="0.25">
      <c r="A96" s="103">
        <v>42555.629317129627</v>
      </c>
      <c r="B96" s="104" t="s">
        <v>79</v>
      </c>
      <c r="C96" s="104" t="s">
        <v>491</v>
      </c>
      <c r="D96" s="104" t="s">
        <v>50</v>
      </c>
      <c r="E96" s="106" t="s">
        <v>51</v>
      </c>
      <c r="F96" s="107">
        <v>0</v>
      </c>
      <c r="G96" s="104">
        <v>5</v>
      </c>
      <c r="H96" s="104">
        <v>233329</v>
      </c>
      <c r="I96" s="106" t="s">
        <v>52</v>
      </c>
      <c r="J96" s="104">
        <v>233491</v>
      </c>
      <c r="K96" s="68" t="s">
        <v>53</v>
      </c>
      <c r="L96" s="11" t="str">
        <f>VLOOKUP(C96,'Trips&amp;Operators'!$C$2:$E$10000,3,FALSE)</f>
        <v>WEBSTER</v>
      </c>
      <c r="M96" s="10" t="s">
        <v>122</v>
      </c>
      <c r="N96" s="11"/>
      <c r="P96" s="43" t="str">
        <f>VLOOKUP(C96,'Train Runs'!$A$13:$V$972,22,0)</f>
        <v>https://search-rtdc-monitor-bjffxe2xuh6vdkpspy63sjmuny.us-east-1.es.amazonaws.com/_plugin/kibana/#/discover/Steve-Slow-Train-Analysis-(2080s-and-2083s)?_g=(refreshInterval:(display:Off,section:0,value:0),time:(from:'2016-07-04 14:22:31-0600',mode:absolute,to:'2016-07-04 15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6" s="9" t="str">
        <f t="shared" si="5"/>
        <v>4020</v>
      </c>
    </row>
    <row r="97" spans="1:17" x14ac:dyDescent="0.25">
      <c r="A97" s="103">
        <v>42555.680659722224</v>
      </c>
      <c r="B97" s="104" t="s">
        <v>92</v>
      </c>
      <c r="C97" s="104" t="s">
        <v>494</v>
      </c>
      <c r="D97" s="104" t="s">
        <v>50</v>
      </c>
      <c r="E97" s="106" t="s">
        <v>51</v>
      </c>
      <c r="F97" s="107">
        <v>0</v>
      </c>
      <c r="G97" s="104">
        <v>5</v>
      </c>
      <c r="H97" s="104">
        <v>118</v>
      </c>
      <c r="I97" s="106" t="s">
        <v>52</v>
      </c>
      <c r="J97" s="104">
        <v>1</v>
      </c>
      <c r="K97" s="68" t="s">
        <v>54</v>
      </c>
      <c r="L97" s="11" t="str">
        <f>VLOOKUP(C97,'Trips&amp;Operators'!$C$2:$E$10000,3,FALSE)</f>
        <v>RIVERA</v>
      </c>
      <c r="M97" s="10" t="s">
        <v>122</v>
      </c>
      <c r="N97" s="11"/>
      <c r="P97" s="43" t="str">
        <f>VLOOKUP(C97,'Train Runs'!$A$13:$V$972,22,0)</f>
        <v>https://search-rtdc-monitor-bjffxe2xuh6vdkpspy63sjmuny.us-east-1.es.amazonaws.com/_plugin/kibana/#/discover/Steve-Slow-Train-Analysis-(2080s-and-2083s)?_g=(refreshInterval:(display:Off,section:0,value:0),time:(from:'2016-07-04 15:31:39-0600',mode:absolute,to:'2016-07-04 16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97" s="9" t="str">
        <f t="shared" si="5"/>
        <v>4041</v>
      </c>
    </row>
    <row r="98" spans="1:17" x14ac:dyDescent="0.25">
      <c r="A98" s="48">
        <v>42555.689918981479</v>
      </c>
      <c r="B98" s="41" t="s">
        <v>146</v>
      </c>
      <c r="C98" s="41" t="s">
        <v>497</v>
      </c>
      <c r="D98" s="41" t="s">
        <v>50</v>
      </c>
      <c r="E98" s="105" t="s">
        <v>51</v>
      </c>
      <c r="F98" s="93">
        <v>0</v>
      </c>
      <c r="G98" s="41">
        <v>45</v>
      </c>
      <c r="H98" s="41">
        <v>178</v>
      </c>
      <c r="I98" s="105" t="s">
        <v>52</v>
      </c>
      <c r="J98" s="41">
        <v>1</v>
      </c>
      <c r="K98" s="41" t="s">
        <v>54</v>
      </c>
      <c r="L98" s="11" t="str">
        <f>VLOOKUP(C98,'Trips&amp;Operators'!$C$2:$E$10000,3,FALSE)</f>
        <v>BONDS</v>
      </c>
      <c r="M98" s="10" t="s">
        <v>122</v>
      </c>
      <c r="N98" s="11"/>
      <c r="P98" s="43" t="str">
        <f>VLOOKUP(C98,'Train Runs'!$A$13:$V$972,22,0)</f>
        <v>https://search-rtdc-monitor-bjffxe2xuh6vdkpspy63sjmuny.us-east-1.es.amazonaws.com/_plugin/kibana/#/discover/Steve-Slow-Train-Analysis-(2080s-and-2083s)?_g=(refreshInterval:(display:Off,section:0,value:0),time:(from:'2016-07-04 15:46:43-0600',mode:absolute,to:'2016-07-04 16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8" s="9" t="str">
        <f t="shared" ref="Q98:Q128" si="6">MID(B98,13,4)</f>
        <v>4037</v>
      </c>
    </row>
    <row r="99" spans="1:17" x14ac:dyDescent="0.25">
      <c r="A99" s="48">
        <v>42555.710486111115</v>
      </c>
      <c r="B99" s="41" t="s">
        <v>317</v>
      </c>
      <c r="C99" s="41" t="s">
        <v>506</v>
      </c>
      <c r="D99" s="41" t="s">
        <v>50</v>
      </c>
      <c r="E99" s="105" t="s">
        <v>51</v>
      </c>
      <c r="F99" s="93">
        <v>0</v>
      </c>
      <c r="G99" s="41">
        <v>6</v>
      </c>
      <c r="H99" s="41">
        <v>125</v>
      </c>
      <c r="I99" s="105" t="s">
        <v>52</v>
      </c>
      <c r="J99" s="41">
        <v>1</v>
      </c>
      <c r="K99" s="41" t="s">
        <v>54</v>
      </c>
      <c r="L99" s="11" t="str">
        <f>VLOOKUP(C99,'Trips&amp;Operators'!$C$2:$E$10000,3,FALSE)</f>
        <v>NEWELL</v>
      </c>
      <c r="M99" s="10" t="s">
        <v>122</v>
      </c>
      <c r="N99" s="11"/>
      <c r="O99" s="1"/>
      <c r="P99" s="43" t="str">
        <f>VLOOKUP(C99,'Train Runs'!$A$13:$V$972,22,0)</f>
        <v>https://search-rtdc-monitor-bjffxe2xuh6vdkpspy63sjmuny.us-east-1.es.amazonaws.com/_plugin/kibana/#/discover/Steve-Slow-Train-Analysis-(2080s-and-2083s)?_g=(refreshInterval:(display:Off,section:0,value:0),time:(from:'2016-07-04 16:13:35-0600',mode:absolute,to:'2016-07-04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9" s="9" t="str">
        <f t="shared" si="6"/>
        <v>4039</v>
      </c>
    </row>
    <row r="100" spans="1:17" x14ac:dyDescent="0.25">
      <c r="A100" s="48">
        <v>42555.691319444442</v>
      </c>
      <c r="B100" s="41" t="s">
        <v>84</v>
      </c>
      <c r="C100" s="41" t="s">
        <v>511</v>
      </c>
      <c r="D100" s="41" t="s">
        <v>50</v>
      </c>
      <c r="E100" s="105" t="s">
        <v>51</v>
      </c>
      <c r="F100" s="93">
        <v>0</v>
      </c>
      <c r="G100" s="41">
        <v>6</v>
      </c>
      <c r="H100" s="41">
        <v>233331</v>
      </c>
      <c r="I100" s="105" t="s">
        <v>52</v>
      </c>
      <c r="J100" s="41">
        <v>233491</v>
      </c>
      <c r="K100" s="41" t="s">
        <v>53</v>
      </c>
      <c r="L100" s="11" t="str">
        <f>VLOOKUP(C100,'Trips&amp;Operators'!$C$2:$E$10000,3,FALSE)</f>
        <v>HELVIE</v>
      </c>
      <c r="M100" s="10" t="s">
        <v>122</v>
      </c>
      <c r="N100" s="11"/>
      <c r="P100" s="43" t="str">
        <f>VLOOKUP(C100,'Train Runs'!$A$13:$V$972,22,0)</f>
        <v>https://search-rtdc-monitor-bjffxe2xuh6vdkpspy63sjmuny.us-east-1.es.amazonaws.com/_plugin/kibana/#/discover/Steve-Slow-Train-Analysis-(2080s-and-2083s)?_g=(refreshInterval:(display:Off,section:0,value:0),time:(from:'2016-07-04 15:52:55-0600',mode:absolute,to:'2016-07-04 16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0" s="9" t="str">
        <f t="shared" si="6"/>
        <v>4031</v>
      </c>
    </row>
    <row r="101" spans="1:17" x14ac:dyDescent="0.25">
      <c r="A101" s="8">
        <v>42555.731516203705</v>
      </c>
      <c r="B101" s="33" t="s">
        <v>70</v>
      </c>
      <c r="C101" s="33" t="s">
        <v>512</v>
      </c>
      <c r="D101" s="33" t="s">
        <v>50</v>
      </c>
      <c r="E101" s="33" t="s">
        <v>51</v>
      </c>
      <c r="F101" s="2">
        <v>0</v>
      </c>
      <c r="G101" s="33">
        <v>62</v>
      </c>
      <c r="H101" s="33">
        <v>205</v>
      </c>
      <c r="I101" s="33" t="s">
        <v>52</v>
      </c>
      <c r="J101" s="33">
        <v>1</v>
      </c>
      <c r="K101" s="33" t="s">
        <v>54</v>
      </c>
      <c r="L101" s="11" t="str">
        <f>VLOOKUP(C101,'Trips&amp;Operators'!$C$2:$E$10000,3,FALSE)</f>
        <v>HELVIE</v>
      </c>
      <c r="M101" s="10" t="s">
        <v>122</v>
      </c>
      <c r="N101" s="11"/>
      <c r="P101" s="43" t="str">
        <f>VLOOKUP(C101,'Train Runs'!$A$13:$V$972,22,0)</f>
        <v>https://search-rtdc-monitor-bjffxe2xuh6vdkpspy63sjmuny.us-east-1.es.amazonaws.com/_plugin/kibana/#/discover/Steve-Slow-Train-Analysis-(2080s-and-2083s)?_g=(refreshInterval:(display:Off,section:0,value:0),time:(from:'2016-07-04 16:45:56-0600',mode:absolute,to:'2016-07-04 17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1" s="9" t="str">
        <f t="shared" si="6"/>
        <v>4032</v>
      </c>
    </row>
    <row r="102" spans="1:17" x14ac:dyDescent="0.25">
      <c r="A102" s="8">
        <v>42555.742847222224</v>
      </c>
      <c r="B102" s="33" t="s">
        <v>78</v>
      </c>
      <c r="C102" s="33" t="s">
        <v>515</v>
      </c>
      <c r="D102" s="33" t="s">
        <v>50</v>
      </c>
      <c r="E102" s="33" t="s">
        <v>51</v>
      </c>
      <c r="F102" s="2">
        <v>0</v>
      </c>
      <c r="G102" s="33">
        <v>9</v>
      </c>
      <c r="H102" s="33">
        <v>116</v>
      </c>
      <c r="I102" s="33" t="s">
        <v>52</v>
      </c>
      <c r="J102" s="33">
        <v>1</v>
      </c>
      <c r="K102" s="33" t="s">
        <v>54</v>
      </c>
      <c r="L102" s="11" t="str">
        <f>VLOOKUP(C102,'Trips&amp;Operators'!$C$2:$E$10000,3,FALSE)</f>
        <v>WEBSTER</v>
      </c>
      <c r="M102" s="10" t="s">
        <v>122</v>
      </c>
      <c r="N102" s="11"/>
      <c r="P102" s="43" t="str">
        <f>VLOOKUP(C102,'Train Runs'!$A$13:$V$972,22,0)</f>
        <v>https://search-rtdc-monitor-bjffxe2xuh6vdkpspy63sjmuny.us-east-1.es.amazonaws.com/_plugin/kibana/#/discover/Steve-Slow-Train-Analysis-(2080s-and-2083s)?_g=(refreshInterval:(display:Off,section:0,value:0),time:(from:'2016-07-04 17:03:34-0600',mode:absolute,to:'2016-07-04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02" s="9" t="str">
        <f t="shared" si="6"/>
        <v>4019</v>
      </c>
    </row>
    <row r="103" spans="1:17" x14ac:dyDescent="0.25">
      <c r="A103" s="48">
        <v>42555.712164351855</v>
      </c>
      <c r="B103" s="41" t="s">
        <v>93</v>
      </c>
      <c r="C103" s="41" t="s">
        <v>516</v>
      </c>
      <c r="D103" s="41" t="s">
        <v>50</v>
      </c>
      <c r="E103" s="105" t="s">
        <v>51</v>
      </c>
      <c r="F103" s="93">
        <v>0</v>
      </c>
      <c r="G103" s="41">
        <v>9</v>
      </c>
      <c r="H103" s="41">
        <v>233342</v>
      </c>
      <c r="I103" s="105" t="s">
        <v>52</v>
      </c>
      <c r="J103" s="41">
        <v>233491</v>
      </c>
      <c r="K103" s="41" t="s">
        <v>53</v>
      </c>
      <c r="L103" s="11" t="str">
        <f>VLOOKUP(C103,'Trips&amp;Operators'!$C$2:$E$10000,3,FALSE)</f>
        <v>RIVERA</v>
      </c>
      <c r="M103" s="10" t="s">
        <v>122</v>
      </c>
      <c r="N103" s="11"/>
      <c r="O103" s="1"/>
      <c r="P103" s="43" t="str">
        <f>VLOOKUP(C103,'Train Runs'!$A$13:$V$972,22,0)</f>
        <v>https://search-rtdc-monitor-bjffxe2xuh6vdkpspy63sjmuny.us-east-1.es.amazonaws.com/_plugin/kibana/#/discover/Steve-Slow-Train-Analysis-(2080s-and-2083s)?_g=(refreshInterval:(display:Off,section:0,value:0),time:(from:'2016-07-04 16:24:05-0600',mode:absolute,to:'2016-07-04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03" s="9" t="str">
        <f t="shared" si="6"/>
        <v>4042</v>
      </c>
    </row>
    <row r="104" spans="1:17" x14ac:dyDescent="0.25">
      <c r="A104" s="8">
        <v>42555.766736111109</v>
      </c>
      <c r="B104" s="33" t="s">
        <v>146</v>
      </c>
      <c r="C104" s="33" t="s">
        <v>520</v>
      </c>
      <c r="D104" s="33" t="s">
        <v>50</v>
      </c>
      <c r="E104" s="33" t="s">
        <v>51</v>
      </c>
      <c r="F104" s="2">
        <v>0</v>
      </c>
      <c r="G104" s="33">
        <v>36</v>
      </c>
      <c r="H104" s="33">
        <v>125</v>
      </c>
      <c r="I104" s="33" t="s">
        <v>52</v>
      </c>
      <c r="J104" s="33">
        <v>1</v>
      </c>
      <c r="K104" s="33" t="s">
        <v>54</v>
      </c>
      <c r="L104" s="11" t="str">
        <f>VLOOKUP(C104,'Trips&amp;Operators'!$C$2:$E$10000,3,FALSE)</f>
        <v>BONDS</v>
      </c>
      <c r="M104" s="10" t="s">
        <v>122</v>
      </c>
      <c r="N104" s="11"/>
      <c r="P104" s="43" t="str">
        <f>VLOOKUP(C104,'Train Runs'!$A$13:$V$972,22,0)</f>
        <v>https://search-rtdc-monitor-bjffxe2xuh6vdkpspy63sjmuny.us-east-1.es.amazonaws.com/_plugin/kibana/#/discover/Steve-Slow-Train-Analysis-(2080s-and-2083s)?_g=(refreshInterval:(display:Off,section:0,value:0),time:(from:'2016-07-04 17:33:33-0600',mode:absolute,to:'2016-07-04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4" s="9" t="str">
        <f t="shared" si="6"/>
        <v>4037</v>
      </c>
    </row>
    <row r="105" spans="1:17" x14ac:dyDescent="0.25">
      <c r="A105" s="8">
        <v>42555.794108796297</v>
      </c>
      <c r="B105" s="33" t="s">
        <v>81</v>
      </c>
      <c r="C105" s="33" t="s">
        <v>526</v>
      </c>
      <c r="D105" s="33" t="s">
        <v>50</v>
      </c>
      <c r="E105" s="33" t="s">
        <v>51</v>
      </c>
      <c r="F105" s="2">
        <v>0</v>
      </c>
      <c r="G105" s="33">
        <v>8</v>
      </c>
      <c r="H105" s="33">
        <v>1156</v>
      </c>
      <c r="I105" s="33" t="s">
        <v>52</v>
      </c>
      <c r="J105" s="33">
        <v>839</v>
      </c>
      <c r="K105" s="33" t="s">
        <v>54</v>
      </c>
      <c r="L105" s="11" t="str">
        <f>VLOOKUP(C105,'Trips&amp;Operators'!$C$2:$E$10000,3,FALSE)</f>
        <v>LOZA</v>
      </c>
      <c r="M105" s="10" t="s">
        <v>122</v>
      </c>
      <c r="N105" s="11"/>
      <c r="P105" s="43" t="str">
        <f>VLOOKUP(C105,'Train Runs'!$A$13:$V$972,22,0)</f>
        <v>https://search-rtdc-monitor-bjffxe2xuh6vdkpspy63sjmuny.us-east-1.es.amazonaws.com/_plugin/kibana/#/discover/Steve-Slow-Train-Analysis-(2080s-and-2083s)?_g=(refreshInterval:(display:Off,section:0,value:0),time:(from:'2016-07-04 18:19:49-0600',mode:absolute,to:'2016-07-04 19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5" s="9" t="str">
        <f t="shared" si="6"/>
        <v>4017</v>
      </c>
    </row>
    <row r="106" spans="1:17" x14ac:dyDescent="0.25">
      <c r="A106" s="8">
        <v>42555.794259259259</v>
      </c>
      <c r="B106" s="33" t="s">
        <v>143</v>
      </c>
      <c r="C106" s="33" t="s">
        <v>531</v>
      </c>
      <c r="D106" s="33" t="s">
        <v>50</v>
      </c>
      <c r="E106" s="33" t="s">
        <v>51</v>
      </c>
      <c r="F106" s="2">
        <v>0</v>
      </c>
      <c r="G106" s="33">
        <v>6</v>
      </c>
      <c r="H106" s="33">
        <v>233293</v>
      </c>
      <c r="I106" s="33" t="s">
        <v>52</v>
      </c>
      <c r="J106" s="33">
        <v>233491</v>
      </c>
      <c r="K106" s="33" t="s">
        <v>53</v>
      </c>
      <c r="L106" s="11" t="str">
        <f>VLOOKUP(C106,'Trips&amp;Operators'!$C$2:$E$10000,3,FALSE)</f>
        <v>BRUDER</v>
      </c>
      <c r="M106" s="10" t="s">
        <v>122</v>
      </c>
      <c r="N106" s="11"/>
      <c r="P106" s="43" t="str">
        <f>VLOOKUP(C106,'Train Runs'!$A$13:$V$972,22,0)</f>
        <v>https://search-rtdc-monitor-bjffxe2xuh6vdkpspy63sjmuny.us-east-1.es.amazonaws.com/_plugin/kibana/#/discover/Steve-Slow-Train-Analysis-(2080s-and-2083s)?_g=(refreshInterval:(display:Off,section:0,value:0),time:(from:'2016-07-04 18:19:10-0600',mode:absolute,to:'2016-07-04 19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06" s="9" t="str">
        <f t="shared" si="6"/>
        <v>4025</v>
      </c>
    </row>
    <row r="107" spans="1:17" x14ac:dyDescent="0.25">
      <c r="A107" s="8">
        <v>42555.899606481478</v>
      </c>
      <c r="B107" s="33" t="s">
        <v>140</v>
      </c>
      <c r="C107" s="33" t="s">
        <v>548</v>
      </c>
      <c r="D107" s="33" t="s">
        <v>50</v>
      </c>
      <c r="E107" s="33" t="s">
        <v>51</v>
      </c>
      <c r="F107" s="2">
        <v>0</v>
      </c>
      <c r="G107" s="33">
        <v>6</v>
      </c>
      <c r="H107" s="33">
        <v>187</v>
      </c>
      <c r="I107" s="33" t="s">
        <v>52</v>
      </c>
      <c r="J107" s="33">
        <v>1</v>
      </c>
      <c r="K107" s="33" t="s">
        <v>54</v>
      </c>
      <c r="L107" s="11" t="str">
        <f>VLOOKUP(C107,'Trips&amp;Operators'!$C$2:$E$10000,3,FALSE)</f>
        <v>BRUDER</v>
      </c>
      <c r="M107" s="10" t="s">
        <v>122</v>
      </c>
      <c r="N107" s="11"/>
      <c r="P107" s="43" t="str">
        <f>VLOOKUP(C107,'Train Runs'!$A$13:$V$972,22,0)</f>
        <v>https://search-rtdc-monitor-bjffxe2xuh6vdkpspy63sjmuny.us-east-1.es.amazonaws.com/_plugin/kibana/#/discover/Steve-Slow-Train-Analysis-(2080s-and-2083s)?_g=(refreshInterval:(display:Off,section:0,value:0),time:(from:'2016-07-04 20:51:12-0600',mode:absolute,to:'2016-07-04 21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07" s="9" t="str">
        <f t="shared" si="6"/>
        <v>4026</v>
      </c>
    </row>
    <row r="108" spans="1:17" x14ac:dyDescent="0.25">
      <c r="A108" s="8">
        <v>42555.944456018522</v>
      </c>
      <c r="B108" s="33" t="s">
        <v>143</v>
      </c>
      <c r="C108" s="33" t="s">
        <v>558</v>
      </c>
      <c r="D108" s="33" t="s">
        <v>50</v>
      </c>
      <c r="E108" s="33" t="s">
        <v>51</v>
      </c>
      <c r="F108" s="2">
        <v>0</v>
      </c>
      <c r="G108" s="33">
        <v>9</v>
      </c>
      <c r="H108" s="33">
        <v>233282</v>
      </c>
      <c r="I108" s="33" t="s">
        <v>52</v>
      </c>
      <c r="J108" s="33">
        <v>233491</v>
      </c>
      <c r="K108" s="33" t="s">
        <v>53</v>
      </c>
      <c r="L108" s="11" t="str">
        <f>VLOOKUP(C108,'Trips&amp;Operators'!$C$2:$E$10000,3,FALSE)</f>
        <v>BRUDER</v>
      </c>
      <c r="M108" s="10" t="s">
        <v>122</v>
      </c>
      <c r="N108" s="11"/>
      <c r="P108" s="43" t="str">
        <f>VLOOKUP(C108,'Train Runs'!$A$13:$V$972,22,0)</f>
        <v>https://search-rtdc-monitor-bjffxe2xuh6vdkpspy63sjmuny.us-east-1.es.amazonaws.com/_plugin/kibana/#/discover/Steve-Slow-Train-Analysis-(2080s-and-2083s)?_g=(refreshInterval:(display:Off,section:0,value:0),time:(from:'2016-07-04 21:55:13-0600',mode:absolute,to:'2016-07-04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08" s="9" t="str">
        <f t="shared" si="6"/>
        <v>4025</v>
      </c>
    </row>
    <row r="109" spans="1:17" x14ac:dyDescent="0.25">
      <c r="A109" s="8">
        <v>42556.064814814818</v>
      </c>
      <c r="B109" s="33" t="s">
        <v>140</v>
      </c>
      <c r="C109" s="33" t="s">
        <v>573</v>
      </c>
      <c r="D109" s="33" t="s">
        <v>50</v>
      </c>
      <c r="E109" s="33" t="s">
        <v>51</v>
      </c>
      <c r="F109" s="2">
        <v>0</v>
      </c>
      <c r="G109" s="33">
        <v>9</v>
      </c>
      <c r="H109" s="33">
        <v>189</v>
      </c>
      <c r="I109" s="33" t="s">
        <v>52</v>
      </c>
      <c r="J109" s="33">
        <v>1</v>
      </c>
      <c r="K109" s="33" t="s">
        <v>54</v>
      </c>
      <c r="L109" s="11" t="e">
        <f>VLOOKUP(C109,'Trips&amp;Operators'!$C$2:$E$10000,3,FALSE)</f>
        <v>#N/A</v>
      </c>
      <c r="M109" s="10" t="s">
        <v>122</v>
      </c>
      <c r="N109" s="11"/>
      <c r="P109" s="43" t="str">
        <f>VLOOKUP(C109,'Train Runs'!$A$13:$V$972,22,0)</f>
        <v>https://search-rtdc-monitor-bjffxe2xuh6vdkpspy63sjmuny.us-east-1.es.amazonaws.com/_plugin/kibana/#/discover/Steve-Slow-Train-Analysis-(2080s-and-2083s)?_g=(refreshInterval:(display:Off,section:0,value:0),time:(from:'2016-07-05 00:50:18-0600',mode:absolute,to:'2016-07-05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09" s="9" t="str">
        <f t="shared" si="6"/>
        <v>4026</v>
      </c>
    </row>
    <row r="110" spans="1:17" x14ac:dyDescent="0.25">
      <c r="A110" s="103">
        <v>42555.253587962965</v>
      </c>
      <c r="B110" s="104" t="s">
        <v>193</v>
      </c>
      <c r="C110" s="104" t="s">
        <v>326</v>
      </c>
      <c r="D110" s="104" t="s">
        <v>50</v>
      </c>
      <c r="E110" s="106" t="s">
        <v>51</v>
      </c>
      <c r="F110" s="107">
        <v>0</v>
      </c>
      <c r="G110" s="104">
        <v>82</v>
      </c>
      <c r="H110" s="104">
        <v>58760</v>
      </c>
      <c r="I110" s="106" t="s">
        <v>52</v>
      </c>
      <c r="J110" s="104">
        <v>59048</v>
      </c>
      <c r="K110" s="68" t="s">
        <v>53</v>
      </c>
      <c r="L110" s="11" t="str">
        <f>VLOOKUP(C110,'Trips&amp;Operators'!$C$2:$E$10000,3,FALSE)</f>
        <v>ADANE</v>
      </c>
      <c r="M110" s="10" t="s">
        <v>122</v>
      </c>
      <c r="N110" s="11"/>
      <c r="O110" s="1"/>
      <c r="P110" s="43" t="str">
        <f>VLOOKUP(C110,'Train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10" s="9" t="str">
        <f t="shared" si="6"/>
        <v>4007</v>
      </c>
    </row>
    <row r="111" spans="1:17" x14ac:dyDescent="0.25">
      <c r="A111" s="48">
        <v>42555.267187500001</v>
      </c>
      <c r="B111" s="41" t="s">
        <v>185</v>
      </c>
      <c r="C111" s="41" t="s">
        <v>370</v>
      </c>
      <c r="D111" s="41" t="s">
        <v>50</v>
      </c>
      <c r="E111" s="105" t="s">
        <v>51</v>
      </c>
      <c r="F111" s="93">
        <v>0</v>
      </c>
      <c r="G111" s="41">
        <v>29</v>
      </c>
      <c r="H111" s="41">
        <v>636</v>
      </c>
      <c r="I111" s="105" t="s">
        <v>52</v>
      </c>
      <c r="J111" s="41">
        <v>575</v>
      </c>
      <c r="K111" s="41" t="s">
        <v>54</v>
      </c>
      <c r="L111" s="11" t="str">
        <f>VLOOKUP(C111,'Trips&amp;Operators'!$C$2:$E$10000,3,FALSE)</f>
        <v>ADANE</v>
      </c>
      <c r="M111" s="10" t="s">
        <v>122</v>
      </c>
      <c r="N111" s="11"/>
      <c r="O111" s="1"/>
      <c r="P111" s="43" t="str">
        <f>VLOOKUP(C111,'Train Runs'!$A$13:$V$972,22,0)</f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1" s="9" t="str">
        <f t="shared" si="6"/>
        <v>4008</v>
      </c>
    </row>
    <row r="112" spans="1:17" x14ac:dyDescent="0.25">
      <c r="A112" s="103">
        <v>42555.350428240738</v>
      </c>
      <c r="B112" s="104" t="s">
        <v>185</v>
      </c>
      <c r="C112" s="104" t="s">
        <v>413</v>
      </c>
      <c r="D112" s="104" t="s">
        <v>50</v>
      </c>
      <c r="E112" s="106" t="s">
        <v>51</v>
      </c>
      <c r="F112" s="107">
        <v>0</v>
      </c>
      <c r="G112" s="104">
        <v>7</v>
      </c>
      <c r="H112" s="104">
        <v>733</v>
      </c>
      <c r="I112" s="106" t="s">
        <v>52</v>
      </c>
      <c r="J112" s="104">
        <v>575</v>
      </c>
      <c r="K112" s="68" t="s">
        <v>54</v>
      </c>
      <c r="L112" s="11" t="str">
        <f>VLOOKUP(C112,'Trips&amp;Operators'!$C$2:$E$10000,3,FALSE)</f>
        <v>ADANE</v>
      </c>
      <c r="M112" s="10" t="s">
        <v>122</v>
      </c>
      <c r="N112" s="11"/>
      <c r="O112" s="1"/>
      <c r="P112" s="43" t="str">
        <f>VLOOKUP(C112,'Train Runs'!$A$13:$V$972,22,0)</f>
        <v>https://search-rtdc-monitor-bjffxe2xuh6vdkpspy63sjmuny.us-east-1.es.amazonaws.com/_plugin/kibana/#/discover/Steve-Slow-Train-Analysis-(2080s-and-2083s)?_g=(refreshInterval:(display:Off,section:0,value:0),time:(from:'2016-07-04 08:03:57-0600',mode:absolute,to:'2016-07-04 08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2" s="9" t="str">
        <f t="shared" si="6"/>
        <v>4008</v>
      </c>
    </row>
    <row r="113" spans="1:17" x14ac:dyDescent="0.25">
      <c r="A113" s="48">
        <v>42555.481909722221</v>
      </c>
      <c r="B113" s="41" t="s">
        <v>150</v>
      </c>
      <c r="C113" s="41" t="s">
        <v>352</v>
      </c>
      <c r="D113" s="41" t="s">
        <v>50</v>
      </c>
      <c r="E113" s="105" t="s">
        <v>51</v>
      </c>
      <c r="F113" s="93">
        <v>0</v>
      </c>
      <c r="G113" s="41">
        <v>8</v>
      </c>
      <c r="H113" s="41">
        <v>58956</v>
      </c>
      <c r="I113" s="105" t="s">
        <v>52</v>
      </c>
      <c r="J113" s="41">
        <v>59048</v>
      </c>
      <c r="K113" s="41" t="s">
        <v>53</v>
      </c>
      <c r="L113" s="11" t="str">
        <f>VLOOKUP(C113,'Trips&amp;Operators'!$C$2:$E$10000,3,FALSE)</f>
        <v>NELSON</v>
      </c>
      <c r="M113" s="10" t="s">
        <v>122</v>
      </c>
      <c r="N113" s="11"/>
      <c r="P113" s="43" t="str">
        <f>VLOOKUP(C113,'Train Runs'!$A$13:$V$972,22,0)</f>
        <v>https://search-rtdc-monitor-bjffxe2xuh6vdkpspy63sjmuny.us-east-1.es.amazonaws.com/_plugin/kibana/#/discover/Steve-Slow-Train-Analysis-(2080s-and-2083s)?_g=(refreshInterval:(display:Off,section:0,value:0),time:(from:'2016-07-04 11:08:05-0600',mode:absolute,to:'2016-07-04 11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3" s="9" t="str">
        <f t="shared" si="6"/>
        <v>4027</v>
      </c>
    </row>
    <row r="114" spans="1:17" x14ac:dyDescent="0.25">
      <c r="A114" s="48">
        <v>42555.608148148145</v>
      </c>
      <c r="B114" s="41" t="s">
        <v>150</v>
      </c>
      <c r="C114" s="41" t="s">
        <v>608</v>
      </c>
      <c r="D114" s="41" t="s">
        <v>50</v>
      </c>
      <c r="E114" s="105" t="s">
        <v>51</v>
      </c>
      <c r="F114" s="93">
        <v>0</v>
      </c>
      <c r="G114" s="41">
        <v>116</v>
      </c>
      <c r="H114" s="41">
        <v>58577</v>
      </c>
      <c r="I114" s="105" t="s">
        <v>52</v>
      </c>
      <c r="J114" s="41">
        <v>59058</v>
      </c>
      <c r="K114" s="41" t="s">
        <v>53</v>
      </c>
      <c r="L114" s="11" t="str">
        <f>VLOOKUP(C114,'Trips&amp;Operators'!$C$2:$E$10000,3,FALSE)</f>
        <v>STRICKLAND</v>
      </c>
      <c r="M114" s="10" t="s">
        <v>122</v>
      </c>
      <c r="N114" s="11"/>
      <c r="O114" s="1"/>
      <c r="P114" s="43" t="str">
        <f>VLOOKUP(C114,'Train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4" s="9" t="str">
        <f t="shared" si="6"/>
        <v>4027</v>
      </c>
    </row>
    <row r="115" spans="1:17" x14ac:dyDescent="0.25">
      <c r="A115" s="48">
        <v>42555.623622685183</v>
      </c>
      <c r="B115" s="41" t="s">
        <v>144</v>
      </c>
      <c r="C115" s="41" t="s">
        <v>611</v>
      </c>
      <c r="D115" s="41" t="s">
        <v>50</v>
      </c>
      <c r="E115" s="105" t="s">
        <v>51</v>
      </c>
      <c r="F115" s="93">
        <v>0</v>
      </c>
      <c r="G115" s="41">
        <v>94</v>
      </c>
      <c r="H115" s="41">
        <v>832</v>
      </c>
      <c r="I115" s="105" t="s">
        <v>52</v>
      </c>
      <c r="J115" s="41">
        <v>575</v>
      </c>
      <c r="K115" s="41" t="s">
        <v>54</v>
      </c>
      <c r="L115" s="11" t="str">
        <f>VLOOKUP(C115,'Trips&amp;Operators'!$C$2:$E$10000,3,FALSE)</f>
        <v>STRICKLAND</v>
      </c>
      <c r="M115" s="10" t="s">
        <v>122</v>
      </c>
      <c r="N115" s="11"/>
      <c r="P115" s="43" t="str">
        <f>VLOOKUP(C115,'Train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5" s="9" t="str">
        <f t="shared" si="6"/>
        <v>4028</v>
      </c>
    </row>
    <row r="116" spans="1:17" x14ac:dyDescent="0.25">
      <c r="A116" s="8">
        <v>42555.734548611108</v>
      </c>
      <c r="B116" s="33" t="s">
        <v>150</v>
      </c>
      <c r="C116" s="33" t="s">
        <v>637</v>
      </c>
      <c r="D116" s="33" t="s">
        <v>50</v>
      </c>
      <c r="E116" s="33" t="s">
        <v>51</v>
      </c>
      <c r="F116" s="2">
        <v>0</v>
      </c>
      <c r="G116" s="33">
        <v>10</v>
      </c>
      <c r="H116" s="33">
        <v>59043</v>
      </c>
      <c r="I116" s="33" t="s">
        <v>52</v>
      </c>
      <c r="J116" s="33">
        <v>59058</v>
      </c>
      <c r="K116" s="33" t="s">
        <v>53</v>
      </c>
      <c r="L116" s="11" t="str">
        <f>VLOOKUP(C116,'Trips&amp;Operators'!$C$2:$E$10000,3,FALSE)</f>
        <v>STRICKLAND</v>
      </c>
      <c r="M116" s="10" t="s">
        <v>122</v>
      </c>
      <c r="N116" s="11"/>
      <c r="P116" s="43" t="str">
        <f>VLOOKUP(C116,'Train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6" s="9" t="str">
        <f t="shared" si="6"/>
        <v>4027</v>
      </c>
    </row>
    <row r="117" spans="1:17" x14ac:dyDescent="0.25">
      <c r="A117" s="8">
        <v>42555.747893518521</v>
      </c>
      <c r="B117" s="33" t="s">
        <v>144</v>
      </c>
      <c r="C117" s="33" t="s">
        <v>640</v>
      </c>
      <c r="D117" s="33" t="s">
        <v>50</v>
      </c>
      <c r="E117" s="33" t="s">
        <v>51</v>
      </c>
      <c r="F117" s="2">
        <v>0</v>
      </c>
      <c r="G117" s="33">
        <v>39</v>
      </c>
      <c r="H117" s="33">
        <v>715</v>
      </c>
      <c r="I117" s="33" t="s">
        <v>52</v>
      </c>
      <c r="J117" s="33">
        <v>575</v>
      </c>
      <c r="K117" s="33" t="s">
        <v>54</v>
      </c>
      <c r="L117" s="11" t="str">
        <f>VLOOKUP(C117,'Trips&amp;Operators'!$C$2:$E$10000,3,FALSE)</f>
        <v>STRICKLAND</v>
      </c>
      <c r="M117" s="10" t="s">
        <v>122</v>
      </c>
      <c r="N117" s="11"/>
      <c r="P117" s="43" t="str">
        <f>VLOOKUP(C117,'Train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7" s="9" t="str">
        <f t="shared" si="6"/>
        <v>4028</v>
      </c>
    </row>
    <row r="118" spans="1:17" x14ac:dyDescent="0.25">
      <c r="A118" s="8">
        <v>42555.777337962965</v>
      </c>
      <c r="B118" s="33" t="s">
        <v>144</v>
      </c>
      <c r="C118" s="33" t="s">
        <v>640</v>
      </c>
      <c r="D118" s="33" t="s">
        <v>50</v>
      </c>
      <c r="E118" s="33" t="s">
        <v>51</v>
      </c>
      <c r="F118" s="2">
        <v>0</v>
      </c>
      <c r="G118" s="33">
        <v>8</v>
      </c>
      <c r="H118" s="33">
        <v>58961</v>
      </c>
      <c r="I118" s="33" t="s">
        <v>52</v>
      </c>
      <c r="J118" s="33">
        <v>59058</v>
      </c>
      <c r="K118" s="33" t="s">
        <v>53</v>
      </c>
      <c r="L118" s="11" t="str">
        <f>VLOOKUP(C118,'Trips&amp;Operators'!$C$2:$E$10000,3,FALSE)</f>
        <v>STRICKLAND</v>
      </c>
      <c r="M118" s="10" t="s">
        <v>122</v>
      </c>
      <c r="N118" s="11"/>
      <c r="P118" s="43" t="str">
        <f>VLOOKUP(C118,'Train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8" s="9" t="str">
        <f t="shared" si="6"/>
        <v>4028</v>
      </c>
    </row>
    <row r="119" spans="1:17" x14ac:dyDescent="0.25">
      <c r="A119" s="8">
        <v>42555.752916666665</v>
      </c>
      <c r="B119" s="33" t="s">
        <v>182</v>
      </c>
      <c r="C119" s="33" t="s">
        <v>643</v>
      </c>
      <c r="D119" s="33" t="s">
        <v>50</v>
      </c>
      <c r="E119" s="33" t="s">
        <v>51</v>
      </c>
      <c r="F119" s="2">
        <v>0</v>
      </c>
      <c r="G119" s="33">
        <v>6</v>
      </c>
      <c r="H119" s="33">
        <v>59001</v>
      </c>
      <c r="I119" s="33" t="s">
        <v>52</v>
      </c>
      <c r="J119" s="33">
        <v>59058</v>
      </c>
      <c r="K119" s="33" t="s">
        <v>53</v>
      </c>
      <c r="L119" s="11" t="str">
        <f>VLOOKUP(C119,'Trips&amp;Operators'!$C$2:$E$10000,3,FALSE)</f>
        <v>ALONZO</v>
      </c>
      <c r="M119" s="10" t="s">
        <v>122</v>
      </c>
      <c r="N119" s="11"/>
      <c r="P119" s="43" t="str">
        <f>VLOOKUP(C119,'Train Runs'!$A$13:$V$972,22,0)</f>
        <v>https://search-rtdc-monitor-bjffxe2xuh6vdkpspy63sjmuny.us-east-1.es.amazonaws.com/_plugin/kibana/#/discover/Steve-Slow-Train-Analysis-(2080s-and-2083s)?_g=(refreshInterval:(display:Off,section:0,value:0),time:(from:'2016-07-04 17:42:56-0600',mode:absolute,to:'2016-07-04 18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9" s="9" t="str">
        <f t="shared" si="6"/>
        <v>4044</v>
      </c>
    </row>
    <row r="120" spans="1:17" x14ac:dyDescent="0.25">
      <c r="A120" s="8">
        <v>42555.789050925923</v>
      </c>
      <c r="B120" s="33" t="s">
        <v>150</v>
      </c>
      <c r="C120" s="33" t="s">
        <v>648</v>
      </c>
      <c r="D120" s="33" t="s">
        <v>50</v>
      </c>
      <c r="E120" s="33" t="s">
        <v>51</v>
      </c>
      <c r="F120" s="2">
        <v>0</v>
      </c>
      <c r="G120" s="33">
        <v>49</v>
      </c>
      <c r="H120" s="33">
        <v>677</v>
      </c>
      <c r="I120" s="33" t="s">
        <v>52</v>
      </c>
      <c r="J120" s="33">
        <v>575</v>
      </c>
      <c r="K120" s="33" t="s">
        <v>54</v>
      </c>
      <c r="L120" s="11" t="str">
        <f>VLOOKUP(C120,'Trips&amp;Operators'!$C$2:$E$10000,3,FALSE)</f>
        <v>STRICKLAND</v>
      </c>
      <c r="M120" s="10" t="s">
        <v>122</v>
      </c>
      <c r="N120" s="11"/>
      <c r="P120" s="43" t="str">
        <f>VLOOKUP(C120,'Train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0" s="9" t="str">
        <f t="shared" si="6"/>
        <v>4027</v>
      </c>
    </row>
    <row r="121" spans="1:17" x14ac:dyDescent="0.25">
      <c r="A121" s="8">
        <v>42555.777337962965</v>
      </c>
      <c r="B121" s="33" t="s">
        <v>150</v>
      </c>
      <c r="C121" s="33" t="s">
        <v>648</v>
      </c>
      <c r="D121" s="33" t="s">
        <v>50</v>
      </c>
      <c r="E121" s="33" t="s">
        <v>51</v>
      </c>
      <c r="F121" s="2">
        <v>0</v>
      </c>
      <c r="G121" s="33">
        <v>5</v>
      </c>
      <c r="H121" s="33">
        <v>58958</v>
      </c>
      <c r="I121" s="33" t="s">
        <v>52</v>
      </c>
      <c r="J121" s="33">
        <v>59058</v>
      </c>
      <c r="K121" s="33" t="s">
        <v>53</v>
      </c>
      <c r="L121" s="11" t="str">
        <f>VLOOKUP(C121,'Trips&amp;Operators'!$C$2:$E$10000,3,FALSE)</f>
        <v>STRICKLAND</v>
      </c>
      <c r="M121" s="10" t="s">
        <v>122</v>
      </c>
      <c r="N121" s="11"/>
      <c r="P121" s="43" t="str">
        <f>VLOOKUP(C121,'Train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1" s="9" t="str">
        <f t="shared" si="6"/>
        <v>4027</v>
      </c>
    </row>
    <row r="122" spans="1:17" x14ac:dyDescent="0.25">
      <c r="A122" s="8">
        <v>42555.816157407404</v>
      </c>
      <c r="B122" s="33" t="s">
        <v>150</v>
      </c>
      <c r="C122" s="33" t="s">
        <v>656</v>
      </c>
      <c r="D122" s="33" t="s">
        <v>50</v>
      </c>
      <c r="E122" s="33" t="s">
        <v>51</v>
      </c>
      <c r="F122" s="2">
        <v>0</v>
      </c>
      <c r="G122" s="33">
        <v>7</v>
      </c>
      <c r="H122" s="33">
        <v>58952</v>
      </c>
      <c r="I122" s="33" t="s">
        <v>52</v>
      </c>
      <c r="J122" s="33">
        <v>59048</v>
      </c>
      <c r="K122" s="33" t="s">
        <v>53</v>
      </c>
      <c r="L122" s="11" t="str">
        <f>VLOOKUP(C122,'Trips&amp;Operators'!$C$2:$E$10000,3,FALSE)</f>
        <v>STRICKLAND</v>
      </c>
      <c r="M122" s="10" t="s">
        <v>122</v>
      </c>
      <c r="N122" s="11"/>
      <c r="P122" s="43" t="str">
        <f>VLOOKUP(C122,'Train Runs'!$A$13:$V$972,22,0)</f>
        <v>https://search-rtdc-monitor-bjffxe2xuh6vdkpspy63sjmuny.us-east-1.es.amazonaws.com/_plugin/kibana/#/discover/Steve-Slow-Train-Analysis-(2080s-and-2083s)?_g=(refreshInterval:(display:Off,section:0,value:0),time:(from:'2016-07-04 19:06:48-0600',mode:absolute,to:'2016-07-04 19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2" s="9" t="str">
        <f t="shared" si="6"/>
        <v>4027</v>
      </c>
    </row>
    <row r="123" spans="1:17" x14ac:dyDescent="0.25">
      <c r="A123" s="8">
        <v>42555.858738425923</v>
      </c>
      <c r="B123" s="33" t="s">
        <v>150</v>
      </c>
      <c r="C123" s="33" t="s">
        <v>660</v>
      </c>
      <c r="D123" s="33" t="s">
        <v>50</v>
      </c>
      <c r="E123" s="33" t="s">
        <v>51</v>
      </c>
      <c r="F123" s="2">
        <v>0</v>
      </c>
      <c r="G123" s="33">
        <v>9</v>
      </c>
      <c r="H123" s="33">
        <v>58931</v>
      </c>
      <c r="I123" s="33" t="s">
        <v>52</v>
      </c>
      <c r="J123" s="33">
        <v>59048</v>
      </c>
      <c r="K123" s="33" t="s">
        <v>53</v>
      </c>
      <c r="L123" s="11" t="str">
        <f>VLOOKUP(C123,'Trips&amp;Operators'!$C$2:$E$10000,3,FALSE)</f>
        <v>STRICKLAND</v>
      </c>
      <c r="M123" s="10" t="s">
        <v>122</v>
      </c>
      <c r="N123" s="11"/>
      <c r="P123" s="43" t="str">
        <f>VLOOKUP(C123,'Train Runs'!$A$13:$V$972,22,0)</f>
        <v>https://search-rtdc-monitor-bjffxe2xuh6vdkpspy63sjmuny.us-east-1.es.amazonaws.com/_plugin/kibana/#/discover/Steve-Slow-Train-Analysis-(2080s-and-2083s)?_g=(refreshInterval:(display:Off,section:0,value:0),time:(from:'2016-07-04 20:12:48-0600',mode:absolute,to:'2016-07-04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3" s="9" t="str">
        <f t="shared" si="6"/>
        <v>4027</v>
      </c>
    </row>
    <row r="124" spans="1:17" x14ac:dyDescent="0.25">
      <c r="A124" s="8">
        <v>42555.91333333333</v>
      </c>
      <c r="B124" s="33" t="s">
        <v>144</v>
      </c>
      <c r="C124" s="33" t="s">
        <v>663</v>
      </c>
      <c r="D124" s="33" t="s">
        <v>50</v>
      </c>
      <c r="E124" s="33" t="s">
        <v>51</v>
      </c>
      <c r="F124" s="2">
        <v>0</v>
      </c>
      <c r="G124" s="33">
        <v>51</v>
      </c>
      <c r="H124" s="33">
        <v>733</v>
      </c>
      <c r="I124" s="33" t="s">
        <v>52</v>
      </c>
      <c r="J124" s="33">
        <v>575</v>
      </c>
      <c r="K124" s="33" t="s">
        <v>54</v>
      </c>
      <c r="L124" s="11" t="str">
        <f>VLOOKUP(C124,'Trips&amp;Operators'!$C$2:$E$10000,3,FALSE)</f>
        <v>STRICKLAND</v>
      </c>
      <c r="M124" s="10" t="s">
        <v>122</v>
      </c>
      <c r="N124" s="11"/>
      <c r="P124" s="43" t="str">
        <f>VLOOKUP(C124,'Train Runs'!$A$13:$V$972,22,0)</f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24" s="9" t="str">
        <f t="shared" si="6"/>
        <v>4028</v>
      </c>
    </row>
    <row r="125" spans="1:17" x14ac:dyDescent="0.25">
      <c r="A125" s="8">
        <v>42555.899189814816</v>
      </c>
      <c r="B125" s="33" t="s">
        <v>150</v>
      </c>
      <c r="C125" s="33" t="s">
        <v>666</v>
      </c>
      <c r="D125" s="33" t="s">
        <v>50</v>
      </c>
      <c r="E125" s="33" t="s">
        <v>51</v>
      </c>
      <c r="F125" s="2">
        <v>0</v>
      </c>
      <c r="G125" s="33">
        <v>9</v>
      </c>
      <c r="H125" s="33">
        <v>59008</v>
      </c>
      <c r="I125" s="33" t="s">
        <v>52</v>
      </c>
      <c r="J125" s="33">
        <v>59048</v>
      </c>
      <c r="K125" s="33" t="s">
        <v>53</v>
      </c>
      <c r="L125" s="11" t="str">
        <f>VLOOKUP(C125,'Trips&amp;Operators'!$C$2:$E$10000,3,FALSE)</f>
        <v>STRICKLAND</v>
      </c>
      <c r="M125" s="10" t="s">
        <v>122</v>
      </c>
      <c r="N125" s="11"/>
      <c r="P125" s="43" t="str">
        <f>VLOOKUP(C125,'Train Runs'!$A$13:$V$972,22,0)</f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5" s="9" t="str">
        <f t="shared" si="6"/>
        <v>4027</v>
      </c>
    </row>
    <row r="126" spans="1:17" x14ac:dyDescent="0.25">
      <c r="A126" s="8">
        <v>42555.899675925924</v>
      </c>
      <c r="B126" s="33" t="s">
        <v>150</v>
      </c>
      <c r="C126" s="33" t="s">
        <v>666</v>
      </c>
      <c r="D126" s="33" t="s">
        <v>50</v>
      </c>
      <c r="E126" s="33" t="s">
        <v>51</v>
      </c>
      <c r="F126" s="2">
        <v>0</v>
      </c>
      <c r="G126" s="33">
        <v>2</v>
      </c>
      <c r="H126" s="33">
        <v>59039</v>
      </c>
      <c r="I126" s="33" t="s">
        <v>52</v>
      </c>
      <c r="J126" s="33">
        <v>59048</v>
      </c>
      <c r="K126" s="33" t="s">
        <v>53</v>
      </c>
      <c r="L126" s="11" t="str">
        <f>VLOOKUP(C126,'Trips&amp;Operators'!$C$2:$E$10000,3,FALSE)</f>
        <v>STRICKLAND</v>
      </c>
      <c r="M126" s="10" t="s">
        <v>122</v>
      </c>
      <c r="N126" s="11"/>
      <c r="P126" s="43" t="str">
        <f>VLOOKUP(C126,'Train Runs'!$A$13:$V$972,22,0)</f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6" s="9" t="str">
        <f t="shared" si="6"/>
        <v>4027</v>
      </c>
    </row>
    <row r="127" spans="1:17" x14ac:dyDescent="0.25">
      <c r="A127" s="8">
        <v>42555.940706018519</v>
      </c>
      <c r="B127" s="33" t="s">
        <v>150</v>
      </c>
      <c r="C127" s="33" t="s">
        <v>669</v>
      </c>
      <c r="D127" s="33" t="s">
        <v>50</v>
      </c>
      <c r="E127" s="33" t="s">
        <v>51</v>
      </c>
      <c r="F127" s="2">
        <v>0</v>
      </c>
      <c r="G127" s="33">
        <v>75</v>
      </c>
      <c r="H127" s="33">
        <v>58713</v>
      </c>
      <c r="I127" s="33" t="s">
        <v>52</v>
      </c>
      <c r="J127" s="33">
        <v>59048</v>
      </c>
      <c r="K127" s="33" t="s">
        <v>53</v>
      </c>
      <c r="L127" s="11" t="str">
        <f>VLOOKUP(C127,'Trips&amp;Operators'!$C$2:$E$10000,3,FALSE)</f>
        <v>STRICKLAND</v>
      </c>
      <c r="M127" s="10" t="s">
        <v>122</v>
      </c>
      <c r="N127" s="11"/>
      <c r="P127" s="43" t="str">
        <f>VLOOKUP(C127,'Train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7" s="9" t="str">
        <f t="shared" si="6"/>
        <v>4027</v>
      </c>
    </row>
    <row r="128" spans="1:17" x14ac:dyDescent="0.25">
      <c r="A128" s="8">
        <v>42555.941516203704</v>
      </c>
      <c r="B128" s="33" t="s">
        <v>150</v>
      </c>
      <c r="C128" s="33" t="s">
        <v>669</v>
      </c>
      <c r="D128" s="33" t="s">
        <v>50</v>
      </c>
      <c r="E128" s="33" t="s">
        <v>51</v>
      </c>
      <c r="F128" s="2">
        <v>0</v>
      </c>
      <c r="G128" s="33">
        <v>4</v>
      </c>
      <c r="H128" s="33">
        <v>59007</v>
      </c>
      <c r="I128" s="33" t="s">
        <v>52</v>
      </c>
      <c r="J128" s="33">
        <v>59048</v>
      </c>
      <c r="K128" s="33" t="s">
        <v>53</v>
      </c>
      <c r="L128" s="11" t="str">
        <f>VLOOKUP(C128,'Trips&amp;Operators'!$C$2:$E$10000,3,FALSE)</f>
        <v>STRICKLAND</v>
      </c>
      <c r="M128" s="10" t="s">
        <v>122</v>
      </c>
      <c r="N128" s="11"/>
      <c r="P128" s="43" t="str">
        <f>VLOOKUP(C128,'Train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8" s="9" t="str">
        <f t="shared" si="6"/>
        <v>4027</v>
      </c>
    </row>
  </sheetData>
  <autoFilter ref="A6:N93"/>
  <sortState ref="A7:Q129">
    <sortCondition ref="E7:E129"/>
    <sortCondition ref="C7:C129"/>
    <sortCondition ref="J7:J129"/>
    <sortCondition ref="F7:F129"/>
  </sortState>
  <mergeCells count="1">
    <mergeCell ref="A5:M5"/>
  </mergeCells>
  <conditionalFormatting sqref="P6 M6:N6 M7:M1048576">
    <cfRule type="cellIs" dxfId="3" priority="13" operator="equal">
      <formula>"Y"</formula>
    </cfRule>
  </conditionalFormatting>
  <conditionalFormatting sqref="A7:N7 A8:K75 L8:N128">
    <cfRule type="expression" dxfId="2" priority="6">
      <formula>$M7="Y"</formula>
    </cfRule>
  </conditionalFormatting>
  <conditionalFormatting sqref="M2:M3">
    <cfRule type="cellIs" dxfId="1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7" t="str">
        <f>"Trips that did not appear in PTC Data "&amp;TEXT(Variables!$A$2,"YYYY-mm-dd")</f>
        <v>Trips that did not appear in PTC Data 2016-07-04</v>
      </c>
      <c r="B1" s="117"/>
      <c r="C1" s="117"/>
      <c r="D1" s="117"/>
      <c r="E1" s="117"/>
    </row>
    <row r="2" spans="1:10" s="41" customFormat="1" ht="45" x14ac:dyDescent="0.25">
      <c r="A2" s="40" t="s">
        <v>87</v>
      </c>
      <c r="B2" s="52" t="s">
        <v>88</v>
      </c>
      <c r="C2" s="50" t="s">
        <v>89</v>
      </c>
      <c r="D2" s="41" t="s">
        <v>85</v>
      </c>
      <c r="E2" s="41" t="s">
        <v>86</v>
      </c>
      <c r="F2" s="41" t="s">
        <v>96</v>
      </c>
      <c r="G2" s="53" t="s">
        <v>97</v>
      </c>
    </row>
    <row r="3" spans="1:10" x14ac:dyDescent="0.25">
      <c r="A3" s="55" t="s">
        <v>371</v>
      </c>
      <c r="B3" s="55"/>
      <c r="C3" s="55"/>
      <c r="D3" s="55"/>
      <c r="E3" s="34" t="str">
        <f>VLOOKUP(A3,'Trips&amp;Operators'!$C$2:$E$10000,3,FALSE)</f>
        <v>CANFIELD</v>
      </c>
      <c r="F3" s="34" t="str">
        <f>VLOOKUP(A3,'Trips&amp;Operators'!$C$1:$F$10000,4,FALSE)</f>
        <v>rtdc.l.rtdc.4017:itc</v>
      </c>
      <c r="G3" s="54">
        <f>VLOOKUP(A3,'Trips&amp;Operators'!$C$1:$H$10000,5,FALSE)</f>
        <v>42555.32607638889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221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42555.176527777781</v>
      </c>
      <c r="B1" s="33" t="s">
        <v>93</v>
      </c>
      <c r="C1" s="33" t="s">
        <v>422</v>
      </c>
      <c r="D1" s="33">
        <v>900000</v>
      </c>
      <c r="E1" s="33" t="s">
        <v>154</v>
      </c>
      <c r="F1" s="33" t="str">
        <f>B1</f>
        <v>rtdc.l.rtdc.4042:itc</v>
      </c>
      <c r="G1" s="8">
        <f>A1</f>
        <v>42555.176527777781</v>
      </c>
    </row>
    <row r="2" spans="1:7" x14ac:dyDescent="0.25">
      <c r="A2" s="8">
        <v>42555.149502314816</v>
      </c>
      <c r="B2" s="33" t="s">
        <v>143</v>
      </c>
      <c r="C2" s="33" t="s">
        <v>333</v>
      </c>
      <c r="D2" s="33">
        <v>1480000</v>
      </c>
      <c r="E2" s="33" t="s">
        <v>136</v>
      </c>
      <c r="F2" s="33" t="str">
        <f t="shared" ref="F2:F65" si="0">B2</f>
        <v>rtdc.l.rtdc.4025:itc</v>
      </c>
      <c r="G2" s="8">
        <f t="shared" ref="G2:G65" si="1">A2</f>
        <v>42555.149502314816</v>
      </c>
    </row>
    <row r="3" spans="1:7" x14ac:dyDescent="0.25">
      <c r="A3" s="8">
        <v>42555.27715277778</v>
      </c>
      <c r="B3" s="33" t="s">
        <v>144</v>
      </c>
      <c r="C3" s="33" t="s">
        <v>334</v>
      </c>
      <c r="D3" s="33">
        <v>1460000</v>
      </c>
      <c r="E3" s="33" t="s">
        <v>128</v>
      </c>
      <c r="F3" s="33" t="str">
        <f t="shared" si="0"/>
        <v>rtdc.l.rtdc.4028:itc</v>
      </c>
      <c r="G3" s="8">
        <f t="shared" si="1"/>
        <v>42555.27715277778</v>
      </c>
    </row>
    <row r="4" spans="1:7" x14ac:dyDescent="0.25">
      <c r="A4" s="8">
        <v>42555.356261574074</v>
      </c>
      <c r="B4" s="33" t="s">
        <v>92</v>
      </c>
      <c r="C4" s="33" t="s">
        <v>336</v>
      </c>
      <c r="D4" s="33">
        <v>1200000</v>
      </c>
      <c r="E4" s="33" t="s">
        <v>188</v>
      </c>
      <c r="F4" s="33" t="str">
        <f t="shared" si="0"/>
        <v>rtdc.l.rtdc.4041:itc</v>
      </c>
      <c r="G4" s="8">
        <f t="shared" si="1"/>
        <v>42555.356261574074</v>
      </c>
    </row>
    <row r="5" spans="1:7" x14ac:dyDescent="0.25">
      <c r="A5" s="8">
        <v>42555.402928240743</v>
      </c>
      <c r="B5" s="33" t="s">
        <v>164</v>
      </c>
      <c r="C5" s="33" t="s">
        <v>337</v>
      </c>
      <c r="D5" s="33">
        <v>1230000</v>
      </c>
      <c r="E5" s="33" t="s">
        <v>322</v>
      </c>
      <c r="F5" s="33" t="str">
        <f t="shared" si="0"/>
        <v>rtdc.l.rtdc.4016:itc</v>
      </c>
      <c r="G5" s="8">
        <f t="shared" si="1"/>
        <v>42555.402928240743</v>
      </c>
    </row>
    <row r="6" spans="1:7" x14ac:dyDescent="0.25">
      <c r="A6" s="8">
        <v>42555.896504629629</v>
      </c>
      <c r="B6" s="33" t="s">
        <v>93</v>
      </c>
      <c r="C6" s="33" t="s">
        <v>555</v>
      </c>
      <c r="D6" s="33">
        <v>1290000</v>
      </c>
      <c r="E6" s="33" t="s">
        <v>343</v>
      </c>
      <c r="F6" s="33" t="str">
        <f t="shared" si="0"/>
        <v>rtdc.l.rtdc.4042:itc</v>
      </c>
      <c r="G6" s="8">
        <f t="shared" si="1"/>
        <v>42555.896504629629</v>
      </c>
    </row>
    <row r="7" spans="1:7" x14ac:dyDescent="0.25">
      <c r="A7" s="8">
        <v>42555.470219907409</v>
      </c>
      <c r="B7" s="33" t="s">
        <v>126</v>
      </c>
      <c r="C7" s="33" t="s">
        <v>339</v>
      </c>
      <c r="D7" s="33">
        <v>940000</v>
      </c>
      <c r="E7" s="33" t="s">
        <v>195</v>
      </c>
      <c r="F7" s="33" t="str">
        <f t="shared" si="0"/>
        <v>rtdc.l.rtdc.4038:itc</v>
      </c>
      <c r="G7" s="8">
        <f t="shared" si="1"/>
        <v>42555.470219907409</v>
      </c>
    </row>
    <row r="8" spans="1:7" x14ac:dyDescent="0.25">
      <c r="A8" s="8">
        <v>42555.471678240741</v>
      </c>
      <c r="B8" s="33" t="s">
        <v>81</v>
      </c>
      <c r="C8" s="33" t="s">
        <v>340</v>
      </c>
      <c r="D8" s="33">
        <v>1340000</v>
      </c>
      <c r="E8" s="33" t="s">
        <v>169</v>
      </c>
      <c r="F8" s="33" t="str">
        <f t="shared" si="0"/>
        <v>rtdc.l.rtdc.4017:itc</v>
      </c>
      <c r="G8" s="8">
        <f t="shared" si="1"/>
        <v>42555.471678240741</v>
      </c>
    </row>
    <row r="9" spans="1:7" ht="15.75" thickBot="1" x14ac:dyDescent="0.3">
      <c r="A9" s="46">
        <v>42555.579525462963</v>
      </c>
      <c r="B9" s="33" t="s">
        <v>80</v>
      </c>
      <c r="C9" s="33" t="s">
        <v>341</v>
      </c>
      <c r="D9" s="33">
        <v>890000</v>
      </c>
      <c r="E9" s="33" t="s">
        <v>342</v>
      </c>
      <c r="F9" s="33" t="str">
        <f t="shared" si="0"/>
        <v>rtdc.l.rtdc.4018:itc</v>
      </c>
      <c r="G9" s="8">
        <f t="shared" si="1"/>
        <v>42555.579525462963</v>
      </c>
    </row>
    <row r="10" spans="1:7" x14ac:dyDescent="0.25">
      <c r="A10" s="8">
        <v>42555.63386574074</v>
      </c>
      <c r="B10" s="33" t="s">
        <v>148</v>
      </c>
      <c r="C10" s="33" t="s">
        <v>499</v>
      </c>
      <c r="D10" s="33">
        <v>1120000</v>
      </c>
      <c r="E10" s="33" t="s">
        <v>183</v>
      </c>
      <c r="F10" s="33" t="str">
        <f t="shared" si="0"/>
        <v>rtdc.l.rtdc.4029:itc</v>
      </c>
      <c r="G10" s="8">
        <f t="shared" si="1"/>
        <v>42555.63386574074</v>
      </c>
    </row>
    <row r="11" spans="1:7" x14ac:dyDescent="0.25">
      <c r="A11" s="8">
        <v>42555.65965277778</v>
      </c>
      <c r="B11" s="33" t="s">
        <v>146</v>
      </c>
      <c r="C11" s="33" t="s">
        <v>497</v>
      </c>
      <c r="D11" s="33">
        <v>940000</v>
      </c>
      <c r="E11" s="33" t="s">
        <v>195</v>
      </c>
      <c r="F11" s="33" t="str">
        <f t="shared" si="0"/>
        <v>rtdc.l.rtdc.4037:itc</v>
      </c>
      <c r="G11" s="8">
        <f t="shared" si="1"/>
        <v>42555.65965277778</v>
      </c>
    </row>
    <row r="12" spans="1:7" x14ac:dyDescent="0.25">
      <c r="A12" s="8">
        <v>42555.518414351849</v>
      </c>
      <c r="B12" s="33" t="s">
        <v>84</v>
      </c>
      <c r="C12" s="33" t="s">
        <v>331</v>
      </c>
      <c r="D12" s="33">
        <v>1540000</v>
      </c>
      <c r="E12" s="33" t="s">
        <v>184</v>
      </c>
      <c r="F12" s="33" t="str">
        <f t="shared" si="0"/>
        <v>rtdc.l.rtdc.4031:itc</v>
      </c>
      <c r="G12" s="8">
        <f t="shared" si="1"/>
        <v>42555.518414351849</v>
      </c>
    </row>
    <row r="13" spans="1:7" x14ac:dyDescent="0.25">
      <c r="A13" s="8">
        <v>42555.775625000002</v>
      </c>
      <c r="B13" s="33" t="s">
        <v>70</v>
      </c>
      <c r="C13" s="33" t="s">
        <v>679</v>
      </c>
      <c r="D13" s="33">
        <v>1290000</v>
      </c>
      <c r="E13" s="33" t="s">
        <v>343</v>
      </c>
      <c r="F13" s="33" t="str">
        <f t="shared" si="0"/>
        <v>rtdc.l.rtdc.4032:itc</v>
      </c>
      <c r="G13" s="8">
        <f t="shared" si="1"/>
        <v>42555.775625000002</v>
      </c>
    </row>
    <row r="14" spans="1:7" x14ac:dyDescent="0.25">
      <c r="A14" s="8">
        <v>42555.317118055558</v>
      </c>
      <c r="B14" s="33" t="s">
        <v>317</v>
      </c>
      <c r="C14" s="33" t="s">
        <v>330</v>
      </c>
      <c r="D14" s="33">
        <v>1340000</v>
      </c>
      <c r="E14" s="33" t="s">
        <v>169</v>
      </c>
      <c r="F14" s="33" t="str">
        <f t="shared" si="0"/>
        <v>rtdc.l.rtdc.4039:itc</v>
      </c>
      <c r="G14" s="8">
        <f t="shared" si="1"/>
        <v>42555.317118055558</v>
      </c>
    </row>
    <row r="15" spans="1:7" x14ac:dyDescent="0.25">
      <c r="A15" s="8">
        <v>42555.817754629628</v>
      </c>
      <c r="B15" s="33" t="s">
        <v>144</v>
      </c>
      <c r="C15" s="33" t="s">
        <v>654</v>
      </c>
      <c r="D15" s="33">
        <v>1760000</v>
      </c>
      <c r="E15" s="33" t="s">
        <v>194</v>
      </c>
      <c r="F15" s="33" t="str">
        <f t="shared" si="0"/>
        <v>rtdc.l.rtdc.4028:itc</v>
      </c>
      <c r="G15" s="8">
        <f t="shared" si="1"/>
        <v>42555.817754629628</v>
      </c>
    </row>
    <row r="16" spans="1:7" x14ac:dyDescent="0.25">
      <c r="A16" s="8">
        <v>42555.264780092592</v>
      </c>
      <c r="B16" s="33" t="s">
        <v>140</v>
      </c>
      <c r="C16" s="33" t="s">
        <v>329</v>
      </c>
      <c r="D16" s="33">
        <v>1310000</v>
      </c>
      <c r="E16" s="33" t="s">
        <v>129</v>
      </c>
      <c r="F16" s="33" t="str">
        <f t="shared" si="0"/>
        <v>rtdc.l.rtdc.4026:itc</v>
      </c>
      <c r="G16" s="8">
        <f t="shared" si="1"/>
        <v>42555.264780092592</v>
      </c>
    </row>
    <row r="17" spans="1:7" x14ac:dyDescent="0.25">
      <c r="A17" s="8">
        <v>42555.850381944445</v>
      </c>
      <c r="B17" s="33" t="s">
        <v>92</v>
      </c>
      <c r="C17" s="33" t="s">
        <v>545</v>
      </c>
      <c r="D17" s="33">
        <v>1290000</v>
      </c>
      <c r="E17" s="33" t="s">
        <v>343</v>
      </c>
      <c r="F17" s="33" t="str">
        <f t="shared" si="0"/>
        <v>rtdc.l.rtdc.4041:itc</v>
      </c>
      <c r="G17" s="8">
        <f t="shared" si="1"/>
        <v>42555.850381944445</v>
      </c>
    </row>
    <row r="18" spans="1:7" x14ac:dyDescent="0.25">
      <c r="A18" s="8">
        <v>42555.256886574076</v>
      </c>
      <c r="B18" s="33" t="s">
        <v>164</v>
      </c>
      <c r="C18" s="33" t="s">
        <v>328</v>
      </c>
      <c r="D18" s="33">
        <v>1230000</v>
      </c>
      <c r="E18" s="33" t="s">
        <v>322</v>
      </c>
      <c r="F18" s="33" t="str">
        <f t="shared" si="0"/>
        <v>rtdc.l.rtdc.4016:itc</v>
      </c>
      <c r="G18" s="8">
        <f t="shared" si="1"/>
        <v>42555.256886574076</v>
      </c>
    </row>
    <row r="19" spans="1:7" x14ac:dyDescent="0.25">
      <c r="A19" s="8">
        <v>42555.860208333332</v>
      </c>
      <c r="B19" s="33" t="s">
        <v>144</v>
      </c>
      <c r="C19" s="33" t="s">
        <v>658</v>
      </c>
      <c r="D19" s="33">
        <v>1760000</v>
      </c>
      <c r="E19" s="33" t="s">
        <v>194</v>
      </c>
      <c r="F19" s="33" t="str">
        <f t="shared" si="0"/>
        <v>rtdc.l.rtdc.4028:itc</v>
      </c>
      <c r="G19" s="8">
        <f t="shared" si="1"/>
        <v>42555.860208333332</v>
      </c>
    </row>
    <row r="20" spans="1:7" x14ac:dyDescent="0.25">
      <c r="A20" s="8">
        <v>42555.238634259258</v>
      </c>
      <c r="B20" s="33" t="s">
        <v>193</v>
      </c>
      <c r="C20" s="33" t="s">
        <v>326</v>
      </c>
      <c r="D20" s="33">
        <v>1820000</v>
      </c>
      <c r="E20" s="33" t="s">
        <v>118</v>
      </c>
      <c r="F20" s="33" t="str">
        <f t="shared" si="0"/>
        <v>rtdc.l.rtdc.4007:itc</v>
      </c>
      <c r="G20" s="8">
        <f t="shared" si="1"/>
        <v>42555.238634259258</v>
      </c>
    </row>
    <row r="21" spans="1:7" x14ac:dyDescent="0.25">
      <c r="A21" s="8">
        <v>42555.211550925924</v>
      </c>
      <c r="B21" s="33" t="s">
        <v>80</v>
      </c>
      <c r="C21" s="33" t="s">
        <v>344</v>
      </c>
      <c r="D21" s="33">
        <v>1840000</v>
      </c>
      <c r="E21" s="33" t="s">
        <v>127</v>
      </c>
      <c r="F21" s="33" t="str">
        <f t="shared" si="0"/>
        <v>rtdc.l.rtdc.4018:itc</v>
      </c>
      <c r="G21" s="8">
        <f t="shared" si="1"/>
        <v>42555.211550925924</v>
      </c>
    </row>
    <row r="22" spans="1:7" x14ac:dyDescent="0.25">
      <c r="A22" s="48">
        <v>42555.207916666666</v>
      </c>
      <c r="B22" s="33" t="s">
        <v>193</v>
      </c>
      <c r="C22" s="33" t="s">
        <v>324</v>
      </c>
      <c r="D22" s="33">
        <v>1820000</v>
      </c>
      <c r="E22" s="33" t="s">
        <v>118</v>
      </c>
      <c r="F22" s="33" t="str">
        <f t="shared" si="0"/>
        <v>rtdc.l.rtdc.4007:itc</v>
      </c>
      <c r="G22" s="8">
        <f t="shared" si="1"/>
        <v>42555.207916666666</v>
      </c>
    </row>
    <row r="23" spans="1:7" x14ac:dyDescent="0.25">
      <c r="A23" s="8">
        <v>42555.648159722223</v>
      </c>
      <c r="B23" s="33" t="s">
        <v>92</v>
      </c>
      <c r="C23" s="33" t="s">
        <v>494</v>
      </c>
      <c r="D23" s="33">
        <v>1470000</v>
      </c>
      <c r="E23" s="33" t="s">
        <v>347</v>
      </c>
      <c r="F23" s="33" t="str">
        <f t="shared" si="0"/>
        <v>rtdc.l.rtdc.4041:itc</v>
      </c>
      <c r="G23" s="8">
        <f t="shared" si="1"/>
        <v>42555.648159722223</v>
      </c>
    </row>
    <row r="24" spans="1:7" x14ac:dyDescent="0.25">
      <c r="A24" s="8">
        <v>42555.996851851851</v>
      </c>
      <c r="B24" s="33" t="s">
        <v>317</v>
      </c>
      <c r="C24" s="33" t="s">
        <v>567</v>
      </c>
      <c r="D24" s="33">
        <v>1140000</v>
      </c>
      <c r="E24" s="33" t="s">
        <v>156</v>
      </c>
      <c r="F24" s="33" t="str">
        <f t="shared" si="0"/>
        <v>rtdc.l.rtdc.4039:itc</v>
      </c>
      <c r="G24" s="8">
        <f t="shared" si="1"/>
        <v>42555.996851851851</v>
      </c>
    </row>
    <row r="25" spans="1:7" x14ac:dyDescent="0.25">
      <c r="A25" s="8">
        <v>42555.714178240742</v>
      </c>
      <c r="B25" s="33" t="s">
        <v>148</v>
      </c>
      <c r="C25" s="33" t="s">
        <v>521</v>
      </c>
      <c r="D25" s="33">
        <v>1120000</v>
      </c>
      <c r="E25" s="33" t="s">
        <v>183</v>
      </c>
      <c r="F25" s="33" t="str">
        <f t="shared" si="0"/>
        <v>rtdc.l.rtdc.4029:itc</v>
      </c>
      <c r="G25" s="8">
        <f t="shared" si="1"/>
        <v>42555.714178240742</v>
      </c>
    </row>
    <row r="26" spans="1:7" x14ac:dyDescent="0.25">
      <c r="A26" s="8">
        <v>42555.307199074072</v>
      </c>
      <c r="B26" s="33" t="s">
        <v>149</v>
      </c>
      <c r="C26" s="33" t="s">
        <v>323</v>
      </c>
      <c r="D26" s="33">
        <v>1090000</v>
      </c>
      <c r="E26" s="33" t="s">
        <v>155</v>
      </c>
      <c r="F26" s="33" t="str">
        <f t="shared" si="0"/>
        <v>rtdc.l.rtdc.4030:itc</v>
      </c>
      <c r="G26" s="8">
        <f t="shared" si="1"/>
        <v>42555.307199074072</v>
      </c>
    </row>
    <row r="27" spans="1:7" x14ac:dyDescent="0.25">
      <c r="A27" s="8">
        <v>42555.756319444445</v>
      </c>
      <c r="B27" s="33" t="s">
        <v>150</v>
      </c>
      <c r="C27" s="33" t="s">
        <v>648</v>
      </c>
      <c r="D27" s="33">
        <v>1760000</v>
      </c>
      <c r="E27" s="33" t="s">
        <v>194</v>
      </c>
      <c r="F27" s="33" t="str">
        <f t="shared" si="0"/>
        <v>rtdc.l.rtdc.4027:itc</v>
      </c>
      <c r="G27" s="8">
        <f t="shared" si="1"/>
        <v>42555.756319444445</v>
      </c>
    </row>
    <row r="28" spans="1:7" x14ac:dyDescent="0.25">
      <c r="A28" s="8">
        <v>42555.289247685185</v>
      </c>
      <c r="B28" s="33" t="s">
        <v>165</v>
      </c>
      <c r="C28" s="33" t="s">
        <v>321</v>
      </c>
      <c r="D28" s="33">
        <v>1230000</v>
      </c>
      <c r="E28" s="33" t="s">
        <v>322</v>
      </c>
      <c r="F28" s="33" t="str">
        <f t="shared" si="0"/>
        <v>rtdc.l.rtdc.4015:itc</v>
      </c>
      <c r="G28" s="8">
        <f t="shared" si="1"/>
        <v>42555.289247685185</v>
      </c>
    </row>
    <row r="29" spans="1:7" x14ac:dyDescent="0.25">
      <c r="A29" s="8">
        <v>42555.799120370371</v>
      </c>
      <c r="B29" s="33" t="s">
        <v>198</v>
      </c>
      <c r="C29" s="33" t="s">
        <v>538</v>
      </c>
      <c r="D29" s="33">
        <v>1140000</v>
      </c>
      <c r="E29" s="33" t="s">
        <v>156</v>
      </c>
      <c r="F29" s="33" t="str">
        <f t="shared" si="0"/>
        <v>rtdc.l.rtdc.4040:itc</v>
      </c>
      <c r="G29" s="8">
        <f t="shared" si="1"/>
        <v>42555.799120370371</v>
      </c>
    </row>
    <row r="30" spans="1:7" x14ac:dyDescent="0.25">
      <c r="A30" s="8">
        <v>42555.901006944441</v>
      </c>
      <c r="B30" s="33" t="s">
        <v>144</v>
      </c>
      <c r="C30" s="33" t="s">
        <v>663</v>
      </c>
      <c r="D30" s="33">
        <v>1760000</v>
      </c>
      <c r="E30" s="33" t="s">
        <v>194</v>
      </c>
      <c r="F30" s="33" t="str">
        <f t="shared" si="0"/>
        <v>rtdc.l.rtdc.4028:itc</v>
      </c>
      <c r="G30" s="8">
        <f t="shared" si="1"/>
        <v>42555.901006944441</v>
      </c>
    </row>
    <row r="31" spans="1:7" x14ac:dyDescent="0.25">
      <c r="A31" s="8">
        <v>42555.191076388888</v>
      </c>
      <c r="B31" s="33" t="s">
        <v>148</v>
      </c>
      <c r="C31" s="33" t="s">
        <v>345</v>
      </c>
      <c r="D31" s="33">
        <v>1090000</v>
      </c>
      <c r="E31" s="33" t="s">
        <v>155</v>
      </c>
      <c r="F31" s="33" t="str">
        <f t="shared" si="0"/>
        <v>rtdc.l.rtdc.4029:itc</v>
      </c>
      <c r="G31" s="8">
        <f t="shared" si="1"/>
        <v>42555.191076388888</v>
      </c>
    </row>
    <row r="32" spans="1:7" x14ac:dyDescent="0.25">
      <c r="A32" s="8">
        <v>42555.705787037034</v>
      </c>
      <c r="B32" s="33" t="s">
        <v>148</v>
      </c>
      <c r="C32" s="33" t="s">
        <v>521</v>
      </c>
      <c r="D32" s="33">
        <v>1120000</v>
      </c>
      <c r="E32" s="33" t="s">
        <v>183</v>
      </c>
      <c r="F32" s="33" t="str">
        <f t="shared" si="0"/>
        <v>rtdc.l.rtdc.4029:itc</v>
      </c>
      <c r="G32" s="8">
        <f t="shared" si="1"/>
        <v>42555.705787037034</v>
      </c>
    </row>
    <row r="33" spans="1:7" x14ac:dyDescent="0.25">
      <c r="A33" s="8">
        <v>42555.567511574074</v>
      </c>
      <c r="B33" s="33" t="s">
        <v>198</v>
      </c>
      <c r="C33" s="33" t="s">
        <v>346</v>
      </c>
      <c r="D33" s="33">
        <v>1810000</v>
      </c>
      <c r="E33" s="33" t="s">
        <v>335</v>
      </c>
      <c r="F33" s="33" t="str">
        <f t="shared" si="0"/>
        <v>rtdc.l.rtdc.4040:itc</v>
      </c>
      <c r="G33" s="8">
        <f t="shared" si="1"/>
        <v>42555.567511574074</v>
      </c>
    </row>
    <row r="34" spans="1:7" x14ac:dyDescent="0.25">
      <c r="A34" s="8">
        <v>42555.677199074074</v>
      </c>
      <c r="B34" s="33" t="s">
        <v>317</v>
      </c>
      <c r="C34" s="33" t="s">
        <v>506</v>
      </c>
      <c r="D34" s="33">
        <v>1810000</v>
      </c>
      <c r="E34" s="33" t="s">
        <v>335</v>
      </c>
      <c r="F34" s="33" t="str">
        <f t="shared" si="0"/>
        <v>rtdc.l.rtdc.4039:itc</v>
      </c>
      <c r="G34" s="8">
        <f t="shared" si="1"/>
        <v>42555.677199074074</v>
      </c>
    </row>
    <row r="35" spans="1:7" x14ac:dyDescent="0.25">
      <c r="A35" s="8">
        <v>42555.598622685182</v>
      </c>
      <c r="B35" s="33" t="s">
        <v>149</v>
      </c>
      <c r="C35" s="33" t="s">
        <v>483</v>
      </c>
      <c r="D35" s="33">
        <v>1120000</v>
      </c>
      <c r="E35" s="33" t="s">
        <v>183</v>
      </c>
      <c r="F35" s="33" t="str">
        <f t="shared" si="0"/>
        <v>rtdc.l.rtdc.4030:itc</v>
      </c>
      <c r="G35" s="8">
        <f t="shared" si="1"/>
        <v>42555.598622685182</v>
      </c>
    </row>
    <row r="36" spans="1:7" x14ac:dyDescent="0.25">
      <c r="A36" s="8">
        <v>42555.672847222224</v>
      </c>
      <c r="B36" s="33" t="s">
        <v>79</v>
      </c>
      <c r="C36" s="33" t="s">
        <v>514</v>
      </c>
      <c r="D36" s="33">
        <v>950000</v>
      </c>
      <c r="E36" s="33" t="s">
        <v>191</v>
      </c>
      <c r="F36" s="33" t="str">
        <f t="shared" si="0"/>
        <v>rtdc.l.rtdc.4020:itc</v>
      </c>
      <c r="G36" s="8">
        <f t="shared" si="1"/>
        <v>42555.672847222224</v>
      </c>
    </row>
    <row r="37" spans="1:7" x14ac:dyDescent="0.25">
      <c r="A37" s="8">
        <v>42555.253182870372</v>
      </c>
      <c r="B37" s="33" t="s">
        <v>81</v>
      </c>
      <c r="C37" s="33" t="s">
        <v>359</v>
      </c>
      <c r="D37" s="33">
        <v>1840000</v>
      </c>
      <c r="E37" s="33" t="s">
        <v>127</v>
      </c>
      <c r="F37" s="33" t="str">
        <f t="shared" si="0"/>
        <v>rtdc.l.rtdc.4017:itc</v>
      </c>
      <c r="G37" s="8">
        <f t="shared" si="1"/>
        <v>42555.253182870372</v>
      </c>
    </row>
    <row r="38" spans="1:7" x14ac:dyDescent="0.25">
      <c r="A38" s="8">
        <v>42555.544722222221</v>
      </c>
      <c r="B38" s="33" t="s">
        <v>81</v>
      </c>
      <c r="C38" s="33" t="s">
        <v>429</v>
      </c>
      <c r="D38" s="33">
        <v>890000</v>
      </c>
      <c r="E38" s="33" t="s">
        <v>342</v>
      </c>
      <c r="F38" s="33" t="str">
        <f t="shared" si="0"/>
        <v>rtdc.l.rtdc.4017:itc</v>
      </c>
      <c r="G38" s="8">
        <f t="shared" si="1"/>
        <v>42555.544722222221</v>
      </c>
    </row>
    <row r="39" spans="1:7" x14ac:dyDescent="0.25">
      <c r="A39" s="8">
        <v>42555.296365740738</v>
      </c>
      <c r="B39" s="33" t="s">
        <v>185</v>
      </c>
      <c r="C39" s="33" t="s">
        <v>361</v>
      </c>
      <c r="D39" s="33">
        <v>1820000</v>
      </c>
      <c r="E39" s="33" t="s">
        <v>118</v>
      </c>
      <c r="F39" s="33" t="str">
        <f t="shared" si="0"/>
        <v>rtdc.l.rtdc.4008:itc</v>
      </c>
      <c r="G39" s="8">
        <f t="shared" si="1"/>
        <v>42555.296365740738</v>
      </c>
    </row>
    <row r="40" spans="1:7" x14ac:dyDescent="0.25">
      <c r="A40" s="8">
        <v>42555.411435185182</v>
      </c>
      <c r="B40" s="47" t="s">
        <v>140</v>
      </c>
      <c r="C40" s="33" t="s">
        <v>319</v>
      </c>
      <c r="D40" s="33">
        <v>1310000</v>
      </c>
      <c r="E40" s="33" t="s">
        <v>129</v>
      </c>
      <c r="F40" s="33" t="str">
        <f t="shared" si="0"/>
        <v>rtdc.l.rtdc.4026:itc</v>
      </c>
      <c r="G40" s="8">
        <f t="shared" si="1"/>
        <v>42555.411435185182</v>
      </c>
    </row>
    <row r="41" spans="1:7" x14ac:dyDescent="0.25">
      <c r="A41" s="8">
        <v>42555.31827546296</v>
      </c>
      <c r="B41" s="33" t="s">
        <v>93</v>
      </c>
      <c r="C41" s="33" t="s">
        <v>363</v>
      </c>
      <c r="D41" s="33">
        <v>1200000</v>
      </c>
      <c r="E41" s="33" t="s">
        <v>188</v>
      </c>
      <c r="F41" s="33" t="str">
        <f t="shared" si="0"/>
        <v>rtdc.l.rtdc.4042:itc</v>
      </c>
      <c r="G41" s="8">
        <f t="shared" si="1"/>
        <v>42555.31827546296</v>
      </c>
    </row>
    <row r="42" spans="1:7" x14ac:dyDescent="0.25">
      <c r="A42" s="8">
        <v>42555.844814814816</v>
      </c>
      <c r="B42" s="33" t="s">
        <v>164</v>
      </c>
      <c r="C42" s="33" t="s">
        <v>550</v>
      </c>
      <c r="D42" s="33">
        <v>1280000</v>
      </c>
      <c r="E42" s="33" t="s">
        <v>147</v>
      </c>
      <c r="F42" s="33" t="str">
        <f t="shared" si="0"/>
        <v>rtdc.l.rtdc.4016:itc</v>
      </c>
      <c r="G42" s="8">
        <f t="shared" si="1"/>
        <v>42555.844814814816</v>
      </c>
    </row>
    <row r="43" spans="1:7" x14ac:dyDescent="0.25">
      <c r="A43" s="8">
        <v>42555.036041666666</v>
      </c>
      <c r="B43" s="33" t="s">
        <v>142</v>
      </c>
      <c r="C43" s="33" t="s">
        <v>314</v>
      </c>
      <c r="D43" s="33">
        <v>1770000</v>
      </c>
      <c r="E43" s="33" t="s">
        <v>174</v>
      </c>
      <c r="F43" s="33" t="str">
        <f t="shared" si="0"/>
        <v>rtdc.l.rtdc.4013:itc</v>
      </c>
      <c r="G43" s="8">
        <f t="shared" si="1"/>
        <v>42555.036041666666</v>
      </c>
    </row>
    <row r="44" spans="1:7" x14ac:dyDescent="0.25">
      <c r="A44" s="8">
        <v>42555.608472222222</v>
      </c>
      <c r="B44" s="33" t="s">
        <v>93</v>
      </c>
      <c r="C44" s="33" t="s">
        <v>493</v>
      </c>
      <c r="D44" s="33">
        <v>1470000</v>
      </c>
      <c r="E44" s="33" t="s">
        <v>347</v>
      </c>
      <c r="F44" s="33" t="str">
        <f t="shared" si="0"/>
        <v>rtdc.l.rtdc.4042:itc</v>
      </c>
      <c r="G44" s="8">
        <f t="shared" si="1"/>
        <v>42555.608472222222</v>
      </c>
    </row>
    <row r="45" spans="1:7" x14ac:dyDescent="0.25">
      <c r="A45" s="8">
        <v>42555.255868055552</v>
      </c>
      <c r="B45" s="33" t="s">
        <v>185</v>
      </c>
      <c r="C45" s="33" t="s">
        <v>370</v>
      </c>
      <c r="D45" s="33">
        <v>1820000</v>
      </c>
      <c r="E45" s="33" t="s">
        <v>118</v>
      </c>
      <c r="F45" s="33" t="str">
        <f t="shared" si="0"/>
        <v>rtdc.l.rtdc.4008:itc</v>
      </c>
      <c r="G45" s="8">
        <f t="shared" si="1"/>
        <v>42555.255868055552</v>
      </c>
    </row>
    <row r="46" spans="1:7" x14ac:dyDescent="0.25">
      <c r="A46" s="8">
        <v>42555.527546296296</v>
      </c>
      <c r="B46" s="33" t="s">
        <v>149</v>
      </c>
      <c r="C46" s="33" t="s">
        <v>320</v>
      </c>
      <c r="D46" s="33">
        <v>1120000</v>
      </c>
      <c r="E46" s="33" t="s">
        <v>183</v>
      </c>
      <c r="F46" s="33" t="str">
        <f t="shared" si="0"/>
        <v>rtdc.l.rtdc.4030:itc</v>
      </c>
      <c r="G46" s="8">
        <f t="shared" si="1"/>
        <v>42555.527546296296</v>
      </c>
    </row>
    <row r="47" spans="1:7" x14ac:dyDescent="0.25">
      <c r="A47" s="8">
        <v>42555.32607638889</v>
      </c>
      <c r="B47" s="33" t="s">
        <v>81</v>
      </c>
      <c r="C47" s="33" t="s">
        <v>371</v>
      </c>
      <c r="D47" s="33">
        <v>1840000</v>
      </c>
      <c r="E47" s="33" t="s">
        <v>127</v>
      </c>
      <c r="F47" s="33" t="str">
        <f t="shared" si="0"/>
        <v>rtdc.l.rtdc.4017:itc</v>
      </c>
      <c r="G47" s="8">
        <f t="shared" si="1"/>
        <v>42555.32607638889</v>
      </c>
    </row>
    <row r="48" spans="1:7" x14ac:dyDescent="0.25">
      <c r="A48" s="8">
        <v>42555.433298611111</v>
      </c>
      <c r="B48" s="33" t="s">
        <v>80</v>
      </c>
      <c r="C48" s="33" t="s">
        <v>325</v>
      </c>
      <c r="D48" s="33">
        <v>1340000</v>
      </c>
      <c r="E48" s="33" t="s">
        <v>169</v>
      </c>
      <c r="F48" s="33" t="str">
        <f t="shared" si="0"/>
        <v>rtdc.l.rtdc.4018:itc</v>
      </c>
      <c r="G48" s="8">
        <f t="shared" si="1"/>
        <v>42555.433298611111</v>
      </c>
    </row>
    <row r="49" spans="1:7" x14ac:dyDescent="0.25">
      <c r="A49" s="8">
        <v>42555.129606481481</v>
      </c>
      <c r="B49" s="33" t="s">
        <v>198</v>
      </c>
      <c r="C49" s="33" t="s">
        <v>372</v>
      </c>
      <c r="D49" s="33">
        <v>1840000</v>
      </c>
      <c r="E49" s="33" t="s">
        <v>127</v>
      </c>
      <c r="F49" s="33" t="str">
        <f t="shared" si="0"/>
        <v>rtdc.l.rtdc.4040:itc</v>
      </c>
      <c r="G49" s="8">
        <f t="shared" si="1"/>
        <v>42555.129606481481</v>
      </c>
    </row>
    <row r="50" spans="1:7" x14ac:dyDescent="0.25">
      <c r="A50" s="8">
        <v>42555.24355324074</v>
      </c>
      <c r="B50" s="33" t="s">
        <v>317</v>
      </c>
      <c r="C50" s="33" t="s">
        <v>327</v>
      </c>
      <c r="D50" s="33">
        <v>1340000</v>
      </c>
      <c r="E50" s="33" t="s">
        <v>169</v>
      </c>
      <c r="F50" s="33" t="str">
        <f t="shared" si="0"/>
        <v>rtdc.l.rtdc.4039:itc</v>
      </c>
      <c r="G50" s="8">
        <f t="shared" si="1"/>
        <v>42555.24355324074</v>
      </c>
    </row>
    <row r="51" spans="1:7" x14ac:dyDescent="0.25">
      <c r="A51" s="8">
        <v>42555.224652777775</v>
      </c>
      <c r="B51" s="33" t="s">
        <v>143</v>
      </c>
      <c r="C51" s="33" t="s">
        <v>373</v>
      </c>
      <c r="D51" s="33">
        <v>1310000</v>
      </c>
      <c r="E51" s="33" t="s">
        <v>129</v>
      </c>
      <c r="F51" s="33" t="str">
        <f t="shared" si="0"/>
        <v>rtdc.l.rtdc.4025:itc</v>
      </c>
      <c r="G51" s="8">
        <f t="shared" si="1"/>
        <v>42555.224652777775</v>
      </c>
    </row>
    <row r="52" spans="1:7" x14ac:dyDescent="0.25">
      <c r="A52" s="8">
        <v>42555.977210648147</v>
      </c>
      <c r="B52" s="33" t="s">
        <v>93</v>
      </c>
      <c r="C52" s="33" t="s">
        <v>568</v>
      </c>
      <c r="D52" s="33">
        <v>1290000</v>
      </c>
      <c r="E52" s="33" t="s">
        <v>343</v>
      </c>
      <c r="F52" s="33" t="str">
        <f t="shared" si="0"/>
        <v>rtdc.l.rtdc.4042:itc</v>
      </c>
      <c r="G52" s="8">
        <f t="shared" si="1"/>
        <v>42555.977210648147</v>
      </c>
    </row>
    <row r="53" spans="1:7" x14ac:dyDescent="0.25">
      <c r="A53" s="8">
        <v>42555.232453703706</v>
      </c>
      <c r="B53" s="33" t="s">
        <v>149</v>
      </c>
      <c r="C53" s="33" t="s">
        <v>375</v>
      </c>
      <c r="D53" s="33">
        <v>1090000</v>
      </c>
      <c r="E53" s="33" t="s">
        <v>155</v>
      </c>
      <c r="F53" s="33" t="str">
        <f t="shared" si="0"/>
        <v>rtdc.l.rtdc.4030:itc</v>
      </c>
      <c r="G53" s="8">
        <f t="shared" si="1"/>
        <v>42555.232453703706</v>
      </c>
    </row>
    <row r="54" spans="1:7" x14ac:dyDescent="0.25">
      <c r="A54" s="8">
        <v>42555.583055555559</v>
      </c>
      <c r="B54" s="33" t="s">
        <v>146</v>
      </c>
      <c r="C54" s="33" t="s">
        <v>348</v>
      </c>
      <c r="D54" s="33">
        <v>940000</v>
      </c>
      <c r="E54" s="33" t="s">
        <v>195</v>
      </c>
      <c r="F54" s="33" t="str">
        <f t="shared" si="0"/>
        <v>rtdc.l.rtdc.4037:itc</v>
      </c>
      <c r="G54" s="8">
        <f t="shared" si="1"/>
        <v>42555.583055555559</v>
      </c>
    </row>
    <row r="55" spans="1:7" x14ac:dyDescent="0.25">
      <c r="A55" s="8">
        <v>42555.280833333331</v>
      </c>
      <c r="B55" s="33" t="s">
        <v>193</v>
      </c>
      <c r="C55" s="33" t="s">
        <v>376</v>
      </c>
      <c r="D55" s="33">
        <v>1820000</v>
      </c>
      <c r="E55" s="33" t="s">
        <v>118</v>
      </c>
      <c r="F55" s="33" t="str">
        <f t="shared" si="0"/>
        <v>rtdc.l.rtdc.4007:itc</v>
      </c>
      <c r="G55" s="8">
        <f t="shared" si="1"/>
        <v>42555.280833333331</v>
      </c>
    </row>
    <row r="56" spans="1:7" x14ac:dyDescent="0.25">
      <c r="A56" s="8">
        <v>42555.305752314816</v>
      </c>
      <c r="B56" s="33" t="s">
        <v>149</v>
      </c>
      <c r="C56" s="33" t="s">
        <v>323</v>
      </c>
      <c r="D56" s="33">
        <v>1090000</v>
      </c>
      <c r="E56" s="33" t="s">
        <v>155</v>
      </c>
      <c r="F56" s="33" t="str">
        <f t="shared" si="0"/>
        <v>rtdc.l.rtdc.4030:itc</v>
      </c>
      <c r="G56" s="8">
        <f t="shared" si="1"/>
        <v>42555.305752314816</v>
      </c>
    </row>
    <row r="57" spans="1:7" x14ac:dyDescent="0.25">
      <c r="A57" s="8">
        <v>42555.338796296295</v>
      </c>
      <c r="B57" s="33" t="s">
        <v>140</v>
      </c>
      <c r="C57" s="33" t="s">
        <v>377</v>
      </c>
      <c r="D57" s="33">
        <v>1310000</v>
      </c>
      <c r="E57" s="33" t="s">
        <v>129</v>
      </c>
      <c r="F57" s="33" t="str">
        <f t="shared" si="0"/>
        <v>rtdc.l.rtdc.4026:itc</v>
      </c>
      <c r="G57" s="8">
        <f t="shared" si="1"/>
        <v>42555.338796296295</v>
      </c>
    </row>
    <row r="58" spans="1:7" x14ac:dyDescent="0.25">
      <c r="A58" s="8">
        <v>42555.268587962964</v>
      </c>
      <c r="B58" s="33" t="s">
        <v>148</v>
      </c>
      <c r="C58" s="33" t="s">
        <v>349</v>
      </c>
      <c r="D58" s="33">
        <v>1090000</v>
      </c>
      <c r="E58" s="33" t="s">
        <v>155</v>
      </c>
      <c r="F58" s="33" t="str">
        <f t="shared" si="0"/>
        <v>rtdc.l.rtdc.4029:itc</v>
      </c>
      <c r="G58" s="8">
        <f t="shared" si="1"/>
        <v>42555.268587962964</v>
      </c>
    </row>
    <row r="59" spans="1:7" x14ac:dyDescent="0.25">
      <c r="A59" s="8">
        <v>42555.338865740741</v>
      </c>
      <c r="B59" s="33" t="s">
        <v>150</v>
      </c>
      <c r="C59" s="33" t="s">
        <v>379</v>
      </c>
      <c r="D59" s="33">
        <v>1460000</v>
      </c>
      <c r="E59" s="33" t="s">
        <v>128</v>
      </c>
      <c r="F59" s="33" t="str">
        <f t="shared" si="0"/>
        <v>rtdc.l.rtdc.4027:itc</v>
      </c>
      <c r="G59" s="8">
        <f t="shared" si="1"/>
        <v>42555.338865740741</v>
      </c>
    </row>
    <row r="60" spans="1:7" x14ac:dyDescent="0.25">
      <c r="A60" s="8">
        <v>42555.868645833332</v>
      </c>
      <c r="B60" s="33" t="s">
        <v>198</v>
      </c>
      <c r="C60" s="33" t="s">
        <v>552</v>
      </c>
      <c r="D60" s="33">
        <v>1140000</v>
      </c>
      <c r="E60" s="33" t="s">
        <v>156</v>
      </c>
      <c r="F60" s="33" t="str">
        <f t="shared" si="0"/>
        <v>rtdc.l.rtdc.4040:itc</v>
      </c>
      <c r="G60" s="8">
        <f t="shared" si="1"/>
        <v>42555.868645833332</v>
      </c>
    </row>
    <row r="61" spans="1:7" x14ac:dyDescent="0.25">
      <c r="A61" s="8">
        <v>42555.37835648148</v>
      </c>
      <c r="B61" s="33" t="s">
        <v>149</v>
      </c>
      <c r="C61" s="33" t="s">
        <v>380</v>
      </c>
      <c r="D61" s="33">
        <v>1090000</v>
      </c>
      <c r="E61" s="33" t="s">
        <v>155</v>
      </c>
      <c r="F61" s="33" t="str">
        <f t="shared" si="0"/>
        <v>rtdc.l.rtdc.4030:itc</v>
      </c>
      <c r="G61" s="8">
        <f t="shared" si="1"/>
        <v>42555.37835648148</v>
      </c>
    </row>
    <row r="62" spans="1:7" x14ac:dyDescent="0.25">
      <c r="A62" s="8">
        <v>42555.653287037036</v>
      </c>
      <c r="B62" s="33" t="s">
        <v>144</v>
      </c>
      <c r="C62" s="33" t="s">
        <v>617</v>
      </c>
      <c r="D62" s="33">
        <v>1760000</v>
      </c>
      <c r="E62" s="33" t="s">
        <v>194</v>
      </c>
      <c r="F62" s="33" t="str">
        <f t="shared" si="0"/>
        <v>rtdc.l.rtdc.4028:itc</v>
      </c>
      <c r="G62" s="8">
        <f t="shared" si="1"/>
        <v>42555.653287037036</v>
      </c>
    </row>
    <row r="63" spans="1:7" x14ac:dyDescent="0.25">
      <c r="A63" s="8">
        <v>42555.38045138889</v>
      </c>
      <c r="B63" s="33" t="s">
        <v>79</v>
      </c>
      <c r="C63" s="33" t="s">
        <v>381</v>
      </c>
      <c r="D63" s="33">
        <v>1480000</v>
      </c>
      <c r="E63" s="33" t="s">
        <v>136</v>
      </c>
      <c r="F63" s="33" t="str">
        <f t="shared" si="0"/>
        <v>rtdc.l.rtdc.4020:itc</v>
      </c>
      <c r="G63" s="8">
        <f t="shared" si="1"/>
        <v>42555.38045138889</v>
      </c>
    </row>
    <row r="64" spans="1:7" x14ac:dyDescent="0.25">
      <c r="A64" s="48">
        <v>42555.546527777777</v>
      </c>
      <c r="B64" s="33" t="s">
        <v>126</v>
      </c>
      <c r="C64" s="33" t="s">
        <v>350</v>
      </c>
      <c r="D64" s="33">
        <v>940000</v>
      </c>
      <c r="E64" s="33" t="s">
        <v>195</v>
      </c>
      <c r="F64" s="33" t="str">
        <f t="shared" si="0"/>
        <v>rtdc.l.rtdc.4038:itc</v>
      </c>
      <c r="G64" s="8">
        <f t="shared" si="1"/>
        <v>42555.546527777777</v>
      </c>
    </row>
    <row r="65" spans="1:7" x14ac:dyDescent="0.25">
      <c r="A65" s="8">
        <v>42555.464988425927</v>
      </c>
      <c r="B65" s="33" t="s">
        <v>93</v>
      </c>
      <c r="C65" s="33" t="s">
        <v>382</v>
      </c>
      <c r="D65" s="33">
        <v>1470000</v>
      </c>
      <c r="E65" s="33" t="s">
        <v>347</v>
      </c>
      <c r="F65" s="33" t="str">
        <f t="shared" si="0"/>
        <v>rtdc.l.rtdc.4042:itc</v>
      </c>
      <c r="G65" s="8">
        <f t="shared" si="1"/>
        <v>42555.464988425927</v>
      </c>
    </row>
    <row r="66" spans="1:7" x14ac:dyDescent="0.25">
      <c r="A66" s="8">
        <v>42555.495983796296</v>
      </c>
      <c r="B66" s="33" t="s">
        <v>198</v>
      </c>
      <c r="C66" s="33" t="s">
        <v>351</v>
      </c>
      <c r="D66" s="33">
        <v>1810000</v>
      </c>
      <c r="E66" s="33" t="s">
        <v>335</v>
      </c>
      <c r="F66" s="33" t="str">
        <f t="shared" ref="F66:F129" si="2">B66</f>
        <v>rtdc.l.rtdc.4040:itc</v>
      </c>
      <c r="G66" s="8">
        <f t="shared" ref="G66:G129" si="3">A66</f>
        <v>42555.495983796296</v>
      </c>
    </row>
    <row r="67" spans="1:7" x14ac:dyDescent="0.25">
      <c r="A67" s="8">
        <v>42555.486493055556</v>
      </c>
      <c r="B67" s="33" t="s">
        <v>144</v>
      </c>
      <c r="C67" s="33" t="s">
        <v>383</v>
      </c>
      <c r="D67" s="33">
        <v>1460000</v>
      </c>
      <c r="E67" s="33" t="s">
        <v>128</v>
      </c>
      <c r="F67" s="33" t="str">
        <f t="shared" si="2"/>
        <v>rtdc.l.rtdc.4028:itc</v>
      </c>
      <c r="G67" s="8">
        <f t="shared" si="3"/>
        <v>42555.486493055556</v>
      </c>
    </row>
    <row r="68" spans="1:7" x14ac:dyDescent="0.25">
      <c r="A68" s="8">
        <v>42555.465254629627</v>
      </c>
      <c r="B68" s="33" t="s">
        <v>150</v>
      </c>
      <c r="C68" s="33" t="s">
        <v>352</v>
      </c>
      <c r="D68" s="33">
        <v>1460000</v>
      </c>
      <c r="E68" s="33" t="s">
        <v>128</v>
      </c>
      <c r="F68" s="33" t="str">
        <f t="shared" si="2"/>
        <v>rtdc.l.rtdc.4027:itc</v>
      </c>
      <c r="G68" s="8">
        <f t="shared" si="3"/>
        <v>42555.465254629627</v>
      </c>
    </row>
    <row r="69" spans="1:7" x14ac:dyDescent="0.25">
      <c r="A69" s="8">
        <v>42555.507638888892</v>
      </c>
      <c r="B69" s="33" t="s">
        <v>80</v>
      </c>
      <c r="C69" s="33" t="s">
        <v>384</v>
      </c>
      <c r="D69" s="33">
        <v>890000</v>
      </c>
      <c r="E69" s="33" t="s">
        <v>342</v>
      </c>
      <c r="F69" s="33" t="str">
        <f t="shared" si="2"/>
        <v>rtdc.l.rtdc.4018:itc</v>
      </c>
      <c r="G69" s="8">
        <f t="shared" si="3"/>
        <v>42555.507638888892</v>
      </c>
    </row>
    <row r="70" spans="1:7" x14ac:dyDescent="0.25">
      <c r="A70" s="8">
        <v>42555.447708333333</v>
      </c>
      <c r="B70" s="33" t="s">
        <v>149</v>
      </c>
      <c r="C70" s="33" t="s">
        <v>353</v>
      </c>
      <c r="D70" s="33">
        <v>1090000</v>
      </c>
      <c r="E70" s="33" t="s">
        <v>155</v>
      </c>
      <c r="F70" s="33" t="str">
        <f t="shared" si="2"/>
        <v>rtdc.l.rtdc.4030:itc</v>
      </c>
      <c r="G70" s="8">
        <f t="shared" si="3"/>
        <v>42555.447708333333</v>
      </c>
    </row>
    <row r="71" spans="1:7" x14ac:dyDescent="0.25">
      <c r="A71" s="8">
        <v>42555.527083333334</v>
      </c>
      <c r="B71" s="33" t="s">
        <v>144</v>
      </c>
      <c r="C71" s="33" t="s">
        <v>385</v>
      </c>
      <c r="D71" s="33">
        <v>1460000</v>
      </c>
      <c r="E71" s="33" t="s">
        <v>128</v>
      </c>
      <c r="F71" s="33" t="str">
        <f t="shared" si="2"/>
        <v>rtdc.l.rtdc.4028:itc</v>
      </c>
      <c r="G71" s="8">
        <f t="shared" si="3"/>
        <v>42555.527083333334</v>
      </c>
    </row>
    <row r="72" spans="1:7" x14ac:dyDescent="0.25">
      <c r="A72" s="8">
        <v>42555.415416666663</v>
      </c>
      <c r="B72" s="33" t="s">
        <v>78</v>
      </c>
      <c r="C72" s="33" t="s">
        <v>354</v>
      </c>
      <c r="D72" s="33">
        <v>1480000</v>
      </c>
      <c r="E72" s="33" t="s">
        <v>136</v>
      </c>
      <c r="F72" s="33" t="str">
        <f t="shared" si="2"/>
        <v>rtdc.l.rtdc.4019:itc</v>
      </c>
      <c r="G72" s="8">
        <f t="shared" si="3"/>
        <v>42555.415416666663</v>
      </c>
    </row>
    <row r="73" spans="1:7" x14ac:dyDescent="0.25">
      <c r="A73" s="8">
        <v>42555.637592592589</v>
      </c>
      <c r="B73" s="33" t="s">
        <v>78</v>
      </c>
      <c r="C73" s="33" t="s">
        <v>492</v>
      </c>
      <c r="D73" s="33">
        <v>950000</v>
      </c>
      <c r="E73" s="33" t="s">
        <v>191</v>
      </c>
      <c r="F73" s="33" t="str">
        <f t="shared" si="2"/>
        <v>rtdc.l.rtdc.4019:itc</v>
      </c>
      <c r="G73" s="8">
        <f t="shared" si="3"/>
        <v>42555.637592592589</v>
      </c>
    </row>
    <row r="74" spans="1:7" x14ac:dyDescent="0.25">
      <c r="A74" s="8">
        <v>42555.317303240743</v>
      </c>
      <c r="B74" s="33" t="s">
        <v>144</v>
      </c>
      <c r="C74" s="33" t="s">
        <v>355</v>
      </c>
      <c r="D74" s="33">
        <v>1460000</v>
      </c>
      <c r="E74" s="33" t="s">
        <v>128</v>
      </c>
      <c r="F74" s="33" t="str">
        <f t="shared" si="2"/>
        <v>rtdc.l.rtdc.4028:itc</v>
      </c>
      <c r="G74" s="8">
        <f t="shared" si="3"/>
        <v>42555.317303240743</v>
      </c>
    </row>
    <row r="75" spans="1:7" x14ac:dyDescent="0.25">
      <c r="A75" s="8">
        <v>42555.684814814813</v>
      </c>
      <c r="B75" s="33" t="s">
        <v>93</v>
      </c>
      <c r="C75" s="33" t="s">
        <v>516</v>
      </c>
      <c r="D75" s="33">
        <v>1470000</v>
      </c>
      <c r="E75" s="33" t="s">
        <v>347</v>
      </c>
      <c r="F75" s="33" t="str">
        <f t="shared" si="2"/>
        <v>rtdc.l.rtdc.4042:itc</v>
      </c>
      <c r="G75" s="8">
        <f t="shared" si="3"/>
        <v>42555.684814814813</v>
      </c>
    </row>
    <row r="76" spans="1:7" x14ac:dyDescent="0.25">
      <c r="A76" s="8">
        <v>42555.300324074073</v>
      </c>
      <c r="B76" s="33" t="s">
        <v>143</v>
      </c>
      <c r="C76" s="33" t="s">
        <v>356</v>
      </c>
      <c r="D76" s="33">
        <v>1310000</v>
      </c>
      <c r="E76" s="33" t="s">
        <v>129</v>
      </c>
      <c r="F76" s="33" t="str">
        <f t="shared" si="2"/>
        <v>rtdc.l.rtdc.4025:itc</v>
      </c>
      <c r="G76" s="8">
        <f t="shared" si="3"/>
        <v>42555.300324074073</v>
      </c>
    </row>
    <row r="77" spans="1:7" x14ac:dyDescent="0.25">
      <c r="A77" s="8">
        <v>42555.330833333333</v>
      </c>
      <c r="B77" s="33" t="s">
        <v>164</v>
      </c>
      <c r="C77" s="33" t="s">
        <v>386</v>
      </c>
      <c r="D77" s="33">
        <v>1230000</v>
      </c>
      <c r="E77" s="33" t="s">
        <v>322</v>
      </c>
      <c r="F77" s="33" t="str">
        <f t="shared" si="2"/>
        <v>rtdc.l.rtdc.4016:itc</v>
      </c>
      <c r="G77" s="8">
        <f t="shared" si="3"/>
        <v>42555.330833333333</v>
      </c>
    </row>
    <row r="78" spans="1:7" x14ac:dyDescent="0.25">
      <c r="A78" s="8">
        <v>42555.830729166664</v>
      </c>
      <c r="B78" s="33" t="s">
        <v>317</v>
      </c>
      <c r="C78" s="33" t="s">
        <v>540</v>
      </c>
      <c r="D78" s="33">
        <v>1140000</v>
      </c>
      <c r="E78" s="33" t="s">
        <v>156</v>
      </c>
      <c r="F78" s="33" t="str">
        <f t="shared" si="2"/>
        <v>rtdc.l.rtdc.4039:itc</v>
      </c>
      <c r="G78" s="8">
        <f t="shared" si="3"/>
        <v>42555.830729166664</v>
      </c>
    </row>
    <row r="79" spans="1:7" x14ac:dyDescent="0.25">
      <c r="A79" s="8">
        <v>42555.395057870373</v>
      </c>
      <c r="B79" s="33" t="s">
        <v>81</v>
      </c>
      <c r="C79" s="33" t="s">
        <v>388</v>
      </c>
      <c r="D79" s="33">
        <v>1840000</v>
      </c>
      <c r="E79" s="33" t="s">
        <v>127</v>
      </c>
      <c r="F79" s="33" t="str">
        <f t="shared" si="2"/>
        <v>rtdc.l.rtdc.4017:itc</v>
      </c>
      <c r="G79" s="8">
        <f t="shared" si="3"/>
        <v>42555.395057870373</v>
      </c>
    </row>
    <row r="80" spans="1:7" x14ac:dyDescent="0.25">
      <c r="A80" s="8">
        <v>42555.778726851851</v>
      </c>
      <c r="B80" s="33" t="s">
        <v>144</v>
      </c>
      <c r="C80" s="33" t="s">
        <v>651</v>
      </c>
      <c r="D80" s="33">
        <v>1760000</v>
      </c>
      <c r="E80" s="33" t="s">
        <v>194</v>
      </c>
      <c r="F80" s="33" t="str">
        <f t="shared" si="2"/>
        <v>rtdc.l.rtdc.4028:itc</v>
      </c>
      <c r="G80" s="8">
        <f t="shared" si="3"/>
        <v>42555.778726851851</v>
      </c>
    </row>
    <row r="81" spans="1:7" x14ac:dyDescent="0.25">
      <c r="A81" s="8">
        <v>42555.427164351851</v>
      </c>
      <c r="B81" s="33" t="s">
        <v>150</v>
      </c>
      <c r="C81" s="33" t="s">
        <v>390</v>
      </c>
      <c r="D81" s="33">
        <v>1460000</v>
      </c>
      <c r="E81" s="33" t="s">
        <v>128</v>
      </c>
      <c r="F81" s="33" t="str">
        <f t="shared" si="2"/>
        <v>rtdc.l.rtdc.4027:itc</v>
      </c>
      <c r="G81" s="8">
        <f t="shared" si="3"/>
        <v>42555.427164351851</v>
      </c>
    </row>
    <row r="82" spans="1:7" x14ac:dyDescent="0.25">
      <c r="A82" s="8">
        <v>42555.744305555556</v>
      </c>
      <c r="B82" s="33" t="s">
        <v>149</v>
      </c>
      <c r="C82" s="33" t="s">
        <v>680</v>
      </c>
      <c r="D82" s="33">
        <v>1120000</v>
      </c>
      <c r="E82" s="33" t="s">
        <v>183</v>
      </c>
      <c r="F82" s="33" t="str">
        <f t="shared" si="2"/>
        <v>rtdc.l.rtdc.4030:itc</v>
      </c>
      <c r="G82" s="8">
        <f t="shared" si="3"/>
        <v>42555.744305555556</v>
      </c>
    </row>
    <row r="83" spans="1:7" x14ac:dyDescent="0.25">
      <c r="A83" s="8">
        <v>42555.443240740744</v>
      </c>
      <c r="B83" s="33" t="s">
        <v>144</v>
      </c>
      <c r="C83" s="33" t="s">
        <v>391</v>
      </c>
      <c r="D83" s="33">
        <v>1460000</v>
      </c>
      <c r="E83" s="33" t="s">
        <v>128</v>
      </c>
      <c r="F83" s="33" t="str">
        <f t="shared" si="2"/>
        <v>rtdc.l.rtdc.4028:itc</v>
      </c>
      <c r="G83" s="8">
        <f t="shared" si="3"/>
        <v>42555.443240740744</v>
      </c>
    </row>
    <row r="84" spans="1:7" x14ac:dyDescent="0.25">
      <c r="A84" s="8">
        <v>42555.697500000002</v>
      </c>
      <c r="B84" s="33" t="s">
        <v>144</v>
      </c>
      <c r="C84" s="33" t="s">
        <v>629</v>
      </c>
      <c r="D84" s="33">
        <v>1760000</v>
      </c>
      <c r="E84" s="33" t="s">
        <v>194</v>
      </c>
      <c r="F84" s="33" t="str">
        <f t="shared" si="2"/>
        <v>rtdc.l.rtdc.4028:itc</v>
      </c>
      <c r="G84" s="8">
        <f t="shared" si="3"/>
        <v>42555.697500000002</v>
      </c>
    </row>
    <row r="85" spans="1:7" x14ac:dyDescent="0.25">
      <c r="A85" s="8">
        <v>42555.484895833331</v>
      </c>
      <c r="B85" s="33" t="s">
        <v>70</v>
      </c>
      <c r="C85" s="33" t="s">
        <v>392</v>
      </c>
      <c r="D85" s="33">
        <v>1540000</v>
      </c>
      <c r="E85" s="33" t="s">
        <v>184</v>
      </c>
      <c r="F85" s="33" t="str">
        <f t="shared" si="2"/>
        <v>rtdc.l.rtdc.4032:itc</v>
      </c>
      <c r="G85" s="8">
        <f t="shared" si="3"/>
        <v>42555.484895833331</v>
      </c>
    </row>
    <row r="86" spans="1:7" x14ac:dyDescent="0.25">
      <c r="A86" s="8">
        <v>42555.503020833334</v>
      </c>
      <c r="B86" s="33" t="s">
        <v>92</v>
      </c>
      <c r="C86" s="33" t="s">
        <v>357</v>
      </c>
      <c r="D86" s="33">
        <v>1470000</v>
      </c>
      <c r="E86" s="33" t="s">
        <v>347</v>
      </c>
      <c r="F86" s="33" t="str">
        <f t="shared" si="2"/>
        <v>rtdc.l.rtdc.4041:itc</v>
      </c>
      <c r="G86" s="8">
        <f t="shared" si="3"/>
        <v>42555.503020833334</v>
      </c>
    </row>
    <row r="87" spans="1:7" x14ac:dyDescent="0.25">
      <c r="A87" s="8">
        <v>42555.531481481485</v>
      </c>
      <c r="B87" s="33" t="s">
        <v>317</v>
      </c>
      <c r="C87" s="33" t="s">
        <v>393</v>
      </c>
      <c r="D87" s="33">
        <v>1810000</v>
      </c>
      <c r="E87" s="33" t="s">
        <v>335</v>
      </c>
      <c r="F87" s="33" t="str">
        <f t="shared" si="2"/>
        <v>rtdc.l.rtdc.4039:itc</v>
      </c>
      <c r="G87" s="8">
        <f t="shared" si="3"/>
        <v>42555.531481481485</v>
      </c>
    </row>
    <row r="88" spans="1:7" x14ac:dyDescent="0.25">
      <c r="A88" s="8">
        <v>42555.400949074072</v>
      </c>
      <c r="B88" s="33" t="s">
        <v>144</v>
      </c>
      <c r="C88" s="33" t="s">
        <v>358</v>
      </c>
      <c r="D88" s="33">
        <v>1460000</v>
      </c>
      <c r="E88" s="33" t="s">
        <v>128</v>
      </c>
      <c r="F88" s="33" t="str">
        <f t="shared" si="2"/>
        <v>rtdc.l.rtdc.4028:itc</v>
      </c>
      <c r="G88" s="8">
        <f t="shared" si="3"/>
        <v>42555.400949074072</v>
      </c>
    </row>
    <row r="89" spans="1:7" x14ac:dyDescent="0.25">
      <c r="A89" s="8">
        <v>42555.619745370372</v>
      </c>
      <c r="B89" s="33" t="s">
        <v>81</v>
      </c>
      <c r="C89" s="33" t="s">
        <v>487</v>
      </c>
      <c r="D89" s="33">
        <v>890000</v>
      </c>
      <c r="E89" s="33" t="s">
        <v>342</v>
      </c>
      <c r="F89" s="33" t="str">
        <f t="shared" si="2"/>
        <v>rtdc.l.rtdc.4017:itc</v>
      </c>
      <c r="G89" s="8">
        <f t="shared" si="3"/>
        <v>42555.619745370372</v>
      </c>
    </row>
    <row r="90" spans="1:7" x14ac:dyDescent="0.25">
      <c r="A90" s="8">
        <v>42555.380312499998</v>
      </c>
      <c r="B90" s="33" t="s">
        <v>150</v>
      </c>
      <c r="C90" s="33" t="s">
        <v>360</v>
      </c>
      <c r="D90" s="33">
        <v>1460000</v>
      </c>
      <c r="E90" s="33" t="s">
        <v>128</v>
      </c>
      <c r="F90" s="33" t="str">
        <f t="shared" si="2"/>
        <v>rtdc.l.rtdc.4027:itc</v>
      </c>
      <c r="G90" s="8">
        <f t="shared" si="3"/>
        <v>42555.380312499998</v>
      </c>
    </row>
    <row r="91" spans="1:7" x14ac:dyDescent="0.25">
      <c r="A91" s="8">
        <v>42555.672951388886</v>
      </c>
      <c r="B91" s="33" t="s">
        <v>150</v>
      </c>
      <c r="C91" s="33" t="s">
        <v>626</v>
      </c>
      <c r="D91" s="33">
        <v>1760000</v>
      </c>
      <c r="E91" s="33" t="s">
        <v>194</v>
      </c>
      <c r="F91" s="33" t="str">
        <f t="shared" si="2"/>
        <v>rtdc.l.rtdc.4027:itc</v>
      </c>
      <c r="G91" s="8">
        <f t="shared" si="3"/>
        <v>42555.672951388886</v>
      </c>
    </row>
    <row r="92" spans="1:7" x14ac:dyDescent="0.25">
      <c r="A92" s="8">
        <v>42555.973287037035</v>
      </c>
      <c r="B92" s="33" t="s">
        <v>165</v>
      </c>
      <c r="C92" s="33" t="s">
        <v>564</v>
      </c>
      <c r="D92" s="33">
        <v>1280000</v>
      </c>
      <c r="E92" s="33" t="s">
        <v>147</v>
      </c>
      <c r="F92" s="33" t="str">
        <f t="shared" si="2"/>
        <v>rtdc.l.rtdc.4015:itc</v>
      </c>
      <c r="G92" s="8">
        <f t="shared" si="3"/>
        <v>42555.973287037035</v>
      </c>
    </row>
    <row r="93" spans="1:7" x14ac:dyDescent="0.25">
      <c r="A93" s="8">
        <v>42555.693726851852</v>
      </c>
      <c r="B93" s="33" t="s">
        <v>81</v>
      </c>
      <c r="C93" s="33" t="s">
        <v>509</v>
      </c>
      <c r="D93" s="33">
        <v>890000</v>
      </c>
      <c r="E93" s="33" t="s">
        <v>342</v>
      </c>
      <c r="F93" s="33" t="str">
        <f t="shared" si="2"/>
        <v>rtdc.l.rtdc.4017:itc</v>
      </c>
      <c r="G93" s="8">
        <f t="shared" si="3"/>
        <v>42555.693726851852</v>
      </c>
    </row>
    <row r="94" spans="1:7" x14ac:dyDescent="0.25">
      <c r="A94" s="8">
        <v>42555.739259259259</v>
      </c>
      <c r="B94" s="33" t="s">
        <v>182</v>
      </c>
      <c r="C94" s="33" t="s">
        <v>643</v>
      </c>
      <c r="D94" s="33">
        <v>740000</v>
      </c>
      <c r="E94" s="33" t="s">
        <v>681</v>
      </c>
      <c r="F94" s="33" t="str">
        <f t="shared" si="2"/>
        <v>rtdc.l.rtdc.4044:itc</v>
      </c>
      <c r="G94" s="8">
        <f t="shared" si="3"/>
        <v>42555.739259259259</v>
      </c>
    </row>
    <row r="95" spans="1:7" x14ac:dyDescent="0.25">
      <c r="A95" s="8">
        <v>42555.487523148149</v>
      </c>
      <c r="B95" s="33" t="s">
        <v>70</v>
      </c>
      <c r="C95" s="33" t="s">
        <v>392</v>
      </c>
      <c r="D95" s="33">
        <v>1540000</v>
      </c>
      <c r="E95" s="33" t="s">
        <v>184</v>
      </c>
      <c r="F95" s="33" t="str">
        <f t="shared" si="2"/>
        <v>rtdc.l.rtdc.4032:itc</v>
      </c>
      <c r="G95" s="8">
        <f t="shared" si="3"/>
        <v>42555.487523148149</v>
      </c>
    </row>
    <row r="96" spans="1:7" x14ac:dyDescent="0.25">
      <c r="A96" s="8">
        <v>42555.662835648145</v>
      </c>
      <c r="B96" s="33" t="s">
        <v>84</v>
      </c>
      <c r="C96" s="33" t="s">
        <v>511</v>
      </c>
      <c r="D96" s="33">
        <v>1540000</v>
      </c>
      <c r="E96" s="33" t="s">
        <v>184</v>
      </c>
      <c r="F96" s="33" t="str">
        <f t="shared" si="2"/>
        <v>rtdc.l.rtdc.4031:itc</v>
      </c>
      <c r="G96" s="8">
        <f t="shared" si="3"/>
        <v>42555.662835648145</v>
      </c>
    </row>
    <row r="97" spans="1:7" x14ac:dyDescent="0.25">
      <c r="A97" s="8">
        <v>42555.512094907404</v>
      </c>
      <c r="B97" s="33" t="s">
        <v>146</v>
      </c>
      <c r="C97" s="33" t="s">
        <v>394</v>
      </c>
      <c r="D97" s="33">
        <v>940000</v>
      </c>
      <c r="E97" s="33" t="s">
        <v>195</v>
      </c>
      <c r="F97" s="33" t="str">
        <f t="shared" si="2"/>
        <v>rtdc.l.rtdc.4037:itc</v>
      </c>
      <c r="G97" s="8">
        <f t="shared" si="3"/>
        <v>42555.512094907404</v>
      </c>
    </row>
    <row r="98" spans="1:7" x14ac:dyDescent="0.25">
      <c r="A98" s="8">
        <v>42555.567129629628</v>
      </c>
      <c r="B98" s="33" t="s">
        <v>144</v>
      </c>
      <c r="C98" s="33" t="s">
        <v>362</v>
      </c>
      <c r="D98" s="33">
        <v>1460000</v>
      </c>
      <c r="E98" s="33" t="s">
        <v>128</v>
      </c>
      <c r="F98" s="33" t="str">
        <f t="shared" si="2"/>
        <v>rtdc.l.rtdc.4028:itc</v>
      </c>
      <c r="G98" s="8">
        <f t="shared" si="3"/>
        <v>42555.567129629628</v>
      </c>
    </row>
    <row r="99" spans="1:7" x14ac:dyDescent="0.25">
      <c r="A99" s="8">
        <v>42555.514513888891</v>
      </c>
      <c r="B99" s="33" t="s">
        <v>150</v>
      </c>
      <c r="C99" s="33" t="s">
        <v>395</v>
      </c>
      <c r="D99" s="33">
        <v>1460000</v>
      </c>
      <c r="E99" s="33" t="s">
        <v>128</v>
      </c>
      <c r="F99" s="33" t="str">
        <f t="shared" si="2"/>
        <v>rtdc.l.rtdc.4027:itc</v>
      </c>
      <c r="G99" s="8">
        <f t="shared" si="3"/>
        <v>42555.514513888891</v>
      </c>
    </row>
    <row r="100" spans="1:7" x14ac:dyDescent="0.25">
      <c r="A100" s="8">
        <v>42555.35229166667</v>
      </c>
      <c r="B100" s="33" t="s">
        <v>198</v>
      </c>
      <c r="C100" s="33" t="s">
        <v>364</v>
      </c>
      <c r="D100" s="33">
        <v>1340000</v>
      </c>
      <c r="E100" s="33" t="s">
        <v>169</v>
      </c>
      <c r="F100" s="33" t="str">
        <f t="shared" si="2"/>
        <v>rtdc.l.rtdc.4040:itc</v>
      </c>
      <c r="G100" s="8">
        <f t="shared" si="3"/>
        <v>42555.35229166667</v>
      </c>
    </row>
    <row r="101" spans="1:7" x14ac:dyDescent="0.25">
      <c r="A101" s="8">
        <v>42555.640069444446</v>
      </c>
      <c r="B101" s="33" t="s">
        <v>198</v>
      </c>
      <c r="C101" s="33" t="s">
        <v>504</v>
      </c>
      <c r="D101" s="33">
        <v>1810000</v>
      </c>
      <c r="E101" s="33" t="s">
        <v>335</v>
      </c>
      <c r="F101" s="33" t="str">
        <f t="shared" si="2"/>
        <v>rtdc.l.rtdc.4040:itc</v>
      </c>
      <c r="G101" s="8">
        <f t="shared" si="3"/>
        <v>42555.640069444446</v>
      </c>
    </row>
    <row r="102" spans="1:7" x14ac:dyDescent="0.25">
      <c r="A102" s="8">
        <v>42555.340474537035</v>
      </c>
      <c r="B102" s="33" t="s">
        <v>148</v>
      </c>
      <c r="C102" s="33" t="s">
        <v>365</v>
      </c>
      <c r="D102" s="33">
        <v>1090000</v>
      </c>
      <c r="E102" s="33" t="s">
        <v>155</v>
      </c>
      <c r="F102" s="33" t="str">
        <f t="shared" si="2"/>
        <v>rtdc.l.rtdc.4029:itc</v>
      </c>
      <c r="G102" s="8">
        <f t="shared" si="3"/>
        <v>42555.340474537035</v>
      </c>
    </row>
    <row r="103" spans="1:7" x14ac:dyDescent="0.25">
      <c r="A103" s="8">
        <v>42555.721747685187</v>
      </c>
      <c r="B103" s="33" t="s">
        <v>92</v>
      </c>
      <c r="C103" s="33" t="s">
        <v>517</v>
      </c>
      <c r="D103" s="33">
        <v>1470000</v>
      </c>
      <c r="E103" s="33" t="s">
        <v>347</v>
      </c>
      <c r="F103" s="33" t="str">
        <f t="shared" si="2"/>
        <v>rtdc.l.rtdc.4041:itc</v>
      </c>
      <c r="G103" s="8">
        <f t="shared" si="3"/>
        <v>42555.721747685187</v>
      </c>
    </row>
    <row r="104" spans="1:7" x14ac:dyDescent="0.25">
      <c r="A104" s="8">
        <v>42555.322592592594</v>
      </c>
      <c r="B104" s="33" t="s">
        <v>193</v>
      </c>
      <c r="C104" s="33" t="s">
        <v>366</v>
      </c>
      <c r="D104" s="33">
        <v>1820000</v>
      </c>
      <c r="E104" s="33" t="s">
        <v>118</v>
      </c>
      <c r="F104" s="33" t="str">
        <f t="shared" si="2"/>
        <v>rtdc.l.rtdc.4007:itc</v>
      </c>
      <c r="G104" s="8">
        <f t="shared" si="3"/>
        <v>42555.322592592594</v>
      </c>
    </row>
    <row r="105" spans="1:7" x14ac:dyDescent="0.25">
      <c r="A105" s="8">
        <v>42555.734675925924</v>
      </c>
      <c r="B105" s="33" t="s">
        <v>84</v>
      </c>
      <c r="C105" s="33" t="s">
        <v>528</v>
      </c>
      <c r="D105" s="33">
        <v>1290000</v>
      </c>
      <c r="E105" s="33" t="s">
        <v>343</v>
      </c>
      <c r="F105" s="33" t="str">
        <f t="shared" si="2"/>
        <v>rtdc.l.rtdc.4031:itc</v>
      </c>
      <c r="G105" s="8">
        <f t="shared" si="3"/>
        <v>42555.734675925924</v>
      </c>
    </row>
    <row r="106" spans="1:7" x14ac:dyDescent="0.25">
      <c r="A106" s="8">
        <v>42555.262766203705</v>
      </c>
      <c r="B106" s="33" t="s">
        <v>150</v>
      </c>
      <c r="C106" s="33" t="s">
        <v>367</v>
      </c>
      <c r="D106" s="33">
        <v>1460000</v>
      </c>
      <c r="E106" s="33" t="s">
        <v>128</v>
      </c>
      <c r="F106" s="33" t="str">
        <f t="shared" si="2"/>
        <v>rtdc.l.rtdc.4027:itc</v>
      </c>
      <c r="G106" s="8">
        <f t="shared" si="3"/>
        <v>42555.262766203705</v>
      </c>
    </row>
    <row r="107" spans="1:7" x14ac:dyDescent="0.25">
      <c r="A107" s="8">
        <v>42555.754814814813</v>
      </c>
      <c r="B107" s="33" t="s">
        <v>187</v>
      </c>
      <c r="C107" s="33" t="s">
        <v>645</v>
      </c>
      <c r="D107" s="33">
        <v>740000</v>
      </c>
      <c r="E107" s="33" t="s">
        <v>681</v>
      </c>
      <c r="F107" s="33" t="str">
        <f t="shared" si="2"/>
        <v>rtdc.l.rtdc.4043:itc</v>
      </c>
      <c r="G107" s="8">
        <f t="shared" si="3"/>
        <v>42555.754814814813</v>
      </c>
    </row>
    <row r="108" spans="1:7" x14ac:dyDescent="0.25">
      <c r="A108" s="8">
        <v>42555.807013888887</v>
      </c>
      <c r="B108" s="33" t="s">
        <v>146</v>
      </c>
      <c r="C108" s="33" t="s">
        <v>536</v>
      </c>
      <c r="D108" s="33">
        <v>1280000</v>
      </c>
      <c r="E108" s="33" t="s">
        <v>147</v>
      </c>
      <c r="F108" s="33" t="str">
        <f t="shared" si="2"/>
        <v>rtdc.l.rtdc.4037:itc</v>
      </c>
      <c r="G108" s="8">
        <f t="shared" si="3"/>
        <v>42555.807013888887</v>
      </c>
    </row>
    <row r="109" spans="1:7" x14ac:dyDescent="0.25">
      <c r="A109" s="8">
        <v>42555.852060185185</v>
      </c>
      <c r="B109" s="33" t="s">
        <v>92</v>
      </c>
      <c r="C109" s="33" t="s">
        <v>545</v>
      </c>
      <c r="D109" s="33">
        <v>1290000</v>
      </c>
      <c r="E109" s="33" t="s">
        <v>343</v>
      </c>
      <c r="F109" s="33" t="str">
        <f t="shared" si="2"/>
        <v>rtdc.l.rtdc.4041:itc</v>
      </c>
      <c r="G109" s="8">
        <f t="shared" si="3"/>
        <v>42555.852060185185</v>
      </c>
    </row>
    <row r="110" spans="1:7" x14ac:dyDescent="0.25">
      <c r="A110" s="8">
        <v>42555.923842592594</v>
      </c>
      <c r="B110" s="33" t="s">
        <v>150</v>
      </c>
      <c r="C110" s="33" t="s">
        <v>669</v>
      </c>
      <c r="D110" s="33">
        <v>1760000</v>
      </c>
      <c r="E110" s="33" t="s">
        <v>194</v>
      </c>
      <c r="F110" s="33" t="str">
        <f t="shared" si="2"/>
        <v>rtdc.l.rtdc.4027:itc</v>
      </c>
      <c r="G110" s="8">
        <f t="shared" si="3"/>
        <v>42555.923842592594</v>
      </c>
    </row>
    <row r="111" spans="1:7" x14ac:dyDescent="0.25">
      <c r="A111" s="8">
        <v>42555.869976851849</v>
      </c>
      <c r="B111" s="33" t="s">
        <v>140</v>
      </c>
      <c r="C111" s="33" t="s">
        <v>548</v>
      </c>
      <c r="D111" s="33">
        <v>1770000</v>
      </c>
      <c r="E111" s="33" t="s">
        <v>174</v>
      </c>
      <c r="F111" s="33" t="str">
        <f t="shared" si="2"/>
        <v>rtdc.l.rtdc.4026:itc</v>
      </c>
      <c r="G111" s="8">
        <f t="shared" si="3"/>
        <v>42555.869976851849</v>
      </c>
    </row>
    <row r="112" spans="1:7" x14ac:dyDescent="0.25">
      <c r="A112" s="8">
        <v>42555.756064814814</v>
      </c>
      <c r="B112" s="33" t="s">
        <v>317</v>
      </c>
      <c r="C112" s="33" t="s">
        <v>524</v>
      </c>
      <c r="D112" s="33">
        <v>1140000</v>
      </c>
      <c r="E112" s="33" t="s">
        <v>156</v>
      </c>
      <c r="F112" s="33" t="str">
        <f t="shared" si="2"/>
        <v>rtdc.l.rtdc.4039:itc</v>
      </c>
      <c r="G112" s="8">
        <f t="shared" si="3"/>
        <v>42555.756064814814</v>
      </c>
    </row>
    <row r="113" spans="1:7" x14ac:dyDescent="0.25">
      <c r="A113" s="8">
        <v>42555.870625000003</v>
      </c>
      <c r="B113" s="33" t="s">
        <v>198</v>
      </c>
      <c r="C113" s="33" t="s">
        <v>552</v>
      </c>
      <c r="D113" s="33">
        <v>1140000</v>
      </c>
      <c r="E113" s="33" t="s">
        <v>156</v>
      </c>
      <c r="F113" s="33" t="str">
        <f t="shared" si="2"/>
        <v>rtdc.l.rtdc.4040:itc</v>
      </c>
      <c r="G113" s="8">
        <f t="shared" si="3"/>
        <v>42555.870625000003</v>
      </c>
    </row>
    <row r="114" spans="1:7" x14ac:dyDescent="0.25">
      <c r="A114" s="8">
        <v>42555.713263888887</v>
      </c>
      <c r="B114" s="33" t="s">
        <v>187</v>
      </c>
      <c r="C114" s="33" t="s">
        <v>635</v>
      </c>
      <c r="D114" s="33">
        <v>740000</v>
      </c>
      <c r="E114" s="33" t="s">
        <v>681</v>
      </c>
      <c r="F114" s="33" t="str">
        <f t="shared" si="2"/>
        <v>rtdc.l.rtdc.4043:itc</v>
      </c>
      <c r="G114" s="8">
        <f t="shared" si="3"/>
        <v>42555.713263888887</v>
      </c>
    </row>
    <row r="115" spans="1:7" x14ac:dyDescent="0.25">
      <c r="A115" s="8">
        <v>42555.942881944444</v>
      </c>
      <c r="B115" s="33" t="s">
        <v>144</v>
      </c>
      <c r="C115" s="33" t="s">
        <v>674</v>
      </c>
      <c r="D115" s="33">
        <v>1760000</v>
      </c>
      <c r="E115" s="33" t="s">
        <v>194</v>
      </c>
      <c r="F115" s="33" t="str">
        <f t="shared" si="2"/>
        <v>rtdc.l.rtdc.4028:itc</v>
      </c>
      <c r="G115" s="8">
        <f t="shared" si="3"/>
        <v>42555.942881944444</v>
      </c>
    </row>
    <row r="116" spans="1:7" x14ac:dyDescent="0.25">
      <c r="A116" s="8">
        <v>42555.699641203704</v>
      </c>
      <c r="B116" s="33" t="s">
        <v>70</v>
      </c>
      <c r="C116" s="33" t="s">
        <v>512</v>
      </c>
      <c r="D116" s="33">
        <v>1540000</v>
      </c>
      <c r="E116" s="33" t="s">
        <v>184</v>
      </c>
      <c r="F116" s="33" t="str">
        <f t="shared" si="2"/>
        <v>rtdc.l.rtdc.4032:itc</v>
      </c>
      <c r="G116" s="8">
        <f t="shared" si="3"/>
        <v>42555.699641203704</v>
      </c>
    </row>
    <row r="117" spans="1:7" x14ac:dyDescent="0.25">
      <c r="A117" s="8">
        <v>42555.95684027778</v>
      </c>
      <c r="B117" s="33" t="s">
        <v>198</v>
      </c>
      <c r="C117" s="33" t="s">
        <v>565</v>
      </c>
      <c r="D117" s="33">
        <v>1140000</v>
      </c>
      <c r="E117" s="33" t="s">
        <v>156</v>
      </c>
      <c r="F117" s="33" t="str">
        <f t="shared" si="2"/>
        <v>rtdc.l.rtdc.4040:itc</v>
      </c>
      <c r="G117" s="8">
        <f t="shared" si="3"/>
        <v>42555.95684027778</v>
      </c>
    </row>
    <row r="118" spans="1:7" x14ac:dyDescent="0.25">
      <c r="A118" s="8">
        <v>42555.611493055556</v>
      </c>
      <c r="B118" s="33" t="s">
        <v>144</v>
      </c>
      <c r="C118" s="33" t="s">
        <v>611</v>
      </c>
      <c r="D118" s="33">
        <v>1760000</v>
      </c>
      <c r="E118" s="33" t="s">
        <v>194</v>
      </c>
      <c r="F118" s="33" t="str">
        <f t="shared" si="2"/>
        <v>rtdc.l.rtdc.4028:itc</v>
      </c>
      <c r="G118" s="8">
        <f t="shared" si="3"/>
        <v>42555.611493055556</v>
      </c>
    </row>
    <row r="119" spans="1:7" x14ac:dyDescent="0.25">
      <c r="A119" s="8">
        <v>42556.016238425924</v>
      </c>
      <c r="B119" s="33" t="s">
        <v>164</v>
      </c>
      <c r="C119" s="33" t="s">
        <v>575</v>
      </c>
      <c r="D119" s="33">
        <v>1280000</v>
      </c>
      <c r="E119" s="33" t="s">
        <v>147</v>
      </c>
      <c r="F119" s="33" t="str">
        <f t="shared" si="2"/>
        <v>rtdc.l.rtdc.4016:itc</v>
      </c>
      <c r="G119" s="8">
        <f t="shared" si="3"/>
        <v>42556.016238425924</v>
      </c>
    </row>
    <row r="120" spans="1:7" x14ac:dyDescent="0.25">
      <c r="A120" s="8">
        <v>42555.589571759258</v>
      </c>
      <c r="B120" s="33" t="s">
        <v>84</v>
      </c>
      <c r="C120" s="33" t="s">
        <v>488</v>
      </c>
      <c r="D120" s="33">
        <v>1540000</v>
      </c>
      <c r="E120" s="33" t="s">
        <v>184</v>
      </c>
      <c r="F120" s="33" t="str">
        <f t="shared" si="2"/>
        <v>rtdc.l.rtdc.4031:itc</v>
      </c>
      <c r="G120" s="8">
        <f t="shared" si="3"/>
        <v>42555.589571759258</v>
      </c>
    </row>
    <row r="121" spans="1:7" x14ac:dyDescent="0.25">
      <c r="A121" s="8">
        <v>42555.796851851854</v>
      </c>
      <c r="B121" s="33" t="s">
        <v>140</v>
      </c>
      <c r="C121" s="33" t="s">
        <v>533</v>
      </c>
      <c r="D121" s="33">
        <v>1770000</v>
      </c>
      <c r="E121" s="33" t="s">
        <v>174</v>
      </c>
      <c r="F121" s="33" t="str">
        <f t="shared" si="2"/>
        <v>rtdc.l.rtdc.4026:itc</v>
      </c>
      <c r="G121" s="8">
        <f t="shared" si="3"/>
        <v>42555.796851851854</v>
      </c>
    </row>
    <row r="122" spans="1:7" x14ac:dyDescent="0.25">
      <c r="A122" s="8">
        <v>42555.567766203705</v>
      </c>
      <c r="B122" s="47" t="s">
        <v>78</v>
      </c>
      <c r="C122" s="33" t="s">
        <v>368</v>
      </c>
      <c r="D122" s="33">
        <v>950000</v>
      </c>
      <c r="E122" s="33" t="s">
        <v>191</v>
      </c>
      <c r="F122" s="33" t="str">
        <f t="shared" si="2"/>
        <v>rtdc.l.rtdc.4019:itc</v>
      </c>
      <c r="G122" s="8">
        <f t="shared" si="3"/>
        <v>42555.567766203705</v>
      </c>
    </row>
    <row r="123" spans="1:7" x14ac:dyDescent="0.25">
      <c r="A123" s="8">
        <v>42555.807881944442</v>
      </c>
      <c r="B123" s="33" t="s">
        <v>146</v>
      </c>
      <c r="C123" s="33" t="s">
        <v>536</v>
      </c>
      <c r="D123" s="33">
        <v>1280000</v>
      </c>
      <c r="E123" s="33" t="s">
        <v>147</v>
      </c>
      <c r="F123" s="33" t="str">
        <f t="shared" si="2"/>
        <v>rtdc.l.rtdc.4037:itc</v>
      </c>
      <c r="G123" s="8">
        <f t="shared" si="3"/>
        <v>42555.807881944442</v>
      </c>
    </row>
    <row r="124" spans="1:7" x14ac:dyDescent="0.25">
      <c r="A124" s="8">
        <v>42555.308252314811</v>
      </c>
      <c r="B124" s="33" t="s">
        <v>79</v>
      </c>
      <c r="C124" s="33" t="s">
        <v>369</v>
      </c>
      <c r="D124" s="33">
        <v>1480000</v>
      </c>
      <c r="E124" s="33" t="s">
        <v>136</v>
      </c>
      <c r="F124" s="33" t="str">
        <f t="shared" si="2"/>
        <v>rtdc.l.rtdc.4020:itc</v>
      </c>
      <c r="G124" s="8">
        <f t="shared" si="3"/>
        <v>42555.308252314811</v>
      </c>
    </row>
    <row r="125" spans="1:7" x14ac:dyDescent="0.25">
      <c r="A125" s="8">
        <v>42555.810648148145</v>
      </c>
      <c r="B125" s="33" t="s">
        <v>93</v>
      </c>
      <c r="C125" s="33" t="s">
        <v>543</v>
      </c>
      <c r="D125" s="33">
        <v>1290000</v>
      </c>
      <c r="E125" s="33" t="s">
        <v>343</v>
      </c>
      <c r="F125" s="33" t="str">
        <f t="shared" si="2"/>
        <v>rtdc.l.rtdc.4042:itc</v>
      </c>
      <c r="G125" s="8">
        <f t="shared" si="3"/>
        <v>42555.810648148145</v>
      </c>
    </row>
    <row r="126" spans="1:7" x14ac:dyDescent="0.25">
      <c r="A126" s="8">
        <v>42555.185370370367</v>
      </c>
      <c r="B126" s="33" t="s">
        <v>164</v>
      </c>
      <c r="C126" s="33" t="s">
        <v>374</v>
      </c>
      <c r="D126" s="33">
        <v>1230000</v>
      </c>
      <c r="E126" s="33" t="s">
        <v>322</v>
      </c>
      <c r="F126" s="33" t="str">
        <f t="shared" si="2"/>
        <v>rtdc.l.rtdc.4016:itc</v>
      </c>
      <c r="G126" s="8">
        <f t="shared" si="3"/>
        <v>42555.185370370367</v>
      </c>
    </row>
    <row r="127" spans="1:7" x14ac:dyDescent="0.25">
      <c r="A127" s="8">
        <v>42555.830300925925</v>
      </c>
      <c r="B127" s="33" t="s">
        <v>143</v>
      </c>
      <c r="C127" s="33" t="s">
        <v>546</v>
      </c>
      <c r="D127" s="33">
        <v>1770000</v>
      </c>
      <c r="E127" s="33" t="s">
        <v>174</v>
      </c>
      <c r="F127" s="33" t="str">
        <f t="shared" si="2"/>
        <v>rtdc.l.rtdc.4025:itc</v>
      </c>
      <c r="G127" s="8">
        <f t="shared" si="3"/>
        <v>42555.830300925925</v>
      </c>
    </row>
    <row r="128" spans="1:7" x14ac:dyDescent="0.25">
      <c r="A128" s="8">
        <v>42555.203831018516</v>
      </c>
      <c r="B128" s="33" t="s">
        <v>198</v>
      </c>
      <c r="C128" s="33" t="s">
        <v>378</v>
      </c>
      <c r="D128" s="33">
        <v>1340000</v>
      </c>
      <c r="E128" s="33" t="s">
        <v>169</v>
      </c>
      <c r="F128" s="33" t="str">
        <f t="shared" si="2"/>
        <v>rtdc.l.rtdc.4040:itc</v>
      </c>
      <c r="G128" s="8">
        <f t="shared" si="3"/>
        <v>42555.203831018516</v>
      </c>
    </row>
    <row r="129" spans="1:7" x14ac:dyDescent="0.25">
      <c r="A129" s="8">
        <v>42555.883993055555</v>
      </c>
      <c r="B129" s="33" t="s">
        <v>150</v>
      </c>
      <c r="C129" s="33" t="s">
        <v>666</v>
      </c>
      <c r="D129" s="33">
        <v>1760000</v>
      </c>
      <c r="E129" s="33" t="s">
        <v>194</v>
      </c>
      <c r="F129" s="33" t="str">
        <f t="shared" si="2"/>
        <v>rtdc.l.rtdc.4027:itc</v>
      </c>
      <c r="G129" s="8">
        <f t="shared" si="3"/>
        <v>42555.883993055555</v>
      </c>
    </row>
    <row r="130" spans="1:7" x14ac:dyDescent="0.25">
      <c r="A130" s="8">
        <v>42555.204560185186</v>
      </c>
      <c r="B130" s="33" t="s">
        <v>70</v>
      </c>
      <c r="C130" s="33" t="s">
        <v>387</v>
      </c>
      <c r="D130" s="33">
        <v>900000</v>
      </c>
      <c r="E130" s="33" t="s">
        <v>154</v>
      </c>
      <c r="F130" s="33" t="str">
        <f t="shared" ref="F130:F193" si="4">B130</f>
        <v>rtdc.l.rtdc.4032:itc</v>
      </c>
      <c r="G130" s="8">
        <f t="shared" ref="G130:G193" si="5">A130</f>
        <v>42555.204560185186</v>
      </c>
    </row>
    <row r="131" spans="1:7" x14ac:dyDescent="0.25">
      <c r="A131" s="8">
        <v>42555.952430555553</v>
      </c>
      <c r="B131" s="33" t="s">
        <v>140</v>
      </c>
      <c r="C131" s="33" t="s">
        <v>561</v>
      </c>
      <c r="D131" s="33">
        <v>1770000</v>
      </c>
      <c r="E131" s="33" t="s">
        <v>174</v>
      </c>
      <c r="F131" s="33" t="str">
        <f t="shared" si="4"/>
        <v>rtdc.l.rtdc.4026:itc</v>
      </c>
      <c r="G131" s="8">
        <f t="shared" si="5"/>
        <v>42555.952430555553</v>
      </c>
    </row>
    <row r="132" spans="1:7" x14ac:dyDescent="0.25">
      <c r="A132" s="8">
        <v>42555.190509259257</v>
      </c>
      <c r="B132" s="33" t="s">
        <v>78</v>
      </c>
      <c r="C132" s="33" t="s">
        <v>389</v>
      </c>
      <c r="D132" s="33">
        <v>1480000</v>
      </c>
      <c r="E132" s="33" t="s">
        <v>136</v>
      </c>
      <c r="F132" s="33" t="str">
        <f t="shared" si="4"/>
        <v>rtdc.l.rtdc.4019:itc</v>
      </c>
      <c r="G132" s="8">
        <f t="shared" si="5"/>
        <v>42555.190509259257</v>
      </c>
    </row>
    <row r="133" spans="1:7" x14ac:dyDescent="0.25">
      <c r="A133" s="8">
        <v>42556.01489583333</v>
      </c>
      <c r="B133" s="33" t="s">
        <v>92</v>
      </c>
      <c r="C133" s="33" t="s">
        <v>569</v>
      </c>
      <c r="D133" s="33">
        <v>1290000</v>
      </c>
      <c r="E133" s="33" t="s">
        <v>343</v>
      </c>
      <c r="F133" s="33" t="str">
        <f t="shared" si="4"/>
        <v>rtdc.l.rtdc.4041:itc</v>
      </c>
      <c r="G133" s="8">
        <f t="shared" si="5"/>
        <v>42556.01489583333</v>
      </c>
    </row>
    <row r="134" spans="1:7" x14ac:dyDescent="0.25">
      <c r="A134" s="8">
        <v>42555.914421296293</v>
      </c>
      <c r="B134" s="33" t="s">
        <v>143</v>
      </c>
      <c r="C134" s="33" t="s">
        <v>558</v>
      </c>
      <c r="D134" s="33">
        <v>1770000</v>
      </c>
      <c r="E134" s="33" t="s">
        <v>174</v>
      </c>
      <c r="F134" s="33" t="str">
        <f t="shared" si="4"/>
        <v>rtdc.l.rtdc.4025:itc</v>
      </c>
      <c r="G134" s="8">
        <f t="shared" si="5"/>
        <v>42555.914421296293</v>
      </c>
    </row>
    <row r="135" spans="1:7" x14ac:dyDescent="0.25">
      <c r="A135" s="8">
        <v>42555.224444444444</v>
      </c>
      <c r="B135" s="33" t="s">
        <v>165</v>
      </c>
      <c r="C135" s="33" t="s">
        <v>396</v>
      </c>
      <c r="D135" s="33">
        <v>1230000</v>
      </c>
      <c r="E135" s="33" t="s">
        <v>322</v>
      </c>
      <c r="F135" s="33" t="str">
        <f t="shared" si="4"/>
        <v>rtdc.l.rtdc.4015:itc</v>
      </c>
      <c r="G135" s="8">
        <f t="shared" si="5"/>
        <v>42555.224444444444</v>
      </c>
    </row>
    <row r="136" spans="1:7" x14ac:dyDescent="0.25">
      <c r="A136" s="8">
        <v>42555.797777777778</v>
      </c>
      <c r="B136" s="33" t="s">
        <v>150</v>
      </c>
      <c r="C136" s="33" t="s">
        <v>656</v>
      </c>
      <c r="D136" s="33">
        <v>1760000</v>
      </c>
      <c r="E136" s="33" t="s">
        <v>194</v>
      </c>
      <c r="F136" s="33" t="str">
        <f t="shared" si="4"/>
        <v>rtdc.l.rtdc.4027:itc</v>
      </c>
      <c r="G136" s="8">
        <f t="shared" si="5"/>
        <v>42555.797777777778</v>
      </c>
    </row>
    <row r="137" spans="1:7" x14ac:dyDescent="0.25">
      <c r="A137" s="8">
        <v>42555.375706018516</v>
      </c>
      <c r="B137" s="33" t="s">
        <v>149</v>
      </c>
      <c r="C137" s="33" t="s">
        <v>380</v>
      </c>
      <c r="D137" s="33">
        <v>1090000</v>
      </c>
      <c r="E137" s="33" t="s">
        <v>155</v>
      </c>
      <c r="F137" s="33" t="str">
        <f t="shared" si="4"/>
        <v>rtdc.l.rtdc.4030:itc</v>
      </c>
      <c r="G137" s="8">
        <f t="shared" si="5"/>
        <v>42555.375706018516</v>
      </c>
    </row>
    <row r="138" spans="1:7" x14ac:dyDescent="0.25">
      <c r="A138" s="8">
        <v>42555.790023148147</v>
      </c>
      <c r="B138" s="33" t="s">
        <v>198</v>
      </c>
      <c r="C138" s="33" t="s">
        <v>538</v>
      </c>
      <c r="D138" s="33">
        <v>1140000</v>
      </c>
      <c r="E138" s="33" t="s">
        <v>156</v>
      </c>
      <c r="F138" s="33" t="str">
        <f t="shared" si="4"/>
        <v>rtdc.l.rtdc.4040:itc</v>
      </c>
      <c r="G138" s="8">
        <f t="shared" si="5"/>
        <v>42555.790023148147</v>
      </c>
    </row>
    <row r="139" spans="1:7" x14ac:dyDescent="0.25">
      <c r="A139" s="8">
        <v>42555.403263888889</v>
      </c>
      <c r="B139" s="33" t="s">
        <v>317</v>
      </c>
      <c r="C139" s="33" t="s">
        <v>397</v>
      </c>
      <c r="D139" s="33">
        <v>1340000</v>
      </c>
      <c r="E139" s="33" t="s">
        <v>169</v>
      </c>
      <c r="F139" s="33" t="str">
        <f t="shared" si="4"/>
        <v>rtdc.l.rtdc.4039:itc</v>
      </c>
      <c r="G139" s="8">
        <f t="shared" si="5"/>
        <v>42555.403263888889</v>
      </c>
    </row>
    <row r="140" spans="1:7" x14ac:dyDescent="0.25">
      <c r="A140" s="8">
        <v>42555.769444444442</v>
      </c>
      <c r="B140" s="33" t="s">
        <v>126</v>
      </c>
      <c r="C140" s="33" t="s">
        <v>535</v>
      </c>
      <c r="D140" s="33">
        <v>1280000</v>
      </c>
      <c r="E140" s="33" t="s">
        <v>147</v>
      </c>
      <c r="F140" s="33" t="str">
        <f t="shared" si="4"/>
        <v>rtdc.l.rtdc.4038:itc</v>
      </c>
      <c r="G140" s="8">
        <f t="shared" si="5"/>
        <v>42555.769444444442</v>
      </c>
    </row>
    <row r="141" spans="1:7" x14ac:dyDescent="0.25">
      <c r="A141" s="8">
        <v>42555.391921296294</v>
      </c>
      <c r="B141" s="33" t="s">
        <v>93</v>
      </c>
      <c r="C141" s="33" t="s">
        <v>402</v>
      </c>
      <c r="D141" s="33">
        <v>900000</v>
      </c>
      <c r="E141" s="33" t="s">
        <v>154</v>
      </c>
      <c r="F141" s="33" t="str">
        <f t="shared" si="4"/>
        <v>rtdc.l.rtdc.4042:itc</v>
      </c>
      <c r="G141" s="8">
        <f t="shared" si="5"/>
        <v>42555.391921296294</v>
      </c>
    </row>
    <row r="142" spans="1:7" x14ac:dyDescent="0.25">
      <c r="A142" s="8">
        <v>42555.866111111114</v>
      </c>
      <c r="B142" s="33" t="s">
        <v>198</v>
      </c>
      <c r="C142" s="33" t="s">
        <v>552</v>
      </c>
      <c r="D142" s="33">
        <v>1140000</v>
      </c>
      <c r="E142" s="33" t="s">
        <v>156</v>
      </c>
      <c r="F142" s="33" t="str">
        <f t="shared" si="4"/>
        <v>rtdc.l.rtdc.4040:itc</v>
      </c>
      <c r="G142" s="8">
        <f t="shared" si="5"/>
        <v>42555.866111111114</v>
      </c>
    </row>
    <row r="143" spans="1:7" x14ac:dyDescent="0.25">
      <c r="A143" s="8">
        <v>42555.218946759262</v>
      </c>
      <c r="B143" s="33" t="s">
        <v>185</v>
      </c>
      <c r="C143" s="33" t="s">
        <v>410</v>
      </c>
      <c r="D143" s="33">
        <v>1820000</v>
      </c>
      <c r="E143" s="33" t="s">
        <v>118</v>
      </c>
      <c r="F143" s="33" t="str">
        <f t="shared" si="4"/>
        <v>rtdc.l.rtdc.4008:itc</v>
      </c>
      <c r="G143" s="8">
        <f t="shared" si="5"/>
        <v>42555.218946759262</v>
      </c>
    </row>
    <row r="144" spans="1:7" x14ac:dyDescent="0.25">
      <c r="A144" s="8">
        <v>42555.764826388891</v>
      </c>
      <c r="B144" s="33" t="s">
        <v>81</v>
      </c>
      <c r="C144" s="33" t="s">
        <v>526</v>
      </c>
      <c r="D144" s="33">
        <v>890000</v>
      </c>
      <c r="E144" s="33" t="s">
        <v>342</v>
      </c>
      <c r="F144" s="33" t="str">
        <f t="shared" si="4"/>
        <v>rtdc.l.rtdc.4017:itc</v>
      </c>
      <c r="G144" s="8">
        <f t="shared" si="5"/>
        <v>42555.764826388891</v>
      </c>
    </row>
    <row r="145" spans="1:7" x14ac:dyDescent="0.25">
      <c r="A145" s="8">
        <v>42555.229571759257</v>
      </c>
      <c r="B145" s="33" t="s">
        <v>79</v>
      </c>
      <c r="C145" s="33" t="s">
        <v>412</v>
      </c>
      <c r="D145" s="33">
        <v>1480000</v>
      </c>
      <c r="E145" s="33" t="s">
        <v>136</v>
      </c>
      <c r="F145" s="33" t="str">
        <f t="shared" si="4"/>
        <v>rtdc.l.rtdc.4020:itc</v>
      </c>
      <c r="G145" s="8">
        <f t="shared" si="5"/>
        <v>42555.229571759257</v>
      </c>
    </row>
    <row r="146" spans="1:7" x14ac:dyDescent="0.25">
      <c r="A146" s="8">
        <v>42555.997314814813</v>
      </c>
      <c r="B146" s="33" t="s">
        <v>143</v>
      </c>
      <c r="C146" s="33" t="s">
        <v>570</v>
      </c>
      <c r="D146" s="33">
        <v>1770000</v>
      </c>
      <c r="E146" s="33" t="s">
        <v>174</v>
      </c>
      <c r="F146" s="33" t="str">
        <f t="shared" si="4"/>
        <v>rtdc.l.rtdc.4025:itc</v>
      </c>
      <c r="G146" s="8">
        <f t="shared" si="5"/>
        <v>42555.997314814813</v>
      </c>
    </row>
    <row r="147" spans="1:7" x14ac:dyDescent="0.25">
      <c r="A147" s="8">
        <v>42555.054525462961</v>
      </c>
      <c r="B147" s="33" t="s">
        <v>135</v>
      </c>
      <c r="C147" s="33" t="s">
        <v>316</v>
      </c>
      <c r="D147" s="33">
        <v>1280000</v>
      </c>
      <c r="E147" s="33" t="s">
        <v>147</v>
      </c>
      <c r="F147" s="33" t="str">
        <f t="shared" si="4"/>
        <v>rtdc.l.rtdc.4012:itc</v>
      </c>
      <c r="G147" s="8">
        <f t="shared" si="5"/>
        <v>42555.054525462961</v>
      </c>
    </row>
    <row r="148" spans="1:7" x14ac:dyDescent="0.25">
      <c r="A148" s="8">
        <v>42555.781759259262</v>
      </c>
      <c r="B148" s="33" t="s">
        <v>182</v>
      </c>
      <c r="C148" s="33" t="s">
        <v>652</v>
      </c>
      <c r="D148" s="33">
        <v>740000</v>
      </c>
      <c r="E148" s="33" t="s">
        <v>681</v>
      </c>
      <c r="F148" s="33" t="str">
        <f t="shared" si="4"/>
        <v>rtdc.l.rtdc.4044:itc</v>
      </c>
      <c r="G148" s="8">
        <f t="shared" si="5"/>
        <v>42555.781759259262</v>
      </c>
    </row>
    <row r="149" spans="1:7" x14ac:dyDescent="0.25">
      <c r="A149" s="8">
        <v>42555.248993055553</v>
      </c>
      <c r="B149" s="33" t="s">
        <v>93</v>
      </c>
      <c r="C149" s="33" t="s">
        <v>414</v>
      </c>
      <c r="D149" s="33">
        <v>900000</v>
      </c>
      <c r="E149" s="33" t="s">
        <v>154</v>
      </c>
      <c r="F149" s="33" t="str">
        <f t="shared" si="4"/>
        <v>rtdc.l.rtdc.4042:itc</v>
      </c>
      <c r="G149" s="8">
        <f t="shared" si="5"/>
        <v>42555.248993055553</v>
      </c>
    </row>
    <row r="150" spans="1:7" x14ac:dyDescent="0.25">
      <c r="A150" s="8">
        <v>42555.911979166667</v>
      </c>
      <c r="B150" s="33" t="s">
        <v>317</v>
      </c>
      <c r="C150" s="33" t="s">
        <v>553</v>
      </c>
      <c r="D150" s="33">
        <v>1140000</v>
      </c>
      <c r="E150" s="33" t="s">
        <v>156</v>
      </c>
      <c r="F150" s="33" t="str">
        <f t="shared" si="4"/>
        <v>rtdc.l.rtdc.4039:itc</v>
      </c>
      <c r="G150" s="8">
        <f t="shared" si="5"/>
        <v>42555.911979166667</v>
      </c>
    </row>
    <row r="151" spans="1:7" x14ac:dyDescent="0.25">
      <c r="A151" s="8">
        <v>42555.300185185188</v>
      </c>
      <c r="B151" s="33" t="s">
        <v>150</v>
      </c>
      <c r="C151" s="33" t="s">
        <v>415</v>
      </c>
      <c r="D151" s="33">
        <v>1460000</v>
      </c>
      <c r="E151" s="33" t="s">
        <v>128</v>
      </c>
      <c r="F151" s="33" t="str">
        <f t="shared" si="4"/>
        <v>rtdc.l.rtdc.4027:itc</v>
      </c>
      <c r="G151" s="8">
        <f t="shared" si="5"/>
        <v>42555.300185185188</v>
      </c>
    </row>
    <row r="152" spans="1:7" x14ac:dyDescent="0.25">
      <c r="A152" s="8">
        <v>42555.746064814812</v>
      </c>
      <c r="B152" s="33" t="s">
        <v>79</v>
      </c>
      <c r="C152" s="33" t="s">
        <v>529</v>
      </c>
      <c r="D152" s="33">
        <v>950000</v>
      </c>
      <c r="E152" s="33" t="s">
        <v>191</v>
      </c>
      <c r="F152" s="33" t="str">
        <f t="shared" si="4"/>
        <v>rtdc.l.rtdc.4020:itc</v>
      </c>
      <c r="G152" s="8">
        <f t="shared" si="5"/>
        <v>42555.746064814812</v>
      </c>
    </row>
    <row r="153" spans="1:7" x14ac:dyDescent="0.25">
      <c r="A153" s="8">
        <v>42555.128368055557</v>
      </c>
      <c r="B153" s="33" t="s">
        <v>198</v>
      </c>
      <c r="C153" s="33" t="s">
        <v>372</v>
      </c>
      <c r="D153" s="33">
        <v>1840000</v>
      </c>
      <c r="E153" s="33" t="s">
        <v>127</v>
      </c>
      <c r="F153" s="33" t="str">
        <f t="shared" si="4"/>
        <v>rtdc.l.rtdc.4040:itc</v>
      </c>
      <c r="G153" s="8">
        <f t="shared" si="5"/>
        <v>42555.128368055557</v>
      </c>
    </row>
    <row r="154" spans="1:7" x14ac:dyDescent="0.25">
      <c r="A154" s="8">
        <v>42555.735937500001</v>
      </c>
      <c r="B154" s="33" t="s">
        <v>144</v>
      </c>
      <c r="C154" s="33" t="s">
        <v>640</v>
      </c>
      <c r="D154" s="33">
        <v>1760000</v>
      </c>
      <c r="E154" s="33" t="s">
        <v>194</v>
      </c>
      <c r="F154" s="33" t="str">
        <f t="shared" si="4"/>
        <v>rtdc.l.rtdc.4028:itc</v>
      </c>
      <c r="G154" s="8">
        <f t="shared" si="5"/>
        <v>42555.735937500001</v>
      </c>
    </row>
    <row r="155" spans="1:7" x14ac:dyDescent="0.25">
      <c r="A155" s="8">
        <v>42555.283252314817</v>
      </c>
      <c r="B155" s="33" t="s">
        <v>92</v>
      </c>
      <c r="C155" s="33" t="s">
        <v>416</v>
      </c>
      <c r="D155" s="33">
        <v>900000</v>
      </c>
      <c r="E155" s="33" t="s">
        <v>154</v>
      </c>
      <c r="F155" s="33" t="str">
        <f t="shared" si="4"/>
        <v>rtdc.l.rtdc.4041:itc</v>
      </c>
      <c r="G155" s="8">
        <f t="shared" si="5"/>
        <v>42555.283252314817</v>
      </c>
    </row>
    <row r="156" spans="1:7" x14ac:dyDescent="0.25">
      <c r="A156" s="8">
        <v>42555.713437500002</v>
      </c>
      <c r="B156" s="33" t="s">
        <v>150</v>
      </c>
      <c r="C156" s="33" t="s">
        <v>637</v>
      </c>
      <c r="D156" s="33">
        <v>1760000</v>
      </c>
      <c r="E156" s="33" t="s">
        <v>194</v>
      </c>
      <c r="F156" s="33" t="str">
        <f t="shared" si="4"/>
        <v>rtdc.l.rtdc.4027:itc</v>
      </c>
      <c r="G156" s="8">
        <f t="shared" si="5"/>
        <v>42555.713437500002</v>
      </c>
    </row>
    <row r="157" spans="1:7" x14ac:dyDescent="0.25">
      <c r="A157" s="8">
        <v>42555.342210648145</v>
      </c>
      <c r="B157" s="33" t="s">
        <v>78</v>
      </c>
      <c r="C157" s="33" t="s">
        <v>417</v>
      </c>
      <c r="D157" s="33">
        <v>1480000</v>
      </c>
      <c r="E157" s="33" t="s">
        <v>136</v>
      </c>
      <c r="F157" s="33" t="str">
        <f t="shared" si="4"/>
        <v>rtdc.l.rtdc.4019:itc</v>
      </c>
      <c r="G157" s="8">
        <f t="shared" si="5"/>
        <v>42555.342210648145</v>
      </c>
    </row>
    <row r="158" spans="1:7" x14ac:dyDescent="0.25">
      <c r="A158" s="8">
        <v>42555.693773148145</v>
      </c>
      <c r="B158" s="33" t="s">
        <v>144</v>
      </c>
      <c r="C158" s="33" t="s">
        <v>629</v>
      </c>
      <c r="D158" s="33">
        <v>1760000</v>
      </c>
      <c r="E158" s="33" t="s">
        <v>194</v>
      </c>
      <c r="F158" s="33" t="str">
        <f t="shared" si="4"/>
        <v>rtdc.l.rtdc.4028:itc</v>
      </c>
      <c r="G158" s="8">
        <f t="shared" si="5"/>
        <v>42555.693773148145</v>
      </c>
    </row>
    <row r="159" spans="1:7" x14ac:dyDescent="0.25">
      <c r="A159" s="8">
        <v>42555.359467592592</v>
      </c>
      <c r="B159" s="33" t="s">
        <v>144</v>
      </c>
      <c r="C159" s="33" t="s">
        <v>418</v>
      </c>
      <c r="D159" s="33">
        <v>1460000</v>
      </c>
      <c r="E159" s="33" t="s">
        <v>128</v>
      </c>
      <c r="F159" s="33" t="str">
        <f t="shared" si="4"/>
        <v>rtdc.l.rtdc.4028:itc</v>
      </c>
      <c r="G159" s="8">
        <f t="shared" si="5"/>
        <v>42555.359467592592</v>
      </c>
    </row>
    <row r="160" spans="1:7" x14ac:dyDescent="0.25">
      <c r="A160" s="8">
        <v>42555.693009259259</v>
      </c>
      <c r="B160" s="33" t="s">
        <v>182</v>
      </c>
      <c r="C160" s="33" t="s">
        <v>633</v>
      </c>
      <c r="D160" s="33">
        <v>740000</v>
      </c>
      <c r="E160" s="33" t="s">
        <v>681</v>
      </c>
      <c r="F160" s="33" t="str">
        <f t="shared" si="4"/>
        <v>rtdc.l.rtdc.4044:itc</v>
      </c>
      <c r="G160" s="8">
        <f t="shared" si="5"/>
        <v>42555.693009259259</v>
      </c>
    </row>
    <row r="161" spans="1:7" x14ac:dyDescent="0.25">
      <c r="A161" s="8">
        <v>42555.391134259262</v>
      </c>
      <c r="B161" s="33" t="s">
        <v>317</v>
      </c>
      <c r="C161" s="33" t="s">
        <v>397</v>
      </c>
      <c r="D161" s="33">
        <v>1340000</v>
      </c>
      <c r="E161" s="33" t="s">
        <v>169</v>
      </c>
      <c r="F161" s="33" t="str">
        <f t="shared" si="4"/>
        <v>rtdc.l.rtdc.4039:itc</v>
      </c>
      <c r="G161" s="8">
        <f t="shared" si="5"/>
        <v>42555.391134259262</v>
      </c>
    </row>
    <row r="162" spans="1:7" x14ac:dyDescent="0.25">
      <c r="A162" s="8">
        <v>42555.692326388889</v>
      </c>
      <c r="B162" s="33" t="s">
        <v>126</v>
      </c>
      <c r="C162" s="33" t="s">
        <v>518</v>
      </c>
      <c r="D162" s="33">
        <v>940000</v>
      </c>
      <c r="E162" s="33" t="s">
        <v>195</v>
      </c>
      <c r="F162" s="33" t="str">
        <f t="shared" si="4"/>
        <v>rtdc.l.rtdc.4038:itc</v>
      </c>
      <c r="G162" s="8">
        <f t="shared" si="5"/>
        <v>42555.692326388889</v>
      </c>
    </row>
    <row r="163" spans="1:7" x14ac:dyDescent="0.25">
      <c r="A163" s="8">
        <v>42555.277951388889</v>
      </c>
      <c r="B163" s="33" t="s">
        <v>198</v>
      </c>
      <c r="C163" s="33" t="s">
        <v>419</v>
      </c>
      <c r="D163" s="33">
        <v>1340000</v>
      </c>
      <c r="E163" s="33" t="s">
        <v>169</v>
      </c>
      <c r="F163" s="33" t="str">
        <f t="shared" si="4"/>
        <v>rtdc.l.rtdc.4040:itc</v>
      </c>
      <c r="G163" s="8">
        <f t="shared" si="5"/>
        <v>42555.277951388889</v>
      </c>
    </row>
    <row r="164" spans="1:7" x14ac:dyDescent="0.25">
      <c r="A164" s="8">
        <v>42555.672395833331</v>
      </c>
      <c r="B164" s="33" t="s">
        <v>149</v>
      </c>
      <c r="C164" s="33" t="s">
        <v>502</v>
      </c>
      <c r="D164" s="33">
        <v>1120000</v>
      </c>
      <c r="E164" s="33" t="s">
        <v>183</v>
      </c>
      <c r="F164" s="33" t="str">
        <f t="shared" si="4"/>
        <v>rtdc.l.rtdc.4030:itc</v>
      </c>
      <c r="G164" s="8">
        <f t="shared" si="5"/>
        <v>42555.672395833331</v>
      </c>
    </row>
    <row r="165" spans="1:7" x14ac:dyDescent="0.25">
      <c r="A165" s="8">
        <v>42555.413842592592</v>
      </c>
      <c r="B165" s="33" t="s">
        <v>148</v>
      </c>
      <c r="C165" s="33" t="s">
        <v>420</v>
      </c>
      <c r="D165" s="33">
        <v>1090000</v>
      </c>
      <c r="E165" s="33" t="s">
        <v>155</v>
      </c>
      <c r="F165" s="33" t="str">
        <f t="shared" si="4"/>
        <v>rtdc.l.rtdc.4029:itc</v>
      </c>
      <c r="G165" s="8">
        <f t="shared" si="5"/>
        <v>42555.413842592592</v>
      </c>
    </row>
    <row r="166" spans="1:7" x14ac:dyDescent="0.25">
      <c r="A166" s="8">
        <v>42555.654432870368</v>
      </c>
      <c r="B166" s="33" t="s">
        <v>80</v>
      </c>
      <c r="C166" s="33" t="s">
        <v>508</v>
      </c>
      <c r="D166" s="33">
        <v>890000</v>
      </c>
      <c r="E166" s="33" t="s">
        <v>342</v>
      </c>
      <c r="F166" s="33" t="str">
        <f t="shared" si="4"/>
        <v>rtdc.l.rtdc.4018:itc</v>
      </c>
      <c r="G166" s="8">
        <f t="shared" si="5"/>
        <v>42555.654432870368</v>
      </c>
    </row>
    <row r="167" spans="1:7" x14ac:dyDescent="0.25">
      <c r="A167" s="8">
        <v>42555.167893518519</v>
      </c>
      <c r="B167" s="33" t="s">
        <v>81</v>
      </c>
      <c r="C167" s="33" t="s">
        <v>423</v>
      </c>
      <c r="D167" s="33">
        <v>1840000</v>
      </c>
      <c r="E167" s="33" t="s">
        <v>127</v>
      </c>
      <c r="F167" s="33" t="str">
        <f t="shared" si="4"/>
        <v>rtdc.l.rtdc.4017:itc</v>
      </c>
      <c r="G167" s="8">
        <f t="shared" si="5"/>
        <v>42555.167893518519</v>
      </c>
    </row>
    <row r="168" spans="1:7" x14ac:dyDescent="0.25">
      <c r="A168" s="8">
        <v>42555.628657407404</v>
      </c>
      <c r="B168" s="33" t="s">
        <v>70</v>
      </c>
      <c r="C168" s="33" t="s">
        <v>490</v>
      </c>
      <c r="D168" s="33">
        <v>1540000</v>
      </c>
      <c r="E168" s="33" t="s">
        <v>184</v>
      </c>
      <c r="F168" s="33" t="str">
        <f t="shared" si="4"/>
        <v>rtdc.l.rtdc.4032:itc</v>
      </c>
      <c r="G168" s="8">
        <f t="shared" si="5"/>
        <v>42555.628657407404</v>
      </c>
    </row>
    <row r="169" spans="1:7" x14ac:dyDescent="0.25">
      <c r="A169" s="8">
        <v>42555.285462962966</v>
      </c>
      <c r="B169" s="33" t="s">
        <v>80</v>
      </c>
      <c r="C169" s="33" t="s">
        <v>424</v>
      </c>
      <c r="D169" s="33">
        <v>1840000</v>
      </c>
      <c r="E169" s="33" t="s">
        <v>127</v>
      </c>
      <c r="F169" s="33" t="str">
        <f t="shared" si="4"/>
        <v>rtdc.l.rtdc.4018:itc</v>
      </c>
      <c r="G169" s="8">
        <f t="shared" si="5"/>
        <v>42555.285462962966</v>
      </c>
    </row>
    <row r="170" spans="1:7" x14ac:dyDescent="0.25">
      <c r="A170" s="8">
        <v>42555.627928240741</v>
      </c>
      <c r="B170" s="33" t="s">
        <v>70</v>
      </c>
      <c r="C170" s="33" t="s">
        <v>490</v>
      </c>
      <c r="D170" s="33">
        <v>1540000</v>
      </c>
      <c r="E170" s="33" t="s">
        <v>184</v>
      </c>
      <c r="F170" s="33" t="str">
        <f t="shared" si="4"/>
        <v>rtdc.l.rtdc.4032:itc</v>
      </c>
      <c r="G170" s="8">
        <f t="shared" si="5"/>
        <v>42555.627928240741</v>
      </c>
    </row>
    <row r="171" spans="1:7" x14ac:dyDescent="0.25">
      <c r="A171" s="8">
        <v>42555.487696759257</v>
      </c>
      <c r="B171" s="33" t="s">
        <v>148</v>
      </c>
      <c r="C171" s="33" t="s">
        <v>425</v>
      </c>
      <c r="D171" s="33">
        <v>1120000</v>
      </c>
      <c r="E171" s="33" t="s">
        <v>183</v>
      </c>
      <c r="F171" s="33" t="str">
        <f t="shared" si="4"/>
        <v>rtdc.l.rtdc.4029:itc</v>
      </c>
      <c r="G171" s="8">
        <f t="shared" si="5"/>
        <v>42555.487696759257</v>
      </c>
    </row>
    <row r="172" spans="1:7" x14ac:dyDescent="0.25">
      <c r="A172" s="8">
        <v>42555.627372685187</v>
      </c>
      <c r="B172" s="33" t="s">
        <v>150</v>
      </c>
      <c r="C172" s="33" t="s">
        <v>614</v>
      </c>
      <c r="D172" s="33">
        <v>1760000</v>
      </c>
      <c r="E172" s="33" t="s">
        <v>194</v>
      </c>
      <c r="F172" s="33" t="str">
        <f t="shared" si="4"/>
        <v>rtdc.l.rtdc.4027:itc</v>
      </c>
      <c r="G172" s="8">
        <f t="shared" si="5"/>
        <v>42555.627372685187</v>
      </c>
    </row>
    <row r="173" spans="1:7" x14ac:dyDescent="0.25">
      <c r="A173" s="8">
        <v>42555.545358796298</v>
      </c>
      <c r="B173" s="33" t="s">
        <v>150</v>
      </c>
      <c r="C173" s="33" t="s">
        <v>426</v>
      </c>
      <c r="D173" s="33">
        <v>1460000</v>
      </c>
      <c r="E173" s="33" t="s">
        <v>128</v>
      </c>
      <c r="F173" s="33" t="str">
        <f t="shared" si="4"/>
        <v>rtdc.l.rtdc.4027:itc</v>
      </c>
      <c r="G173" s="8">
        <f t="shared" si="5"/>
        <v>42555.545358796298</v>
      </c>
    </row>
    <row r="174" spans="1:7" x14ac:dyDescent="0.25">
      <c r="A174" s="8">
        <v>42555.619016203702</v>
      </c>
      <c r="B174" s="33" t="s">
        <v>126</v>
      </c>
      <c r="C174" s="33" t="s">
        <v>495</v>
      </c>
      <c r="D174" s="33">
        <v>940000</v>
      </c>
      <c r="E174" s="33" t="s">
        <v>195</v>
      </c>
      <c r="F174" s="33" t="str">
        <f t="shared" si="4"/>
        <v>rtdc.l.rtdc.4038:itc</v>
      </c>
      <c r="G174" s="8">
        <f t="shared" si="5"/>
        <v>42555.619016203702</v>
      </c>
    </row>
    <row r="175" spans="1:7" x14ac:dyDescent="0.25">
      <c r="A175" s="8">
        <v>42555.732685185183</v>
      </c>
      <c r="B175" s="33" t="s">
        <v>146</v>
      </c>
      <c r="C175" s="33" t="s">
        <v>520</v>
      </c>
      <c r="D175" s="33">
        <v>940000</v>
      </c>
      <c r="E175" s="33" t="s">
        <v>195</v>
      </c>
      <c r="F175" s="33" t="str">
        <f t="shared" si="4"/>
        <v>rtdc.l.rtdc.4037:itc</v>
      </c>
      <c r="G175" s="8">
        <f t="shared" si="5"/>
        <v>42555.732685185183</v>
      </c>
    </row>
    <row r="176" spans="1:7" x14ac:dyDescent="0.25">
      <c r="A176" s="8">
        <v>42555.601180555554</v>
      </c>
      <c r="B176" s="33" t="s">
        <v>317</v>
      </c>
      <c r="C176" s="33" t="s">
        <v>486</v>
      </c>
      <c r="D176" s="33">
        <v>1810000</v>
      </c>
      <c r="E176" s="33" t="s">
        <v>335</v>
      </c>
      <c r="F176" s="33" t="str">
        <f t="shared" si="4"/>
        <v>rtdc.l.rtdc.4039:itc</v>
      </c>
      <c r="G176" s="8">
        <f t="shared" si="5"/>
        <v>42555.601180555554</v>
      </c>
    </row>
    <row r="177" spans="1:7" x14ac:dyDescent="0.25">
      <c r="A177" s="8">
        <v>42555.528495370374</v>
      </c>
      <c r="B177" s="33" t="s">
        <v>79</v>
      </c>
      <c r="C177" s="33" t="s">
        <v>427</v>
      </c>
      <c r="D177" s="33">
        <v>950000</v>
      </c>
      <c r="E177" s="33" t="s">
        <v>191</v>
      </c>
      <c r="F177" s="33" t="str">
        <f t="shared" si="4"/>
        <v>rtdc.l.rtdc.4020:itc</v>
      </c>
      <c r="G177" s="8">
        <f t="shared" si="5"/>
        <v>42555.528495370374</v>
      </c>
    </row>
    <row r="178" spans="1:7" x14ac:dyDescent="0.25">
      <c r="A178" s="8">
        <v>42555.59065972222</v>
      </c>
      <c r="B178" s="33" t="s">
        <v>150</v>
      </c>
      <c r="C178" s="33" t="s">
        <v>608</v>
      </c>
      <c r="D178" s="33">
        <v>1760000</v>
      </c>
      <c r="E178" s="33" t="s">
        <v>194</v>
      </c>
      <c r="F178" s="33" t="str">
        <f t="shared" si="4"/>
        <v>rtdc.l.rtdc.4027:itc</v>
      </c>
      <c r="G178" s="8">
        <f t="shared" si="5"/>
        <v>42555.59065972222</v>
      </c>
    </row>
    <row r="179" spans="1:7" x14ac:dyDescent="0.25">
      <c r="A179" s="8">
        <v>42555.680092592593</v>
      </c>
      <c r="B179" s="33" t="s">
        <v>187</v>
      </c>
      <c r="C179" s="33" t="s">
        <v>623</v>
      </c>
      <c r="D179" s="33">
        <v>740000</v>
      </c>
      <c r="E179" s="33" t="s">
        <v>681</v>
      </c>
      <c r="F179" s="33" t="str">
        <f t="shared" si="4"/>
        <v>rtdc.l.rtdc.4043:itc</v>
      </c>
      <c r="G179" s="8">
        <f t="shared" si="5"/>
        <v>42555.680092592593</v>
      </c>
    </row>
    <row r="180" spans="1:7" x14ac:dyDescent="0.25">
      <c r="A180" s="8">
        <v>42555.584282407406</v>
      </c>
      <c r="B180" s="33" t="s">
        <v>146</v>
      </c>
      <c r="C180" s="33" t="s">
        <v>348</v>
      </c>
      <c r="D180" s="33">
        <v>940000</v>
      </c>
      <c r="E180" s="33" t="s">
        <v>195</v>
      </c>
      <c r="F180" s="33" t="str">
        <f t="shared" si="4"/>
        <v>rtdc.l.rtdc.4037:itc</v>
      </c>
      <c r="G180" s="8">
        <f t="shared" si="5"/>
        <v>42555.584282407406</v>
      </c>
    </row>
    <row r="181" spans="1:7" x14ac:dyDescent="0.25">
      <c r="A181" s="8">
        <v>42555.724988425929</v>
      </c>
      <c r="B181" s="33" t="s">
        <v>80</v>
      </c>
      <c r="C181" s="33" t="s">
        <v>525</v>
      </c>
      <c r="D181" s="33">
        <v>890000</v>
      </c>
      <c r="E181" s="33" t="s">
        <v>342</v>
      </c>
      <c r="F181" s="33" t="str">
        <f t="shared" si="4"/>
        <v>rtdc.l.rtdc.4018:itc</v>
      </c>
      <c r="G181" s="8">
        <f t="shared" si="5"/>
        <v>42555.724988425929</v>
      </c>
    </row>
    <row r="182" spans="1:7" x14ac:dyDescent="0.25">
      <c r="A182" s="8">
        <v>42555.576574074075</v>
      </c>
      <c r="B182" s="33" t="s">
        <v>92</v>
      </c>
      <c r="C182" s="33" t="s">
        <v>398</v>
      </c>
      <c r="D182" s="33">
        <v>1470000</v>
      </c>
      <c r="E182" s="33" t="s">
        <v>347</v>
      </c>
      <c r="F182" s="33" t="str">
        <f t="shared" si="4"/>
        <v>rtdc.l.rtdc.4041:itc</v>
      </c>
      <c r="G182" s="8">
        <f t="shared" si="5"/>
        <v>42555.576574074075</v>
      </c>
    </row>
    <row r="183" spans="1:7" x14ac:dyDescent="0.25">
      <c r="A183" s="8">
        <v>42555.801805555559</v>
      </c>
      <c r="B183" s="33" t="s">
        <v>146</v>
      </c>
      <c r="C183" s="33" t="s">
        <v>536</v>
      </c>
      <c r="D183" s="33">
        <v>1280000</v>
      </c>
      <c r="E183" s="33" t="s">
        <v>147</v>
      </c>
      <c r="F183" s="33" t="str">
        <f t="shared" si="4"/>
        <v>rtdc.l.rtdc.4037:itc</v>
      </c>
      <c r="G183" s="8">
        <f t="shared" si="5"/>
        <v>42555.801805555559</v>
      </c>
    </row>
    <row r="184" spans="1:7" x14ac:dyDescent="0.25">
      <c r="A184" s="8">
        <v>42555.561643518522</v>
      </c>
      <c r="B184" s="33" t="s">
        <v>148</v>
      </c>
      <c r="C184" s="33" t="s">
        <v>399</v>
      </c>
      <c r="D184" s="33">
        <v>1120000</v>
      </c>
      <c r="E184" s="33" t="s">
        <v>183</v>
      </c>
      <c r="F184" s="33" t="str">
        <f t="shared" si="4"/>
        <v>rtdc.l.rtdc.4029:itc</v>
      </c>
      <c r="G184" s="8">
        <f t="shared" si="5"/>
        <v>42555.561643518522</v>
      </c>
    </row>
    <row r="185" spans="1:7" x14ac:dyDescent="0.25">
      <c r="A185" s="8">
        <v>42555.930196759262</v>
      </c>
      <c r="B185" s="33" t="s">
        <v>92</v>
      </c>
      <c r="C185" s="33" t="s">
        <v>556</v>
      </c>
      <c r="D185" s="33">
        <v>1290000</v>
      </c>
      <c r="E185" s="33" t="s">
        <v>343</v>
      </c>
      <c r="F185" s="33" t="str">
        <f t="shared" si="4"/>
        <v>rtdc.l.rtdc.4041:itc</v>
      </c>
      <c r="G185" s="8">
        <f t="shared" si="5"/>
        <v>42555.930196759262</v>
      </c>
    </row>
    <row r="186" spans="1:7" x14ac:dyDescent="0.25">
      <c r="A186" s="8">
        <v>42555.537847222222</v>
      </c>
      <c r="B186" s="33" t="s">
        <v>93</v>
      </c>
      <c r="C186" s="33" t="s">
        <v>400</v>
      </c>
      <c r="D186" s="33">
        <v>1470000</v>
      </c>
      <c r="E186" s="33" t="s">
        <v>347</v>
      </c>
      <c r="F186" s="33" t="str">
        <f t="shared" si="4"/>
        <v>rtdc.l.rtdc.4042:itc</v>
      </c>
      <c r="G186" s="8">
        <f t="shared" si="5"/>
        <v>42555.537847222222</v>
      </c>
    </row>
    <row r="187" spans="1:7" x14ac:dyDescent="0.25">
      <c r="A187" s="8">
        <v>42555.449074074073</v>
      </c>
      <c r="B187" s="33" t="s">
        <v>149</v>
      </c>
      <c r="C187" s="33" t="s">
        <v>353</v>
      </c>
      <c r="D187" s="33">
        <v>1090000</v>
      </c>
      <c r="E187" s="33" t="s">
        <v>155</v>
      </c>
      <c r="F187" s="33" t="str">
        <f t="shared" si="4"/>
        <v>rtdc.l.rtdc.4030:itc</v>
      </c>
      <c r="G187" s="8">
        <f t="shared" si="5"/>
        <v>42555.449074074073</v>
      </c>
    </row>
    <row r="188" spans="1:7" x14ac:dyDescent="0.25">
      <c r="A188" s="8">
        <v>42555.496377314812</v>
      </c>
      <c r="B188" s="33" t="s">
        <v>78</v>
      </c>
      <c r="C188" s="33" t="s">
        <v>401</v>
      </c>
      <c r="D188" s="33">
        <v>1310000</v>
      </c>
      <c r="E188" s="33" t="s">
        <v>129</v>
      </c>
      <c r="F188" s="33" t="str">
        <f t="shared" si="4"/>
        <v>rtdc.l.rtdc.4019:itc</v>
      </c>
      <c r="G188" s="8">
        <f t="shared" si="5"/>
        <v>42555.496377314812</v>
      </c>
    </row>
    <row r="189" spans="1:7" x14ac:dyDescent="0.25">
      <c r="A189" s="8">
        <v>42555.485671296294</v>
      </c>
      <c r="B189" s="33" t="s">
        <v>70</v>
      </c>
      <c r="C189" s="33" t="s">
        <v>392</v>
      </c>
      <c r="D189" s="33">
        <v>1540000</v>
      </c>
      <c r="E189" s="33" t="s">
        <v>184</v>
      </c>
      <c r="F189" s="33" t="str">
        <f t="shared" si="4"/>
        <v>rtdc.l.rtdc.4032:itc</v>
      </c>
      <c r="G189" s="8">
        <f t="shared" si="5"/>
        <v>42555.485671296294</v>
      </c>
    </row>
    <row r="190" spans="1:7" x14ac:dyDescent="0.25">
      <c r="A190" s="8">
        <v>42555.483611111114</v>
      </c>
      <c r="B190" s="33" t="s">
        <v>70</v>
      </c>
      <c r="C190" s="33" t="s">
        <v>392</v>
      </c>
      <c r="D190" s="33">
        <v>1540000</v>
      </c>
      <c r="E190" s="33" t="s">
        <v>184</v>
      </c>
      <c r="F190" s="33" t="str">
        <f t="shared" si="4"/>
        <v>rtdc.l.rtdc.4032:itc</v>
      </c>
      <c r="G190" s="8">
        <f t="shared" si="5"/>
        <v>42555.483611111114</v>
      </c>
    </row>
    <row r="191" spans="1:7" x14ac:dyDescent="0.25">
      <c r="A191" s="8">
        <v>42555.665891203702</v>
      </c>
      <c r="B191" s="33" t="s">
        <v>182</v>
      </c>
      <c r="C191" s="33" t="s">
        <v>619</v>
      </c>
      <c r="D191" s="33">
        <v>740000</v>
      </c>
      <c r="E191" s="33" t="s">
        <v>681</v>
      </c>
      <c r="F191" s="33" t="str">
        <f t="shared" si="4"/>
        <v>rtdc.l.rtdc.4044:itc</v>
      </c>
      <c r="G191" s="8">
        <f t="shared" si="5"/>
        <v>42555.665891203702</v>
      </c>
    </row>
    <row r="192" spans="1:7" x14ac:dyDescent="0.25">
      <c r="A192" s="8">
        <v>42555.467997685184</v>
      </c>
      <c r="B192" s="33" t="s">
        <v>126</v>
      </c>
      <c r="C192" s="33" t="s">
        <v>339</v>
      </c>
      <c r="D192" s="33">
        <v>940000</v>
      </c>
      <c r="E192" s="33" t="s">
        <v>195</v>
      </c>
      <c r="F192" s="33" t="str">
        <f t="shared" si="4"/>
        <v>rtdc.l.rtdc.4038:itc</v>
      </c>
      <c r="G192" s="8">
        <f t="shared" si="5"/>
        <v>42555.467997685184</v>
      </c>
    </row>
    <row r="193" spans="1:7" x14ac:dyDescent="0.25">
      <c r="A193" s="8">
        <v>42555.711851851855</v>
      </c>
      <c r="B193" s="33" t="s">
        <v>78</v>
      </c>
      <c r="C193" s="33" t="s">
        <v>515</v>
      </c>
      <c r="D193" s="33">
        <v>950000</v>
      </c>
      <c r="E193" s="33" t="s">
        <v>191</v>
      </c>
      <c r="F193" s="33" t="str">
        <f t="shared" si="4"/>
        <v>rtdc.l.rtdc.4019:itc</v>
      </c>
      <c r="G193" s="8">
        <f t="shared" si="5"/>
        <v>42555.711851851855</v>
      </c>
    </row>
    <row r="194" spans="1:7" x14ac:dyDescent="0.25">
      <c r="A194" s="8">
        <v>42555.440532407411</v>
      </c>
      <c r="B194" s="33" t="s">
        <v>84</v>
      </c>
      <c r="C194" s="33" t="s">
        <v>403</v>
      </c>
      <c r="D194" s="33">
        <v>1540000</v>
      </c>
      <c r="E194" s="33" t="s">
        <v>184</v>
      </c>
      <c r="F194" s="33" t="str">
        <f t="shared" ref="F194:F235" si="6">B194</f>
        <v>rtdc.l.rtdc.4031:itc</v>
      </c>
      <c r="G194" s="8">
        <f t="shared" ref="G194:G235" si="7">A194</f>
        <v>42555.440532407411</v>
      </c>
    </row>
    <row r="195" spans="1:7" x14ac:dyDescent="0.25">
      <c r="A195" s="8">
        <v>42555.600046296298</v>
      </c>
      <c r="B195" s="33" t="s">
        <v>79</v>
      </c>
      <c r="C195" s="33" t="s">
        <v>491</v>
      </c>
      <c r="D195" s="33">
        <v>950000</v>
      </c>
      <c r="E195" s="33" t="s">
        <v>191</v>
      </c>
      <c r="F195" s="33" t="str">
        <f t="shared" si="6"/>
        <v>rtdc.l.rtdc.4020:itc</v>
      </c>
      <c r="G195" s="8">
        <f t="shared" si="7"/>
        <v>42555.600046296298</v>
      </c>
    </row>
    <row r="196" spans="1:7" x14ac:dyDescent="0.25">
      <c r="A196" s="8">
        <v>42555.422627314816</v>
      </c>
      <c r="B196" s="33" t="s">
        <v>198</v>
      </c>
      <c r="C196" s="33" t="s">
        <v>404</v>
      </c>
      <c r="D196" s="33">
        <v>1810000</v>
      </c>
      <c r="E196" s="33" t="s">
        <v>335</v>
      </c>
      <c r="F196" s="33" t="str">
        <f t="shared" si="6"/>
        <v>rtdc.l.rtdc.4040:itc</v>
      </c>
      <c r="G196" s="8">
        <f t="shared" si="7"/>
        <v>42555.422627314816</v>
      </c>
    </row>
    <row r="197" spans="1:7" x14ac:dyDescent="0.25">
      <c r="A197" s="8">
        <v>42555.784224537034</v>
      </c>
      <c r="B197" s="33" t="s">
        <v>78</v>
      </c>
      <c r="C197" s="33" t="s">
        <v>530</v>
      </c>
      <c r="D197" s="33">
        <v>950000</v>
      </c>
      <c r="E197" s="33" t="s">
        <v>191</v>
      </c>
      <c r="F197" s="33" t="str">
        <f t="shared" si="6"/>
        <v>rtdc.l.rtdc.4019:itc</v>
      </c>
      <c r="G197" s="8">
        <f t="shared" si="7"/>
        <v>42555.784224537034</v>
      </c>
    </row>
    <row r="198" spans="1:7" x14ac:dyDescent="0.25">
      <c r="A198" s="8">
        <v>42555.553726851853</v>
      </c>
      <c r="B198" s="33" t="s">
        <v>70</v>
      </c>
      <c r="C198" s="33" t="s">
        <v>405</v>
      </c>
      <c r="D198" s="33">
        <v>1540000</v>
      </c>
      <c r="E198" s="33" t="s">
        <v>184</v>
      </c>
      <c r="F198" s="33" t="str">
        <f t="shared" si="6"/>
        <v>rtdc.l.rtdc.4032:itc</v>
      </c>
      <c r="G198" s="8">
        <f t="shared" si="7"/>
        <v>42555.553726851853</v>
      </c>
    </row>
    <row r="199" spans="1:7" x14ac:dyDescent="0.25">
      <c r="A199" s="8">
        <v>42555.926689814813</v>
      </c>
      <c r="B199" s="33" t="s">
        <v>164</v>
      </c>
      <c r="C199" s="33" t="s">
        <v>563</v>
      </c>
      <c r="D199" s="33">
        <v>1280000</v>
      </c>
      <c r="E199" s="33" t="s">
        <v>147</v>
      </c>
      <c r="F199" s="33" t="str">
        <f t="shared" si="6"/>
        <v>rtdc.l.rtdc.4016:itc</v>
      </c>
      <c r="G199" s="8">
        <f t="shared" si="7"/>
        <v>42555.926689814813</v>
      </c>
    </row>
    <row r="200" spans="1:7" x14ac:dyDescent="0.25">
      <c r="A200" s="8">
        <v>42555.526597222219</v>
      </c>
      <c r="B200" s="33" t="s">
        <v>149</v>
      </c>
      <c r="C200" s="33" t="s">
        <v>320</v>
      </c>
      <c r="D200" s="33">
        <v>1120000</v>
      </c>
      <c r="E200" s="33" t="s">
        <v>183</v>
      </c>
      <c r="F200" s="33" t="str">
        <f t="shared" si="6"/>
        <v>rtdc.l.rtdc.4030:itc</v>
      </c>
      <c r="G200" s="8">
        <f t="shared" si="7"/>
        <v>42555.526597222219</v>
      </c>
    </row>
    <row r="201" spans="1:7" x14ac:dyDescent="0.25">
      <c r="A201" s="8">
        <v>42555.457928240743</v>
      </c>
      <c r="B201" s="33" t="s">
        <v>317</v>
      </c>
      <c r="C201" s="33" t="s">
        <v>428</v>
      </c>
      <c r="D201" s="33">
        <v>1810000</v>
      </c>
      <c r="E201" s="33" t="s">
        <v>335</v>
      </c>
      <c r="F201" s="33" t="str">
        <f t="shared" si="6"/>
        <v>rtdc.l.rtdc.4039:itc</v>
      </c>
      <c r="G201" s="8">
        <f t="shared" si="7"/>
        <v>42555.457928240743</v>
      </c>
    </row>
    <row r="202" spans="1:7" x14ac:dyDescent="0.25">
      <c r="A202" s="48">
        <v>42555.457233796296</v>
      </c>
      <c r="B202" s="33" t="s">
        <v>79</v>
      </c>
      <c r="C202" s="33" t="s">
        <v>406</v>
      </c>
      <c r="D202" s="33">
        <v>1310000</v>
      </c>
      <c r="E202" s="33" t="s">
        <v>129</v>
      </c>
      <c r="F202" s="33" t="str">
        <f t="shared" si="6"/>
        <v>rtdc.l.rtdc.4020:itc</v>
      </c>
      <c r="G202" s="8">
        <f t="shared" si="7"/>
        <v>42555.457233796296</v>
      </c>
    </row>
    <row r="203" spans="1:7" x14ac:dyDescent="0.25">
      <c r="A203" s="8">
        <v>42555.629664351851</v>
      </c>
      <c r="B203" s="33" t="s">
        <v>70</v>
      </c>
      <c r="C203" s="33" t="s">
        <v>490</v>
      </c>
      <c r="D203" s="33">
        <v>1540000</v>
      </c>
      <c r="E203" s="33" t="s">
        <v>184</v>
      </c>
      <c r="F203" s="33" t="str">
        <f t="shared" si="6"/>
        <v>rtdc.l.rtdc.4032:itc</v>
      </c>
      <c r="G203" s="8">
        <f t="shared" si="7"/>
        <v>42555.629664351851</v>
      </c>
    </row>
    <row r="204" spans="1:7" x14ac:dyDescent="0.25">
      <c r="A204" s="8">
        <v>42555.432881944442</v>
      </c>
      <c r="B204" s="33" t="s">
        <v>165</v>
      </c>
      <c r="C204" s="33" t="s">
        <v>407</v>
      </c>
      <c r="D204" s="33">
        <v>1230000</v>
      </c>
      <c r="E204" s="33" t="s">
        <v>322</v>
      </c>
      <c r="F204" s="33" t="str">
        <f t="shared" si="6"/>
        <v>rtdc.l.rtdc.4015:itc</v>
      </c>
      <c r="G204" s="8">
        <f t="shared" si="7"/>
        <v>42555.432881944442</v>
      </c>
    </row>
    <row r="205" spans="1:7" x14ac:dyDescent="0.25">
      <c r="A205" s="8">
        <v>42555.764606481483</v>
      </c>
      <c r="B205" s="33" t="s">
        <v>143</v>
      </c>
      <c r="C205" s="33" t="s">
        <v>531</v>
      </c>
      <c r="D205" s="33">
        <v>1770000</v>
      </c>
      <c r="E205" s="33" t="s">
        <v>174</v>
      </c>
      <c r="F205" s="33" t="str">
        <f t="shared" si="6"/>
        <v>rtdc.l.rtdc.4025:itc</v>
      </c>
      <c r="G205" s="8">
        <f t="shared" si="7"/>
        <v>42555.764606481483</v>
      </c>
    </row>
    <row r="206" spans="1:7" x14ac:dyDescent="0.25">
      <c r="A206" s="8">
        <v>42555.373749999999</v>
      </c>
      <c r="B206" s="33" t="s">
        <v>143</v>
      </c>
      <c r="C206" s="33" t="s">
        <v>408</v>
      </c>
      <c r="D206" s="33">
        <v>1310000</v>
      </c>
      <c r="E206" s="33" t="s">
        <v>129</v>
      </c>
      <c r="F206" s="33" t="str">
        <f t="shared" si="6"/>
        <v>rtdc.l.rtdc.4025:itc</v>
      </c>
      <c r="G206" s="8">
        <f t="shared" si="7"/>
        <v>42555.373749999999</v>
      </c>
    </row>
    <row r="207" spans="1:7" x14ac:dyDescent="0.25">
      <c r="A207" s="8">
        <v>42555.511192129627</v>
      </c>
      <c r="B207" s="33" t="s">
        <v>150</v>
      </c>
      <c r="C207" s="33" t="s">
        <v>395</v>
      </c>
      <c r="D207" s="33">
        <v>1460000</v>
      </c>
      <c r="E207" s="33" t="s">
        <v>128</v>
      </c>
      <c r="F207" s="33" t="str">
        <f t="shared" si="6"/>
        <v>rtdc.l.rtdc.4027:itc</v>
      </c>
      <c r="G207" s="8">
        <f t="shared" si="7"/>
        <v>42555.511192129627</v>
      </c>
    </row>
    <row r="208" spans="1:7" x14ac:dyDescent="0.25">
      <c r="A208" s="8">
        <v>42555.361712962964</v>
      </c>
      <c r="B208" s="33" t="s">
        <v>165</v>
      </c>
      <c r="C208" s="33" t="s">
        <v>409</v>
      </c>
      <c r="D208" s="33">
        <v>1230000</v>
      </c>
      <c r="E208" s="33" t="s">
        <v>322</v>
      </c>
      <c r="F208" s="33" t="str">
        <f t="shared" si="6"/>
        <v>rtdc.l.rtdc.4015:itc</v>
      </c>
      <c r="G208" s="8">
        <f t="shared" si="7"/>
        <v>42555.361712962964</v>
      </c>
    </row>
    <row r="209" spans="1:7" x14ac:dyDescent="0.25">
      <c r="A209" s="8">
        <v>42555.599386574075</v>
      </c>
      <c r="B209" s="33" t="s">
        <v>149</v>
      </c>
      <c r="C209" s="33" t="s">
        <v>483</v>
      </c>
      <c r="D209" s="33">
        <v>1120000</v>
      </c>
      <c r="E209" s="33" t="s">
        <v>183</v>
      </c>
      <c r="F209" s="33" t="str">
        <f t="shared" si="6"/>
        <v>rtdc.l.rtdc.4030:itc</v>
      </c>
      <c r="G209" s="8">
        <f t="shared" si="7"/>
        <v>42555.599386574075</v>
      </c>
    </row>
    <row r="210" spans="1:7" x14ac:dyDescent="0.25">
      <c r="A210" s="8">
        <v>42555.359988425924</v>
      </c>
      <c r="B210" s="33" t="s">
        <v>80</v>
      </c>
      <c r="C210" s="33" t="s">
        <v>411</v>
      </c>
      <c r="D210" s="33">
        <v>1840000</v>
      </c>
      <c r="E210" s="33" t="s">
        <v>127</v>
      </c>
      <c r="F210" s="33" t="str">
        <f t="shared" si="6"/>
        <v>rtdc.l.rtdc.4018:itc</v>
      </c>
      <c r="G210" s="8">
        <f t="shared" si="7"/>
        <v>42555.359988425924</v>
      </c>
    </row>
    <row r="211" spans="1:7" x14ac:dyDescent="0.25">
      <c r="A211" s="8">
        <v>42555.715509259258</v>
      </c>
      <c r="B211" s="33" t="s">
        <v>198</v>
      </c>
      <c r="C211" s="33" t="s">
        <v>523</v>
      </c>
      <c r="D211" s="33">
        <v>1140000</v>
      </c>
      <c r="E211" s="33" t="s">
        <v>156</v>
      </c>
      <c r="F211" s="33" t="str">
        <f t="shared" si="6"/>
        <v>rtdc.l.rtdc.4040:itc</v>
      </c>
      <c r="G211" s="8">
        <f t="shared" si="7"/>
        <v>42555.715509259258</v>
      </c>
    </row>
    <row r="212" spans="1:7" x14ac:dyDescent="0.25">
      <c r="A212" s="8">
        <v>42555.337210648147</v>
      </c>
      <c r="B212" s="33" t="s">
        <v>185</v>
      </c>
      <c r="C212" s="33" t="s">
        <v>413</v>
      </c>
      <c r="D212" s="33">
        <v>1820000</v>
      </c>
      <c r="E212" s="33" t="s">
        <v>118</v>
      </c>
      <c r="F212" s="33" t="str">
        <f t="shared" si="6"/>
        <v>rtdc.l.rtdc.4008:itc</v>
      </c>
      <c r="G212" s="8">
        <f t="shared" si="7"/>
        <v>42555.337210648147</v>
      </c>
    </row>
    <row r="213" spans="1:7" x14ac:dyDescent="0.25">
      <c r="A213" s="8">
        <v>42555.84337962963</v>
      </c>
      <c r="B213" s="33" t="s">
        <v>150</v>
      </c>
      <c r="C213" s="33" t="s">
        <v>660</v>
      </c>
      <c r="D213" s="33">
        <v>1760000</v>
      </c>
      <c r="E213" s="33" t="s">
        <v>194</v>
      </c>
      <c r="F213" s="33" t="str">
        <f t="shared" si="6"/>
        <v>rtdc.l.rtdc.4027:itc</v>
      </c>
      <c r="G213" s="8">
        <f t="shared" si="7"/>
        <v>42555.84337962963</v>
      </c>
    </row>
    <row r="214" spans="1:7" x14ac:dyDescent="0.25">
      <c r="A214" s="8">
        <v>42555.189930555556</v>
      </c>
      <c r="B214" s="33" t="s">
        <v>148</v>
      </c>
      <c r="C214" s="33" t="s">
        <v>345</v>
      </c>
      <c r="D214" s="33">
        <v>1090000</v>
      </c>
      <c r="E214" s="33" t="s">
        <v>155</v>
      </c>
      <c r="F214" s="33" t="str">
        <f t="shared" si="6"/>
        <v>rtdc.l.rtdc.4029:itc</v>
      </c>
      <c r="G214" s="8">
        <f t="shared" si="7"/>
        <v>42555.189930555556</v>
      </c>
    </row>
    <row r="215" spans="1:7" x14ac:dyDescent="0.25">
      <c r="A215" s="8">
        <v>42555.84920138889</v>
      </c>
      <c r="B215" s="33" t="s">
        <v>92</v>
      </c>
      <c r="C215" s="33" t="s">
        <v>545</v>
      </c>
      <c r="D215" s="33">
        <v>1290000</v>
      </c>
      <c r="E215" s="33" t="s">
        <v>343</v>
      </c>
      <c r="F215" s="33" t="str">
        <f t="shared" si="6"/>
        <v>rtdc.l.rtdc.4041:itc</v>
      </c>
      <c r="G215" s="8">
        <f t="shared" si="7"/>
        <v>42555.84920138889</v>
      </c>
    </row>
    <row r="216" spans="1:7" x14ac:dyDescent="0.25">
      <c r="A216" s="8">
        <v>42555.276041666664</v>
      </c>
      <c r="B216" s="33" t="s">
        <v>78</v>
      </c>
      <c r="C216" s="33" t="s">
        <v>421</v>
      </c>
      <c r="D216" s="33">
        <v>1480000</v>
      </c>
      <c r="E216" s="33" t="s">
        <v>136</v>
      </c>
      <c r="F216" s="33" t="str">
        <f t="shared" si="6"/>
        <v>rtdc.l.rtdc.4019:itc</v>
      </c>
      <c r="G216" s="8">
        <f t="shared" si="7"/>
        <v>42555.276041666664</v>
      </c>
    </row>
    <row r="217" spans="1:7" x14ac:dyDescent="0.25">
      <c r="A217" s="8">
        <v>42555.889236111114</v>
      </c>
      <c r="B217" s="33" t="s">
        <v>165</v>
      </c>
      <c r="C217" s="33" t="s">
        <v>551</v>
      </c>
      <c r="D217" s="33">
        <v>1280000</v>
      </c>
      <c r="E217" s="33" t="s">
        <v>147</v>
      </c>
      <c r="F217" s="33" t="str">
        <f t="shared" si="6"/>
        <v>rtdc.l.rtdc.4015:itc</v>
      </c>
      <c r="G217" s="8">
        <f t="shared" si="7"/>
        <v>42555.889236111114</v>
      </c>
    </row>
    <row r="218" spans="1:7" x14ac:dyDescent="0.25">
      <c r="A218" s="8">
        <v>42555.231111111112</v>
      </c>
      <c r="B218" s="33" t="s">
        <v>149</v>
      </c>
      <c r="C218" s="33" t="s">
        <v>375</v>
      </c>
      <c r="D218" s="33">
        <v>1090000</v>
      </c>
      <c r="E218" s="33" t="s">
        <v>155</v>
      </c>
      <c r="F218" s="33" t="str">
        <f t="shared" si="6"/>
        <v>rtdc.l.rtdc.4030:itc</v>
      </c>
      <c r="G218" s="8">
        <f t="shared" si="7"/>
        <v>42555.231111111112</v>
      </c>
    </row>
    <row r="219" spans="1:7" x14ac:dyDescent="0.25">
      <c r="A219" s="8">
        <v>42555.671689814815</v>
      </c>
      <c r="B219" s="33" t="s">
        <v>149</v>
      </c>
      <c r="C219" s="33" t="s">
        <v>502</v>
      </c>
      <c r="D219" s="33">
        <v>1120000</v>
      </c>
      <c r="E219" s="33" t="s">
        <v>183</v>
      </c>
      <c r="F219" s="33" t="str">
        <f t="shared" si="6"/>
        <v>rtdc.l.rtdc.4030:itc</v>
      </c>
      <c r="G219" s="8">
        <f t="shared" si="7"/>
        <v>42555.671689814815</v>
      </c>
    </row>
    <row r="220" spans="1:7" x14ac:dyDescent="0.25">
      <c r="A220" s="8">
        <v>42555.431423611109</v>
      </c>
      <c r="B220" s="33" t="s">
        <v>92</v>
      </c>
      <c r="C220" s="33" t="s">
        <v>338</v>
      </c>
      <c r="D220" s="33">
        <v>900000</v>
      </c>
      <c r="E220" s="33" t="s">
        <v>154</v>
      </c>
      <c r="F220" s="33" t="str">
        <f t="shared" si="6"/>
        <v>rtdc.l.rtdc.4041:itc</v>
      </c>
      <c r="G220" s="8">
        <f t="shared" si="7"/>
        <v>42555.431423611109</v>
      </c>
    </row>
    <row r="221" spans="1:7" x14ac:dyDescent="0.25">
      <c r="B221" s="33"/>
      <c r="C221" s="33"/>
      <c r="D221" s="33"/>
      <c r="E221" s="33"/>
      <c r="F221" s="33">
        <f t="shared" si="6"/>
        <v>0</v>
      </c>
      <c r="G221" s="8">
        <f t="shared" si="7"/>
        <v>0</v>
      </c>
    </row>
    <row r="222" spans="1:7" x14ac:dyDescent="0.25">
      <c r="A222" s="8">
        <v>42554.714155092595</v>
      </c>
      <c r="B222" s="33" t="s">
        <v>193</v>
      </c>
      <c r="C222" s="33" t="s">
        <v>290</v>
      </c>
      <c r="D222" s="33">
        <v>1290000</v>
      </c>
      <c r="E222" s="33" t="s">
        <v>343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149</v>
      </c>
      <c r="C223" s="33" t="s">
        <v>320</v>
      </c>
      <c r="D223" s="33">
        <v>1120000</v>
      </c>
      <c r="E223" s="33" t="s">
        <v>183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148</v>
      </c>
      <c r="C224" t="s">
        <v>292</v>
      </c>
      <c r="D224">
        <v>950000</v>
      </c>
      <c r="E224" t="s">
        <v>191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79</v>
      </c>
      <c r="C225" t="s">
        <v>406</v>
      </c>
      <c r="D225">
        <v>1310000</v>
      </c>
      <c r="E225" t="s">
        <v>129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187</v>
      </c>
      <c r="C226" t="s">
        <v>291</v>
      </c>
      <c r="D226">
        <v>1140000</v>
      </c>
      <c r="E226" t="s">
        <v>156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165</v>
      </c>
      <c r="C227" t="s">
        <v>407</v>
      </c>
      <c r="D227">
        <v>1230000</v>
      </c>
      <c r="E227" t="s">
        <v>322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142</v>
      </c>
      <c r="C228" t="s">
        <v>294</v>
      </c>
      <c r="D228">
        <v>1770000</v>
      </c>
      <c r="E228" t="s">
        <v>174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143</v>
      </c>
      <c r="C229" t="s">
        <v>408</v>
      </c>
      <c r="D229">
        <v>1310000</v>
      </c>
      <c r="E229" t="s">
        <v>129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185</v>
      </c>
      <c r="C230" t="s">
        <v>310</v>
      </c>
      <c r="D230">
        <v>1290000</v>
      </c>
      <c r="E230" t="s">
        <v>343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165</v>
      </c>
      <c r="C231" t="s">
        <v>409</v>
      </c>
      <c r="D231">
        <v>1230000</v>
      </c>
      <c r="E231" t="s">
        <v>322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185</v>
      </c>
      <c r="C232" t="s">
        <v>410</v>
      </c>
      <c r="D232">
        <v>1820000</v>
      </c>
      <c r="E232" t="s">
        <v>118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80</v>
      </c>
      <c r="C233" t="s">
        <v>411</v>
      </c>
      <c r="D233">
        <v>1840000</v>
      </c>
      <c r="E233" t="s">
        <v>127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79</v>
      </c>
      <c r="C234" t="s">
        <v>412</v>
      </c>
      <c r="D234">
        <v>1480000</v>
      </c>
      <c r="E234" t="s">
        <v>136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185</v>
      </c>
      <c r="C235" t="s">
        <v>413</v>
      </c>
      <c r="D235">
        <v>1820000</v>
      </c>
      <c r="E235" t="s">
        <v>118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143</v>
      </c>
      <c r="C236" t="s">
        <v>199</v>
      </c>
      <c r="D236">
        <v>1310000</v>
      </c>
      <c r="E236" t="s">
        <v>129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143</v>
      </c>
      <c r="C237" t="s">
        <v>258</v>
      </c>
      <c r="D237">
        <v>1120000</v>
      </c>
      <c r="E237" t="s">
        <v>183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164</v>
      </c>
      <c r="C238" t="s">
        <v>200</v>
      </c>
      <c r="D238">
        <v>1840000</v>
      </c>
      <c r="E238" t="s">
        <v>127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135</v>
      </c>
      <c r="C239" t="s">
        <v>233</v>
      </c>
      <c r="D239">
        <v>1760000</v>
      </c>
      <c r="E239" t="s">
        <v>194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185</v>
      </c>
      <c r="C240" t="s">
        <v>251</v>
      </c>
      <c r="D240">
        <v>1810000</v>
      </c>
      <c r="E240" t="s">
        <v>335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144</v>
      </c>
      <c r="C241" t="s">
        <v>261</v>
      </c>
      <c r="D241">
        <v>1540000</v>
      </c>
      <c r="E241" t="s">
        <v>184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182</v>
      </c>
      <c r="C242" t="s">
        <v>281</v>
      </c>
      <c r="D242">
        <v>540000</v>
      </c>
      <c r="E242" t="s">
        <v>332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149</v>
      </c>
      <c r="C243" t="s">
        <v>224</v>
      </c>
      <c r="D243">
        <v>1480000</v>
      </c>
      <c r="E243" t="s">
        <v>136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135</v>
      </c>
      <c r="C244" t="s">
        <v>285</v>
      </c>
      <c r="D244">
        <v>940000</v>
      </c>
      <c r="E244" t="s">
        <v>195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140</v>
      </c>
      <c r="C245" t="s">
        <v>221</v>
      </c>
      <c r="D245">
        <v>1310000</v>
      </c>
      <c r="E245" t="s">
        <v>129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150</v>
      </c>
      <c r="C246" t="s">
        <v>279</v>
      </c>
      <c r="D246">
        <v>1780000</v>
      </c>
      <c r="E246" t="s">
        <v>196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165</v>
      </c>
      <c r="C247" t="s">
        <v>197</v>
      </c>
      <c r="D247">
        <v>1840000</v>
      </c>
      <c r="E247" t="s">
        <v>127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135</v>
      </c>
      <c r="C248" t="s">
        <v>316</v>
      </c>
      <c r="D248">
        <v>1280000</v>
      </c>
      <c r="E248" t="s">
        <v>147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140</v>
      </c>
      <c r="C249" t="s">
        <v>248</v>
      </c>
      <c r="D249">
        <v>1120000</v>
      </c>
      <c r="E249" t="s">
        <v>183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93</v>
      </c>
      <c r="C250" t="s">
        <v>414</v>
      </c>
      <c r="D250">
        <v>900000</v>
      </c>
      <c r="E250" t="s">
        <v>154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144</v>
      </c>
      <c r="C251" t="s">
        <v>266</v>
      </c>
      <c r="D251">
        <v>1540000</v>
      </c>
      <c r="E251" t="s">
        <v>184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150</v>
      </c>
      <c r="C252" t="s">
        <v>415</v>
      </c>
      <c r="D252">
        <v>1460000</v>
      </c>
      <c r="E252" t="s">
        <v>128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149</v>
      </c>
      <c r="C253" t="s">
        <v>238</v>
      </c>
      <c r="D253">
        <v>1480000</v>
      </c>
      <c r="E253" t="s">
        <v>136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187</v>
      </c>
      <c r="C254" t="s">
        <v>227</v>
      </c>
      <c r="D254">
        <v>1520000</v>
      </c>
      <c r="E254" t="s">
        <v>168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143</v>
      </c>
      <c r="C255" t="s">
        <v>234</v>
      </c>
      <c r="D255">
        <v>1310000</v>
      </c>
      <c r="E255" t="s">
        <v>129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148</v>
      </c>
      <c r="C256" t="s">
        <v>243</v>
      </c>
      <c r="D256">
        <v>1520000</v>
      </c>
      <c r="E256" t="s">
        <v>168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150</v>
      </c>
      <c r="C257" t="s">
        <v>263</v>
      </c>
      <c r="D257">
        <v>1540000</v>
      </c>
      <c r="E257" t="s">
        <v>184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143</v>
      </c>
      <c r="C258" t="s">
        <v>247</v>
      </c>
      <c r="D258">
        <v>1120000</v>
      </c>
      <c r="E258" t="s">
        <v>183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148</v>
      </c>
      <c r="C259" t="s">
        <v>223</v>
      </c>
      <c r="D259">
        <v>1480000</v>
      </c>
      <c r="E259" t="s">
        <v>136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193</v>
      </c>
      <c r="C260" t="s">
        <v>250</v>
      </c>
      <c r="D260">
        <v>1810000</v>
      </c>
      <c r="E260" t="s">
        <v>335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149</v>
      </c>
      <c r="C261" t="s">
        <v>190</v>
      </c>
      <c r="D261">
        <v>1480000</v>
      </c>
      <c r="E261" t="s">
        <v>136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148</v>
      </c>
      <c r="C262" t="s">
        <v>282</v>
      </c>
      <c r="D262">
        <v>950000</v>
      </c>
      <c r="E262" t="s">
        <v>191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141</v>
      </c>
      <c r="C263" t="s">
        <v>283</v>
      </c>
      <c r="D263">
        <v>1240000</v>
      </c>
      <c r="E263" t="s">
        <v>192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143</v>
      </c>
      <c r="C264" t="s">
        <v>286</v>
      </c>
      <c r="D264">
        <v>1120000</v>
      </c>
      <c r="E264" t="s">
        <v>183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185</v>
      </c>
      <c r="C265" t="s">
        <v>271</v>
      </c>
      <c r="D265">
        <v>1810000</v>
      </c>
      <c r="E265" t="s">
        <v>335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143</v>
      </c>
      <c r="C266" t="s">
        <v>289</v>
      </c>
      <c r="D266">
        <v>1120000</v>
      </c>
      <c r="E266" t="s">
        <v>183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135</v>
      </c>
      <c r="C267" t="s">
        <v>256</v>
      </c>
      <c r="D267">
        <v>940000</v>
      </c>
      <c r="E267" t="s">
        <v>195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134</v>
      </c>
      <c r="C268" t="s">
        <v>315</v>
      </c>
      <c r="D268">
        <v>1280000</v>
      </c>
      <c r="E268" t="s">
        <v>147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144</v>
      </c>
      <c r="C269" t="s">
        <v>269</v>
      </c>
      <c r="D269">
        <v>1540000</v>
      </c>
      <c r="E269" t="s">
        <v>184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198</v>
      </c>
      <c r="C270" t="s">
        <v>372</v>
      </c>
      <c r="D270">
        <v>1840000</v>
      </c>
      <c r="E270" t="s">
        <v>127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140</v>
      </c>
      <c r="C271" t="s">
        <v>248</v>
      </c>
      <c r="D271">
        <v>1120000</v>
      </c>
      <c r="E271" t="s">
        <v>183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92</v>
      </c>
      <c r="C272" t="s">
        <v>416</v>
      </c>
      <c r="D272">
        <v>900000</v>
      </c>
      <c r="E272" t="s">
        <v>154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164</v>
      </c>
      <c r="C273" t="s">
        <v>252</v>
      </c>
      <c r="D273">
        <v>880000</v>
      </c>
      <c r="E273" t="s">
        <v>167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78</v>
      </c>
      <c r="C274" t="s">
        <v>417</v>
      </c>
      <c r="D274">
        <v>1480000</v>
      </c>
      <c r="E274" t="s">
        <v>136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187</v>
      </c>
      <c r="C275" t="s">
        <v>242</v>
      </c>
      <c r="D275">
        <v>540000</v>
      </c>
      <c r="E275" t="s">
        <v>332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144</v>
      </c>
      <c r="C276" t="s">
        <v>418</v>
      </c>
      <c r="D276">
        <v>1460000</v>
      </c>
      <c r="E276" t="s">
        <v>128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164</v>
      </c>
      <c r="C277" t="s">
        <v>241</v>
      </c>
      <c r="D277">
        <v>1100000</v>
      </c>
      <c r="E277" t="s">
        <v>186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317</v>
      </c>
      <c r="C278" t="s">
        <v>397</v>
      </c>
      <c r="D278">
        <v>1340000</v>
      </c>
      <c r="E278" t="s">
        <v>169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150</v>
      </c>
      <c r="C279" t="s">
        <v>264</v>
      </c>
      <c r="D279">
        <v>1540000</v>
      </c>
      <c r="E279" t="s">
        <v>184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165</v>
      </c>
      <c r="C280" t="s">
        <v>235</v>
      </c>
      <c r="D280">
        <v>1840000</v>
      </c>
      <c r="E280" t="s">
        <v>127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317</v>
      </c>
      <c r="C281" t="s">
        <v>240</v>
      </c>
      <c r="D281">
        <v>1830000</v>
      </c>
      <c r="E281" t="s">
        <v>166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182</v>
      </c>
      <c r="C282" t="s">
        <v>253</v>
      </c>
      <c r="D282">
        <v>540000</v>
      </c>
      <c r="E282" t="s">
        <v>332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134</v>
      </c>
      <c r="C283" t="s">
        <v>231</v>
      </c>
      <c r="D283">
        <v>1760000</v>
      </c>
      <c r="E283" t="s">
        <v>194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144</v>
      </c>
      <c r="C284" t="s">
        <v>268</v>
      </c>
      <c r="D284">
        <v>1540000</v>
      </c>
      <c r="E284" t="s">
        <v>184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135</v>
      </c>
      <c r="C285" t="s">
        <v>225</v>
      </c>
      <c r="D285">
        <v>1760000</v>
      </c>
      <c r="E285" t="s">
        <v>194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317</v>
      </c>
      <c r="C286" t="s">
        <v>254</v>
      </c>
      <c r="D286">
        <v>1470000</v>
      </c>
      <c r="E286" t="s">
        <v>347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144</v>
      </c>
      <c r="C287" t="s">
        <v>260</v>
      </c>
      <c r="D287">
        <v>1540000</v>
      </c>
      <c r="E287" t="s">
        <v>184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149</v>
      </c>
      <c r="C288" t="s">
        <v>288</v>
      </c>
      <c r="D288">
        <v>950000</v>
      </c>
      <c r="E288" t="s">
        <v>191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148</v>
      </c>
      <c r="C289" t="s">
        <v>345</v>
      </c>
      <c r="D289">
        <v>1090000</v>
      </c>
      <c r="E289" t="s">
        <v>155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198</v>
      </c>
      <c r="C290" t="s">
        <v>419</v>
      </c>
      <c r="D290">
        <v>1340000</v>
      </c>
      <c r="E290" t="s">
        <v>169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141</v>
      </c>
      <c r="C291" t="s">
        <v>293</v>
      </c>
      <c r="D291">
        <v>1770000</v>
      </c>
      <c r="E291" t="s">
        <v>174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148</v>
      </c>
      <c r="C292" t="s">
        <v>420</v>
      </c>
      <c r="D292">
        <v>1090000</v>
      </c>
      <c r="E292" t="s">
        <v>155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150</v>
      </c>
      <c r="C293" t="s">
        <v>272</v>
      </c>
      <c r="D293">
        <v>1780000</v>
      </c>
      <c r="E293" t="s">
        <v>196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149</v>
      </c>
      <c r="C294" t="s">
        <v>245</v>
      </c>
      <c r="D294">
        <v>1520000</v>
      </c>
      <c r="E294" t="s">
        <v>168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78</v>
      </c>
      <c r="C295" t="s">
        <v>421</v>
      </c>
      <c r="D295">
        <v>1480000</v>
      </c>
      <c r="E295" t="s">
        <v>136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140</v>
      </c>
      <c r="C296" t="s">
        <v>259</v>
      </c>
      <c r="D296">
        <v>1120000</v>
      </c>
      <c r="E296" t="s">
        <v>183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149</v>
      </c>
      <c r="C297" t="s">
        <v>375</v>
      </c>
      <c r="D297">
        <v>1090000</v>
      </c>
      <c r="E297" t="s">
        <v>155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141</v>
      </c>
      <c r="C298" t="s">
        <v>300</v>
      </c>
      <c r="D298">
        <v>1770000</v>
      </c>
      <c r="E298" t="s">
        <v>174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93</v>
      </c>
      <c r="C299" t="s">
        <v>422</v>
      </c>
      <c r="D299">
        <v>900000</v>
      </c>
      <c r="E299" t="s">
        <v>154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144</v>
      </c>
      <c r="C300" t="s">
        <v>277</v>
      </c>
      <c r="D300">
        <v>1780000</v>
      </c>
      <c r="E300" t="s">
        <v>196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135</v>
      </c>
      <c r="C301" t="s">
        <v>308</v>
      </c>
      <c r="D301">
        <v>1280000</v>
      </c>
      <c r="E301" t="s">
        <v>147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134</v>
      </c>
      <c r="C302" t="s">
        <v>307</v>
      </c>
      <c r="D302">
        <v>1280000</v>
      </c>
      <c r="E302" t="s">
        <v>147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141</v>
      </c>
      <c r="C303" t="s">
        <v>304</v>
      </c>
      <c r="D303">
        <v>1770000</v>
      </c>
      <c r="E303" t="s">
        <v>174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81</v>
      </c>
      <c r="C304" t="s">
        <v>423</v>
      </c>
      <c r="D304">
        <v>1840000</v>
      </c>
      <c r="E304" t="s">
        <v>127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144</v>
      </c>
      <c r="C305" t="s">
        <v>280</v>
      </c>
      <c r="D305">
        <v>1780000</v>
      </c>
      <c r="E305" t="s">
        <v>196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80</v>
      </c>
      <c r="C306" t="s">
        <v>424</v>
      </c>
      <c r="D306">
        <v>1840000</v>
      </c>
      <c r="E306" t="s">
        <v>127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135</v>
      </c>
      <c r="C307" t="s">
        <v>302</v>
      </c>
      <c r="D307">
        <v>1280000</v>
      </c>
      <c r="E307" t="s">
        <v>147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148</v>
      </c>
      <c r="C308" t="s">
        <v>425</v>
      </c>
      <c r="D308">
        <v>1120000</v>
      </c>
      <c r="E308" t="s">
        <v>183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134</v>
      </c>
      <c r="C309" t="s">
        <v>301</v>
      </c>
      <c r="D309">
        <v>1280000</v>
      </c>
      <c r="E309" t="s">
        <v>147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150</v>
      </c>
      <c r="C310" t="s">
        <v>426</v>
      </c>
      <c r="D310">
        <v>1460000</v>
      </c>
      <c r="E310" t="s">
        <v>128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182</v>
      </c>
      <c r="C311" t="s">
        <v>298</v>
      </c>
      <c r="D311">
        <v>1140000</v>
      </c>
      <c r="E311" t="s">
        <v>156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79</v>
      </c>
      <c r="C312" t="s">
        <v>427</v>
      </c>
      <c r="D312">
        <v>950000</v>
      </c>
      <c r="E312" t="s">
        <v>191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135</v>
      </c>
      <c r="C313" t="s">
        <v>295</v>
      </c>
      <c r="D313">
        <v>1280000</v>
      </c>
      <c r="E313" t="s">
        <v>147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149</v>
      </c>
      <c r="C314" t="s">
        <v>353</v>
      </c>
      <c r="D314">
        <v>1090000</v>
      </c>
      <c r="E314" t="s">
        <v>155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193</v>
      </c>
      <c r="C315" t="s">
        <v>297</v>
      </c>
      <c r="D315">
        <v>1290000</v>
      </c>
      <c r="E315" t="s">
        <v>343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70</v>
      </c>
      <c r="C316" t="s">
        <v>392</v>
      </c>
      <c r="D316">
        <v>1540000</v>
      </c>
      <c r="E316" t="s">
        <v>184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144</v>
      </c>
      <c r="C317" t="s">
        <v>274</v>
      </c>
      <c r="D317">
        <v>1780000</v>
      </c>
      <c r="E317" t="s">
        <v>196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317</v>
      </c>
      <c r="C318" t="s">
        <v>428</v>
      </c>
      <c r="D318">
        <v>1810000</v>
      </c>
      <c r="E318" t="s">
        <v>335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142</v>
      </c>
      <c r="C319" t="s">
        <v>284</v>
      </c>
      <c r="D319">
        <v>1240000</v>
      </c>
      <c r="E319" t="s">
        <v>192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150</v>
      </c>
      <c r="C320" t="s">
        <v>395</v>
      </c>
      <c r="D320">
        <v>1460000</v>
      </c>
      <c r="E320" t="s">
        <v>128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81</v>
      </c>
      <c r="C321" t="s">
        <v>429</v>
      </c>
      <c r="D321">
        <v>890000</v>
      </c>
      <c r="E321" t="s">
        <v>342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102</v>
      </c>
      <c r="K1" s="56" t="s">
        <v>103</v>
      </c>
      <c r="L1" s="56" t="s">
        <v>104</v>
      </c>
      <c r="M1" s="33"/>
    </row>
    <row r="2" spans="1:13" ht="15.75" thickBot="1" x14ac:dyDescent="0.3">
      <c r="A2" s="19">
        <v>42555</v>
      </c>
      <c r="B2" s="4"/>
      <c r="C2" s="22">
        <v>50</v>
      </c>
      <c r="F2" t="s">
        <v>63</v>
      </c>
      <c r="J2" s="56" t="s">
        <v>102</v>
      </c>
      <c r="K2" s="56" t="s">
        <v>103</v>
      </c>
      <c r="L2" s="56" t="s">
        <v>104</v>
      </c>
      <c r="M2" s="33"/>
    </row>
    <row r="3" spans="1:13" x14ac:dyDescent="0.25">
      <c r="F3" t="s">
        <v>64</v>
      </c>
      <c r="J3" s="57" t="s">
        <v>105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106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107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108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109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110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111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112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113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114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115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116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2016-07-07T21:05:27Z</dcterms:modified>
</cp:coreProperties>
</file>