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71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Enforcements!$A$6:$V$66</definedName>
    <definedName name="_xlnm._FilterDatabase" localSheetId="2" hidden="1">'Missing Trips'!$A$2:$H$2</definedName>
    <definedName name="_xlnm._FilterDatabase" localSheetId="0" hidden="1">'Train Runs'!$A$12:$AG$207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4" i="1" l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13" i="1"/>
  <c r="U8" i="3" l="1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7" i="3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S7" i="1" s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13" i="1"/>
  <c r="X6" i="1"/>
  <c r="W6" i="1"/>
  <c r="V6" i="1"/>
  <c r="S6" i="1"/>
  <c r="R2" i="1"/>
  <c r="J7" i="1"/>
  <c r="I2" i="1"/>
  <c r="O6" i="1"/>
  <c r="N6" i="1"/>
  <c r="M6" i="1"/>
  <c r="J6" i="1"/>
  <c r="M5" i="1" l="1"/>
  <c r="M8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13" i="1"/>
  <c r="H4" i="6" l="1"/>
  <c r="H5" i="6"/>
  <c r="H6" i="6"/>
  <c r="H3" i="6"/>
  <c r="X200" i="1"/>
  <c r="X201" i="1"/>
  <c r="P3" i="5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161" i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N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2" i="1"/>
  <c r="X203" i="1"/>
  <c r="X204" i="1"/>
  <c r="X205" i="1"/>
  <c r="X206" i="1"/>
  <c r="X207" i="1"/>
  <c r="X66" i="1"/>
  <c r="X67" i="1"/>
  <c r="X68" i="1"/>
  <c r="X69" i="1"/>
  <c r="O5" i="1" l="1" a="1"/>
  <c r="O5" i="1" s="1"/>
  <c r="O8" i="1" s="1"/>
  <c r="N5" i="1" a="1"/>
  <c r="N5" i="1" s="1"/>
  <c r="N8" i="1" s="1"/>
  <c r="J5" i="1"/>
  <c r="X5" i="1" a="1"/>
  <c r="X5" i="1" s="1"/>
  <c r="X8" i="1" s="1"/>
  <c r="V5" i="1"/>
  <c r="V8" i="1" s="1"/>
  <c r="S5" i="1"/>
  <c r="W5" i="1" a="1"/>
  <c r="W5" i="1" s="1"/>
  <c r="W8" i="1" s="1"/>
  <c r="X33" i="1"/>
  <c r="X34" i="1"/>
  <c r="K32" i="1"/>
  <c r="L32" i="1"/>
  <c r="M32" i="1"/>
  <c r="P32" i="1" s="1"/>
  <c r="T32" i="1"/>
  <c r="V32" i="1"/>
  <c r="X32" i="1"/>
  <c r="Y32" i="1"/>
  <c r="Z32" i="1"/>
  <c r="AA32" i="1" s="1"/>
  <c r="AB32" i="1"/>
  <c r="AC32" i="1"/>
  <c r="AD32" i="1"/>
  <c r="AE32" i="1"/>
  <c r="AF32" i="1"/>
  <c r="X35" i="1"/>
  <c r="X20" i="1"/>
  <c r="Y20" i="1"/>
  <c r="X21" i="1"/>
  <c r="Y21" i="1"/>
  <c r="X22" i="1"/>
  <c r="Y22" i="1"/>
  <c r="X23" i="1"/>
  <c r="Y23" i="1"/>
  <c r="X24" i="1"/>
  <c r="Y24" i="1"/>
  <c r="T15" i="1"/>
  <c r="V15" i="1"/>
  <c r="X15" i="1"/>
  <c r="Y15" i="1"/>
  <c r="Z15" i="1"/>
  <c r="AB15" i="1"/>
  <c r="AC15" i="1"/>
  <c r="AD15" i="1"/>
  <c r="AE15" i="1"/>
  <c r="AF15" i="1"/>
  <c r="T16" i="1"/>
  <c r="V16" i="1"/>
  <c r="X16" i="1"/>
  <c r="Y16" i="1"/>
  <c r="Z16" i="1"/>
  <c r="AB16" i="1"/>
  <c r="AC16" i="1"/>
  <c r="AD16" i="1"/>
  <c r="AE16" i="1"/>
  <c r="AF16" i="1"/>
  <c r="T17" i="1"/>
  <c r="V17" i="1"/>
  <c r="X17" i="1"/>
  <c r="Y17" i="1"/>
  <c r="Z17" i="1"/>
  <c r="AB17" i="1"/>
  <c r="AC17" i="1"/>
  <c r="AD17" i="1"/>
  <c r="AE17" i="1"/>
  <c r="AF17" i="1"/>
  <c r="T18" i="1"/>
  <c r="V18" i="1"/>
  <c r="X18" i="1"/>
  <c r="Y18" i="1"/>
  <c r="Z18" i="1"/>
  <c r="AB18" i="1"/>
  <c r="AC18" i="1"/>
  <c r="AD18" i="1"/>
  <c r="AE18" i="1"/>
  <c r="AF18" i="1"/>
  <c r="T19" i="1"/>
  <c r="V19" i="1"/>
  <c r="X19" i="1"/>
  <c r="Y19" i="1"/>
  <c r="Z19" i="1"/>
  <c r="AB19" i="1"/>
  <c r="AC19" i="1"/>
  <c r="AD19" i="1"/>
  <c r="AE19" i="1"/>
  <c r="AF19" i="1"/>
  <c r="T20" i="1"/>
  <c r="V20" i="1"/>
  <c r="Z20" i="1"/>
  <c r="AB20" i="1"/>
  <c r="AC20" i="1"/>
  <c r="AD20" i="1"/>
  <c r="AE20" i="1"/>
  <c r="P7" i="3" s="1"/>
  <c r="AF20" i="1"/>
  <c r="T21" i="1"/>
  <c r="V21" i="1"/>
  <c r="Z21" i="1"/>
  <c r="AB21" i="1"/>
  <c r="AC21" i="1"/>
  <c r="AD21" i="1"/>
  <c r="AE21" i="1"/>
  <c r="AF21" i="1"/>
  <c r="T22" i="1"/>
  <c r="V22" i="1"/>
  <c r="Z22" i="1"/>
  <c r="AB22" i="1"/>
  <c r="AC22" i="1"/>
  <c r="AD22" i="1"/>
  <c r="AE22" i="1"/>
  <c r="AF22" i="1"/>
  <c r="T23" i="1"/>
  <c r="V23" i="1"/>
  <c r="Z23" i="1"/>
  <c r="AB23" i="1"/>
  <c r="AC23" i="1"/>
  <c r="AD23" i="1"/>
  <c r="AE23" i="1"/>
  <c r="AF23" i="1"/>
  <c r="T24" i="1"/>
  <c r="V24" i="1"/>
  <c r="Z24" i="1"/>
  <c r="AB24" i="1"/>
  <c r="AC24" i="1"/>
  <c r="AD24" i="1"/>
  <c r="AE24" i="1"/>
  <c r="AF24" i="1"/>
  <c r="T25" i="1"/>
  <c r="V25" i="1"/>
  <c r="X25" i="1"/>
  <c r="Y25" i="1"/>
  <c r="Z25" i="1"/>
  <c r="AB25" i="1"/>
  <c r="AC25" i="1"/>
  <c r="AD25" i="1"/>
  <c r="AE25" i="1"/>
  <c r="AF25" i="1"/>
  <c r="T26" i="1"/>
  <c r="V26" i="1"/>
  <c r="X26" i="1"/>
  <c r="Y26" i="1"/>
  <c r="Z26" i="1"/>
  <c r="AB26" i="1"/>
  <c r="AC26" i="1"/>
  <c r="AD26" i="1"/>
  <c r="AE26" i="1"/>
  <c r="AF26" i="1"/>
  <c r="T27" i="1"/>
  <c r="V27" i="1"/>
  <c r="X27" i="1"/>
  <c r="Y27" i="1"/>
  <c r="Z27" i="1"/>
  <c r="AB27" i="1"/>
  <c r="AC27" i="1"/>
  <c r="AD27" i="1"/>
  <c r="AE27" i="1"/>
  <c r="AF27" i="1"/>
  <c r="T28" i="1"/>
  <c r="V28" i="1"/>
  <c r="X28" i="1"/>
  <c r="Y28" i="1"/>
  <c r="Z28" i="1"/>
  <c r="AB28" i="1"/>
  <c r="AC28" i="1"/>
  <c r="AD28" i="1"/>
  <c r="AE28" i="1"/>
  <c r="AF28" i="1"/>
  <c r="T29" i="1"/>
  <c r="V29" i="1"/>
  <c r="X29" i="1"/>
  <c r="Y29" i="1"/>
  <c r="Z29" i="1"/>
  <c r="AB29" i="1"/>
  <c r="AC29" i="1"/>
  <c r="AD29" i="1"/>
  <c r="AE29" i="1"/>
  <c r="AF29" i="1"/>
  <c r="T30" i="1"/>
  <c r="V30" i="1"/>
  <c r="X30" i="1"/>
  <c r="Y30" i="1"/>
  <c r="Z30" i="1"/>
  <c r="AB30" i="1"/>
  <c r="AC30" i="1"/>
  <c r="AD30" i="1"/>
  <c r="AE30" i="1"/>
  <c r="AF30" i="1"/>
  <c r="T31" i="1"/>
  <c r="V31" i="1"/>
  <c r="X31" i="1"/>
  <c r="Y31" i="1"/>
  <c r="Z31" i="1"/>
  <c r="AB31" i="1"/>
  <c r="AC31" i="1"/>
  <c r="AD31" i="1"/>
  <c r="AE31" i="1"/>
  <c r="AF31" i="1"/>
  <c r="T33" i="1"/>
  <c r="V33" i="1"/>
  <c r="Y33" i="1"/>
  <c r="Z33" i="1"/>
  <c r="AB33" i="1"/>
  <c r="AC33" i="1"/>
  <c r="AD33" i="1"/>
  <c r="AE33" i="1"/>
  <c r="AF33" i="1"/>
  <c r="T34" i="1"/>
  <c r="V34" i="1"/>
  <c r="Y34" i="1"/>
  <c r="Z34" i="1"/>
  <c r="AB34" i="1"/>
  <c r="AC34" i="1"/>
  <c r="AD34" i="1"/>
  <c r="AE34" i="1"/>
  <c r="AF34" i="1"/>
  <c r="T35" i="1"/>
  <c r="V35" i="1"/>
  <c r="Y35" i="1"/>
  <c r="Z35" i="1"/>
  <c r="AB35" i="1"/>
  <c r="AC35" i="1"/>
  <c r="AD35" i="1"/>
  <c r="AE35" i="1"/>
  <c r="AF35" i="1"/>
  <c r="T36" i="1"/>
  <c r="V36" i="1"/>
  <c r="X36" i="1"/>
  <c r="Y36" i="1"/>
  <c r="Z36" i="1"/>
  <c r="AB36" i="1"/>
  <c r="AC36" i="1"/>
  <c r="AD36" i="1"/>
  <c r="AE36" i="1"/>
  <c r="AF36" i="1"/>
  <c r="T37" i="1"/>
  <c r="V37" i="1"/>
  <c r="X37" i="1"/>
  <c r="Y37" i="1"/>
  <c r="Z37" i="1"/>
  <c r="AB37" i="1"/>
  <c r="AC37" i="1"/>
  <c r="AD37" i="1"/>
  <c r="AE37" i="1"/>
  <c r="AF37" i="1"/>
  <c r="T38" i="1"/>
  <c r="V38" i="1"/>
  <c r="X38" i="1"/>
  <c r="Y38" i="1"/>
  <c r="Z38" i="1"/>
  <c r="AB38" i="1"/>
  <c r="AC38" i="1"/>
  <c r="AD38" i="1"/>
  <c r="AE38" i="1"/>
  <c r="AF38" i="1"/>
  <c r="T39" i="1"/>
  <c r="V39" i="1"/>
  <c r="X39" i="1"/>
  <c r="Y39" i="1"/>
  <c r="Z39" i="1"/>
  <c r="AB39" i="1"/>
  <c r="AC39" i="1"/>
  <c r="AD39" i="1"/>
  <c r="AE39" i="1"/>
  <c r="AF39" i="1"/>
  <c r="T40" i="1"/>
  <c r="V40" i="1"/>
  <c r="X40" i="1"/>
  <c r="Y40" i="1"/>
  <c r="Z40" i="1"/>
  <c r="AB40" i="1"/>
  <c r="AC40" i="1"/>
  <c r="AD40" i="1"/>
  <c r="AE40" i="1"/>
  <c r="AF40" i="1"/>
  <c r="T41" i="1"/>
  <c r="V41" i="1"/>
  <c r="X41" i="1"/>
  <c r="Y41" i="1"/>
  <c r="Z41" i="1"/>
  <c r="AB41" i="1"/>
  <c r="AC41" i="1"/>
  <c r="AD41" i="1"/>
  <c r="AE41" i="1"/>
  <c r="AF41" i="1"/>
  <c r="T42" i="1"/>
  <c r="V42" i="1"/>
  <c r="X42" i="1"/>
  <c r="Y42" i="1"/>
  <c r="Z42" i="1"/>
  <c r="AB42" i="1"/>
  <c r="AC42" i="1"/>
  <c r="AD42" i="1"/>
  <c r="AE42" i="1"/>
  <c r="AF42" i="1"/>
  <c r="T43" i="1"/>
  <c r="V43" i="1"/>
  <c r="X43" i="1"/>
  <c r="Y43" i="1"/>
  <c r="Z43" i="1"/>
  <c r="AB43" i="1"/>
  <c r="AC43" i="1"/>
  <c r="AD43" i="1"/>
  <c r="AE43" i="1"/>
  <c r="AF43" i="1"/>
  <c r="T44" i="1"/>
  <c r="V44" i="1"/>
  <c r="X44" i="1"/>
  <c r="Y44" i="1"/>
  <c r="Z44" i="1"/>
  <c r="AB44" i="1"/>
  <c r="AC44" i="1"/>
  <c r="AD44" i="1"/>
  <c r="AE44" i="1"/>
  <c r="AF44" i="1"/>
  <c r="T45" i="1"/>
  <c r="V45" i="1"/>
  <c r="X45" i="1"/>
  <c r="Y45" i="1"/>
  <c r="Z45" i="1"/>
  <c r="AB45" i="1"/>
  <c r="AC45" i="1"/>
  <c r="AD45" i="1"/>
  <c r="AE45" i="1"/>
  <c r="AF45" i="1"/>
  <c r="T46" i="1"/>
  <c r="V46" i="1"/>
  <c r="X46" i="1"/>
  <c r="Y46" i="1"/>
  <c r="Z46" i="1"/>
  <c r="AB46" i="1"/>
  <c r="AC46" i="1"/>
  <c r="AD46" i="1"/>
  <c r="AE46" i="1"/>
  <c r="AF46" i="1"/>
  <c r="T47" i="1"/>
  <c r="V47" i="1"/>
  <c r="X47" i="1"/>
  <c r="Y47" i="1"/>
  <c r="Z47" i="1"/>
  <c r="AB47" i="1"/>
  <c r="AC47" i="1"/>
  <c r="AD47" i="1"/>
  <c r="AE47" i="1"/>
  <c r="AF47" i="1"/>
  <c r="T48" i="1"/>
  <c r="V48" i="1"/>
  <c r="X48" i="1"/>
  <c r="Y48" i="1"/>
  <c r="Z48" i="1"/>
  <c r="AB48" i="1"/>
  <c r="AC48" i="1"/>
  <c r="AD48" i="1"/>
  <c r="AE48" i="1"/>
  <c r="AF48" i="1"/>
  <c r="T49" i="1"/>
  <c r="V49" i="1"/>
  <c r="X49" i="1"/>
  <c r="Y49" i="1"/>
  <c r="Z49" i="1"/>
  <c r="AB49" i="1"/>
  <c r="AC49" i="1"/>
  <c r="AD49" i="1"/>
  <c r="AE49" i="1"/>
  <c r="AF49" i="1"/>
  <c r="T50" i="1"/>
  <c r="V50" i="1"/>
  <c r="X50" i="1"/>
  <c r="Y50" i="1"/>
  <c r="Z50" i="1"/>
  <c r="AB50" i="1"/>
  <c r="AC50" i="1"/>
  <c r="AD50" i="1"/>
  <c r="AE50" i="1"/>
  <c r="AF50" i="1"/>
  <c r="T51" i="1"/>
  <c r="V51" i="1"/>
  <c r="X51" i="1"/>
  <c r="Y51" i="1"/>
  <c r="Z51" i="1"/>
  <c r="AB51" i="1"/>
  <c r="AC51" i="1"/>
  <c r="AD51" i="1"/>
  <c r="AE51" i="1"/>
  <c r="AF51" i="1"/>
  <c r="T52" i="1"/>
  <c r="V52" i="1"/>
  <c r="X52" i="1"/>
  <c r="Y52" i="1"/>
  <c r="Z52" i="1"/>
  <c r="AB52" i="1"/>
  <c r="AC52" i="1"/>
  <c r="AD52" i="1"/>
  <c r="AE52" i="1"/>
  <c r="AF52" i="1"/>
  <c r="T53" i="1"/>
  <c r="V53" i="1"/>
  <c r="X53" i="1"/>
  <c r="Y53" i="1"/>
  <c r="Z53" i="1"/>
  <c r="AB53" i="1"/>
  <c r="AC53" i="1"/>
  <c r="AD53" i="1"/>
  <c r="AE53" i="1"/>
  <c r="AF53" i="1"/>
  <c r="T54" i="1"/>
  <c r="V54" i="1"/>
  <c r="X54" i="1"/>
  <c r="Y54" i="1"/>
  <c r="Z54" i="1"/>
  <c r="AB54" i="1"/>
  <c r="AC54" i="1"/>
  <c r="AD54" i="1"/>
  <c r="AE54" i="1"/>
  <c r="AF54" i="1"/>
  <c r="T55" i="1"/>
  <c r="V55" i="1"/>
  <c r="X55" i="1"/>
  <c r="Y55" i="1"/>
  <c r="Z55" i="1"/>
  <c r="AB55" i="1"/>
  <c r="AC55" i="1"/>
  <c r="AD55" i="1"/>
  <c r="AE55" i="1"/>
  <c r="AF55" i="1"/>
  <c r="T56" i="1"/>
  <c r="V56" i="1"/>
  <c r="X56" i="1"/>
  <c r="Y56" i="1"/>
  <c r="Z56" i="1"/>
  <c r="AB56" i="1"/>
  <c r="AC56" i="1"/>
  <c r="AD56" i="1"/>
  <c r="AE56" i="1"/>
  <c r="AF56" i="1"/>
  <c r="T57" i="1"/>
  <c r="V57" i="1"/>
  <c r="X57" i="1"/>
  <c r="Y57" i="1"/>
  <c r="Z57" i="1"/>
  <c r="AB57" i="1"/>
  <c r="AC57" i="1"/>
  <c r="AD57" i="1"/>
  <c r="AE57" i="1"/>
  <c r="AF57" i="1"/>
  <c r="T58" i="1"/>
  <c r="V58" i="1"/>
  <c r="X58" i="1"/>
  <c r="Y58" i="1"/>
  <c r="Z58" i="1"/>
  <c r="AB58" i="1"/>
  <c r="AC58" i="1"/>
  <c r="AD58" i="1"/>
  <c r="AE58" i="1"/>
  <c r="AF58" i="1"/>
  <c r="T59" i="1"/>
  <c r="V59" i="1"/>
  <c r="X59" i="1"/>
  <c r="Y59" i="1"/>
  <c r="Z59" i="1"/>
  <c r="AB59" i="1"/>
  <c r="AC59" i="1"/>
  <c r="AD59" i="1"/>
  <c r="AE59" i="1"/>
  <c r="AF59" i="1"/>
  <c r="T60" i="1"/>
  <c r="V60" i="1"/>
  <c r="X60" i="1"/>
  <c r="Y60" i="1"/>
  <c r="Z60" i="1"/>
  <c r="AB60" i="1"/>
  <c r="AC60" i="1"/>
  <c r="AD60" i="1"/>
  <c r="AE60" i="1"/>
  <c r="AF60" i="1"/>
  <c r="T61" i="1"/>
  <c r="V61" i="1"/>
  <c r="X61" i="1"/>
  <c r="Y61" i="1"/>
  <c r="Z61" i="1"/>
  <c r="AB61" i="1"/>
  <c r="AC61" i="1"/>
  <c r="AD61" i="1"/>
  <c r="AE61" i="1"/>
  <c r="AF61" i="1"/>
  <c r="T62" i="1"/>
  <c r="V62" i="1"/>
  <c r="X62" i="1"/>
  <c r="Y62" i="1"/>
  <c r="Z62" i="1"/>
  <c r="AB62" i="1"/>
  <c r="AC62" i="1"/>
  <c r="AD62" i="1"/>
  <c r="AE62" i="1"/>
  <c r="AF62" i="1"/>
  <c r="T63" i="1"/>
  <c r="V63" i="1"/>
  <c r="X63" i="1"/>
  <c r="Y63" i="1"/>
  <c r="Z63" i="1"/>
  <c r="AB63" i="1"/>
  <c r="AC63" i="1"/>
  <c r="AD63" i="1"/>
  <c r="AE63" i="1"/>
  <c r="AF63" i="1"/>
  <c r="T64" i="1"/>
  <c r="V64" i="1"/>
  <c r="X64" i="1"/>
  <c r="Y64" i="1"/>
  <c r="Z64" i="1"/>
  <c r="AB64" i="1"/>
  <c r="AC64" i="1"/>
  <c r="AD64" i="1"/>
  <c r="AE64" i="1"/>
  <c r="AF64" i="1"/>
  <c r="T65" i="1"/>
  <c r="V65" i="1"/>
  <c r="X65" i="1"/>
  <c r="Y65" i="1"/>
  <c r="Z65" i="1"/>
  <c r="AB65" i="1"/>
  <c r="AC65" i="1"/>
  <c r="AD65" i="1"/>
  <c r="AE65" i="1"/>
  <c r="AF65" i="1"/>
  <c r="T66" i="1"/>
  <c r="V66" i="1"/>
  <c r="Y66" i="1"/>
  <c r="Z66" i="1"/>
  <c r="AB66" i="1"/>
  <c r="AC66" i="1"/>
  <c r="AD66" i="1"/>
  <c r="AE66" i="1"/>
  <c r="AF66" i="1"/>
  <c r="T67" i="1"/>
  <c r="V67" i="1"/>
  <c r="Y67" i="1"/>
  <c r="Z67" i="1"/>
  <c r="AB67" i="1"/>
  <c r="AC67" i="1"/>
  <c r="AD67" i="1"/>
  <c r="AE67" i="1"/>
  <c r="AF67" i="1"/>
  <c r="T68" i="1"/>
  <c r="V68" i="1"/>
  <c r="Y68" i="1"/>
  <c r="Z68" i="1"/>
  <c r="AB68" i="1"/>
  <c r="AC68" i="1"/>
  <c r="AD68" i="1"/>
  <c r="AE68" i="1"/>
  <c r="AF68" i="1"/>
  <c r="T69" i="1"/>
  <c r="V69" i="1"/>
  <c r="Y69" i="1"/>
  <c r="Z69" i="1"/>
  <c r="AB69" i="1"/>
  <c r="AC69" i="1"/>
  <c r="AD69" i="1"/>
  <c r="AE69" i="1"/>
  <c r="AF69" i="1"/>
  <c r="T70" i="1"/>
  <c r="V70" i="1"/>
  <c r="X70" i="1"/>
  <c r="Y70" i="1"/>
  <c r="Z70" i="1"/>
  <c r="AB70" i="1"/>
  <c r="AC70" i="1"/>
  <c r="AD70" i="1"/>
  <c r="AE70" i="1"/>
  <c r="AF70" i="1"/>
  <c r="T71" i="1"/>
  <c r="V71" i="1"/>
  <c r="X71" i="1"/>
  <c r="Y71" i="1"/>
  <c r="Z71" i="1"/>
  <c r="AB71" i="1"/>
  <c r="AC71" i="1"/>
  <c r="AD71" i="1"/>
  <c r="AE71" i="1"/>
  <c r="AF71" i="1"/>
  <c r="T72" i="1"/>
  <c r="V72" i="1"/>
  <c r="X72" i="1"/>
  <c r="Y72" i="1"/>
  <c r="Z72" i="1"/>
  <c r="AB72" i="1"/>
  <c r="AC72" i="1"/>
  <c r="AD72" i="1"/>
  <c r="AE72" i="1"/>
  <c r="AF72" i="1"/>
  <c r="T73" i="1"/>
  <c r="V73" i="1"/>
  <c r="X73" i="1"/>
  <c r="Y73" i="1"/>
  <c r="Z73" i="1"/>
  <c r="AB73" i="1"/>
  <c r="AC73" i="1"/>
  <c r="AD73" i="1"/>
  <c r="AE73" i="1"/>
  <c r="AF73" i="1"/>
  <c r="T74" i="1"/>
  <c r="V74" i="1"/>
  <c r="X74" i="1"/>
  <c r="Y74" i="1"/>
  <c r="Z74" i="1"/>
  <c r="AB74" i="1"/>
  <c r="AC74" i="1"/>
  <c r="AD74" i="1"/>
  <c r="AE74" i="1"/>
  <c r="AF74" i="1"/>
  <c r="T75" i="1"/>
  <c r="V75" i="1"/>
  <c r="X75" i="1"/>
  <c r="Y75" i="1"/>
  <c r="Z75" i="1"/>
  <c r="AB75" i="1"/>
  <c r="AC75" i="1"/>
  <c r="AD75" i="1"/>
  <c r="AE75" i="1"/>
  <c r="AF75" i="1"/>
  <c r="T76" i="1"/>
  <c r="V76" i="1"/>
  <c r="X76" i="1"/>
  <c r="Y76" i="1"/>
  <c r="Z76" i="1"/>
  <c r="AB76" i="1"/>
  <c r="AC76" i="1"/>
  <c r="AD76" i="1"/>
  <c r="AE76" i="1"/>
  <c r="AF76" i="1"/>
  <c r="T77" i="1"/>
  <c r="V77" i="1"/>
  <c r="X77" i="1"/>
  <c r="Y77" i="1"/>
  <c r="Z77" i="1"/>
  <c r="AB77" i="1"/>
  <c r="AC77" i="1"/>
  <c r="AD77" i="1"/>
  <c r="AE77" i="1"/>
  <c r="AF77" i="1"/>
  <c r="T78" i="1"/>
  <c r="V78" i="1"/>
  <c r="X78" i="1"/>
  <c r="Y78" i="1"/>
  <c r="Z78" i="1"/>
  <c r="AB78" i="1"/>
  <c r="AC78" i="1"/>
  <c r="AD78" i="1"/>
  <c r="AE78" i="1"/>
  <c r="AF78" i="1"/>
  <c r="T79" i="1"/>
  <c r="V79" i="1"/>
  <c r="X79" i="1"/>
  <c r="Y79" i="1"/>
  <c r="Z79" i="1"/>
  <c r="AB79" i="1"/>
  <c r="AC79" i="1"/>
  <c r="AD79" i="1"/>
  <c r="AE79" i="1"/>
  <c r="AF79" i="1"/>
  <c r="T80" i="1"/>
  <c r="V80" i="1"/>
  <c r="X80" i="1"/>
  <c r="Y80" i="1"/>
  <c r="Z80" i="1"/>
  <c r="AB80" i="1"/>
  <c r="AC80" i="1"/>
  <c r="AD80" i="1"/>
  <c r="AE80" i="1"/>
  <c r="AF80" i="1"/>
  <c r="T81" i="1"/>
  <c r="V81" i="1"/>
  <c r="X81" i="1"/>
  <c r="Y81" i="1"/>
  <c r="Z81" i="1"/>
  <c r="AB81" i="1"/>
  <c r="AC81" i="1"/>
  <c r="AD81" i="1"/>
  <c r="AE81" i="1"/>
  <c r="AF81" i="1"/>
  <c r="T82" i="1"/>
  <c r="V82" i="1"/>
  <c r="X82" i="1"/>
  <c r="Y82" i="1"/>
  <c r="Z82" i="1"/>
  <c r="AB82" i="1"/>
  <c r="AC82" i="1"/>
  <c r="AD82" i="1"/>
  <c r="AE82" i="1"/>
  <c r="AF82" i="1"/>
  <c r="T83" i="1"/>
  <c r="V83" i="1"/>
  <c r="X83" i="1"/>
  <c r="Y83" i="1"/>
  <c r="Z83" i="1"/>
  <c r="AB83" i="1"/>
  <c r="AC83" i="1"/>
  <c r="AD83" i="1"/>
  <c r="AE83" i="1"/>
  <c r="AF83" i="1"/>
  <c r="T84" i="1"/>
  <c r="V84" i="1"/>
  <c r="X84" i="1"/>
  <c r="Y84" i="1"/>
  <c r="Z84" i="1"/>
  <c r="AB84" i="1"/>
  <c r="AC84" i="1"/>
  <c r="AD84" i="1"/>
  <c r="AE84" i="1"/>
  <c r="AF84" i="1"/>
  <c r="T85" i="1"/>
  <c r="V85" i="1"/>
  <c r="X85" i="1"/>
  <c r="Y85" i="1"/>
  <c r="Z85" i="1"/>
  <c r="AB85" i="1"/>
  <c r="AC85" i="1"/>
  <c r="AD85" i="1"/>
  <c r="AE85" i="1"/>
  <c r="AF85" i="1"/>
  <c r="T86" i="1"/>
  <c r="V86" i="1"/>
  <c r="X86" i="1"/>
  <c r="Y86" i="1"/>
  <c r="Z86" i="1"/>
  <c r="AB86" i="1"/>
  <c r="AC86" i="1"/>
  <c r="AD86" i="1"/>
  <c r="AE86" i="1"/>
  <c r="AF86" i="1"/>
  <c r="T87" i="1"/>
  <c r="V87" i="1"/>
  <c r="X87" i="1"/>
  <c r="Y87" i="1"/>
  <c r="Z87" i="1"/>
  <c r="AB87" i="1"/>
  <c r="AC87" i="1"/>
  <c r="AD87" i="1"/>
  <c r="AE87" i="1"/>
  <c r="AF87" i="1"/>
  <c r="T88" i="1"/>
  <c r="V88" i="1"/>
  <c r="X88" i="1"/>
  <c r="Y88" i="1"/>
  <c r="Z88" i="1"/>
  <c r="AB88" i="1"/>
  <c r="AC88" i="1"/>
  <c r="AD88" i="1"/>
  <c r="AE88" i="1"/>
  <c r="AF88" i="1"/>
  <c r="T89" i="1"/>
  <c r="V89" i="1"/>
  <c r="X89" i="1"/>
  <c r="Y89" i="1"/>
  <c r="Z89" i="1"/>
  <c r="AB89" i="1"/>
  <c r="AC89" i="1"/>
  <c r="AD89" i="1"/>
  <c r="AE89" i="1"/>
  <c r="AF89" i="1"/>
  <c r="T90" i="1"/>
  <c r="V90" i="1"/>
  <c r="X90" i="1"/>
  <c r="Y90" i="1"/>
  <c r="Z90" i="1"/>
  <c r="AB90" i="1"/>
  <c r="AC90" i="1"/>
  <c r="AD90" i="1"/>
  <c r="AE90" i="1"/>
  <c r="AF90" i="1"/>
  <c r="T91" i="1"/>
  <c r="V91" i="1"/>
  <c r="X91" i="1"/>
  <c r="Y91" i="1"/>
  <c r="Z91" i="1"/>
  <c r="AB91" i="1"/>
  <c r="AC91" i="1"/>
  <c r="AD91" i="1"/>
  <c r="AE91" i="1"/>
  <c r="AF91" i="1"/>
  <c r="T92" i="1"/>
  <c r="V92" i="1"/>
  <c r="X92" i="1"/>
  <c r="Y92" i="1"/>
  <c r="Z92" i="1"/>
  <c r="AB92" i="1"/>
  <c r="AC92" i="1"/>
  <c r="AD92" i="1"/>
  <c r="AE92" i="1"/>
  <c r="AF92" i="1"/>
  <c r="T93" i="1"/>
  <c r="V93" i="1"/>
  <c r="X93" i="1"/>
  <c r="Y93" i="1"/>
  <c r="Z93" i="1"/>
  <c r="AB93" i="1"/>
  <c r="AC93" i="1"/>
  <c r="AD93" i="1"/>
  <c r="AE93" i="1"/>
  <c r="AF93" i="1"/>
  <c r="T94" i="1"/>
  <c r="V94" i="1"/>
  <c r="X94" i="1"/>
  <c r="Y94" i="1"/>
  <c r="Z94" i="1"/>
  <c r="AB94" i="1"/>
  <c r="AC94" i="1"/>
  <c r="AD94" i="1"/>
  <c r="AE94" i="1"/>
  <c r="AF94" i="1"/>
  <c r="T95" i="1"/>
  <c r="V95" i="1"/>
  <c r="X95" i="1"/>
  <c r="Y95" i="1"/>
  <c r="Z95" i="1"/>
  <c r="AB95" i="1"/>
  <c r="AC95" i="1"/>
  <c r="AD95" i="1"/>
  <c r="AE95" i="1"/>
  <c r="AF95" i="1"/>
  <c r="T96" i="1"/>
  <c r="V96" i="1"/>
  <c r="X96" i="1"/>
  <c r="Y96" i="1"/>
  <c r="Z96" i="1"/>
  <c r="AB96" i="1"/>
  <c r="AC96" i="1"/>
  <c r="AD96" i="1"/>
  <c r="AE96" i="1"/>
  <c r="AF96" i="1"/>
  <c r="T97" i="1"/>
  <c r="V97" i="1"/>
  <c r="X97" i="1"/>
  <c r="Y97" i="1"/>
  <c r="Z97" i="1"/>
  <c r="AB97" i="1"/>
  <c r="AC97" i="1"/>
  <c r="AD97" i="1"/>
  <c r="AE97" i="1"/>
  <c r="AF97" i="1"/>
  <c r="T98" i="1"/>
  <c r="V98" i="1"/>
  <c r="X98" i="1"/>
  <c r="Y98" i="1"/>
  <c r="Z98" i="1"/>
  <c r="AB98" i="1"/>
  <c r="AC98" i="1"/>
  <c r="AD98" i="1"/>
  <c r="AE98" i="1"/>
  <c r="AF98" i="1"/>
  <c r="T99" i="1"/>
  <c r="V99" i="1"/>
  <c r="X99" i="1"/>
  <c r="Y99" i="1"/>
  <c r="Z99" i="1"/>
  <c r="AB99" i="1"/>
  <c r="AC99" i="1"/>
  <c r="AD99" i="1"/>
  <c r="AE99" i="1"/>
  <c r="AF99" i="1"/>
  <c r="T100" i="1"/>
  <c r="V100" i="1"/>
  <c r="X100" i="1"/>
  <c r="Y100" i="1"/>
  <c r="Z100" i="1"/>
  <c r="AB100" i="1"/>
  <c r="AC100" i="1"/>
  <c r="AD100" i="1"/>
  <c r="AE100" i="1"/>
  <c r="AF100" i="1"/>
  <c r="T101" i="1"/>
  <c r="V101" i="1"/>
  <c r="X101" i="1"/>
  <c r="Y101" i="1"/>
  <c r="Z101" i="1"/>
  <c r="AB101" i="1"/>
  <c r="AC101" i="1"/>
  <c r="AD101" i="1"/>
  <c r="AE101" i="1"/>
  <c r="AF101" i="1"/>
  <c r="T102" i="1"/>
  <c r="V102" i="1"/>
  <c r="X102" i="1"/>
  <c r="Y102" i="1"/>
  <c r="Z102" i="1"/>
  <c r="AB102" i="1"/>
  <c r="AC102" i="1"/>
  <c r="AD102" i="1"/>
  <c r="AE102" i="1"/>
  <c r="AF102" i="1"/>
  <c r="T103" i="1"/>
  <c r="V103" i="1"/>
  <c r="X103" i="1"/>
  <c r="Y103" i="1"/>
  <c r="Z103" i="1"/>
  <c r="AB103" i="1"/>
  <c r="AC103" i="1"/>
  <c r="AD103" i="1"/>
  <c r="AE103" i="1"/>
  <c r="AF103" i="1"/>
  <c r="T104" i="1"/>
  <c r="V104" i="1"/>
  <c r="X104" i="1"/>
  <c r="Y104" i="1"/>
  <c r="Z104" i="1"/>
  <c r="AB104" i="1"/>
  <c r="AC104" i="1"/>
  <c r="AD104" i="1"/>
  <c r="AE104" i="1"/>
  <c r="AF104" i="1"/>
  <c r="T105" i="1"/>
  <c r="V105" i="1"/>
  <c r="X105" i="1"/>
  <c r="Y105" i="1"/>
  <c r="Z105" i="1"/>
  <c r="AB105" i="1"/>
  <c r="AC105" i="1"/>
  <c r="AD105" i="1"/>
  <c r="AE105" i="1"/>
  <c r="AF105" i="1"/>
  <c r="T106" i="1"/>
  <c r="V106" i="1"/>
  <c r="X106" i="1"/>
  <c r="Y106" i="1"/>
  <c r="Z106" i="1"/>
  <c r="AB106" i="1"/>
  <c r="AC106" i="1"/>
  <c r="AD106" i="1"/>
  <c r="AE106" i="1"/>
  <c r="AF106" i="1"/>
  <c r="T107" i="1"/>
  <c r="V107" i="1"/>
  <c r="X107" i="1"/>
  <c r="Y107" i="1"/>
  <c r="Z107" i="1"/>
  <c r="AB107" i="1"/>
  <c r="AC107" i="1"/>
  <c r="AD107" i="1"/>
  <c r="AE107" i="1"/>
  <c r="AF107" i="1"/>
  <c r="T108" i="1"/>
  <c r="V108" i="1"/>
  <c r="X108" i="1"/>
  <c r="Y108" i="1"/>
  <c r="AB108" i="1"/>
  <c r="AC108" i="1"/>
  <c r="AD108" i="1"/>
  <c r="AE108" i="1"/>
  <c r="AF108" i="1"/>
  <c r="T109" i="1"/>
  <c r="V109" i="1"/>
  <c r="X109" i="1"/>
  <c r="Y109" i="1"/>
  <c r="Z109" i="1"/>
  <c r="AB109" i="1"/>
  <c r="AC109" i="1"/>
  <c r="AD109" i="1"/>
  <c r="AE109" i="1"/>
  <c r="AF109" i="1"/>
  <c r="T110" i="1"/>
  <c r="V110" i="1"/>
  <c r="X110" i="1"/>
  <c r="Y110" i="1"/>
  <c r="Z110" i="1"/>
  <c r="AB110" i="1"/>
  <c r="AC110" i="1"/>
  <c r="AD110" i="1"/>
  <c r="AE110" i="1"/>
  <c r="AF110" i="1"/>
  <c r="T111" i="1"/>
  <c r="V111" i="1"/>
  <c r="X111" i="1"/>
  <c r="Y111" i="1"/>
  <c r="Z111" i="1"/>
  <c r="AB111" i="1"/>
  <c r="AC111" i="1"/>
  <c r="AD111" i="1"/>
  <c r="AE111" i="1"/>
  <c r="AF111" i="1"/>
  <c r="T112" i="1"/>
  <c r="V112" i="1"/>
  <c r="X112" i="1"/>
  <c r="Y112" i="1"/>
  <c r="Z112" i="1"/>
  <c r="AB112" i="1"/>
  <c r="AC112" i="1"/>
  <c r="AD112" i="1"/>
  <c r="AE112" i="1"/>
  <c r="AF112" i="1"/>
  <c r="T113" i="1"/>
  <c r="V113" i="1"/>
  <c r="X113" i="1"/>
  <c r="Y113" i="1"/>
  <c r="Z113" i="1"/>
  <c r="AB113" i="1"/>
  <c r="AC113" i="1"/>
  <c r="AD113" i="1"/>
  <c r="AE113" i="1"/>
  <c r="AF113" i="1"/>
  <c r="T114" i="1"/>
  <c r="V114" i="1"/>
  <c r="X114" i="1"/>
  <c r="Y114" i="1"/>
  <c r="Z114" i="1"/>
  <c r="AB114" i="1"/>
  <c r="AC114" i="1"/>
  <c r="AD114" i="1"/>
  <c r="AE114" i="1"/>
  <c r="AF114" i="1"/>
  <c r="T115" i="1"/>
  <c r="V115" i="1"/>
  <c r="X115" i="1"/>
  <c r="Y115" i="1"/>
  <c r="Z115" i="1"/>
  <c r="AB115" i="1"/>
  <c r="AC115" i="1"/>
  <c r="AD115" i="1"/>
  <c r="AE115" i="1"/>
  <c r="AF115" i="1"/>
  <c r="T116" i="1"/>
  <c r="V116" i="1"/>
  <c r="X116" i="1"/>
  <c r="Y116" i="1"/>
  <c r="Z116" i="1"/>
  <c r="AB116" i="1"/>
  <c r="AC116" i="1"/>
  <c r="AD116" i="1"/>
  <c r="AE116" i="1"/>
  <c r="AF116" i="1"/>
  <c r="T117" i="1"/>
  <c r="V117" i="1"/>
  <c r="X117" i="1"/>
  <c r="Y117" i="1"/>
  <c r="Z117" i="1"/>
  <c r="AB117" i="1"/>
  <c r="AC117" i="1"/>
  <c r="AD117" i="1"/>
  <c r="AE117" i="1"/>
  <c r="AF117" i="1"/>
  <c r="T118" i="1"/>
  <c r="V118" i="1"/>
  <c r="X118" i="1"/>
  <c r="Y118" i="1"/>
  <c r="Z118" i="1"/>
  <c r="AB118" i="1"/>
  <c r="AC118" i="1"/>
  <c r="AD118" i="1"/>
  <c r="AE118" i="1"/>
  <c r="AF118" i="1"/>
  <c r="T119" i="1"/>
  <c r="V119" i="1"/>
  <c r="X119" i="1"/>
  <c r="Y119" i="1"/>
  <c r="Z119" i="1"/>
  <c r="AB119" i="1"/>
  <c r="AC119" i="1"/>
  <c r="AD119" i="1"/>
  <c r="AE119" i="1"/>
  <c r="AF119" i="1"/>
  <c r="T120" i="1"/>
  <c r="V120" i="1"/>
  <c r="X120" i="1"/>
  <c r="Y120" i="1"/>
  <c r="Z120" i="1"/>
  <c r="AB120" i="1"/>
  <c r="AC120" i="1"/>
  <c r="AD120" i="1"/>
  <c r="AE120" i="1"/>
  <c r="AF120" i="1"/>
  <c r="T121" i="1"/>
  <c r="V121" i="1"/>
  <c r="X121" i="1"/>
  <c r="Y121" i="1"/>
  <c r="Z121" i="1"/>
  <c r="AB121" i="1"/>
  <c r="AC121" i="1"/>
  <c r="AD121" i="1"/>
  <c r="AE121" i="1"/>
  <c r="AF121" i="1"/>
  <c r="T122" i="1"/>
  <c r="V122" i="1"/>
  <c r="X122" i="1"/>
  <c r="Y122" i="1"/>
  <c r="Z122" i="1"/>
  <c r="AB122" i="1"/>
  <c r="AC122" i="1"/>
  <c r="AD122" i="1"/>
  <c r="AE122" i="1"/>
  <c r="AF122" i="1"/>
  <c r="T123" i="1"/>
  <c r="V123" i="1"/>
  <c r="X123" i="1"/>
  <c r="Y123" i="1"/>
  <c r="Z123" i="1"/>
  <c r="AB123" i="1"/>
  <c r="AC123" i="1"/>
  <c r="AD123" i="1"/>
  <c r="AE123" i="1"/>
  <c r="AF123" i="1"/>
  <c r="T124" i="1"/>
  <c r="V124" i="1"/>
  <c r="X124" i="1"/>
  <c r="Y124" i="1"/>
  <c r="Z124" i="1"/>
  <c r="AB124" i="1"/>
  <c r="AC124" i="1"/>
  <c r="AD124" i="1"/>
  <c r="AE124" i="1"/>
  <c r="AF124" i="1"/>
  <c r="T125" i="1"/>
  <c r="V125" i="1"/>
  <c r="X125" i="1"/>
  <c r="Y125" i="1"/>
  <c r="Z125" i="1"/>
  <c r="AB125" i="1"/>
  <c r="AC125" i="1"/>
  <c r="AD125" i="1"/>
  <c r="AE125" i="1"/>
  <c r="AF125" i="1"/>
  <c r="T126" i="1"/>
  <c r="V126" i="1"/>
  <c r="X126" i="1"/>
  <c r="Y126" i="1"/>
  <c r="Z126" i="1"/>
  <c r="AB126" i="1"/>
  <c r="AC126" i="1"/>
  <c r="AD126" i="1"/>
  <c r="AE126" i="1"/>
  <c r="AF126" i="1"/>
  <c r="T127" i="1"/>
  <c r="V127" i="1"/>
  <c r="X127" i="1"/>
  <c r="Y127" i="1"/>
  <c r="Z127" i="1"/>
  <c r="AB127" i="1"/>
  <c r="AC127" i="1"/>
  <c r="AD127" i="1"/>
  <c r="AE127" i="1"/>
  <c r="AF127" i="1"/>
  <c r="T128" i="1"/>
  <c r="V128" i="1"/>
  <c r="X128" i="1"/>
  <c r="Y128" i="1"/>
  <c r="Z128" i="1"/>
  <c r="AB128" i="1"/>
  <c r="AC128" i="1"/>
  <c r="AD128" i="1"/>
  <c r="AE128" i="1"/>
  <c r="AF128" i="1"/>
  <c r="T129" i="1"/>
  <c r="V129" i="1"/>
  <c r="X129" i="1"/>
  <c r="Y129" i="1"/>
  <c r="Z129" i="1"/>
  <c r="AB129" i="1"/>
  <c r="AC129" i="1"/>
  <c r="AD129" i="1"/>
  <c r="AE129" i="1"/>
  <c r="AF129" i="1"/>
  <c r="T130" i="1"/>
  <c r="V130" i="1"/>
  <c r="X130" i="1"/>
  <c r="Y130" i="1"/>
  <c r="Z130" i="1"/>
  <c r="AB130" i="1"/>
  <c r="AC130" i="1"/>
  <c r="AD130" i="1"/>
  <c r="AE130" i="1"/>
  <c r="AF130" i="1"/>
  <c r="T131" i="1"/>
  <c r="V131" i="1"/>
  <c r="X131" i="1"/>
  <c r="Y131" i="1"/>
  <c r="Z131" i="1"/>
  <c r="AB131" i="1"/>
  <c r="AC131" i="1"/>
  <c r="AD131" i="1"/>
  <c r="AE131" i="1"/>
  <c r="AF131" i="1"/>
  <c r="T132" i="1"/>
  <c r="V132" i="1"/>
  <c r="X132" i="1"/>
  <c r="Y132" i="1"/>
  <c r="Z132" i="1"/>
  <c r="AB132" i="1"/>
  <c r="AC132" i="1"/>
  <c r="AD132" i="1"/>
  <c r="AE132" i="1"/>
  <c r="AF132" i="1"/>
  <c r="T133" i="1"/>
  <c r="V133" i="1"/>
  <c r="X133" i="1"/>
  <c r="Y133" i="1"/>
  <c r="Z133" i="1"/>
  <c r="AB133" i="1"/>
  <c r="AC133" i="1"/>
  <c r="AD133" i="1"/>
  <c r="AE133" i="1"/>
  <c r="AF133" i="1"/>
  <c r="T134" i="1"/>
  <c r="V134" i="1"/>
  <c r="X134" i="1"/>
  <c r="Y134" i="1"/>
  <c r="Z134" i="1"/>
  <c r="AB134" i="1"/>
  <c r="AC134" i="1"/>
  <c r="AD134" i="1"/>
  <c r="AE134" i="1"/>
  <c r="AF134" i="1"/>
  <c r="T135" i="1"/>
  <c r="V135" i="1"/>
  <c r="X135" i="1"/>
  <c r="Y135" i="1"/>
  <c r="Z135" i="1"/>
  <c r="AB135" i="1"/>
  <c r="AC135" i="1"/>
  <c r="AD135" i="1"/>
  <c r="AE135" i="1"/>
  <c r="AF135" i="1"/>
  <c r="T136" i="1"/>
  <c r="V136" i="1"/>
  <c r="X136" i="1"/>
  <c r="Y136" i="1"/>
  <c r="Z136" i="1"/>
  <c r="AB136" i="1"/>
  <c r="AC136" i="1"/>
  <c r="AD136" i="1"/>
  <c r="AE136" i="1"/>
  <c r="AF136" i="1"/>
  <c r="T137" i="1"/>
  <c r="V137" i="1"/>
  <c r="X137" i="1"/>
  <c r="Y137" i="1"/>
  <c r="Z137" i="1"/>
  <c r="AB137" i="1"/>
  <c r="AC137" i="1"/>
  <c r="AD137" i="1"/>
  <c r="AE137" i="1"/>
  <c r="AF137" i="1"/>
  <c r="T138" i="1"/>
  <c r="V138" i="1"/>
  <c r="X138" i="1"/>
  <c r="Y138" i="1"/>
  <c r="Z138" i="1"/>
  <c r="AB138" i="1"/>
  <c r="AC138" i="1"/>
  <c r="AD138" i="1"/>
  <c r="AE138" i="1"/>
  <c r="AF138" i="1"/>
  <c r="T139" i="1"/>
  <c r="V139" i="1"/>
  <c r="X139" i="1"/>
  <c r="Y139" i="1"/>
  <c r="Z139" i="1"/>
  <c r="AB139" i="1"/>
  <c r="AC139" i="1"/>
  <c r="AD139" i="1"/>
  <c r="AE139" i="1"/>
  <c r="AF139" i="1"/>
  <c r="T140" i="1"/>
  <c r="V140" i="1"/>
  <c r="X140" i="1"/>
  <c r="Y140" i="1"/>
  <c r="Z140" i="1"/>
  <c r="AB140" i="1"/>
  <c r="AC140" i="1"/>
  <c r="AD140" i="1"/>
  <c r="AE140" i="1"/>
  <c r="AF140" i="1"/>
  <c r="T141" i="1"/>
  <c r="V141" i="1"/>
  <c r="X141" i="1"/>
  <c r="Y141" i="1"/>
  <c r="Z141" i="1"/>
  <c r="AB141" i="1"/>
  <c r="AC141" i="1"/>
  <c r="AD141" i="1"/>
  <c r="AE141" i="1"/>
  <c r="AF141" i="1"/>
  <c r="T142" i="1"/>
  <c r="V142" i="1"/>
  <c r="X142" i="1"/>
  <c r="Y142" i="1"/>
  <c r="Z142" i="1"/>
  <c r="AB142" i="1"/>
  <c r="AC142" i="1"/>
  <c r="AD142" i="1"/>
  <c r="AE142" i="1"/>
  <c r="AF142" i="1"/>
  <c r="T143" i="1"/>
  <c r="V143" i="1"/>
  <c r="X143" i="1"/>
  <c r="Y143" i="1"/>
  <c r="Z143" i="1"/>
  <c r="AB143" i="1"/>
  <c r="AC143" i="1"/>
  <c r="AD143" i="1"/>
  <c r="AE143" i="1"/>
  <c r="AF143" i="1"/>
  <c r="T144" i="1"/>
  <c r="V144" i="1"/>
  <c r="X144" i="1"/>
  <c r="Y144" i="1"/>
  <c r="Z144" i="1"/>
  <c r="AB144" i="1"/>
  <c r="AC144" i="1"/>
  <c r="AD144" i="1"/>
  <c r="AE144" i="1"/>
  <c r="AF144" i="1"/>
  <c r="T145" i="1"/>
  <c r="V145" i="1"/>
  <c r="X145" i="1"/>
  <c r="Y145" i="1"/>
  <c r="Z145" i="1"/>
  <c r="AB145" i="1"/>
  <c r="AC145" i="1"/>
  <c r="AD145" i="1"/>
  <c r="AE145" i="1"/>
  <c r="AF145" i="1"/>
  <c r="T146" i="1"/>
  <c r="V146" i="1"/>
  <c r="X146" i="1"/>
  <c r="Y146" i="1"/>
  <c r="Z146" i="1"/>
  <c r="AB146" i="1"/>
  <c r="AC146" i="1"/>
  <c r="AD146" i="1"/>
  <c r="AE146" i="1"/>
  <c r="AF146" i="1"/>
  <c r="T147" i="1"/>
  <c r="V147" i="1"/>
  <c r="X147" i="1"/>
  <c r="Y147" i="1"/>
  <c r="Z147" i="1"/>
  <c r="AB147" i="1"/>
  <c r="AC147" i="1"/>
  <c r="AD147" i="1"/>
  <c r="AE147" i="1"/>
  <c r="AF147" i="1"/>
  <c r="T148" i="1"/>
  <c r="V148" i="1"/>
  <c r="X148" i="1"/>
  <c r="Y148" i="1"/>
  <c r="Z148" i="1"/>
  <c r="AB148" i="1"/>
  <c r="AC148" i="1"/>
  <c r="AD148" i="1"/>
  <c r="AE148" i="1"/>
  <c r="AF148" i="1"/>
  <c r="T149" i="1"/>
  <c r="V149" i="1"/>
  <c r="X149" i="1"/>
  <c r="Y149" i="1"/>
  <c r="Z149" i="1"/>
  <c r="AB149" i="1"/>
  <c r="AC149" i="1"/>
  <c r="AD149" i="1"/>
  <c r="AE149" i="1"/>
  <c r="AF149" i="1"/>
  <c r="T150" i="1"/>
  <c r="V150" i="1"/>
  <c r="X150" i="1"/>
  <c r="Y150" i="1"/>
  <c r="Z150" i="1"/>
  <c r="AB150" i="1"/>
  <c r="AC150" i="1"/>
  <c r="AD150" i="1"/>
  <c r="AE150" i="1"/>
  <c r="AF150" i="1"/>
  <c r="T151" i="1"/>
  <c r="V151" i="1"/>
  <c r="X151" i="1"/>
  <c r="Y151" i="1"/>
  <c r="Z151" i="1"/>
  <c r="AB151" i="1"/>
  <c r="AC151" i="1"/>
  <c r="AD151" i="1"/>
  <c r="AE151" i="1"/>
  <c r="AF151" i="1"/>
  <c r="T152" i="1"/>
  <c r="V152" i="1"/>
  <c r="X152" i="1"/>
  <c r="Y152" i="1"/>
  <c r="Z152" i="1"/>
  <c r="AB152" i="1"/>
  <c r="AC152" i="1"/>
  <c r="AD152" i="1"/>
  <c r="AE152" i="1"/>
  <c r="AF152" i="1"/>
  <c r="T153" i="1"/>
  <c r="V153" i="1"/>
  <c r="X153" i="1"/>
  <c r="Y153" i="1"/>
  <c r="Z153" i="1"/>
  <c r="AB153" i="1"/>
  <c r="AC153" i="1"/>
  <c r="AD153" i="1"/>
  <c r="AE153" i="1"/>
  <c r="AF153" i="1"/>
  <c r="T154" i="1"/>
  <c r="V154" i="1"/>
  <c r="X154" i="1"/>
  <c r="Y154" i="1"/>
  <c r="Z154" i="1"/>
  <c r="AB154" i="1"/>
  <c r="AC154" i="1"/>
  <c r="AD154" i="1"/>
  <c r="AE154" i="1"/>
  <c r="AF154" i="1"/>
  <c r="T155" i="1"/>
  <c r="V155" i="1"/>
  <c r="X155" i="1"/>
  <c r="Y155" i="1"/>
  <c r="Z155" i="1"/>
  <c r="AB155" i="1"/>
  <c r="AC155" i="1"/>
  <c r="AD155" i="1"/>
  <c r="AE155" i="1"/>
  <c r="AF155" i="1"/>
  <c r="T156" i="1"/>
  <c r="V156" i="1"/>
  <c r="X156" i="1"/>
  <c r="Y156" i="1"/>
  <c r="Z156" i="1"/>
  <c r="AB156" i="1"/>
  <c r="AC156" i="1"/>
  <c r="AD156" i="1"/>
  <c r="AE156" i="1"/>
  <c r="AF156" i="1"/>
  <c r="T157" i="1"/>
  <c r="V157" i="1"/>
  <c r="X157" i="1"/>
  <c r="Y157" i="1"/>
  <c r="Z157" i="1"/>
  <c r="AB157" i="1"/>
  <c r="AC157" i="1"/>
  <c r="AD157" i="1"/>
  <c r="AE157" i="1"/>
  <c r="AF157" i="1"/>
  <c r="T158" i="1"/>
  <c r="V158" i="1"/>
  <c r="X158" i="1"/>
  <c r="Y158" i="1"/>
  <c r="Z158" i="1"/>
  <c r="AB158" i="1"/>
  <c r="AC158" i="1"/>
  <c r="AD158" i="1"/>
  <c r="AE158" i="1"/>
  <c r="AF158" i="1"/>
  <c r="T159" i="1"/>
  <c r="V159" i="1"/>
  <c r="X159" i="1"/>
  <c r="Y159" i="1"/>
  <c r="Z159" i="1"/>
  <c r="AB159" i="1"/>
  <c r="AC159" i="1"/>
  <c r="AD159" i="1"/>
  <c r="AE159" i="1"/>
  <c r="AF159" i="1"/>
  <c r="T160" i="1"/>
  <c r="V160" i="1"/>
  <c r="X160" i="1"/>
  <c r="Y160" i="1"/>
  <c r="Z160" i="1"/>
  <c r="AB160" i="1"/>
  <c r="AC160" i="1"/>
  <c r="AD160" i="1"/>
  <c r="AE160" i="1"/>
  <c r="AF160" i="1"/>
  <c r="J8" i="1" l="1"/>
  <c r="J4" i="1"/>
  <c r="S8" i="1"/>
  <c r="S4" i="1"/>
  <c r="S32" i="1"/>
  <c r="AA85" i="1"/>
  <c r="AA79" i="1"/>
  <c r="AA71" i="1"/>
  <c r="AA49" i="1"/>
  <c r="AA160" i="1"/>
  <c r="S46" i="1"/>
  <c r="S44" i="1"/>
  <c r="AA92" i="1"/>
  <c r="AA86" i="1"/>
  <c r="AA70" i="1"/>
  <c r="AA65" i="1"/>
  <c r="AA63" i="1"/>
  <c r="AA61" i="1"/>
  <c r="AA55" i="1"/>
  <c r="AA51" i="1"/>
  <c r="AA31" i="1"/>
  <c r="AA133" i="1"/>
  <c r="AA80" i="1"/>
  <c r="AA152" i="1"/>
  <c r="S150" i="1"/>
  <c r="AA145" i="1"/>
  <c r="S137" i="1"/>
  <c r="S132" i="1"/>
  <c r="S128" i="1"/>
  <c r="AA126" i="1"/>
  <c r="AA122" i="1"/>
  <c r="AA106" i="1"/>
  <c r="AA100" i="1"/>
  <c r="AA94" i="1"/>
  <c r="S89" i="1"/>
  <c r="S67" i="1"/>
  <c r="S66" i="1"/>
  <c r="AA136" i="1"/>
  <c r="S119" i="1"/>
  <c r="S103" i="1"/>
  <c r="S101" i="1"/>
  <c r="S156" i="1"/>
  <c r="S154" i="1"/>
  <c r="AA104" i="1"/>
  <c r="AA22" i="1"/>
  <c r="AA16" i="1"/>
  <c r="S153" i="1"/>
  <c r="S148" i="1"/>
  <c r="AA139" i="1"/>
  <c r="AA98" i="1"/>
  <c r="AA57" i="1"/>
  <c r="AA47" i="1"/>
  <c r="AA45" i="1"/>
  <c r="AA15" i="1"/>
  <c r="S138" i="1"/>
  <c r="AA117" i="1"/>
  <c r="AA112" i="1"/>
  <c r="AA99" i="1"/>
  <c r="AA97" i="1"/>
  <c r="AA93" i="1"/>
  <c r="AA82" i="1"/>
  <c r="AA72" i="1"/>
  <c r="AA64" i="1"/>
  <c r="AA56" i="1"/>
  <c r="AA54" i="1"/>
  <c r="AA39" i="1"/>
  <c r="AA30" i="1"/>
  <c r="AA28" i="1"/>
  <c r="S129" i="1"/>
  <c r="S124" i="1"/>
  <c r="S110" i="1"/>
  <c r="AA146" i="1"/>
  <c r="S144" i="1"/>
  <c r="S140" i="1"/>
  <c r="S134" i="1"/>
  <c r="AA131" i="1"/>
  <c r="AA129" i="1"/>
  <c r="S120" i="1"/>
  <c r="S118" i="1"/>
  <c r="S83" i="1"/>
  <c r="S81" i="1"/>
  <c r="S62" i="1"/>
  <c r="S60" i="1"/>
  <c r="S58" i="1"/>
  <c r="AA147" i="1"/>
  <c r="AA144" i="1"/>
  <c r="AA140" i="1"/>
  <c r="AA134" i="1"/>
  <c r="S125" i="1"/>
  <c r="S111" i="1"/>
  <c r="S95" i="1"/>
  <c r="S77" i="1"/>
  <c r="S75" i="1"/>
  <c r="S73" i="1"/>
  <c r="S160" i="1"/>
  <c r="S158" i="1"/>
  <c r="S152" i="1"/>
  <c r="S149" i="1"/>
  <c r="S145" i="1"/>
  <c r="S142" i="1"/>
  <c r="AA141" i="1"/>
  <c r="AA135" i="1"/>
  <c r="S133" i="1"/>
  <c r="AA130" i="1"/>
  <c r="S121" i="1"/>
  <c r="S116" i="1"/>
  <c r="S115" i="1"/>
  <c r="AA113" i="1"/>
  <c r="S109" i="1"/>
  <c r="S107" i="1"/>
  <c r="AA105" i="1"/>
  <c r="AA91" i="1"/>
  <c r="AA87" i="1"/>
  <c r="AA78" i="1"/>
  <c r="AA76" i="1"/>
  <c r="AA69" i="1"/>
  <c r="S52" i="1"/>
  <c r="S50" i="1"/>
  <c r="AA48" i="1"/>
  <c r="AA40" i="1"/>
  <c r="AA37" i="1"/>
  <c r="AA23" i="1"/>
  <c r="S157" i="1"/>
  <c r="S91" i="1"/>
  <c r="S85" i="1"/>
  <c r="S69" i="1"/>
  <c r="S54" i="1"/>
  <c r="S122" i="1"/>
  <c r="AA159" i="1"/>
  <c r="AA158" i="1"/>
  <c r="AA154" i="1"/>
  <c r="S113" i="1"/>
  <c r="S112" i="1"/>
  <c r="S97" i="1"/>
  <c r="AA157" i="1"/>
  <c r="AA156" i="1"/>
  <c r="AA155" i="1"/>
  <c r="AA151" i="1"/>
  <c r="AA150" i="1"/>
  <c r="AA149" i="1"/>
  <c r="S146" i="1"/>
  <c r="S141" i="1"/>
  <c r="AA138" i="1"/>
  <c r="S136" i="1"/>
  <c r="AA118" i="1"/>
  <c r="S117" i="1"/>
  <c r="S114" i="1"/>
  <c r="AA77" i="1"/>
  <c r="AA62" i="1"/>
  <c r="AA46" i="1"/>
  <c r="S130" i="1"/>
  <c r="AA124" i="1"/>
  <c r="AA108" i="1"/>
  <c r="AA102" i="1"/>
  <c r="AA90" i="1"/>
  <c r="AA84" i="1"/>
  <c r="AA74" i="1"/>
  <c r="AA68" i="1"/>
  <c r="AA59" i="1"/>
  <c r="AA53" i="1"/>
  <c r="AA43" i="1"/>
  <c r="AA153" i="1"/>
  <c r="AA148" i="1"/>
  <c r="AA143" i="1"/>
  <c r="AA142" i="1"/>
  <c r="AA137" i="1"/>
  <c r="AA132" i="1"/>
  <c r="AA127" i="1"/>
  <c r="AA125" i="1"/>
  <c r="AA120" i="1"/>
  <c r="AA114" i="1"/>
  <c r="AA109" i="1"/>
  <c r="AA103" i="1"/>
  <c r="AA96" i="1"/>
  <c r="AA89" i="1"/>
  <c r="AA83" i="1"/>
  <c r="AA75" i="1"/>
  <c r="AA67" i="1"/>
  <c r="AA60" i="1"/>
  <c r="AA52" i="1"/>
  <c r="AA44" i="1"/>
  <c r="AA36" i="1"/>
  <c r="AA35" i="1"/>
  <c r="AA27" i="1"/>
  <c r="AA26" i="1"/>
  <c r="AA20" i="1"/>
  <c r="AA19" i="1"/>
  <c r="AA128" i="1"/>
  <c r="S126" i="1"/>
  <c r="S123" i="1"/>
  <c r="AA121" i="1"/>
  <c r="AA116" i="1"/>
  <c r="AA110" i="1"/>
  <c r="AA107" i="1"/>
  <c r="S105" i="1"/>
  <c r="AA101" i="1"/>
  <c r="S99" i="1"/>
  <c r="AA95" i="1"/>
  <c r="S93" i="1"/>
  <c r="AA88" i="1"/>
  <c r="S87" i="1"/>
  <c r="AA81" i="1"/>
  <c r="S79" i="1"/>
  <c r="AA73" i="1"/>
  <c r="S71" i="1"/>
  <c r="AA66" i="1"/>
  <c r="S64" i="1"/>
  <c r="AA58" i="1"/>
  <c r="S56" i="1"/>
  <c r="AA50" i="1"/>
  <c r="S48" i="1"/>
  <c r="AA41" i="1"/>
  <c r="AA33" i="1"/>
  <c r="AA24" i="1"/>
  <c r="AA17" i="1"/>
  <c r="S159" i="1"/>
  <c r="S155" i="1"/>
  <c r="S151" i="1"/>
  <c r="S147" i="1"/>
  <c r="S143" i="1"/>
  <c r="S139" i="1"/>
  <c r="S135" i="1"/>
  <c r="S131" i="1"/>
  <c r="S127" i="1"/>
  <c r="AA123" i="1"/>
  <c r="AA119" i="1"/>
  <c r="AA115" i="1"/>
  <c r="AA111" i="1"/>
  <c r="S40" i="1"/>
  <c r="S36" i="1"/>
  <c r="S33" i="1"/>
  <c r="S31" i="1"/>
  <c r="S28" i="1"/>
  <c r="S27" i="1"/>
  <c r="S23" i="1"/>
  <c r="S2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5" i="1"/>
  <c r="S63" i="1"/>
  <c r="S61" i="1"/>
  <c r="S59" i="1"/>
  <c r="S57" i="1"/>
  <c r="S55" i="1"/>
  <c r="S53" i="1"/>
  <c r="S51" i="1"/>
  <c r="S49" i="1"/>
  <c r="S47" i="1"/>
  <c r="S45" i="1"/>
  <c r="S43" i="1"/>
  <c r="S42" i="1"/>
  <c r="S38" i="1"/>
  <c r="S34" i="1"/>
  <c r="S29" i="1"/>
  <c r="S25" i="1"/>
  <c r="S21" i="1"/>
  <c r="S18" i="1"/>
  <c r="S41" i="1"/>
  <c r="S37" i="1"/>
  <c r="S24" i="1"/>
  <c r="S17" i="1"/>
  <c r="S16" i="1"/>
  <c r="S39" i="1"/>
  <c r="S35" i="1"/>
  <c r="S30" i="1"/>
  <c r="S26" i="1"/>
  <c r="S22" i="1"/>
  <c r="S19" i="1"/>
  <c r="S15" i="1"/>
  <c r="AA42" i="1"/>
  <c r="AA38" i="1"/>
  <c r="AA34" i="1"/>
  <c r="AA29" i="1"/>
  <c r="AA25" i="1"/>
  <c r="AA21" i="1"/>
  <c r="AA18" i="1"/>
  <c r="K30" i="1"/>
  <c r="L30" i="1"/>
  <c r="M30" i="1"/>
  <c r="N30" i="1" s="1"/>
  <c r="V14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13" i="1"/>
  <c r="S9" i="1" l="1"/>
  <c r="J9" i="1"/>
  <c r="K15" i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2" i="1"/>
  <c r="L22" i="1"/>
  <c r="M22" i="1"/>
  <c r="N22" i="1" s="1"/>
  <c r="K23" i="1"/>
  <c r="L23" i="1"/>
  <c r="M23" i="1"/>
  <c r="N23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P28" i="1" s="1"/>
  <c r="K29" i="1"/>
  <c r="L29" i="1"/>
  <c r="M29" i="1"/>
  <c r="N29" i="1" s="1"/>
  <c r="K31" i="1"/>
  <c r="L31" i="1"/>
  <c r="M31" i="1"/>
  <c r="N31" i="1" s="1"/>
  <c r="K33" i="1"/>
  <c r="L33" i="1"/>
  <c r="M33" i="1"/>
  <c r="N33" i="1" s="1"/>
  <c r="K34" i="1"/>
  <c r="L34" i="1"/>
  <c r="M34" i="1"/>
  <c r="N34" i="1" s="1"/>
  <c r="K35" i="1"/>
  <c r="L35" i="1"/>
  <c r="M35" i="1"/>
  <c r="N35" i="1" s="1"/>
  <c r="K36" i="1"/>
  <c r="L36" i="1"/>
  <c r="M36" i="1"/>
  <c r="N36" i="1" s="1"/>
  <c r="K37" i="1"/>
  <c r="L37" i="1"/>
  <c r="M37" i="1"/>
  <c r="N37" i="1" s="1"/>
  <c r="K38" i="1"/>
  <c r="L38" i="1"/>
  <c r="M38" i="1"/>
  <c r="N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N42" i="1" s="1"/>
  <c r="K43" i="1"/>
  <c r="L43" i="1"/>
  <c r="M43" i="1"/>
  <c r="N43" i="1" s="1"/>
  <c r="K44" i="1"/>
  <c r="L44" i="1"/>
  <c r="M44" i="1"/>
  <c r="P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P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K84" i="1"/>
  <c r="L84" i="1"/>
  <c r="M84" i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K93" i="1"/>
  <c r="L93" i="1"/>
  <c r="M93" i="1"/>
  <c r="K94" i="1"/>
  <c r="L94" i="1"/>
  <c r="M94" i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P107" i="1" s="1"/>
  <c r="K108" i="1"/>
  <c r="L108" i="1"/>
  <c r="M108" i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7" i="1"/>
  <c r="L127" i="1"/>
  <c r="M127" i="1"/>
  <c r="N127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N146" i="1" s="1"/>
  <c r="K147" i="1"/>
  <c r="L147" i="1"/>
  <c r="M147" i="1"/>
  <c r="N147" i="1" s="1"/>
  <c r="K148" i="1"/>
  <c r="L148" i="1"/>
  <c r="M148" i="1"/>
  <c r="N148" i="1" s="1"/>
  <c r="K149" i="1"/>
  <c r="L149" i="1"/>
  <c r="M149" i="1"/>
  <c r="N149" i="1" s="1"/>
  <c r="P48" i="3"/>
  <c r="L47" i="3"/>
  <c r="S47" i="3"/>
  <c r="R47" i="3" s="1"/>
  <c r="T47" i="3"/>
  <c r="V47" i="3"/>
  <c r="L63" i="3"/>
  <c r="S63" i="3"/>
  <c r="R63" i="3" s="1"/>
  <c r="T63" i="3"/>
  <c r="V63" i="3"/>
  <c r="L24" i="3"/>
  <c r="S24" i="3"/>
  <c r="R24" i="3" s="1"/>
  <c r="T24" i="3"/>
  <c r="V24" i="3"/>
  <c r="L42" i="3"/>
  <c r="S42" i="3"/>
  <c r="R42" i="3" s="1"/>
  <c r="T42" i="3"/>
  <c r="V42" i="3"/>
  <c r="L48" i="3"/>
  <c r="S48" i="3"/>
  <c r="R48" i="3" s="1"/>
  <c r="T48" i="3"/>
  <c r="V48" i="3"/>
  <c r="L52" i="3"/>
  <c r="S52" i="3"/>
  <c r="R52" i="3" s="1"/>
  <c r="T52" i="3"/>
  <c r="V52" i="3"/>
  <c r="L60" i="3"/>
  <c r="S60" i="3"/>
  <c r="R60" i="3" s="1"/>
  <c r="T60" i="3"/>
  <c r="V60" i="3"/>
  <c r="L23" i="3"/>
  <c r="S23" i="3"/>
  <c r="R23" i="3" s="1"/>
  <c r="T23" i="3"/>
  <c r="V23" i="3"/>
  <c r="Y188" i="1"/>
  <c r="Z188" i="1"/>
  <c r="AB188" i="1"/>
  <c r="AC188" i="1"/>
  <c r="AD188" i="1"/>
  <c r="AE188" i="1"/>
  <c r="AF188" i="1"/>
  <c r="Y189" i="1"/>
  <c r="Z189" i="1"/>
  <c r="AB189" i="1"/>
  <c r="AC189" i="1"/>
  <c r="AD189" i="1"/>
  <c r="S189" i="1" s="1"/>
  <c r="AE189" i="1"/>
  <c r="AF189" i="1"/>
  <c r="Y190" i="1"/>
  <c r="Z190" i="1"/>
  <c r="AB190" i="1"/>
  <c r="AC190" i="1"/>
  <c r="AD190" i="1"/>
  <c r="AE190" i="1"/>
  <c r="AF190" i="1"/>
  <c r="Y191" i="1"/>
  <c r="Z191" i="1"/>
  <c r="AB191" i="1"/>
  <c r="AC191" i="1"/>
  <c r="AD191" i="1"/>
  <c r="S191" i="1" s="1"/>
  <c r="AE191" i="1"/>
  <c r="AF191" i="1"/>
  <c r="Y192" i="1"/>
  <c r="Z192" i="1"/>
  <c r="AB192" i="1"/>
  <c r="AC192" i="1"/>
  <c r="AD192" i="1"/>
  <c r="AE192" i="1"/>
  <c r="AF192" i="1"/>
  <c r="Y193" i="1"/>
  <c r="Z193" i="1"/>
  <c r="AB193" i="1"/>
  <c r="AC193" i="1"/>
  <c r="AD193" i="1"/>
  <c r="S193" i="1" s="1"/>
  <c r="AE193" i="1"/>
  <c r="AF193" i="1"/>
  <c r="Y194" i="1"/>
  <c r="Z194" i="1"/>
  <c r="AB194" i="1"/>
  <c r="AC194" i="1"/>
  <c r="AD194" i="1"/>
  <c r="AE194" i="1"/>
  <c r="AF194" i="1"/>
  <c r="Y195" i="1"/>
  <c r="Z195" i="1"/>
  <c r="AB195" i="1"/>
  <c r="AC195" i="1"/>
  <c r="AD195" i="1"/>
  <c r="S195" i="1" s="1"/>
  <c r="AE195" i="1"/>
  <c r="AF195" i="1"/>
  <c r="Y196" i="1"/>
  <c r="Z196" i="1"/>
  <c r="AB196" i="1"/>
  <c r="AC196" i="1"/>
  <c r="AD196" i="1"/>
  <c r="AE196" i="1"/>
  <c r="AF196" i="1"/>
  <c r="Y197" i="1"/>
  <c r="Z197" i="1"/>
  <c r="AB197" i="1"/>
  <c r="AC197" i="1"/>
  <c r="AD197" i="1"/>
  <c r="S197" i="1" s="1"/>
  <c r="AE197" i="1"/>
  <c r="AF197" i="1"/>
  <c r="Y198" i="1"/>
  <c r="Z198" i="1"/>
  <c r="AB198" i="1"/>
  <c r="AC198" i="1"/>
  <c r="AD198" i="1"/>
  <c r="AE198" i="1"/>
  <c r="AF198" i="1"/>
  <c r="Y199" i="1"/>
  <c r="Z199" i="1"/>
  <c r="AB199" i="1"/>
  <c r="AC199" i="1"/>
  <c r="AD199" i="1"/>
  <c r="S199" i="1" s="1"/>
  <c r="AE199" i="1"/>
  <c r="AF199" i="1"/>
  <c r="Y200" i="1"/>
  <c r="Z200" i="1"/>
  <c r="AB200" i="1"/>
  <c r="AC200" i="1"/>
  <c r="AD200" i="1"/>
  <c r="AE200" i="1"/>
  <c r="AF200" i="1"/>
  <c r="Y201" i="1"/>
  <c r="Z201" i="1"/>
  <c r="AB201" i="1"/>
  <c r="AC201" i="1"/>
  <c r="AD201" i="1"/>
  <c r="S201" i="1" s="1"/>
  <c r="AE201" i="1"/>
  <c r="AF201" i="1"/>
  <c r="Y202" i="1"/>
  <c r="Z202" i="1"/>
  <c r="AB202" i="1"/>
  <c r="AC202" i="1"/>
  <c r="AD202" i="1"/>
  <c r="AE202" i="1"/>
  <c r="AF202" i="1"/>
  <c r="Y203" i="1"/>
  <c r="Z203" i="1"/>
  <c r="AB203" i="1"/>
  <c r="AC203" i="1"/>
  <c r="AD203" i="1"/>
  <c r="S203" i="1" s="1"/>
  <c r="AE203" i="1"/>
  <c r="AF203" i="1"/>
  <c r="Y204" i="1"/>
  <c r="Z204" i="1"/>
  <c r="AB204" i="1"/>
  <c r="AC204" i="1"/>
  <c r="AD204" i="1"/>
  <c r="AE204" i="1"/>
  <c r="AF204" i="1"/>
  <c r="Y205" i="1"/>
  <c r="Z205" i="1"/>
  <c r="AB205" i="1"/>
  <c r="AC205" i="1"/>
  <c r="AD205" i="1"/>
  <c r="S205" i="1" s="1"/>
  <c r="AE205" i="1"/>
  <c r="AF205" i="1"/>
  <c r="Y206" i="1"/>
  <c r="Z206" i="1"/>
  <c r="AB206" i="1"/>
  <c r="AC206" i="1"/>
  <c r="AD206" i="1"/>
  <c r="AE206" i="1"/>
  <c r="AF206" i="1"/>
  <c r="Y207" i="1"/>
  <c r="Z207" i="1"/>
  <c r="AB207" i="1"/>
  <c r="AC207" i="1"/>
  <c r="AD207" i="1"/>
  <c r="S207" i="1" s="1"/>
  <c r="AE207" i="1"/>
  <c r="AF207" i="1"/>
  <c r="Q47" i="3"/>
  <c r="Q48" i="3"/>
  <c r="S206" i="1" l="1"/>
  <c r="S202" i="1"/>
  <c r="S198" i="1"/>
  <c r="S194" i="1"/>
  <c r="S190" i="1"/>
  <c r="S204" i="1"/>
  <c r="S200" i="1"/>
  <c r="S196" i="1"/>
  <c r="S192" i="1"/>
  <c r="S188" i="1"/>
  <c r="P92" i="1"/>
  <c r="P83" i="1"/>
  <c r="P47" i="3"/>
  <c r="AA203" i="1"/>
  <c r="AA197" i="1"/>
  <c r="AA189" i="1"/>
  <c r="AA188" i="1"/>
  <c r="AA201" i="1"/>
  <c r="AA198" i="1"/>
  <c r="AA196" i="1"/>
  <c r="AA202" i="1"/>
  <c r="AA199" i="1"/>
  <c r="AA207" i="1"/>
  <c r="AA206" i="1"/>
  <c r="AA205" i="1"/>
  <c r="AA195" i="1"/>
  <c r="AA191" i="1"/>
  <c r="Q42" i="3"/>
  <c r="AA192" i="1"/>
  <c r="P42" i="3"/>
  <c r="AA204" i="1"/>
  <c r="AA194" i="1"/>
  <c r="AA200" i="1"/>
  <c r="AA193" i="1"/>
  <c r="AA190" i="1"/>
  <c r="Q60" i="3" l="1"/>
  <c r="Q23" i="3"/>
  <c r="P23" i="3"/>
  <c r="Y161" i="1"/>
  <c r="Z161" i="1"/>
  <c r="AB161" i="1"/>
  <c r="AC161" i="1"/>
  <c r="AD161" i="1"/>
  <c r="S161" i="1" s="1"/>
  <c r="AE161" i="1"/>
  <c r="AF161" i="1"/>
  <c r="Y162" i="1"/>
  <c r="Z162" i="1"/>
  <c r="AB162" i="1"/>
  <c r="AC162" i="1"/>
  <c r="AD162" i="1"/>
  <c r="AE162" i="1"/>
  <c r="AF162" i="1"/>
  <c r="S162" i="1" l="1"/>
  <c r="Q63" i="3"/>
  <c r="Q52" i="3"/>
  <c r="Q24" i="3"/>
  <c r="P24" i="3"/>
  <c r="AA162" i="1"/>
  <c r="AA161" i="1"/>
  <c r="Q65" i="3"/>
  <c r="E6" i="6"/>
  <c r="F6" i="6"/>
  <c r="G6" i="6"/>
  <c r="E4" i="6"/>
  <c r="F4" i="6"/>
  <c r="G4" i="6"/>
  <c r="E5" i="6"/>
  <c r="F5" i="6"/>
  <c r="G5" i="6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87" i="1"/>
  <c r="Z187" i="1"/>
  <c r="AB187" i="1"/>
  <c r="AC187" i="1"/>
  <c r="AD187" i="1"/>
  <c r="AE187" i="1"/>
  <c r="AF187" i="1"/>
  <c r="L26" i="3"/>
  <c r="S26" i="3"/>
  <c r="R26" i="3" s="1"/>
  <c r="T26" i="3"/>
  <c r="V26" i="3"/>
  <c r="L49" i="3"/>
  <c r="S49" i="3"/>
  <c r="R49" i="3" s="1"/>
  <c r="T49" i="3"/>
  <c r="V49" i="3"/>
  <c r="L9" i="3"/>
  <c r="S9" i="3"/>
  <c r="R9" i="3" s="1"/>
  <c r="T9" i="3"/>
  <c r="V9" i="3"/>
  <c r="L64" i="3"/>
  <c r="S64" i="3"/>
  <c r="R64" i="3" s="1"/>
  <c r="T64" i="3"/>
  <c r="V64" i="3"/>
  <c r="L33" i="3"/>
  <c r="S33" i="3"/>
  <c r="R33" i="3" s="1"/>
  <c r="T33" i="3"/>
  <c r="V33" i="3"/>
  <c r="L56" i="3"/>
  <c r="S56" i="3"/>
  <c r="R56" i="3" s="1"/>
  <c r="T56" i="3"/>
  <c r="V56" i="3"/>
  <c r="L15" i="3"/>
  <c r="S15" i="3"/>
  <c r="R15" i="3" s="1"/>
  <c r="T15" i="3"/>
  <c r="V15" i="3"/>
  <c r="L36" i="3"/>
  <c r="S36" i="3"/>
  <c r="R36" i="3" s="1"/>
  <c r="T36" i="3"/>
  <c r="V36" i="3"/>
  <c r="L50" i="3"/>
  <c r="S50" i="3"/>
  <c r="R50" i="3" s="1"/>
  <c r="T50" i="3"/>
  <c r="V50" i="3"/>
  <c r="L22" i="3"/>
  <c r="S22" i="3"/>
  <c r="R22" i="3" s="1"/>
  <c r="T22" i="3"/>
  <c r="V22" i="3"/>
  <c r="L61" i="3"/>
  <c r="S61" i="3"/>
  <c r="R61" i="3" s="1"/>
  <c r="T61" i="3"/>
  <c r="V61" i="3"/>
  <c r="L66" i="3"/>
  <c r="S66" i="3"/>
  <c r="R66" i="3" s="1"/>
  <c r="T66" i="3"/>
  <c r="V66" i="3"/>
  <c r="L43" i="3"/>
  <c r="S43" i="3"/>
  <c r="R43" i="3" s="1"/>
  <c r="T43" i="3"/>
  <c r="V43" i="3"/>
  <c r="L65" i="3"/>
  <c r="S65" i="3"/>
  <c r="R65" i="3" s="1"/>
  <c r="T65" i="3"/>
  <c r="V65" i="3"/>
  <c r="L58" i="3"/>
  <c r="S58" i="3"/>
  <c r="R58" i="3" s="1"/>
  <c r="T58" i="3"/>
  <c r="V58" i="3"/>
  <c r="L53" i="3"/>
  <c r="S53" i="3"/>
  <c r="R53" i="3" s="1"/>
  <c r="T53" i="3"/>
  <c r="V53" i="3"/>
  <c r="L40" i="3"/>
  <c r="S40" i="3"/>
  <c r="R40" i="3" s="1"/>
  <c r="T40" i="3"/>
  <c r="V40" i="3"/>
  <c r="L45" i="3"/>
  <c r="S45" i="3"/>
  <c r="R45" i="3" s="1"/>
  <c r="T45" i="3"/>
  <c r="V45" i="3"/>
  <c r="L44" i="3"/>
  <c r="S44" i="3"/>
  <c r="R44" i="3" s="1"/>
  <c r="T44" i="3"/>
  <c r="V44" i="3"/>
  <c r="L29" i="3"/>
  <c r="S29" i="3"/>
  <c r="R29" i="3" s="1"/>
  <c r="T29" i="3"/>
  <c r="V29" i="3"/>
  <c r="Y163" i="1"/>
  <c r="Z163" i="1"/>
  <c r="AB163" i="1"/>
  <c r="AC163" i="1"/>
  <c r="AD163" i="1"/>
  <c r="S163" i="1" s="1"/>
  <c r="AE163" i="1"/>
  <c r="P60" i="3" s="1"/>
  <c r="AF163" i="1"/>
  <c r="Y164" i="1"/>
  <c r="Z164" i="1"/>
  <c r="AB164" i="1"/>
  <c r="AC164" i="1"/>
  <c r="AD164" i="1"/>
  <c r="AE164" i="1"/>
  <c r="AF164" i="1"/>
  <c r="Y165" i="1"/>
  <c r="Z165" i="1"/>
  <c r="AB165" i="1"/>
  <c r="AC165" i="1"/>
  <c r="AD165" i="1"/>
  <c r="S165" i="1" s="1"/>
  <c r="AE165" i="1"/>
  <c r="AF165" i="1"/>
  <c r="Y166" i="1"/>
  <c r="Z166" i="1"/>
  <c r="AB166" i="1"/>
  <c r="AC166" i="1"/>
  <c r="AD166" i="1"/>
  <c r="AE166" i="1"/>
  <c r="P63" i="3" s="1"/>
  <c r="AF166" i="1"/>
  <c r="Y167" i="1"/>
  <c r="Z167" i="1"/>
  <c r="AB167" i="1"/>
  <c r="AC167" i="1"/>
  <c r="AD167" i="1"/>
  <c r="S167" i="1" s="1"/>
  <c r="AE167" i="1"/>
  <c r="P56" i="3" s="1"/>
  <c r="AF167" i="1"/>
  <c r="AB168" i="1"/>
  <c r="AC168" i="1"/>
  <c r="AD168" i="1"/>
  <c r="AE168" i="1"/>
  <c r="AF168" i="1"/>
  <c r="AB169" i="1"/>
  <c r="AC169" i="1"/>
  <c r="AD169" i="1"/>
  <c r="S169" i="1" s="1"/>
  <c r="AE169" i="1"/>
  <c r="AF169" i="1"/>
  <c r="AB170" i="1"/>
  <c r="AC170" i="1"/>
  <c r="AD170" i="1"/>
  <c r="AE170" i="1"/>
  <c r="AF170" i="1"/>
  <c r="Q49" i="3"/>
  <c r="AB171" i="1"/>
  <c r="AC171" i="1"/>
  <c r="AD171" i="1"/>
  <c r="AE171" i="1"/>
  <c r="AF171" i="1"/>
  <c r="AB172" i="1"/>
  <c r="AC172" i="1"/>
  <c r="AD172" i="1"/>
  <c r="S172" i="1" s="1"/>
  <c r="AE172" i="1"/>
  <c r="P52" i="3" s="1"/>
  <c r="AF172" i="1"/>
  <c r="AB173" i="1"/>
  <c r="AC173" i="1"/>
  <c r="AD173" i="1"/>
  <c r="AE173" i="1"/>
  <c r="P26" i="3" s="1"/>
  <c r="AF173" i="1"/>
  <c r="AB174" i="1"/>
  <c r="AC174" i="1"/>
  <c r="AD174" i="1"/>
  <c r="S174" i="1" s="1"/>
  <c r="AE174" i="1"/>
  <c r="AF174" i="1"/>
  <c r="Y175" i="1"/>
  <c r="Z175" i="1"/>
  <c r="AB175" i="1"/>
  <c r="AC175" i="1"/>
  <c r="AD175" i="1"/>
  <c r="AE175" i="1"/>
  <c r="AF175" i="1"/>
  <c r="Q9" i="3"/>
  <c r="Y176" i="1"/>
  <c r="Z176" i="1"/>
  <c r="AB176" i="1"/>
  <c r="AC176" i="1"/>
  <c r="AD176" i="1"/>
  <c r="AE176" i="1"/>
  <c r="P9" i="3" s="1"/>
  <c r="AF176" i="1"/>
  <c r="Q45" i="3"/>
  <c r="Y177" i="1"/>
  <c r="Z177" i="1"/>
  <c r="AB177" i="1"/>
  <c r="AC177" i="1"/>
  <c r="AD177" i="1"/>
  <c r="AE177" i="1"/>
  <c r="P45" i="3" s="1"/>
  <c r="AF177" i="1"/>
  <c r="Y178" i="1"/>
  <c r="Z178" i="1"/>
  <c r="AB178" i="1"/>
  <c r="AC178" i="1"/>
  <c r="AD178" i="1"/>
  <c r="S178" i="1" s="1"/>
  <c r="AE178" i="1"/>
  <c r="AF178" i="1"/>
  <c r="Y179" i="1"/>
  <c r="Z179" i="1"/>
  <c r="AB179" i="1"/>
  <c r="AC179" i="1"/>
  <c r="AD179" i="1"/>
  <c r="AE179" i="1"/>
  <c r="AF179" i="1"/>
  <c r="Y180" i="1"/>
  <c r="Z180" i="1"/>
  <c r="AB180" i="1"/>
  <c r="AC180" i="1"/>
  <c r="AD180" i="1"/>
  <c r="S180" i="1" s="1"/>
  <c r="AE180" i="1"/>
  <c r="AF180" i="1"/>
  <c r="Y181" i="1"/>
  <c r="Z181" i="1"/>
  <c r="AB181" i="1"/>
  <c r="AC181" i="1"/>
  <c r="AD181" i="1"/>
  <c r="AE181" i="1"/>
  <c r="AF181" i="1"/>
  <c r="Y182" i="1"/>
  <c r="Z182" i="1"/>
  <c r="AB182" i="1"/>
  <c r="AC182" i="1"/>
  <c r="AD182" i="1"/>
  <c r="S182" i="1" s="1"/>
  <c r="AE182" i="1"/>
  <c r="AF182" i="1"/>
  <c r="Q33" i="3"/>
  <c r="Y183" i="1"/>
  <c r="Z183" i="1"/>
  <c r="AB183" i="1"/>
  <c r="AC183" i="1"/>
  <c r="AD183" i="1"/>
  <c r="S183" i="1" s="1"/>
  <c r="AE183" i="1"/>
  <c r="AF183" i="1"/>
  <c r="Q15" i="3"/>
  <c r="Y184" i="1"/>
  <c r="Z184" i="1"/>
  <c r="AB184" i="1"/>
  <c r="AC184" i="1"/>
  <c r="AD184" i="1"/>
  <c r="S184" i="1" s="1"/>
  <c r="AE184" i="1"/>
  <c r="P15" i="3" s="1"/>
  <c r="AF184" i="1"/>
  <c r="Y185" i="1"/>
  <c r="Z185" i="1"/>
  <c r="AB185" i="1"/>
  <c r="AC185" i="1"/>
  <c r="AD185" i="1"/>
  <c r="AE185" i="1"/>
  <c r="AF185" i="1"/>
  <c r="Q36" i="3"/>
  <c r="Q50" i="3"/>
  <c r="P50" i="3"/>
  <c r="Q56" i="3"/>
  <c r="Q43" i="3"/>
  <c r="P43" i="3"/>
  <c r="Y186" i="1"/>
  <c r="Z186" i="1"/>
  <c r="AB186" i="1"/>
  <c r="AC186" i="1"/>
  <c r="AD186" i="1"/>
  <c r="S186" i="1" s="1"/>
  <c r="AE186" i="1"/>
  <c r="P40" i="3" s="1"/>
  <c r="AF186" i="1"/>
  <c r="Q29" i="3"/>
  <c r="P29" i="3"/>
  <c r="S185" i="1" l="1"/>
  <c r="S179" i="1"/>
  <c r="S171" i="1"/>
  <c r="S168" i="1"/>
  <c r="S166" i="1"/>
  <c r="S187" i="1"/>
  <c r="S181" i="1"/>
  <c r="S177" i="1"/>
  <c r="S176" i="1"/>
  <c r="S175" i="1"/>
  <c r="S173" i="1"/>
  <c r="S170" i="1"/>
  <c r="S164" i="1"/>
  <c r="P49" i="3"/>
  <c r="P53" i="3"/>
  <c r="P58" i="3"/>
  <c r="Q26" i="3"/>
  <c r="AA174" i="1"/>
  <c r="Q40" i="3"/>
  <c r="AA171" i="1"/>
  <c r="AA169" i="1"/>
  <c r="Q53" i="3"/>
  <c r="AA172" i="1"/>
  <c r="AA168" i="1"/>
  <c r="AA173" i="1"/>
  <c r="AA170" i="1"/>
  <c r="Q58" i="3"/>
  <c r="P65" i="3"/>
  <c r="AA186" i="1"/>
  <c r="AA163" i="1"/>
  <c r="AA187" i="1"/>
  <c r="AA182" i="1"/>
  <c r="AA178" i="1"/>
  <c r="AA176" i="1"/>
  <c r="Q44" i="3"/>
  <c r="P44" i="3"/>
  <c r="AA185" i="1"/>
  <c r="AA175" i="1"/>
  <c r="AA167" i="1"/>
  <c r="AA179" i="1"/>
  <c r="P61" i="3"/>
  <c r="P66" i="3"/>
  <c r="Q66" i="3"/>
  <c r="Q61" i="3"/>
  <c r="P36" i="3"/>
  <c r="P22" i="3"/>
  <c r="P64" i="3"/>
  <c r="P33" i="3"/>
  <c r="Q22" i="3"/>
  <c r="AA166" i="1"/>
  <c r="AA184" i="1"/>
  <c r="AA183" i="1"/>
  <c r="AA181" i="1"/>
  <c r="AA180" i="1"/>
  <c r="AA177" i="1"/>
  <c r="Q64" i="3"/>
  <c r="AA165" i="1"/>
  <c r="AA164" i="1"/>
  <c r="L39" i="3"/>
  <c r="S39" i="3"/>
  <c r="R39" i="3" s="1"/>
  <c r="T39" i="3"/>
  <c r="V39" i="3"/>
  <c r="L17" i="3"/>
  <c r="S17" i="3"/>
  <c r="R17" i="3" s="1"/>
  <c r="T17" i="3"/>
  <c r="V17" i="3"/>
  <c r="L57" i="3"/>
  <c r="S57" i="3"/>
  <c r="R57" i="3" s="1"/>
  <c r="T57" i="3"/>
  <c r="V57" i="3"/>
  <c r="L41" i="3"/>
  <c r="S41" i="3"/>
  <c r="R41" i="3" s="1"/>
  <c r="T41" i="3"/>
  <c r="V41" i="3"/>
  <c r="L54" i="3"/>
  <c r="S54" i="3"/>
  <c r="R54" i="3" s="1"/>
  <c r="T54" i="3"/>
  <c r="V54" i="3"/>
  <c r="L13" i="3"/>
  <c r="S13" i="3"/>
  <c r="R13" i="3" s="1"/>
  <c r="T13" i="3"/>
  <c r="V13" i="3"/>
  <c r="L34" i="3"/>
  <c r="S34" i="3"/>
  <c r="R34" i="3" s="1"/>
  <c r="T34" i="3"/>
  <c r="V34" i="3"/>
  <c r="L31" i="3"/>
  <c r="S31" i="3"/>
  <c r="R31" i="3" s="1"/>
  <c r="T31" i="3"/>
  <c r="V31" i="3"/>
  <c r="L35" i="3"/>
  <c r="S35" i="3"/>
  <c r="R35" i="3" s="1"/>
  <c r="T35" i="3"/>
  <c r="V35" i="3"/>
  <c r="L18" i="3"/>
  <c r="S18" i="3"/>
  <c r="R18" i="3" s="1"/>
  <c r="T18" i="3"/>
  <c r="V18" i="3"/>
  <c r="L14" i="3"/>
  <c r="S14" i="3"/>
  <c r="R14" i="3" s="1"/>
  <c r="T14" i="3"/>
  <c r="V14" i="3"/>
  <c r="L46" i="3"/>
  <c r="S46" i="3"/>
  <c r="R46" i="3" s="1"/>
  <c r="T46" i="3"/>
  <c r="V46" i="3"/>
  <c r="L30" i="3"/>
  <c r="S30" i="3"/>
  <c r="R30" i="3" s="1"/>
  <c r="T30" i="3"/>
  <c r="V30" i="3"/>
  <c r="L37" i="3"/>
  <c r="S37" i="3"/>
  <c r="R37" i="3" s="1"/>
  <c r="T37" i="3"/>
  <c r="V37" i="3"/>
  <c r="L10" i="3"/>
  <c r="S10" i="3"/>
  <c r="R10" i="3" s="1"/>
  <c r="T10" i="3"/>
  <c r="V10" i="3"/>
  <c r="L11" i="3"/>
  <c r="S11" i="3"/>
  <c r="R11" i="3" s="1"/>
  <c r="T11" i="3"/>
  <c r="V11" i="3"/>
  <c r="L8" i="3"/>
  <c r="S8" i="3"/>
  <c r="R8" i="3" s="1"/>
  <c r="T8" i="3"/>
  <c r="V8" i="3"/>
  <c r="L7" i="3"/>
  <c r="S7" i="3"/>
  <c r="R7" i="3" s="1"/>
  <c r="T7" i="3"/>
  <c r="V7" i="3"/>
  <c r="L21" i="3"/>
  <c r="S21" i="3"/>
  <c r="R21" i="3" s="1"/>
  <c r="T21" i="3"/>
  <c r="V21" i="3"/>
  <c r="L32" i="3"/>
  <c r="S32" i="3"/>
  <c r="R32" i="3" s="1"/>
  <c r="T32" i="3"/>
  <c r="V32" i="3"/>
  <c r="L55" i="3"/>
  <c r="S55" i="3"/>
  <c r="R55" i="3" s="1"/>
  <c r="T55" i="3"/>
  <c r="V55" i="3"/>
  <c r="L19" i="3"/>
  <c r="S19" i="3"/>
  <c r="R19" i="3" s="1"/>
  <c r="T19" i="3"/>
  <c r="V19" i="3"/>
  <c r="L38" i="3"/>
  <c r="S38" i="3"/>
  <c r="R38" i="3" s="1"/>
  <c r="T38" i="3"/>
  <c r="V38" i="3"/>
  <c r="L27" i="3"/>
  <c r="S27" i="3"/>
  <c r="R27" i="3" s="1"/>
  <c r="T27" i="3"/>
  <c r="V27" i="3"/>
  <c r="L51" i="3"/>
  <c r="S51" i="3"/>
  <c r="R51" i="3" s="1"/>
  <c r="T51" i="3"/>
  <c r="V51" i="3"/>
  <c r="L25" i="3"/>
  <c r="S25" i="3"/>
  <c r="R25" i="3" s="1"/>
  <c r="T25" i="3"/>
  <c r="V25" i="3"/>
  <c r="L12" i="3"/>
  <c r="S12" i="3"/>
  <c r="R12" i="3" s="1"/>
  <c r="T12" i="3"/>
  <c r="V12" i="3"/>
  <c r="L62" i="3"/>
  <c r="S62" i="3"/>
  <c r="R62" i="3" s="1"/>
  <c r="T62" i="3"/>
  <c r="V62" i="3"/>
  <c r="L59" i="3"/>
  <c r="S59" i="3"/>
  <c r="R59" i="3" s="1"/>
  <c r="T59" i="3"/>
  <c r="V59" i="3"/>
  <c r="L28" i="3"/>
  <c r="S28" i="3"/>
  <c r="R28" i="3" s="1"/>
  <c r="T28" i="3"/>
  <c r="V28" i="3"/>
  <c r="L20" i="3"/>
  <c r="S20" i="3"/>
  <c r="R20" i="3" s="1"/>
  <c r="T20" i="3"/>
  <c r="V20" i="3"/>
  <c r="L16" i="3"/>
  <c r="S16" i="3"/>
  <c r="R16" i="3" s="1"/>
  <c r="T16" i="3"/>
  <c r="V16" i="3"/>
  <c r="P46" i="3" l="1"/>
  <c r="Q39" i="3"/>
  <c r="P37" i="3"/>
  <c r="Q54" i="3"/>
  <c r="P54" i="3"/>
  <c r="Q41" i="3"/>
  <c r="Q13" i="3"/>
  <c r="P13" i="3"/>
  <c r="Q34" i="3"/>
  <c r="P34" i="3"/>
  <c r="Q11" i="3"/>
  <c r="P11" i="3"/>
  <c r="Q7" i="3"/>
  <c r="Q21" i="3"/>
  <c r="P21" i="3"/>
  <c r="Q57" i="3"/>
  <c r="P57" i="3"/>
  <c r="Q32" i="3"/>
  <c r="P32" i="3"/>
  <c r="Q55" i="3"/>
  <c r="P55" i="3"/>
  <c r="Q19" i="3"/>
  <c r="P19" i="3"/>
  <c r="P38" i="3"/>
  <c r="P27" i="3"/>
  <c r="Q27" i="3" l="1"/>
  <c r="Q46" i="3"/>
  <c r="Q51" i="3"/>
  <c r="Q38" i="3"/>
  <c r="P8" i="3"/>
  <c r="P10" i="3"/>
  <c r="Q37" i="3"/>
  <c r="Q62" i="3"/>
  <c r="Q18" i="3"/>
  <c r="P51" i="3"/>
  <c r="Q8" i="3"/>
  <c r="Q10" i="3"/>
  <c r="P41" i="3"/>
  <c r="P39" i="3"/>
  <c r="P62" i="3"/>
  <c r="P18" i="3"/>
  <c r="Q59" i="3"/>
  <c r="Q17" i="3"/>
  <c r="P16" i="3"/>
  <c r="P59" i="3"/>
  <c r="Q16" i="3"/>
  <c r="Q31" i="3"/>
  <c r="Q20" i="3"/>
  <c r="Q28" i="3"/>
  <c r="P12" i="3"/>
  <c r="P25" i="3"/>
  <c r="P17" i="3"/>
  <c r="Q12" i="3"/>
  <c r="Q25" i="3"/>
  <c r="P31" i="3"/>
  <c r="P20" i="3"/>
  <c r="Q35" i="3" l="1"/>
  <c r="Q14" i="3" l="1"/>
  <c r="Q30" i="3"/>
  <c r="AF14" i="1"/>
  <c r="AF13" i="1"/>
  <c r="AE13" i="1" l="1"/>
  <c r="AE14" i="1"/>
  <c r="P35" i="3" l="1"/>
  <c r="P28" i="3"/>
  <c r="P14" i="3"/>
  <c r="P30" i="3"/>
  <c r="M19" i="5"/>
  <c r="M18" i="5"/>
  <c r="AD14" i="1" l="1"/>
  <c r="AD13" i="1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E3" i="6" l="1"/>
  <c r="F3" i="6"/>
  <c r="G3" i="6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S14" i="1" l="1"/>
  <c r="AA14" i="1"/>
  <c r="L13" i="1"/>
  <c r="M13" i="1"/>
  <c r="N13" i="1" s="1"/>
  <c r="L14" i="1"/>
  <c r="M14" i="1"/>
  <c r="N14" i="1" s="1"/>
  <c r="X13" i="1" l="1"/>
  <c r="Y13" i="1" l="1"/>
  <c r="Z13" i="1"/>
  <c r="AA13" i="1" l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<sst xmlns="http://schemas.openxmlformats.org/spreadsheetml/2006/main" count="2457" uniqueCount="794">
  <si>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</si>
  <si>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</si>
  <si>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</si>
  <si>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</si>
  <si>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</si>
  <si>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</si>
  <si>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</si>
  <si>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</si>
  <si>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</si>
  <si>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</si>
  <si>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</si>
  <si>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</si>
  <si>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</si>
  <si>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</si>
  <si>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</si>
  <si>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</si>
  <si>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</si>
  <si>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</si>
  <si>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</si>
  <si>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</si>
  <si>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</si>
  <si>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</si>
  <si>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</si>
  <si>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</si>
  <si>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</si>
  <si>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</si>
  <si>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</si>
  <si>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</si>
  <si>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</si>
  <si>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</si>
  <si>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</si>
  <si>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</si>
  <si>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</si>
  <si>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</si>
  <si>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</si>
  <si>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</si>
  <si>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</si>
  <si>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</si>
  <si>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</si>
  <si>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</si>
  <si>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</si>
  <si>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</si>
  <si>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</si>
  <si>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</si>
  <si>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</si>
  <si>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</si>
  <si>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</si>
  <si>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</si>
  <si>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</si>
  <si>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</si>
  <si>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</si>
  <si>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</si>
  <si>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</si>
  <si>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</si>
  <si>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</si>
  <si>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</si>
  <si>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</si>
  <si>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</si>
  <si>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</si>
  <si>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</si>
  <si>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</si>
  <si>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</si>
  <si>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</si>
  <si>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</si>
  <si>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</si>
  <si>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</si>
  <si>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</si>
  <si>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</si>
  <si>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</si>
  <si>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</si>
  <si>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</si>
  <si>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</si>
  <si>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</si>
  <si>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</si>
  <si>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</si>
  <si>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</si>
  <si>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</si>
  <si>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</si>
  <si>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</si>
  <si>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</si>
  <si>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</si>
  <si>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</si>
  <si>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</si>
  <si>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</si>
  <si>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</si>
  <si>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</si>
  <si>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</si>
  <si>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</si>
  <si>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</si>
  <si>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</si>
  <si>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</si>
  <si>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</si>
  <si>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</si>
  <si>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</si>
  <si>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</si>
  <si>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</si>
  <si>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</si>
  <si>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</si>
  <si>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</si>
  <si>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</si>
  <si>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</si>
  <si>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</si>
  <si>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</si>
  <si>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</si>
  <si>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</si>
  <si>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</si>
  <si>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</si>
  <si>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</si>
  <si>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</si>
  <si>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</si>
  <si>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</si>
  <si>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</si>
  <si>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</si>
  <si>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</si>
  <si>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</si>
  <si>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</si>
  <si>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204:161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</si>
  <si>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</si>
  <si>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</si>
  <si>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</si>
  <si>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</si>
  <si>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</si>
  <si>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</si>
  <si>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</si>
  <si>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</si>
  <si>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</si>
  <si>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</si>
  <si>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</si>
  <si>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</si>
  <si>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</si>
  <si>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</si>
  <si>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</si>
  <si>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</si>
  <si>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</si>
  <si>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</si>
  <si>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</si>
  <si>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</si>
  <si>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</si>
  <si>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</si>
  <si>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</si>
  <si>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</si>
  <si>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</si>
  <si>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</si>
  <si>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</si>
  <si>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204:232982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</si>
  <si>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</si>
  <si>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</si>
  <si>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</si>
  <si>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</si>
  <si>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</si>
  <si>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</si>
  <si>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</si>
  <si>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</si>
  <si>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</si>
  <si>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204:233304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</si>
  <si>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</si>
  <si>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</si>
  <si>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</si>
  <si>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</si>
  <si>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</si>
  <si>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</si>
  <si>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</si>
  <si>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</si>
  <si>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</si>
  <si>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</si>
  <si>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</si>
  <si>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</si>
  <si>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Wi-MAX outage</t>
  </si>
  <si>
    <t>204:233295</t>
  </si>
  <si>
    <t>204:233308</t>
  </si>
  <si>
    <t>Discover</t>
  </si>
  <si>
    <t>Visualize</t>
  </si>
  <si>
    <t>Dashboard</t>
  </si>
  <si>
    <t>Settings</t>
  </si>
  <si>
    <t xml:space="preserve">Last 36h </t>
  </si>
  <si>
    <t>Message\ ID:2003</t>
  </si>
  <si>
    <t>emp_*</t>
  </si>
  <si>
    <t>Selected Fields</t>
  </si>
  <si>
    <t>tData.Employee Identifier</t>
  </si>
  <si>
    <t>tData.Employee Last Name</t>
  </si>
  <si>
    <t>tData.Train ID</t>
  </si>
  <si>
    <t>tSource</t>
  </si>
  <si>
    <t xml:space="preserve">Fields </t>
  </si>
  <si>
    <t>Popular fields</t>
  </si>
  <si>
    <t>tData.Reason for Sending</t>
  </si>
  <si>
    <t>tDestination</t>
  </si>
  <si>
    <t>tMessage ID</t>
  </si>
  <si>
    <t>t_id</t>
  </si>
  <si>
    <t>tData Integrity</t>
  </si>
  <si>
    <t>tData Size</t>
  </si>
  <si>
    <t>tData.Clearance Number</t>
  </si>
  <si>
    <t>tData.Clearance Number Length</t>
  </si>
  <si>
    <t>tData.Common Configuration Fileset Version</t>
  </si>
  <si>
    <t>tData.Common Configuration Fileset Version Length</t>
  </si>
  <si>
    <t>tData.Employee First Name</t>
  </si>
  <si>
    <t>tData.Employee First Name Size</t>
  </si>
  <si>
    <t>tData.Employee Identifier Length</t>
  </si>
  <si>
    <t>tData.Employee Last Name Size</t>
  </si>
  <si>
    <t>tData.Employee Middle Initial</t>
  </si>
  <si>
    <t>tData.Employee Middle Initial Size</t>
  </si>
  <si>
    <t>tData.Onboard Software Version</t>
  </si>
  <si>
    <t>tData.Onboard Software Version Length</t>
  </si>
  <si>
    <t>tData.Railroad SCAC</t>
  </si>
  <si>
    <t>tData.Railroad Specific Configuration Fileset Version</t>
  </si>
  <si>
    <t>tData.Railroad Specific Configuration Fileset Version Length</t>
  </si>
  <si>
    <t>tData.Train ID Length</t>
  </si>
  <si>
    <t>tFlags</t>
  </si>
  <si>
    <t>tMessage Number</t>
  </si>
  <si>
    <t>tProtocol Version</t>
  </si>
  <si>
    <t>tRouting QoS</t>
  </si>
  <si>
    <t>Time</t>
  </si>
  <si>
    <t>tTime to Live</t>
  </si>
  <si>
    <t>tVariable Header Size</t>
  </si>
  <si>
    <t>tVersion</t>
  </si>
  <si>
    <t>t_index</t>
  </si>
  <si>
    <t>t_source</t>
  </si>
  <si>
    <t>t_type</t>
  </si>
  <si>
    <t>Count</t>
  </si>
  <si>
    <t>Time per 30 minutes</t>
  </si>
  <si>
    <t xml:space="preserve">Source  </t>
  </si>
  <si>
    <t xml:space="preserve">Data.Train ID  </t>
  </si>
  <si>
    <t xml:space="preserve">Data.Employee Identifier  </t>
  </si>
  <si>
    <t xml:space="preserve">Data.Employee Last Name  </t>
  </si>
  <si>
    <t>204:233286</t>
  </si>
  <si>
    <t>204:232975</t>
  </si>
  <si>
    <t>204:233302</t>
  </si>
  <si>
    <t>204:455</t>
  </si>
  <si>
    <t>204:232969</t>
  </si>
  <si>
    <t>204:453</t>
  </si>
  <si>
    <t>204:471</t>
  </si>
  <si>
    <t>204:446</t>
  </si>
  <si>
    <t>204:233315</t>
  </si>
  <si>
    <t>204:475</t>
  </si>
  <si>
    <t>204:232994</t>
  </si>
  <si>
    <t>Overspeed</t>
  </si>
  <si>
    <t>204:232973</t>
  </si>
  <si>
    <t>204:232971</t>
  </si>
  <si>
    <t>204:149</t>
  </si>
  <si>
    <t>204:158</t>
  </si>
  <si>
    <t>204:232991</t>
  </si>
  <si>
    <t>204:233316</t>
  </si>
  <si>
    <t>204:233288</t>
  </si>
  <si>
    <t>204:233274</t>
  </si>
  <si>
    <t>204:233285</t>
  </si>
  <si>
    <t>204:232978</t>
  </si>
  <si>
    <t>rtdc.l.rtdc.4040:itc</t>
  </si>
  <si>
    <t>GEBRETEKLE</t>
  </si>
  <si>
    <t>rtdc.l.rtdc.4014:itc</t>
  </si>
  <si>
    <t>DE.1.0.7.0</t>
  </si>
  <si>
    <t>204:129</t>
  </si>
  <si>
    <t>204:457</t>
  </si>
  <si>
    <t>204:447</t>
  </si>
  <si>
    <t>204:176</t>
  </si>
  <si>
    <t>204:715</t>
  </si>
  <si>
    <t>204:233291</t>
  </si>
  <si>
    <t>204:232992</t>
  </si>
  <si>
    <t>204:232989</t>
  </si>
  <si>
    <t>204:232981</t>
  </si>
  <si>
    <t>204:477</t>
  </si>
  <si>
    <t>204:147</t>
  </si>
  <si>
    <t>204:233307</t>
  </si>
  <si>
    <t>300:58600</t>
  </si>
  <si>
    <t>1828-24</t>
  </si>
  <si>
    <t>204:233336</t>
  </si>
  <si>
    <t>204:233280</t>
  </si>
  <si>
    <t>204:233264</t>
  </si>
  <si>
    <t>224-24</t>
  </si>
  <si>
    <t>204:167</t>
  </si>
  <si>
    <t>243-24</t>
  </si>
  <si>
    <t>244-24</t>
  </si>
  <si>
    <t>TEMPORARY SPEED RESTRICTION</t>
  </si>
  <si>
    <t>rtdc.l.rtdc.4031:itc</t>
  </si>
  <si>
    <t>rtdc.l.rtdc.4032:itc</t>
  </si>
  <si>
    <t>MAYBERRY</t>
  </si>
  <si>
    <t>YOUNG</t>
  </si>
  <si>
    <t>STORY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</si>
  <si>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</si>
  <si>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</si>
  <si>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</si>
  <si>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</si>
  <si>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</si>
  <si>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</si>
  <si>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</si>
  <si>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</si>
  <si>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</si>
  <si>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</si>
  <si>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</si>
  <si>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</si>
  <si>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</si>
  <si>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204:233297</t>
  </si>
  <si>
    <t>204:466</t>
  </si>
  <si>
    <t>204:232946</t>
  </si>
  <si>
    <t>204:134</t>
  </si>
  <si>
    <t>204:233000</t>
  </si>
  <si>
    <t>204:127</t>
  </si>
  <si>
    <t>204:233317</t>
  </si>
  <si>
    <t>204:440</t>
  </si>
  <si>
    <t>204:136</t>
  </si>
  <si>
    <t>143-25</t>
  </si>
  <si>
    <t>204:233321</t>
  </si>
  <si>
    <t>204:438</t>
  </si>
  <si>
    <t>204:174</t>
  </si>
  <si>
    <t>204:469</t>
  </si>
  <si>
    <t>176-25</t>
  </si>
  <si>
    <t>204:233276</t>
  </si>
  <si>
    <t>204:180</t>
  </si>
  <si>
    <t>204:233015</t>
  </si>
  <si>
    <t>204:232966</t>
  </si>
  <si>
    <t>204:233314</t>
  </si>
  <si>
    <t>204:232965</t>
  </si>
  <si>
    <t>204:232936</t>
  </si>
  <si>
    <t>224-25</t>
  </si>
  <si>
    <t>225-25</t>
  </si>
  <si>
    <t>226-25</t>
  </si>
  <si>
    <t>227-25</t>
  </si>
  <si>
    <t>204:442</t>
  </si>
  <si>
    <t>228-25</t>
  </si>
  <si>
    <t>229-25</t>
  </si>
  <si>
    <t>230-25</t>
  </si>
  <si>
    <t>231-25</t>
  </si>
  <si>
    <t>232-25</t>
  </si>
  <si>
    <t>233-25</t>
  </si>
  <si>
    <t>234-25</t>
  </si>
  <si>
    <t>235-25</t>
  </si>
  <si>
    <t>236-25</t>
  </si>
  <si>
    <t>237-25</t>
  </si>
  <si>
    <t>204:233257</t>
  </si>
  <si>
    <t>238-25</t>
  </si>
  <si>
    <t>239-25</t>
  </si>
  <si>
    <t>240-25</t>
  </si>
  <si>
    <t>241-25</t>
  </si>
  <si>
    <t>242-25</t>
  </si>
  <si>
    <t>243-25</t>
  </si>
  <si>
    <t>244-25</t>
  </si>
  <si>
    <t>300:58592</t>
  </si>
  <si>
    <t>204:647</t>
  </si>
  <si>
    <t>204:652</t>
  </si>
  <si>
    <t>204:932</t>
  </si>
  <si>
    <t>204:780</t>
  </si>
  <si>
    <t>204:965</t>
  </si>
  <si>
    <t>300:58928</t>
  </si>
  <si>
    <t>300:58604</t>
  </si>
  <si>
    <t>300:58617</t>
  </si>
  <si>
    <t>300:58611</t>
  </si>
  <si>
    <t>204:955</t>
  </si>
  <si>
    <t>300:58941</t>
  </si>
  <si>
    <t>204:761</t>
  </si>
  <si>
    <t>300:58626</t>
  </si>
  <si>
    <t>857-25</t>
  </si>
  <si>
    <t>858-25</t>
  </si>
  <si>
    <t>859-25</t>
  </si>
  <si>
    <t>860-25</t>
  </si>
  <si>
    <t>861-25</t>
  </si>
  <si>
    <t>862-25</t>
  </si>
  <si>
    <t>863-25</t>
  </si>
  <si>
    <t>864-25</t>
  </si>
  <si>
    <t>865-25</t>
  </si>
  <si>
    <t>866-25</t>
  </si>
  <si>
    <t>867-25</t>
  </si>
  <si>
    <t>868-25</t>
  </si>
  <si>
    <t>869-25</t>
  </si>
  <si>
    <t>870-25</t>
  </si>
  <si>
    <t>871-25</t>
  </si>
  <si>
    <t>300:58903</t>
  </si>
  <si>
    <t>904-25</t>
  </si>
  <si>
    <t>rtdc.l.rtdc.4037:itc</t>
  </si>
  <si>
    <t>SWITCH UNKNOWN</t>
  </si>
  <si>
    <t>Track device (7)</t>
  </si>
  <si>
    <t>ROCHA</t>
  </si>
  <si>
    <t>LOCKLEAR</t>
  </si>
  <si>
    <t>LEVERE</t>
  </si>
  <si>
    <t>101-26</t>
  </si>
  <si>
    <t>102-26</t>
  </si>
  <si>
    <t>120-26</t>
  </si>
  <si>
    <t>DAVIS</t>
  </si>
  <si>
    <t>803-26</t>
  </si>
  <si>
    <t>805-26</t>
  </si>
  <si>
    <t>118-26</t>
  </si>
  <si>
    <t>123-26</t>
  </si>
  <si>
    <t>116-26</t>
  </si>
  <si>
    <t>802-26</t>
  </si>
  <si>
    <t>114-26</t>
  </si>
  <si>
    <t>119-26</t>
  </si>
  <si>
    <t>801-26</t>
  </si>
  <si>
    <t>117-26</t>
  </si>
  <si>
    <t>110-26</t>
  </si>
  <si>
    <t>108-26</t>
  </si>
  <si>
    <t>800-26</t>
  </si>
  <si>
    <t>104-26</t>
  </si>
  <si>
    <t>902-25</t>
  </si>
  <si>
    <t>BONDS</t>
  </si>
  <si>
    <t>905-25</t>
  </si>
  <si>
    <t>103-26</t>
  </si>
  <si>
    <t>109-26</t>
  </si>
  <si>
    <t>111-26</t>
  </si>
  <si>
    <t>115-26</t>
  </si>
  <si>
    <t>112-26</t>
  </si>
  <si>
    <t>121-26</t>
  </si>
  <si>
    <t>122-26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</si>
  <si>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</si>
  <si>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</si>
  <si>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</si>
  <si>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</si>
  <si>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</si>
  <si>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</si>
  <si>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</si>
  <si>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</si>
  <si>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Onboard in-route failure</t>
  </si>
  <si>
    <t>40th 4S was STOP</t>
  </si>
  <si>
    <t>Pena 4S was STOP</t>
  </si>
  <si>
    <t>806-26</t>
  </si>
  <si>
    <t>128-26</t>
  </si>
  <si>
    <t>131-26</t>
  </si>
  <si>
    <t>810-26</t>
  </si>
  <si>
    <t>126-26</t>
  </si>
  <si>
    <t>811-26</t>
  </si>
  <si>
    <t>132-26</t>
  </si>
  <si>
    <t>812-26</t>
  </si>
  <si>
    <t>134-26</t>
  </si>
  <si>
    <t>136-26</t>
  </si>
  <si>
    <t>149-26</t>
  </si>
  <si>
    <t>151-26</t>
  </si>
  <si>
    <t>816-26</t>
  </si>
  <si>
    <t>146-26</t>
  </si>
  <si>
    <t>817-26</t>
  </si>
  <si>
    <t>154-26</t>
  </si>
  <si>
    <t>158-26</t>
  </si>
  <si>
    <t>160-26</t>
  </si>
  <si>
    <t>162-26</t>
  </si>
  <si>
    <t>170-26</t>
  </si>
  <si>
    <t>821-26</t>
  </si>
  <si>
    <t>179-26</t>
  </si>
  <si>
    <t>172-26</t>
  </si>
  <si>
    <t>822-26</t>
  </si>
  <si>
    <t>823-26</t>
  </si>
  <si>
    <t>178-26</t>
  </si>
  <si>
    <t>180-26</t>
  </si>
  <si>
    <t>189-26</t>
  </si>
  <si>
    <t>825-26</t>
  </si>
  <si>
    <t>186-26</t>
  </si>
  <si>
    <t>192-26</t>
  </si>
  <si>
    <t>200-26</t>
  </si>
  <si>
    <t>205-26</t>
  </si>
  <si>
    <t>203-26</t>
  </si>
  <si>
    <t>204-26</t>
  </si>
  <si>
    <t>206-26</t>
  </si>
  <si>
    <t>208-26</t>
  </si>
  <si>
    <t>839-26</t>
  </si>
  <si>
    <t>216-26</t>
  </si>
  <si>
    <t>229-26</t>
  </si>
  <si>
    <t>228-26</t>
  </si>
  <si>
    <t>233-26</t>
  </si>
  <si>
    <t>237-26</t>
  </si>
  <si>
    <t>204:759</t>
  </si>
  <si>
    <t>204:232670</t>
  </si>
  <si>
    <t>204:708</t>
  </si>
  <si>
    <t>204:233383</t>
  </si>
  <si>
    <t>204:232744</t>
  </si>
  <si>
    <t>204:797</t>
  </si>
  <si>
    <t>204:734</t>
  </si>
  <si>
    <t>204:232679</t>
  </si>
  <si>
    <t>204:232986</t>
  </si>
  <si>
    <t>204:251</t>
  </si>
  <si>
    <t>204:232996</t>
  </si>
  <si>
    <t>204:232980</t>
  </si>
  <si>
    <t>204:416</t>
  </si>
  <si>
    <t>204:232979</t>
  </si>
  <si>
    <t>204:737</t>
  </si>
  <si>
    <t>204:13991</t>
  </si>
  <si>
    <t>204:413</t>
  </si>
  <si>
    <t>204:380</t>
  </si>
  <si>
    <t>204:704</t>
  </si>
  <si>
    <t>204:586</t>
  </si>
  <si>
    <t>204:232983</t>
  </si>
  <si>
    <t>204:233332</t>
  </si>
  <si>
    <t>124-26</t>
  </si>
  <si>
    <t>204:234</t>
  </si>
  <si>
    <t>129-26</t>
  </si>
  <si>
    <t>204:233306</t>
  </si>
  <si>
    <t>130-26</t>
  </si>
  <si>
    <t>204:153972</t>
  </si>
  <si>
    <t>204:233006</t>
  </si>
  <si>
    <t>135-26</t>
  </si>
  <si>
    <t>204:233005</t>
  </si>
  <si>
    <t>137-26</t>
  </si>
  <si>
    <t>204:233327</t>
  </si>
  <si>
    <t>138-26</t>
  </si>
  <si>
    <t>204:233010</t>
  </si>
  <si>
    <t>139-26</t>
  </si>
  <si>
    <t>204:539</t>
  </si>
  <si>
    <t>140-26</t>
  </si>
  <si>
    <t>204:232963</t>
  </si>
  <si>
    <t>204:1201</t>
  </si>
  <si>
    <t>141-26</t>
  </si>
  <si>
    <t>142-26</t>
  </si>
  <si>
    <t>204:232959</t>
  </si>
  <si>
    <t>143-26</t>
  </si>
  <si>
    <t>144-26</t>
  </si>
  <si>
    <t>145-26</t>
  </si>
  <si>
    <t>147-26</t>
  </si>
  <si>
    <t>148-26</t>
  </si>
  <si>
    <t>204:435</t>
  </si>
  <si>
    <t>150-26</t>
  </si>
  <si>
    <t>204:232993</t>
  </si>
  <si>
    <t>152-26</t>
  </si>
  <si>
    <t>153-26</t>
  </si>
  <si>
    <t>204:433</t>
  </si>
  <si>
    <t>155-26</t>
  </si>
  <si>
    <t>204:233324</t>
  </si>
  <si>
    <t>156-26</t>
  </si>
  <si>
    <t>157-26</t>
  </si>
  <si>
    <t>204:1606</t>
  </si>
  <si>
    <t>159-26</t>
  </si>
  <si>
    <t>204:19134</t>
  </si>
  <si>
    <t>204:233266</t>
  </si>
  <si>
    <t>204:406</t>
  </si>
  <si>
    <t>161-26</t>
  </si>
  <si>
    <t>204:233281</t>
  </si>
  <si>
    <t>204:232987</t>
  </si>
  <si>
    <t>163-26</t>
  </si>
  <si>
    <t>204:233341</t>
  </si>
  <si>
    <t>164-26</t>
  </si>
  <si>
    <t>165-26</t>
  </si>
  <si>
    <t>204:233334</t>
  </si>
  <si>
    <t>166-26</t>
  </si>
  <si>
    <t>204:233017</t>
  </si>
  <si>
    <t>167-26</t>
  </si>
  <si>
    <t>168-26</t>
  </si>
  <si>
    <t>204:209</t>
  </si>
  <si>
    <t>169-26</t>
  </si>
  <si>
    <t>204:233300</t>
  </si>
  <si>
    <t>204:232970</t>
  </si>
  <si>
    <t>204:123</t>
  </si>
  <si>
    <t>171-26</t>
  </si>
  <si>
    <t>204:19122</t>
  </si>
  <si>
    <t>204:233305</t>
  </si>
  <si>
    <t>173-26</t>
  </si>
  <si>
    <t>204:548</t>
  </si>
  <si>
    <t>204:233310</t>
  </si>
  <si>
    <t>174-26</t>
  </si>
  <si>
    <t>204:395</t>
  </si>
  <si>
    <t>175-26</t>
  </si>
  <si>
    <t>204:508</t>
  </si>
  <si>
    <t>204:233268</t>
  </si>
  <si>
    <t>176-26</t>
  </si>
  <si>
    <t>177-26</t>
  </si>
  <si>
    <t>204:19152</t>
  </si>
  <si>
    <t>204:233339</t>
  </si>
  <si>
    <t>204:1071</t>
  </si>
  <si>
    <t>204:6476</t>
  </si>
  <si>
    <t>204:7675</t>
  </si>
  <si>
    <t>204:130</t>
  </si>
  <si>
    <t>181-26</t>
  </si>
  <si>
    <t>204:509</t>
  </si>
  <si>
    <t>182-26</t>
  </si>
  <si>
    <t>204:233002</t>
  </si>
  <si>
    <t>183-26</t>
  </si>
  <si>
    <t>204:233318</t>
  </si>
  <si>
    <t>184-26</t>
  </si>
  <si>
    <t>204:232988</t>
  </si>
  <si>
    <t>185-26</t>
  </si>
  <si>
    <t>204:431</t>
  </si>
  <si>
    <t>204:233298</t>
  </si>
  <si>
    <t>187-26</t>
  </si>
  <si>
    <t>204:566</t>
  </si>
  <si>
    <t>204:233278</t>
  </si>
  <si>
    <t>188-26</t>
  </si>
  <si>
    <t>204:409</t>
  </si>
  <si>
    <t>190-26</t>
  </si>
  <si>
    <t>204:170</t>
  </si>
  <si>
    <t>191-26</t>
  </si>
  <si>
    <t>204:500</t>
  </si>
  <si>
    <t>204:127855</t>
  </si>
  <si>
    <t>204:233013</t>
  </si>
  <si>
    <t>193-26</t>
  </si>
  <si>
    <t>204:233342</t>
  </si>
  <si>
    <t>194-26</t>
  </si>
  <si>
    <t>204:233011</t>
  </si>
  <si>
    <t>195-26</t>
  </si>
  <si>
    <t>196-26</t>
  </si>
  <si>
    <t>204:187</t>
  </si>
  <si>
    <t>197-26</t>
  </si>
  <si>
    <t>198-26</t>
  </si>
  <si>
    <t>199-26</t>
  </si>
  <si>
    <t>201-26</t>
  </si>
  <si>
    <t>204:553</t>
  </si>
  <si>
    <t>202-26</t>
  </si>
  <si>
    <t>204:232960</t>
  </si>
  <si>
    <t>204:233263</t>
  </si>
  <si>
    <t>204:232932</t>
  </si>
  <si>
    <t>204:233019</t>
  </si>
  <si>
    <t>207-26</t>
  </si>
  <si>
    <t>204:233322</t>
  </si>
  <si>
    <t>209-26</t>
  </si>
  <si>
    <t>204:506</t>
  </si>
  <si>
    <t>210-26</t>
  </si>
  <si>
    <t>204:232962</t>
  </si>
  <si>
    <t>211-26</t>
  </si>
  <si>
    <t>212-26</t>
  </si>
  <si>
    <t>213-26</t>
  </si>
  <si>
    <t>214-26</t>
  </si>
  <si>
    <t>215-26</t>
  </si>
  <si>
    <t>204:608</t>
  </si>
  <si>
    <t>204:429</t>
  </si>
  <si>
    <t>217-26</t>
  </si>
  <si>
    <t>218-26</t>
  </si>
  <si>
    <t>219-26</t>
  </si>
  <si>
    <t>220-26</t>
  </si>
  <si>
    <t>221-26</t>
  </si>
  <si>
    <t>222-26</t>
  </si>
  <si>
    <t>204:232967</t>
  </si>
  <si>
    <t>223-26</t>
  </si>
  <si>
    <t>204:426</t>
  </si>
  <si>
    <t>224-26</t>
  </si>
  <si>
    <t>225-26</t>
  </si>
  <si>
    <t>226-26</t>
  </si>
  <si>
    <t>227-26</t>
  </si>
  <si>
    <t>204:515</t>
  </si>
  <si>
    <t>230-26</t>
  </si>
  <si>
    <t>204:232942</t>
  </si>
  <si>
    <t>231-26</t>
  </si>
  <si>
    <t>232-26</t>
  </si>
  <si>
    <t>234-26</t>
  </si>
  <si>
    <t>235-26</t>
  </si>
  <si>
    <t>204:502</t>
  </si>
  <si>
    <t>236-26</t>
  </si>
  <si>
    <t>238-26</t>
  </si>
  <si>
    <t>239-26</t>
  </si>
  <si>
    <t>240-26</t>
  </si>
  <si>
    <t>241-26</t>
  </si>
  <si>
    <t>242-26</t>
  </si>
  <si>
    <t>204:233001</t>
  </si>
  <si>
    <t>204:192</t>
  </si>
  <si>
    <t>243-26</t>
  </si>
  <si>
    <t>244-26</t>
  </si>
  <si>
    <t>307-26</t>
  </si>
  <si>
    <t>309-26</t>
  </si>
  <si>
    <t>315-26</t>
  </si>
  <si>
    <t>300:58585</t>
  </si>
  <si>
    <t>204:782</t>
  </si>
  <si>
    <t>204:1048</t>
  </si>
  <si>
    <t>300:58916</t>
  </si>
  <si>
    <t>204:657</t>
  </si>
  <si>
    <t>204:1072</t>
  </si>
  <si>
    <t>300:58914</t>
  </si>
  <si>
    <t>300:58587</t>
  </si>
  <si>
    <t>204:775</t>
  </si>
  <si>
    <t>204:960</t>
  </si>
  <si>
    <t>300:58924</t>
  </si>
  <si>
    <t>807-26</t>
  </si>
  <si>
    <t>204:1062</t>
  </si>
  <si>
    <t>808-26</t>
  </si>
  <si>
    <t>300:58589</t>
  </si>
  <si>
    <t>204:773</t>
  </si>
  <si>
    <t>809-26</t>
  </si>
  <si>
    <t>204:937</t>
  </si>
  <si>
    <t>300:58935</t>
  </si>
  <si>
    <t>204:1065</t>
  </si>
  <si>
    <t>300:58596</t>
  </si>
  <si>
    <t>204:794</t>
  </si>
  <si>
    <t>813-26</t>
  </si>
  <si>
    <t>204:1084</t>
  </si>
  <si>
    <t>814-26</t>
  </si>
  <si>
    <t>300:58598</t>
  </si>
  <si>
    <t>815-26</t>
  </si>
  <si>
    <t>204:766</t>
  </si>
  <si>
    <t>204:1055</t>
  </si>
  <si>
    <t>300:58911</t>
  </si>
  <si>
    <t>818-26</t>
  </si>
  <si>
    <t>819-26</t>
  </si>
  <si>
    <t>204:1049</t>
  </si>
  <si>
    <t>300:58905</t>
  </si>
  <si>
    <t>820-26</t>
  </si>
  <si>
    <t>300:58581</t>
  </si>
  <si>
    <t>204:768</t>
  </si>
  <si>
    <t>204:1070</t>
  </si>
  <si>
    <t>204:682</t>
  </si>
  <si>
    <t>204:972</t>
  </si>
  <si>
    <t>300:58939</t>
  </si>
  <si>
    <t>824-26</t>
  </si>
  <si>
    <t>826-26</t>
  </si>
  <si>
    <t>204:668</t>
  </si>
  <si>
    <t>827-26</t>
  </si>
  <si>
    <t>204:958</t>
  </si>
  <si>
    <t>300:58918</t>
  </si>
  <si>
    <t>828-26</t>
  </si>
  <si>
    <t>204:726</t>
  </si>
  <si>
    <t>829-26</t>
  </si>
  <si>
    <t>830-26</t>
  </si>
  <si>
    <t>300:58623</t>
  </si>
  <si>
    <t>204:649</t>
  </si>
  <si>
    <t>831-26</t>
  </si>
  <si>
    <t>204:1009</t>
  </si>
  <si>
    <t>832-26</t>
  </si>
  <si>
    <t>204:724</t>
  </si>
  <si>
    <t>833-26</t>
  </si>
  <si>
    <t>204:943</t>
  </si>
  <si>
    <t>300:58944</t>
  </si>
  <si>
    <t>834-26</t>
  </si>
  <si>
    <t>300:58628</t>
  </si>
  <si>
    <t>835-26</t>
  </si>
  <si>
    <t>204:1006</t>
  </si>
  <si>
    <t>838-26</t>
  </si>
  <si>
    <t>204:957</t>
  </si>
  <si>
    <t>840-26</t>
  </si>
  <si>
    <t>300:57331</t>
  </si>
  <si>
    <t>842-26</t>
  </si>
  <si>
    <t>300:58615</t>
  </si>
  <si>
    <t>204:659</t>
  </si>
  <si>
    <t>843-26</t>
  </si>
  <si>
    <t>844-26</t>
  </si>
  <si>
    <t>204:738</t>
  </si>
  <si>
    <t>845-26</t>
  </si>
  <si>
    <t>300:58912</t>
  </si>
  <si>
    <t>847-26</t>
  </si>
  <si>
    <t>204:995</t>
  </si>
  <si>
    <t>903-26</t>
  </si>
  <si>
    <t>300:24083</t>
  </si>
  <si>
    <t>906-26</t>
  </si>
  <si>
    <t>204:1007</t>
  </si>
  <si>
    <t>300:22703</t>
  </si>
  <si>
    <t>908-26</t>
  </si>
  <si>
    <t>300:21721</t>
  </si>
  <si>
    <t>Trip IDs  323 hits</t>
  </si>
  <si>
    <t>2016-07-25 19:47:23.872 - 2016-07-27 07:47:23.872</t>
  </si>
  <si>
    <t>WEBSTER</t>
  </si>
  <si>
    <t>131-27</t>
  </si>
  <si>
    <t>807-27</t>
  </si>
  <si>
    <t>805-27</t>
  </si>
  <si>
    <t>119-27</t>
  </si>
  <si>
    <t>SANTIZO</t>
  </si>
  <si>
    <t>311-26</t>
  </si>
  <si>
    <t>803-27</t>
  </si>
  <si>
    <t>800-27</t>
  </si>
  <si>
    <t>104-27</t>
  </si>
  <si>
    <t>302-27</t>
  </si>
  <si>
    <t>MAELZER</t>
  </si>
  <si>
    <t>313-26</t>
  </si>
  <si>
    <t>129-27</t>
  </si>
  <si>
    <t>304-27</t>
  </si>
  <si>
    <t>103-27</t>
  </si>
  <si>
    <t>120-27</t>
  </si>
  <si>
    <t>105-27</t>
  </si>
  <si>
    <t>121-27</t>
  </si>
  <si>
    <t>111-27</t>
  </si>
  <si>
    <t>115-27</t>
  </si>
  <si>
    <t>116-27</t>
  </si>
  <si>
    <t>123-27</t>
  </si>
  <si>
    <t>NELSON</t>
  </si>
  <si>
    <t>809-27</t>
  </si>
  <si>
    <t>DE LA ROSA</t>
  </si>
  <si>
    <t>101-27</t>
  </si>
  <si>
    <t>107-27</t>
  </si>
  <si>
    <t>109-27</t>
  </si>
  <si>
    <t>108-27</t>
  </si>
  <si>
    <t>117-27</t>
  </si>
  <si>
    <t>801-27</t>
  </si>
  <si>
    <t>112-27</t>
  </si>
  <si>
    <t>118-27</t>
  </si>
  <si>
    <t>125-27</t>
  </si>
  <si>
    <t>128-27</t>
  </si>
  <si>
    <t>122-27</t>
  </si>
  <si>
    <t>127-27</t>
  </si>
  <si>
    <t>124-27</t>
  </si>
  <si>
    <t>901-27</t>
  </si>
  <si>
    <t>808-27</t>
  </si>
  <si>
    <t>106-27</t>
  </si>
  <si>
    <t>102-27</t>
  </si>
  <si>
    <t>804-27</t>
  </si>
  <si>
    <t>126-27</t>
  </si>
  <si>
    <t>Dispatcher error prevented init at DIA, inited at 61st</t>
  </si>
  <si>
    <t>TENTATIVE - onboard triplex issue prevented track selection</t>
  </si>
  <si>
    <t>DUS 2N was STOP, reinit @ 38th</t>
  </si>
  <si>
    <t>:.+((SYSTEM_STATE.+slice.+state.+changed )|(ment ac)|(system.+state.+changed )|(\|lc)|(penalty)|(\[timeout)|(PRM\|1\|D))</t>
  </si>
  <si>
    <t>Unable to run departure test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</si>
  <si>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</si>
  <si>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</si>
  <si>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</si>
  <si>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</si>
  <si>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</si>
  <si>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836-26</t>
  </si>
  <si>
    <t>837-26</t>
  </si>
  <si>
    <t>841-26</t>
  </si>
  <si>
    <t>846-26</t>
  </si>
  <si>
    <t>4013/4014</t>
  </si>
  <si>
    <t>Offered as part of list, different trip chosen</t>
  </si>
  <si>
    <t>Kibana link</t>
  </si>
  <si>
    <t>4037/4038</t>
  </si>
  <si>
    <t>?</t>
  </si>
  <si>
    <t>Nothing found in data</t>
  </si>
  <si>
    <t>EC</t>
  </si>
  <si>
    <t>NW</t>
  </si>
  <si>
    <t>EC/NW/GL</t>
  </si>
  <si>
    <t>Sat at MP 5.73 for a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</si>
</sst>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9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7"/>
  <sheetViews>
    <sheetView tabSelected="1" workbookViewId="0">
      <selection activeCell="S4" sqref="S4:S9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6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3.14062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790</v>
      </c>
      <c r="J1" s="49"/>
      <c r="K1" s="34"/>
      <c r="L1" s="34"/>
      <c r="M1" s="48"/>
      <c r="N1" s="49"/>
      <c r="O1" s="2"/>
      <c r="P1" s="2"/>
      <c r="R1" s="46" t="s">
        <v>791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42577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42577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44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COUNTIFS($N$13:$N$9999,"&gt;0",$AG$13:$AG$9999,I1)</f>
        <v>136</v>
      </c>
      <c r="K5" s="52"/>
      <c r="L5" s="52"/>
      <c r="M5" s="53">
        <f>AVERAGEIFS($N$13:$N$9999,$AG$13:$AG$9999,I1)</f>
        <v>43.468382352987057</v>
      </c>
      <c r="N5" s="51">
        <f t="array" ref="N5">MIN(IF($AG$13:$AG$9999=I1,IF(ISNUMBER($N$13:$N$9999),IF($N$13:$N$9999&gt;0,$N$13:$N$9999))))</f>
        <v>35.883333329111338</v>
      </c>
      <c r="O5" s="3">
        <f t="array" ref="O5">MAX(IF($AG$13:$AG$9999=I1,IF(ISNUMBER($N$13:$N$9999),IF($N$13:$N$9999&gt;0,$N$13:$N$9999))))</f>
        <v>59.166666667442769</v>
      </c>
      <c r="P5" s="2"/>
      <c r="R5" s="121" t="s">
        <v>17</v>
      </c>
      <c r="S5" s="68">
        <f>COUNTIFS($N$13:$N$9999,"&gt;0",$AG$13:$AG$9999,R1)</f>
        <v>44</v>
      </c>
      <c r="T5" s="52"/>
      <c r="U5" s="52"/>
      <c r="V5" s="53">
        <f>AVERAGEIFS($N$13:$N$9999,$AG$13:$AG$9999,R1)</f>
        <v>21.53939393962818</v>
      </c>
      <c r="W5" s="51">
        <f t="array" ref="W5">MIN(IF($AG$13:$AG$9999=R1,IF(ISNUMBER($N$13:$N$9999),IF($N$13:$N$9999&gt;0,$N$13:$N$9999))))</f>
        <v>14.383333332370967</v>
      </c>
      <c r="X5" s="3">
        <f t="array" ref="X5">MAX(IF($AG$13:$AG$9999=R1,IF(ISNUMBER($N$13:$N$9999),IF($N$13:$N$9999&gt;0,$N$13:$N$9999))))</f>
        <v>51.199999992968515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COUNT($O$13:$O$699)</f>
        <v>0</v>
      </c>
      <c r="K6" s="52"/>
      <c r="L6" s="52"/>
      <c r="M6" s="53">
        <f>IFERROR(AVERAGE($O$13:$O$699),0)</f>
        <v>0</v>
      </c>
      <c r="N6" s="51">
        <f>MIN($O$13:$O$699)</f>
        <v>0</v>
      </c>
      <c r="O6" s="3">
        <f>MAX($O$13:$O$699)</f>
        <v>0</v>
      </c>
      <c r="P6" s="2"/>
      <c r="R6" s="122" t="s">
        <v>43</v>
      </c>
      <c r="S6" s="68">
        <f>COUNT($O$13:$O$699)</f>
        <v>0</v>
      </c>
      <c r="T6" s="52"/>
      <c r="U6" s="52"/>
      <c r="V6" s="53">
        <f>IFERROR(AVERAGE($O$13:$O$699),0)</f>
        <v>0</v>
      </c>
      <c r="W6" s="51">
        <f>MIN($O$13:$O$699)</f>
        <v>0</v>
      </c>
      <c r="X6" s="3">
        <f>MAX($O$13:$O$699)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COUNTIFS($P$13:$P$9999,"&gt;0",$AG$13:$AG$9999,I1)</f>
        <v>8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COUNTIFS($P$13:$P$9999,"&gt;0",$AG$13:$AG$9999,R1)</f>
        <v>0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136</v>
      </c>
      <c r="K8" s="52"/>
      <c r="L8" s="52"/>
      <c r="M8" s="53">
        <f>M5</f>
        <v>43.468382352987057</v>
      </c>
      <c r="N8" s="51">
        <f>N5</f>
        <v>35.883333329111338</v>
      </c>
      <c r="O8" s="3">
        <f>O5</f>
        <v>59.166666667442769</v>
      </c>
      <c r="P8" s="2"/>
      <c r="R8" s="121" t="s">
        <v>16</v>
      </c>
      <c r="S8" s="68">
        <f>S5</f>
        <v>44</v>
      </c>
      <c r="T8" s="52"/>
      <c r="U8" s="52"/>
      <c r="V8" s="53">
        <f>V5</f>
        <v>21.53939393962818</v>
      </c>
      <c r="W8" s="51">
        <f>W5</f>
        <v>14.383333332370967</v>
      </c>
      <c r="X8" s="3">
        <f>X5</f>
        <v>51.199999992968515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0.94444444444444442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1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6" t="str">
        <f>"Eagle P3 System Performance - "&amp;TEXT(Variables!A2,"yyyy-mm-dd")</f>
        <v>Eagle P3 System Performance - 2016-07-26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8">
        <f>AVERAGE(S13:S161)</f>
        <v>0.95973154362416102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126</v>
      </c>
      <c r="AF12" s="64" t="s">
        <v>131</v>
      </c>
      <c r="AG12" s="4" t="s">
        <v>792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371</v>
      </c>
      <c r="B13" s="7">
        <v>4027</v>
      </c>
      <c r="C13" s="25" t="s">
        <v>248</v>
      </c>
      <c r="D13" s="25" t="s">
        <v>453</v>
      </c>
      <c r="E13" s="16">
        <v>42577.129687499997</v>
      </c>
      <c r="F13" s="16">
        <v>42577.130833333336</v>
      </c>
      <c r="G13" s="7">
        <v>1</v>
      </c>
      <c r="H13" s="16" t="s">
        <v>231</v>
      </c>
      <c r="I13" s="16">
        <v>42577.162881944445</v>
      </c>
      <c r="J13" s="7">
        <v>0</v>
      </c>
      <c r="K13" s="25" t="str">
        <f t="shared" ref="K13:K44" si="0">IF(ISEVEN(B13),(B13-1)&amp;"/"&amp;B13,B13&amp;"/"&amp;(B13+1))</f>
        <v>4027/4028</v>
      </c>
      <c r="L13" s="25" t="str">
        <f>VLOOKUP(A13,'Trips&amp;Operators'!$C$1:$E$10000,3,FALSE)</f>
        <v>HELVIE</v>
      </c>
      <c r="M13" s="6">
        <f t="shared" ref="M13:M44" si="1">I13-F13</f>
        <v>3.2048611108621117E-2</v>
      </c>
      <c r="N13" s="7">
        <f>24*60*SUM($M13:$M13)</f>
        <v>46.149999996414408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https://search-rtdc-monitor-bjffxe2xuh6vdkpspy63sjmuny.us-east-1.es.amazonaws.com/_plugin/kibana/#/discover/Steve-Slow-Train-Analysis-(2080s-and-2083s)?_g=(refreshInterval:(display:Off,section:0,value:0),time:(from:'2016-07-26 02:06:45-0600',mode:absolute,to:'2016-07-26 04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7.5899999999999995E-2</v>
      </c>
      <c r="Z13" s="80">
        <f>RIGHT(H13,LEN(H13)-4)/10000</f>
        <v>23.331499999999998</v>
      </c>
      <c r="AA13" s="80">
        <f>ABS(Z13-Y13)</f>
        <v>23.255599999999998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0101-26</v>
      </c>
      <c r="AE13" s="66" t="str">
        <f t="shared" ref="AE13:AE4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13" s="66" t="str">
        <f t="shared" ref="AF13:AF4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/stypes="*4027*20160726*" /stext=" 09:.+((SYSTEM_STATE.+slice.+state.+changed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372</v>
      </c>
      <c r="B14" s="7">
        <v>4010</v>
      </c>
      <c r="C14" s="25" t="s">
        <v>248</v>
      </c>
      <c r="D14" s="25" t="s">
        <v>454</v>
      </c>
      <c r="E14" s="16">
        <v>42577.170127314814</v>
      </c>
      <c r="F14" s="16">
        <v>42577.171111111114</v>
      </c>
      <c r="G14" s="7">
        <v>1</v>
      </c>
      <c r="H14" s="16" t="s">
        <v>145</v>
      </c>
      <c r="I14" s="16">
        <v>42577.202592592592</v>
      </c>
      <c r="J14" s="7">
        <v>1</v>
      </c>
      <c r="K14" s="25" t="str">
        <f t="shared" si="0"/>
        <v>4009/4010</v>
      </c>
      <c r="L14" s="25" t="str">
        <f>VLOOKUP(A14,'Trips&amp;Operators'!$C$1:$E$10000,3,FALSE)</f>
        <v>HELVIE</v>
      </c>
      <c r="M14" s="6">
        <f t="shared" si="1"/>
        <v>3.1481481477385387E-2</v>
      </c>
      <c r="N14" s="7">
        <f>24*60*SUM($M14:$M14)</f>
        <v>45.333333327434957</v>
      </c>
      <c r="O14" s="7"/>
      <c r="P14" s="7"/>
      <c r="Q14" s="26"/>
      <c r="R14" s="26"/>
      <c r="S14" s="41">
        <f t="shared" ref="S14:S77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https://search-rtdc-monitor-bjffxe2xuh6vdkpspy63sjmuny.us-east-1.es.amazonaws.com/_plugin/kibana/#/discover/Steve-Slow-Train-Analysis-(2080s-and-2083s)?_g=(refreshInterval:(display:Off,section:0,value:0),time:(from:'2016-07-26 03:04:59-0600',mode:absolute,to:'2016-07-26 05:51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4" s="65" t="str">
        <f t="shared" ref="W14:W77" si="5">IF(AA14&lt;IF(AG14="EC",23,5.65),"Y","N")</f>
        <v>N</v>
      </c>
      <c r="X14" s="83">
        <f>VALUE(LEFT(A14,3))-VALUE(LEFT(A13,3))</f>
        <v>1</v>
      </c>
      <c r="Y14" s="80">
        <f>RIGHT(D14,LEN(D14)-4)/10000</f>
        <v>23.266999999999999</v>
      </c>
      <c r="Z14" s="80">
        <f>RIGHT(H14,LEN(H14)-4)/10000</f>
        <v>1.38E-2</v>
      </c>
      <c r="AA14" s="80">
        <f>ABS(Z14-Y14)</f>
        <v>23.2532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0102-26</v>
      </c>
      <c r="AE14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4" s="66" t="str">
        <f t="shared" si="3"/>
        <v>"C:\Program Files (x86)\AstroGrep\AstroGrep.exe" /spath="C:\Users\stu\Documents\Analysis\2016-02-23 RTDC Observations" /stypes="*4010*20160726*" /stext=" 10:.+((SYSTEM_STATE.+slice.+state.+changed )|(ment ac)|(system.+state.+changed )|(\|lc)|(penalty)|(\[timeout)|(PRM\|1\|D))" /e /r /s</v>
      </c>
      <c r="AG14" s="1" t="str">
        <f t="shared" ref="AG14:AG77" si="6">IF(VALUE(LEFT(AD14,2))&lt;=2,"EC",IF(VALUE(LEFT(AD14,2))=8,"NW","GL"))</f>
        <v>EC</v>
      </c>
    </row>
    <row r="15" spans="1:91" s="1" customFormat="1" x14ac:dyDescent="0.25">
      <c r="A15" s="45" t="s">
        <v>392</v>
      </c>
      <c r="B15" s="7">
        <v>4020</v>
      </c>
      <c r="C15" s="25" t="s">
        <v>248</v>
      </c>
      <c r="D15" s="25" t="s">
        <v>455</v>
      </c>
      <c r="E15" s="16">
        <v>42577.152546296296</v>
      </c>
      <c r="F15" s="16">
        <v>42577.15357638889</v>
      </c>
      <c r="G15" s="7">
        <v>1</v>
      </c>
      <c r="H15" s="16" t="s">
        <v>456</v>
      </c>
      <c r="I15" s="16">
        <v>42577.182210648149</v>
      </c>
      <c r="J15" s="7">
        <v>0</v>
      </c>
      <c r="K15" s="25" t="str">
        <f t="shared" si="0"/>
        <v>4019/4020</v>
      </c>
      <c r="L15" s="25" t="str">
        <f>VLOOKUP(A15,'Trips&amp;Operators'!$C$1:$E$10000,3,FALSE)</f>
        <v>ACKERMAN</v>
      </c>
      <c r="M15" s="6">
        <f t="shared" si="1"/>
        <v>2.8634259258979E-2</v>
      </c>
      <c r="N15" s="7">
        <f t="shared" ref="N15:P77" si="7">24*60*SUM($M15:$M15)</f>
        <v>41.23333333292976</v>
      </c>
      <c r="O15" s="7"/>
      <c r="P15" s="7"/>
      <c r="Q15" s="26"/>
      <c r="R15" s="26"/>
      <c r="S15" s="41">
        <f t="shared" si="4"/>
        <v>1</v>
      </c>
      <c r="T15" s="60" t="str">
        <f t="shared" ref="T15:T77" si="8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77" si="9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https://search-rtdc-monitor-bjffxe2xuh6vdkpspy63sjmuny.us-east-1.es.amazonaws.com/_plugin/kibana/#/discover/Steve-Slow-Train-Analysis-(2080s-and-2083s)?_g=(refreshInterval:(display:Off,section:0,value:0),time:(from:'2016-07-26 02:39:40-0600',mode:absolute,to:'2016-07-26 05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" s="65" t="str">
        <f t="shared" si="5"/>
        <v>N</v>
      </c>
      <c r="X15" s="83">
        <f t="shared" ref="X15:X77" si="10">VALUE(LEFT(A15,3))-VALUE(LEFT(A14,3))</f>
        <v>1</v>
      </c>
      <c r="Y15" s="80">
        <f t="shared" ref="Y15:Y77" si="11">RIGHT(D15,LEN(D15)-4)/10000</f>
        <v>7.0800000000000002E-2</v>
      </c>
      <c r="Z15" s="80">
        <f t="shared" ref="Z15:Z77" si="12">RIGHT(H15,LEN(H15)-4)/10000</f>
        <v>23.3383</v>
      </c>
      <c r="AA15" s="80">
        <f t="shared" ref="AA15:AA77" si="13">ABS(Z15-Y15)</f>
        <v>23.267500000000002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77" si="14">IF(LEN(A15)=6,"0"&amp;A15,A15)</f>
        <v>0103-26</v>
      </c>
      <c r="AE15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5" s="66" t="str">
        <f t="shared" si="3"/>
        <v>"C:\Program Files (x86)\AstroGrep\AstroGrep.exe" /spath="C:\Users\stu\Documents\Analysis\2016-02-23 RTDC Observations" /stypes="*4020*20160726*" /stext=" 10:.+((SYSTEM_STATE.+slice.+state.+changed )|(ment ac)|(system.+state.+changed )|(\|lc)|(penalty)|(\[timeout)|(PRM\|1\|D))" /e /r /s</v>
      </c>
      <c r="AG15" s="1" t="str">
        <f t="shared" si="6"/>
        <v>EC</v>
      </c>
    </row>
    <row r="16" spans="1:91" s="1" customFormat="1" x14ac:dyDescent="0.25">
      <c r="A16" s="45" t="s">
        <v>388</v>
      </c>
      <c r="B16" s="7">
        <v>4030</v>
      </c>
      <c r="C16" s="25" t="s">
        <v>248</v>
      </c>
      <c r="D16" s="25" t="s">
        <v>457</v>
      </c>
      <c r="E16" s="16">
        <v>42577.189942129633</v>
      </c>
      <c r="F16" s="16">
        <v>42577.191145833334</v>
      </c>
      <c r="G16" s="7">
        <v>1</v>
      </c>
      <c r="H16" s="16" t="s">
        <v>458</v>
      </c>
      <c r="I16" s="16">
        <v>42577.222222222219</v>
      </c>
      <c r="J16" s="7">
        <v>1</v>
      </c>
      <c r="K16" s="25" t="str">
        <f t="shared" si="0"/>
        <v>4029/4030</v>
      </c>
      <c r="L16" s="25" t="str">
        <f>VLOOKUP(A16,'Trips&amp;Operators'!$C$1:$E$10000,3,FALSE)</f>
        <v>ACKERMAN</v>
      </c>
      <c r="M16" s="6">
        <f t="shared" si="1"/>
        <v>3.1076388884685002E-2</v>
      </c>
      <c r="N16" s="7">
        <f t="shared" si="7"/>
        <v>44.749999993946403</v>
      </c>
      <c r="O16" s="7"/>
      <c r="P16" s="7"/>
      <c r="Q16" s="26"/>
      <c r="R16" s="26"/>
      <c r="S16" s="41">
        <f t="shared" si="4"/>
        <v>1</v>
      </c>
      <c r="T16" s="60" t="str">
        <f t="shared" si="8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03:33:31-0600',mode:absolute,to:'2016-07-26 06:20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6" s="65" t="str">
        <f t="shared" si="5"/>
        <v>N</v>
      </c>
      <c r="X16" s="83">
        <f t="shared" si="10"/>
        <v>1</v>
      </c>
      <c r="Y16" s="80">
        <f t="shared" si="11"/>
        <v>23.2744</v>
      </c>
      <c r="Z16" s="80">
        <f t="shared" si="12"/>
        <v>7.9699999999999993E-2</v>
      </c>
      <c r="AA16" s="80">
        <f t="shared" si="13"/>
        <v>23.194700000000001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4"/>
        <v>0104-26</v>
      </c>
      <c r="AE16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6" s="66" t="str">
        <f t="shared" si="3"/>
        <v>"C:\Program Files (x86)\AstroGrep\AstroGrep.exe" /spath="C:\Users\stu\Documents\Analysis\2016-02-23 RTDC Observations" /stypes="*4030*20160726*" /stext=" 11:.+((SYSTEM_STATE.+slice.+state.+changed )|(ment ac)|(system.+state.+changed )|(\|lc)|(penalty)|(\[timeout)|(PRM\|1\|D))" /e /r /s</v>
      </c>
      <c r="AG16" s="1" t="str">
        <f t="shared" si="6"/>
        <v>EC</v>
      </c>
    </row>
    <row r="17" spans="1:33" s="1" customFormat="1" x14ac:dyDescent="0.25">
      <c r="A17" s="45" t="s">
        <v>401</v>
      </c>
      <c r="B17" s="7">
        <v>4025</v>
      </c>
      <c r="C17" s="25" t="s">
        <v>248</v>
      </c>
      <c r="D17" s="25" t="s">
        <v>459</v>
      </c>
      <c r="E17" s="16">
        <v>42577.175011574072</v>
      </c>
      <c r="F17" s="16">
        <v>42577.176145833335</v>
      </c>
      <c r="G17" s="7">
        <v>1</v>
      </c>
      <c r="H17" s="16" t="s">
        <v>295</v>
      </c>
      <c r="I17" s="16">
        <v>42577.203136574077</v>
      </c>
      <c r="J17" s="7">
        <v>0</v>
      </c>
      <c r="K17" s="25" t="str">
        <f t="shared" si="0"/>
        <v>4025/4026</v>
      </c>
      <c r="L17" s="25" t="str">
        <f>VLOOKUP(A17,'Trips&amp;Operators'!$C$1:$E$10000,3,FALSE)</f>
        <v>DAVIS</v>
      </c>
      <c r="M17" s="6">
        <f t="shared" si="1"/>
        <v>2.6990740741894115E-2</v>
      </c>
      <c r="N17" s="7">
        <f t="shared" si="7"/>
        <v>38.866666668327525</v>
      </c>
      <c r="O17" s="7"/>
      <c r="P17" s="7"/>
      <c r="Q17" s="26"/>
      <c r="R17" s="26"/>
      <c r="S17" s="41">
        <f t="shared" si="4"/>
        <v>1</v>
      </c>
      <c r="T17" s="60" t="str">
        <f t="shared" si="8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03:12:01-0600',mode:absolute,to:'2016-07-26 05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" s="65" t="str">
        <f t="shared" si="5"/>
        <v>N</v>
      </c>
      <c r="X17" s="83">
        <f t="shared" si="10"/>
        <v>1</v>
      </c>
      <c r="Y17" s="80">
        <f t="shared" si="11"/>
        <v>7.3400000000000007E-2</v>
      </c>
      <c r="Z17" s="80">
        <f t="shared" si="12"/>
        <v>23.331700000000001</v>
      </c>
      <c r="AA17" s="80">
        <f t="shared" si="13"/>
        <v>23.258300000000002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4"/>
        <v>0105-26</v>
      </c>
      <c r="AE17" s="66" t="str">
        <f t="shared" si="2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7" s="66" t="str">
        <f t="shared" si="3"/>
        <v>"C:\Program Files (x86)\AstroGrep\AstroGrep.exe" /spath="C:\Users\stu\Documents\Analysis\2016-02-23 RTDC Observations" /stypes="*4025*20160726*" /stext=" 10:.+((SYSTEM_STATE.+slice.+state.+changed )|(ment ac)|(system.+state.+changed )|(\|lc)|(penalty)|(\[timeout)|(PRM\|1\|D))" /e /r /s</v>
      </c>
      <c r="AG17" s="1" t="str">
        <f t="shared" si="6"/>
        <v>EC</v>
      </c>
    </row>
    <row r="18" spans="1:33" s="1" customFormat="1" ht="16.5" customHeight="1" x14ac:dyDescent="0.25">
      <c r="A18" s="45" t="s">
        <v>403</v>
      </c>
      <c r="B18" s="7">
        <v>4017</v>
      </c>
      <c r="C18" s="25" t="s">
        <v>248</v>
      </c>
      <c r="D18" s="25" t="s">
        <v>460</v>
      </c>
      <c r="E18" s="16">
        <v>42577.211435185185</v>
      </c>
      <c r="F18" s="16">
        <v>42577.213460648149</v>
      </c>
      <c r="G18" s="7">
        <v>2</v>
      </c>
      <c r="H18" s="16" t="s">
        <v>58</v>
      </c>
      <c r="I18" s="16">
        <v>42577.244201388887</v>
      </c>
      <c r="J18" s="7">
        <v>0</v>
      </c>
      <c r="K18" s="25" t="str">
        <f t="shared" si="0"/>
        <v>4017/4018</v>
      </c>
      <c r="L18" s="25" t="str">
        <f>VLOOKUP(A18,'Trips&amp;Operators'!$C$1:$E$10000,3,FALSE)</f>
        <v>DAVIS</v>
      </c>
      <c r="M18" s="6">
        <f t="shared" si="1"/>
        <v>3.0740740738110617E-2</v>
      </c>
      <c r="N18" s="7">
        <f t="shared" si="7"/>
        <v>44.266666662879288</v>
      </c>
      <c r="O18" s="7"/>
      <c r="P18" s="7"/>
      <c r="Q18" s="26"/>
      <c r="R18" s="26"/>
      <c r="S18" s="41">
        <f t="shared" si="4"/>
        <v>1</v>
      </c>
      <c r="T18" s="60" t="str">
        <f t="shared" si="8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04:04:28-0600',mode:absolute,to:'2016-07-26 06:51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8" s="65" t="str">
        <f t="shared" si="5"/>
        <v>N</v>
      </c>
      <c r="X18" s="83">
        <f t="shared" si="10"/>
        <v>1</v>
      </c>
      <c r="Y18" s="80">
        <f t="shared" si="11"/>
        <v>23.267900000000001</v>
      </c>
      <c r="Z18" s="80">
        <f t="shared" si="12"/>
        <v>1.4500000000000001E-2</v>
      </c>
      <c r="AA18" s="80">
        <f t="shared" si="13"/>
        <v>23.253399999999999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4"/>
        <v>0106-26</v>
      </c>
      <c r="AE18" s="66" t="str">
        <f t="shared" si="2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8" s="66" t="str">
        <f t="shared" si="3"/>
        <v>"C:\Program Files (x86)\AstroGrep\AstroGrep.exe" /spath="C:\Users\stu\Documents\Analysis\2016-02-23 RTDC Observations" /stypes="*4017*20160726*" /stext=" 11:.+((SYSTEM_STATE.+slice.+state.+changed )|(ment ac)|(system.+state.+changed )|(\|lc)|(penalty)|(\[timeout)|(PRM\|1\|D))" /e /r /s</v>
      </c>
      <c r="AG18" s="1" t="str">
        <f t="shared" si="6"/>
        <v>EC</v>
      </c>
    </row>
    <row r="19" spans="1:33" s="1" customFormat="1" x14ac:dyDescent="0.25">
      <c r="A19" s="45" t="s">
        <v>402</v>
      </c>
      <c r="B19" s="7">
        <v>4042</v>
      </c>
      <c r="C19" s="25" t="s">
        <v>248</v>
      </c>
      <c r="D19" s="25" t="s">
        <v>300</v>
      </c>
      <c r="E19" s="16">
        <v>42577.183842592596</v>
      </c>
      <c r="F19" s="16">
        <v>42577.184837962966</v>
      </c>
      <c r="G19" s="7">
        <v>1</v>
      </c>
      <c r="H19" s="16" t="s">
        <v>163</v>
      </c>
      <c r="I19" s="16">
        <v>42577.21303240741</v>
      </c>
      <c r="J19" s="7">
        <v>0</v>
      </c>
      <c r="K19" s="25" t="str">
        <f t="shared" si="0"/>
        <v>4041/4042</v>
      </c>
      <c r="L19" s="25" t="str">
        <f>VLOOKUP(A19,'Trips&amp;Operators'!$C$1:$E$10000,3,FALSE)</f>
        <v>SPECTOR</v>
      </c>
      <c r="M19" s="6">
        <f t="shared" si="1"/>
        <v>2.8194444443215616E-2</v>
      </c>
      <c r="N19" s="7">
        <f t="shared" si="7"/>
        <v>40.599999998230487</v>
      </c>
      <c r="O19" s="7"/>
      <c r="P19" s="7"/>
      <c r="Q19" s="26"/>
      <c r="R19" s="26"/>
      <c r="S19" s="41">
        <f t="shared" si="4"/>
        <v>1</v>
      </c>
      <c r="T19" s="60" t="str">
        <f t="shared" si="8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03:24:44-0600',mode:absolute,to:'2016-07-26 06:06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9" s="65" t="str">
        <f t="shared" si="5"/>
        <v>N</v>
      </c>
      <c r="X19" s="83">
        <f t="shared" si="10"/>
        <v>1</v>
      </c>
      <c r="Y19" s="80">
        <f t="shared" si="11"/>
        <v>4.3799999999999999E-2</v>
      </c>
      <c r="Z19" s="80">
        <f t="shared" si="12"/>
        <v>23.330300000000001</v>
      </c>
      <c r="AA19" s="80">
        <f t="shared" si="13"/>
        <v>23.2865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4"/>
        <v>0107-26</v>
      </c>
      <c r="AE19" s="66" t="str">
        <f t="shared" si="2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9" s="66" t="str">
        <f t="shared" si="3"/>
        <v>"C:\Program Files (x86)\AstroGrep\AstroGrep.exe" /spath="C:\Users\stu\Documents\Analysis\2016-02-23 RTDC Observations" /stypes="*4042*20160726*" /stext=" 11:.+((SYSTEM_STATE.+slice.+state.+changed )|(ment ac)|(system.+state.+changed )|(\|lc)|(penalty)|(\[timeout)|(PRM\|1\|D))" /e /r /s</v>
      </c>
      <c r="AG19" s="1" t="str">
        <f t="shared" si="6"/>
        <v>EC</v>
      </c>
    </row>
    <row r="20" spans="1:33" s="1" customFormat="1" x14ac:dyDescent="0.25">
      <c r="A20" s="45" t="s">
        <v>386</v>
      </c>
      <c r="B20" s="7">
        <v>4041</v>
      </c>
      <c r="C20" s="25" t="s">
        <v>248</v>
      </c>
      <c r="D20" s="25" t="s">
        <v>461</v>
      </c>
      <c r="E20" s="16">
        <v>42577.225960648146</v>
      </c>
      <c r="F20" s="16">
        <v>42577.227731481478</v>
      </c>
      <c r="G20" s="7">
        <v>2</v>
      </c>
      <c r="H20" s="16" t="s">
        <v>462</v>
      </c>
      <c r="I20" s="16">
        <v>42577.256284722222</v>
      </c>
      <c r="J20" s="7">
        <v>2</v>
      </c>
      <c r="K20" s="25" t="str">
        <f t="shared" si="0"/>
        <v>4041/4042</v>
      </c>
      <c r="L20" s="25" t="str">
        <f>VLOOKUP(A20,'Trips&amp;Operators'!$C$1:$E$10000,3,FALSE)</f>
        <v>SPECTOR</v>
      </c>
      <c r="M20" s="6">
        <f t="shared" si="1"/>
        <v>2.8553240743349306E-2</v>
      </c>
      <c r="N20" s="7">
        <f t="shared" si="7"/>
        <v>41.116666670423001</v>
      </c>
      <c r="O20" s="7"/>
      <c r="P20" s="7"/>
      <c r="Q20" s="26"/>
      <c r="R20" s="26"/>
      <c r="S20" s="41">
        <f t="shared" si="4"/>
        <v>1</v>
      </c>
      <c r="T20" s="60" t="str">
        <f t="shared" si="8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20" s="65" t="str">
        <f t="shared" si="5"/>
        <v>N</v>
      </c>
      <c r="X20" s="83">
        <f t="shared" ref="X20:X24" si="15">VALUE(LEFT(A20,3))-VALUE(LEFT(A19,3))</f>
        <v>1</v>
      </c>
      <c r="Y20" s="80">
        <f t="shared" ref="Y20:Y24" si="16">RIGHT(D20,LEN(D20)-4)/10000</f>
        <v>23.2986</v>
      </c>
      <c r="Z20" s="80">
        <f t="shared" si="12"/>
        <v>2.5100000000000001E-2</v>
      </c>
      <c r="AA20" s="80">
        <f t="shared" si="13"/>
        <v>23.273500000000002</v>
      </c>
      <c r="AB20" s="77">
        <f>VLOOKUP(A20,Enforcements!$C$7:$J$24,8,0)</f>
        <v>33257</v>
      </c>
      <c r="AC20" s="73" t="str">
        <f>VLOOKUP(A20,Enforcements!$C$7:$E$24,3,0)</f>
        <v>GRADE CROSSING</v>
      </c>
      <c r="AD20" s="74" t="str">
        <f t="shared" si="14"/>
        <v>0108-26</v>
      </c>
      <c r="AE20" s="66" t="str">
        <f t="shared" si="2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20" s="66" t="str">
        <f t="shared" si="3"/>
        <v>"C:\Program Files (x86)\AstroGrep\AstroGrep.exe" /spath="C:\Users\stu\Documents\Analysis\2016-02-23 RTDC Observations" /stypes="*4041*20160726*" /stext=" 12:.+((SYSTEM_STATE.+slice.+state.+changed )|(ment ac)|(system.+state.+changed )|(\|lc)|(penalty)|(\[timeout)|(PRM\|1\|D))" /e /r /s</v>
      </c>
      <c r="AG20" s="1" t="str">
        <f t="shared" si="6"/>
        <v>EC</v>
      </c>
    </row>
    <row r="21" spans="1:33" s="35" customFormat="1" x14ac:dyDescent="0.25">
      <c r="A21" s="45" t="s">
        <v>393</v>
      </c>
      <c r="B21" s="7">
        <v>4031</v>
      </c>
      <c r="C21" s="25" t="s">
        <v>248</v>
      </c>
      <c r="D21" s="25" t="s">
        <v>226</v>
      </c>
      <c r="E21" s="16">
        <v>42577.194780092592</v>
      </c>
      <c r="F21" s="16">
        <v>42577.195787037039</v>
      </c>
      <c r="G21" s="7">
        <v>1</v>
      </c>
      <c r="H21" s="16" t="s">
        <v>231</v>
      </c>
      <c r="I21" s="16">
        <v>42577.223645833335</v>
      </c>
      <c r="J21" s="7">
        <v>0</v>
      </c>
      <c r="K21" s="25" t="str">
        <f t="shared" si="0"/>
        <v>4031/4032</v>
      </c>
      <c r="L21" s="25" t="str">
        <f>VLOOKUP(A21,'Trips&amp;Operators'!$C$1:$E$10000,3,FALSE)</f>
        <v>REBOLETTI</v>
      </c>
      <c r="M21" s="6">
        <f t="shared" si="1"/>
        <v>2.7858796296641231E-2</v>
      </c>
      <c r="N21" s="7">
        <f t="shared" si="7"/>
        <v>40.116666667163372</v>
      </c>
      <c r="O21" s="7"/>
      <c r="P21" s="7"/>
      <c r="Q21" s="26"/>
      <c r="R21" s="26"/>
      <c r="S21" s="41">
        <f t="shared" si="4"/>
        <v>1</v>
      </c>
      <c r="T21" s="60" t="str">
        <f t="shared" si="8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03:40:29-0600',mode:absolute,to:'2016-07-26 06:22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21" s="65" t="str">
        <f t="shared" si="5"/>
        <v>N</v>
      </c>
      <c r="X21" s="83">
        <f t="shared" si="15"/>
        <v>1</v>
      </c>
      <c r="Y21" s="80">
        <f t="shared" si="16"/>
        <v>4.5499999999999999E-2</v>
      </c>
      <c r="Z21" s="80">
        <f t="shared" si="12"/>
        <v>23.331499999999998</v>
      </c>
      <c r="AA21" s="80">
        <f t="shared" si="13"/>
        <v>23.285999999999998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4"/>
        <v>0109-26</v>
      </c>
      <c r="AE21" s="66" t="str">
        <f t="shared" si="2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21" s="66" t="str">
        <f t="shared" si="3"/>
        <v>"C:\Program Files (x86)\AstroGrep\AstroGrep.exe" /spath="C:\Users\stu\Documents\Analysis\2016-02-23 RTDC Observations" /stypes="*4031*20160726*" /stext=" 11:.+((SYSTEM_STATE.+slice.+state.+changed )|(ment ac)|(system.+state.+changed )|(\|lc)|(penalty)|(\[timeout)|(PRM\|1\|D))" /e /r /s</v>
      </c>
      <c r="AG21" s="1" t="str">
        <f t="shared" si="6"/>
        <v>EC</v>
      </c>
    </row>
    <row r="22" spans="1:33" s="1" customFormat="1" x14ac:dyDescent="0.25">
      <c r="A22" s="45" t="s">
        <v>385</v>
      </c>
      <c r="B22" s="7">
        <v>4032</v>
      </c>
      <c r="C22" s="25" t="s">
        <v>248</v>
      </c>
      <c r="D22" s="25" t="s">
        <v>233</v>
      </c>
      <c r="E22" s="16">
        <v>42577.229837962965</v>
      </c>
      <c r="F22" s="16">
        <v>42577.230891203704</v>
      </c>
      <c r="G22" s="7">
        <v>1</v>
      </c>
      <c r="H22" s="16" t="s">
        <v>259</v>
      </c>
      <c r="I22" s="16">
        <v>42577.264293981483</v>
      </c>
      <c r="J22" s="7">
        <v>0</v>
      </c>
      <c r="K22" s="25" t="str">
        <f t="shared" si="0"/>
        <v>4031/4032</v>
      </c>
      <c r="L22" s="25" t="str">
        <f>VLOOKUP(A22,'Trips&amp;Operators'!$C$1:$E$10000,3,FALSE)</f>
        <v>REBOLETTI</v>
      </c>
      <c r="M22" s="6">
        <f t="shared" si="1"/>
        <v>3.3402777778974269E-2</v>
      </c>
      <c r="N22" s="7">
        <f t="shared" si="7"/>
        <v>48.100000001722947</v>
      </c>
      <c r="O22" s="7"/>
      <c r="P22" s="7"/>
      <c r="Q22" s="26"/>
      <c r="R22" s="26"/>
      <c r="S22" s="41">
        <f t="shared" si="4"/>
        <v>1</v>
      </c>
      <c r="T22" s="60" t="str">
        <f t="shared" si="8"/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04:30:58-0600',mode:absolute,to:'2016-07-26 07:20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22" s="65" t="str">
        <f t="shared" si="5"/>
        <v>N</v>
      </c>
      <c r="X22" s="83">
        <f t="shared" si="15"/>
        <v>1</v>
      </c>
      <c r="Y22" s="80">
        <f t="shared" si="16"/>
        <v>23.299399999999999</v>
      </c>
      <c r="Z22" s="80">
        <f t="shared" si="12"/>
        <v>1.47E-2</v>
      </c>
      <c r="AA22" s="80">
        <f t="shared" si="13"/>
        <v>23.284699999999997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si="14"/>
        <v>0110-26</v>
      </c>
      <c r="AE22" s="66" t="str">
        <f t="shared" si="2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22" s="66" t="str">
        <f t="shared" si="3"/>
        <v>"C:\Program Files (x86)\AstroGrep\AstroGrep.exe" /spath="C:\Users\stu\Documents\Analysis\2016-02-23 RTDC Observations" /stypes="*4032*20160726*" /stext=" 12:.+((SYSTEM_STATE.+slice.+state.+changed )|(ment ac)|(system.+state.+changed )|(\|lc)|(penalty)|(\[timeout)|(PRM\|1\|D))" /e /r /s</v>
      </c>
      <c r="AG22" s="1" t="str">
        <f t="shared" si="6"/>
        <v>EC</v>
      </c>
    </row>
    <row r="23" spans="1:33" s="1" customFormat="1" ht="14.25" customHeight="1" x14ac:dyDescent="0.25">
      <c r="A23" s="45" t="s">
        <v>394</v>
      </c>
      <c r="B23" s="7">
        <v>4027</v>
      </c>
      <c r="C23" s="25" t="s">
        <v>248</v>
      </c>
      <c r="D23" s="25" t="s">
        <v>453</v>
      </c>
      <c r="E23" s="16">
        <v>42577.20820601852</v>
      </c>
      <c r="F23" s="16">
        <v>42577.209270833337</v>
      </c>
      <c r="G23" s="7">
        <v>1</v>
      </c>
      <c r="H23" s="16" t="s">
        <v>168</v>
      </c>
      <c r="I23" s="16">
        <v>42577.234247685185</v>
      </c>
      <c r="J23" s="7">
        <v>0</v>
      </c>
      <c r="K23" s="25" t="str">
        <f t="shared" si="0"/>
        <v>4027/4028</v>
      </c>
      <c r="L23" s="25" t="str">
        <f>VLOOKUP(A23,'Trips&amp;Operators'!$C$1:$E$10000,3,FALSE)</f>
        <v>GEBRETEKLE</v>
      </c>
      <c r="M23" s="6">
        <f t="shared" si="1"/>
        <v>2.4976851847895887E-2</v>
      </c>
      <c r="N23" s="7">
        <f t="shared" si="7"/>
        <v>35.966666660970077</v>
      </c>
      <c r="O23" s="7"/>
      <c r="P23" s="7"/>
      <c r="Q23" s="26"/>
      <c r="R23" s="26"/>
      <c r="S23" s="41">
        <f t="shared" si="4"/>
        <v>1</v>
      </c>
      <c r="T23" s="60" t="str">
        <f t="shared" si="8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03:59:49-0600',mode:absolute,to:'2016-07-26 06:37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3" s="65" t="str">
        <f t="shared" si="5"/>
        <v>N</v>
      </c>
      <c r="X23" s="83">
        <f t="shared" si="15"/>
        <v>1</v>
      </c>
      <c r="Y23" s="80">
        <f t="shared" si="16"/>
        <v>7.5899999999999995E-2</v>
      </c>
      <c r="Z23" s="80">
        <f t="shared" si="12"/>
        <v>23.329499999999999</v>
      </c>
      <c r="AA23" s="80">
        <f t="shared" si="13"/>
        <v>23.253599999999999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4"/>
        <v>0111-26</v>
      </c>
      <c r="AE23" s="66" t="str">
        <f t="shared" si="2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23" s="66" t="str">
        <f t="shared" si="3"/>
        <v>"C:\Program Files (x86)\AstroGrep\AstroGrep.exe" /spath="C:\Users\stu\Documents\Analysis\2016-02-23 RTDC Observations" /stypes="*4027*20160726*" /stext=" 11:.+((SYSTEM_STATE.+slice.+state.+changed )|(ment ac)|(system.+state.+changed )|(\|lc)|(penalty)|(\[timeout)|(PRM\|1\|D))" /e /r /s</v>
      </c>
      <c r="AG23" s="1" t="str">
        <f t="shared" si="6"/>
        <v>EC</v>
      </c>
    </row>
    <row r="24" spans="1:33" s="1" customFormat="1" x14ac:dyDescent="0.25">
      <c r="A24" s="45" t="s">
        <v>396</v>
      </c>
      <c r="B24" s="7">
        <v>4028</v>
      </c>
      <c r="C24" s="25" t="s">
        <v>248</v>
      </c>
      <c r="D24" s="25" t="s">
        <v>464</v>
      </c>
      <c r="E24" s="16">
        <v>42577.243252314816</v>
      </c>
      <c r="F24" s="16">
        <v>42577.244583333333</v>
      </c>
      <c r="G24" s="7">
        <v>1</v>
      </c>
      <c r="H24" s="16" t="s">
        <v>142</v>
      </c>
      <c r="I24" s="16">
        <v>42577.274780092594</v>
      </c>
      <c r="J24" s="7">
        <v>0</v>
      </c>
      <c r="K24" s="25" t="str">
        <f t="shared" si="0"/>
        <v>4027/4028</v>
      </c>
      <c r="L24" s="25" t="str">
        <f>VLOOKUP(A24,'Trips&amp;Operators'!$C$1:$E$10000,3,FALSE)</f>
        <v>GEBRETEKLE</v>
      </c>
      <c r="M24" s="6">
        <f t="shared" si="1"/>
        <v>3.0196759260434192E-2</v>
      </c>
      <c r="N24" s="7">
        <f t="shared" si="7"/>
        <v>43.483333335025236</v>
      </c>
      <c r="O24" s="7"/>
      <c r="P24" s="7"/>
      <c r="Q24" s="26"/>
      <c r="R24" s="26"/>
      <c r="S24" s="41">
        <f t="shared" si="4"/>
        <v>1</v>
      </c>
      <c r="T24" s="60" t="str">
        <f t="shared" si="8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04:50:17-0600',mode:absolute,to:'2016-07-26 07:35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24" s="65" t="str">
        <f t="shared" si="5"/>
        <v>N</v>
      </c>
      <c r="X24" s="83">
        <f t="shared" si="15"/>
        <v>1</v>
      </c>
      <c r="Y24" s="80">
        <f t="shared" si="16"/>
        <v>23.297999999999998</v>
      </c>
      <c r="Z24" s="80">
        <f t="shared" si="12"/>
        <v>1.3899999999999999E-2</v>
      </c>
      <c r="AA24" s="80">
        <f t="shared" si="13"/>
        <v>23.284099999999999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4"/>
        <v>0112-26</v>
      </c>
      <c r="AE24" s="66" t="str">
        <f t="shared" si="2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24" s="66" t="str">
        <f t="shared" si="3"/>
        <v>"C:\Program Files (x86)\AstroGrep\AstroGrep.exe" /spath="C:\Users\stu\Documents\Analysis\2016-02-23 RTDC Observations" /stypes="*4028*20160726*" /stext=" 12:.+((SYSTEM_STATE.+slice.+state.+changed )|(ment ac)|(system.+state.+changed )|(\|lc)|(penalty)|(\[timeout)|(PRM\|1\|D))" /e /r /s</v>
      </c>
      <c r="AG24" s="1" t="str">
        <f t="shared" si="6"/>
        <v>EC</v>
      </c>
    </row>
    <row r="25" spans="1:33" s="1" customFormat="1" x14ac:dyDescent="0.25">
      <c r="A25" s="45" t="s">
        <v>404</v>
      </c>
      <c r="B25" s="7">
        <v>4009</v>
      </c>
      <c r="C25" s="25" t="s">
        <v>248</v>
      </c>
      <c r="D25" s="25" t="s">
        <v>465</v>
      </c>
      <c r="E25" s="16">
        <v>42577.213900462964</v>
      </c>
      <c r="F25" s="16">
        <v>42577.214826388888</v>
      </c>
      <c r="G25" s="7">
        <v>1</v>
      </c>
      <c r="H25" s="16" t="s">
        <v>169</v>
      </c>
      <c r="I25" s="16">
        <v>42577.24459490741</v>
      </c>
      <c r="J25" s="7">
        <v>0</v>
      </c>
      <c r="K25" s="25" t="str">
        <f t="shared" si="0"/>
        <v>4009/4010</v>
      </c>
      <c r="L25" s="25" t="str">
        <f>VLOOKUP(A25,'Trips&amp;Operators'!$C$1:$E$10000,3,FALSE)</f>
        <v>HELVIE</v>
      </c>
      <c r="M25" s="6">
        <f t="shared" si="1"/>
        <v>2.976851852145046E-2</v>
      </c>
      <c r="N25" s="7">
        <f t="shared" si="7"/>
        <v>42.866666670888662</v>
      </c>
      <c r="O25" s="7"/>
      <c r="P25" s="7"/>
      <c r="Q25" s="26"/>
      <c r="R25" s="26"/>
      <c r="S25" s="41">
        <f t="shared" si="4"/>
        <v>1</v>
      </c>
      <c r="T25" s="60" t="str">
        <f t="shared" si="8"/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04:08:01-0600',mode:absolute,to:'2016-07-26 06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25" s="65" t="str">
        <f t="shared" si="5"/>
        <v>N</v>
      </c>
      <c r="X25" s="83">
        <f t="shared" si="10"/>
        <v>1</v>
      </c>
      <c r="Y25" s="80">
        <f t="shared" si="11"/>
        <v>4.1599999999999998E-2</v>
      </c>
      <c r="Z25" s="80">
        <f t="shared" si="12"/>
        <v>23.3308</v>
      </c>
      <c r="AA25" s="80">
        <f t="shared" si="13"/>
        <v>23.289200000000001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si="14"/>
        <v>0113-26</v>
      </c>
      <c r="AE25" s="66" t="str">
        <f t="shared" si="2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25" s="66" t="str">
        <f t="shared" si="3"/>
        <v>"C:\Program Files (x86)\AstroGrep\AstroGrep.exe" /spath="C:\Users\stu\Documents\Analysis\2016-02-23 RTDC Observations" /stypes="*4009*20160726*" /stext=" 11:.+((SYSTEM_STATE.+slice.+state.+changed )|(ment ac)|(system.+state.+changed )|(\|lc)|(penalty)|(\[timeout)|(PRM\|1\|D))" /e /r /s</v>
      </c>
      <c r="AG25" s="1" t="str">
        <f t="shared" si="6"/>
        <v>EC</v>
      </c>
    </row>
    <row r="26" spans="1:33" s="1" customFormat="1" x14ac:dyDescent="0.25">
      <c r="A26" s="45" t="s">
        <v>381</v>
      </c>
      <c r="B26" s="7">
        <v>4010</v>
      </c>
      <c r="C26" s="25" t="s">
        <v>248</v>
      </c>
      <c r="D26" s="25" t="s">
        <v>466</v>
      </c>
      <c r="E26" s="16">
        <v>42577.251793981479</v>
      </c>
      <c r="F26" s="16">
        <v>42577.252708333333</v>
      </c>
      <c r="G26" s="7">
        <v>1</v>
      </c>
      <c r="H26" s="16" t="s">
        <v>237</v>
      </c>
      <c r="I26" s="16">
        <v>42577.284988425927</v>
      </c>
      <c r="J26" s="7">
        <v>1</v>
      </c>
      <c r="K26" s="25" t="str">
        <f t="shared" si="0"/>
        <v>4009/4010</v>
      </c>
      <c r="L26" s="25" t="str">
        <f>VLOOKUP(A26,'Trips&amp;Operators'!$C$1:$E$10000,3,FALSE)</f>
        <v>HELVIE</v>
      </c>
      <c r="M26" s="6">
        <f t="shared" si="1"/>
        <v>3.2280092593282461E-2</v>
      </c>
      <c r="N26" s="7">
        <f t="shared" si="7"/>
        <v>46.483333334326744</v>
      </c>
      <c r="O26" s="7"/>
      <c r="P26" s="7"/>
      <c r="Q26" s="26"/>
      <c r="R26" s="26"/>
      <c r="S26" s="41">
        <f t="shared" si="4"/>
        <v>1</v>
      </c>
      <c r="T26" s="60" t="str">
        <f t="shared" si="8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05:02:35-0600',mode:absolute,to:'2016-07-26 07:50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26" s="65" t="str">
        <f t="shared" si="5"/>
        <v>N</v>
      </c>
      <c r="X26" s="83">
        <f t="shared" si="10"/>
        <v>1</v>
      </c>
      <c r="Y26" s="80">
        <f t="shared" si="11"/>
        <v>23.297899999999998</v>
      </c>
      <c r="Z26" s="80">
        <f t="shared" si="12"/>
        <v>1.49E-2</v>
      </c>
      <c r="AA26" s="80">
        <f t="shared" si="13"/>
        <v>23.282999999999998</v>
      </c>
      <c r="AB26" s="77">
        <f>VLOOKUP(A26,Enforcements!$C$7:$J$24,8,0)</f>
        <v>191723</v>
      </c>
      <c r="AC26" s="73" t="str">
        <f>VLOOKUP(A26,Enforcements!$C$7:$E$24,3,0)</f>
        <v>SIGNAL</v>
      </c>
      <c r="AD26" s="74" t="str">
        <f t="shared" si="14"/>
        <v>0114-26</v>
      </c>
      <c r="AE26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26" s="66" t="str">
        <f t="shared" si="3"/>
        <v>"C:\Program Files (x86)\AstroGrep\AstroGrep.exe" /spath="C:\Users\stu\Documents\Analysis\2016-02-23 RTDC Observations" /stypes="*4010*20160726*" /stext=" 12:.+((SYSTEM_STATE.+slice.+state.+changed )|(ment ac)|(system.+state.+changed )|(\|lc)|(penalty)|(\[timeout)|(PRM\|1\|D))" /e /r /s</v>
      </c>
      <c r="AG26" s="1" t="str">
        <f t="shared" si="6"/>
        <v>EC</v>
      </c>
    </row>
    <row r="27" spans="1:33" s="1" customFormat="1" x14ac:dyDescent="0.25">
      <c r="A27" s="45" t="s">
        <v>395</v>
      </c>
      <c r="B27" s="7">
        <v>4020</v>
      </c>
      <c r="C27" s="25" t="s">
        <v>248</v>
      </c>
      <c r="D27" s="25" t="s">
        <v>467</v>
      </c>
      <c r="E27" s="16">
        <v>42577.226643518516</v>
      </c>
      <c r="F27" s="16">
        <v>42577.227418981478</v>
      </c>
      <c r="G27" s="7">
        <v>1</v>
      </c>
      <c r="H27" s="16" t="s">
        <v>168</v>
      </c>
      <c r="I27" s="16">
        <v>42577.254247685189</v>
      </c>
      <c r="J27" s="7">
        <v>0</v>
      </c>
      <c r="K27" s="25" t="str">
        <f t="shared" si="0"/>
        <v>4019/4020</v>
      </c>
      <c r="L27" s="25" t="str">
        <f>VLOOKUP(A27,'Trips&amp;Operators'!$C$1:$E$10000,3,FALSE)</f>
        <v>GRASTON</v>
      </c>
      <c r="M27" s="6">
        <f t="shared" si="1"/>
        <v>2.6828703710634727E-2</v>
      </c>
      <c r="N27" s="7">
        <f t="shared" si="7"/>
        <v>38.633333343314007</v>
      </c>
      <c r="O27" s="7"/>
      <c r="P27" s="7"/>
      <c r="Q27" s="26"/>
      <c r="R27" s="26"/>
      <c r="S27" s="41">
        <f t="shared" si="4"/>
        <v>1</v>
      </c>
      <c r="T27" s="60" t="str">
        <f t="shared" si="8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04:26:22-0600',mode:absolute,to:'2016-07-26 07:06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" s="65" t="str">
        <f t="shared" si="5"/>
        <v>N</v>
      </c>
      <c r="X27" s="83">
        <f t="shared" si="10"/>
        <v>1</v>
      </c>
      <c r="Y27" s="80">
        <f t="shared" si="11"/>
        <v>7.3700000000000002E-2</v>
      </c>
      <c r="Z27" s="80">
        <f t="shared" si="12"/>
        <v>23.329499999999999</v>
      </c>
      <c r="AA27" s="80">
        <f t="shared" si="13"/>
        <v>23.255800000000001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4"/>
        <v>0115-26</v>
      </c>
      <c r="AE27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27" s="66" t="str">
        <f t="shared" si="3"/>
        <v>"C:\Program Files (x86)\AstroGrep\AstroGrep.exe" /spath="C:\Users\stu\Documents\Analysis\2016-02-23 RTDC Observations" /stypes="*4020*20160726*" /stext=" 12:.+((SYSTEM_STATE.+slice.+state.+changed )|(ment ac)|(system.+state.+changed )|(\|lc)|(penalty)|(\[timeout)|(PRM\|1\|D))" /e /r /s</v>
      </c>
      <c r="AG27" s="1" t="str">
        <f t="shared" si="6"/>
        <v>EC</v>
      </c>
    </row>
    <row r="28" spans="1:33" s="1" customFormat="1" x14ac:dyDescent="0.25">
      <c r="A28" s="45" t="s">
        <v>379</v>
      </c>
      <c r="B28" s="7">
        <v>4019</v>
      </c>
      <c r="C28" s="25" t="s">
        <v>248</v>
      </c>
      <c r="D28" s="25" t="s">
        <v>464</v>
      </c>
      <c r="E28" s="16">
        <v>42577.263159722221</v>
      </c>
      <c r="F28" s="16">
        <v>42577.26421296296</v>
      </c>
      <c r="G28" s="7">
        <v>1</v>
      </c>
      <c r="H28" s="16" t="s">
        <v>468</v>
      </c>
      <c r="I28" s="16">
        <v>42577.293599537035</v>
      </c>
      <c r="J28" s="7">
        <v>1</v>
      </c>
      <c r="K28" s="25" t="str">
        <f t="shared" si="0"/>
        <v>4019/4020</v>
      </c>
      <c r="L28" s="25" t="str">
        <f>VLOOKUP(A28,'Trips&amp;Operators'!$C$1:$E$10000,3,FALSE)</f>
        <v>GRASTON</v>
      </c>
      <c r="M28" s="6">
        <f t="shared" si="1"/>
        <v>2.9386574075033423E-2</v>
      </c>
      <c r="N28" s="7"/>
      <c r="O28" s="7"/>
      <c r="P28" s="7">
        <f t="shared" si="7"/>
        <v>42.316666668048128</v>
      </c>
      <c r="Q28" s="26"/>
      <c r="R28" s="26" t="s">
        <v>167</v>
      </c>
      <c r="S28" s="41">
        <f t="shared" si="4"/>
        <v>1</v>
      </c>
      <c r="T28" s="60" t="str">
        <f t="shared" si="8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05:18:57-0600',mode:absolute,to:'2016-07-26 08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8" s="65" t="str">
        <f t="shared" si="5"/>
        <v>Y</v>
      </c>
      <c r="X28" s="83">
        <f t="shared" si="10"/>
        <v>1</v>
      </c>
      <c r="Y28" s="80">
        <f t="shared" si="11"/>
        <v>23.297999999999998</v>
      </c>
      <c r="Z28" s="80">
        <f t="shared" si="12"/>
        <v>1.3991</v>
      </c>
      <c r="AA28" s="80">
        <f t="shared" si="13"/>
        <v>21.898899999999998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4"/>
        <v>0116-26</v>
      </c>
      <c r="AE28" s="66" t="str">
        <f t="shared" si="2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28" s="66" t="str">
        <f t="shared" si="3"/>
        <v>"C:\Program Files (x86)\AstroGrep\AstroGrep.exe" /spath="C:\Users\stu\Documents\Analysis\2016-02-23 RTDC Observations" /stypes="*4019*20160726*" /stext=" 13:.+((SYSTEM_STATE.+slice.+state.+changed )|(ment ac)|(system.+state.+changed )|(\|lc)|(penalty)|(\[timeout)|(PRM\|1\|D))" /e /r /s</v>
      </c>
      <c r="AG28" s="1" t="str">
        <f t="shared" si="6"/>
        <v>EC</v>
      </c>
    </row>
    <row r="29" spans="1:33" s="1" customFormat="1" x14ac:dyDescent="0.25">
      <c r="A29" s="45" t="s">
        <v>384</v>
      </c>
      <c r="B29" s="7">
        <v>4029</v>
      </c>
      <c r="C29" s="25" t="s">
        <v>248</v>
      </c>
      <c r="D29" s="25" t="s">
        <v>469</v>
      </c>
      <c r="E29" s="16">
        <v>42577.237314814818</v>
      </c>
      <c r="F29" s="16">
        <v>42577.238923611112</v>
      </c>
      <c r="G29" s="7">
        <v>2</v>
      </c>
      <c r="H29" s="16" t="s">
        <v>299</v>
      </c>
      <c r="I29" s="16">
        <v>42577.264907407407</v>
      </c>
      <c r="J29" s="7">
        <v>0</v>
      </c>
      <c r="K29" s="25" t="str">
        <f t="shared" si="0"/>
        <v>4029/4030</v>
      </c>
      <c r="L29" s="25" t="str">
        <f>VLOOKUP(A29,'Trips&amp;Operators'!$C$1:$E$10000,3,FALSE)</f>
        <v>ACKERMAN</v>
      </c>
      <c r="M29" s="6">
        <f t="shared" si="1"/>
        <v>2.5983796294895001E-2</v>
      </c>
      <c r="N29" s="7">
        <f t="shared" si="7"/>
        <v>37.416666664648801</v>
      </c>
      <c r="O29" s="7"/>
      <c r="P29" s="7"/>
      <c r="Q29" s="26"/>
      <c r="R29" s="26"/>
      <c r="S29" s="41">
        <f t="shared" si="4"/>
        <v>1</v>
      </c>
      <c r="T29" s="60" t="str">
        <f t="shared" si="8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04:41:44-0600',mode:absolute,to:'2016-07-26 07:21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9" s="65" t="str">
        <f t="shared" si="5"/>
        <v>N</v>
      </c>
      <c r="X29" s="83">
        <f t="shared" si="10"/>
        <v>1</v>
      </c>
      <c r="Y29" s="80">
        <f t="shared" si="11"/>
        <v>4.1300000000000003E-2</v>
      </c>
      <c r="Z29" s="80">
        <f t="shared" si="12"/>
        <v>23.332100000000001</v>
      </c>
      <c r="AA29" s="80">
        <f t="shared" si="13"/>
        <v>23.290800000000001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4"/>
        <v>0117-26</v>
      </c>
      <c r="AE29" s="66" t="str">
        <f t="shared" si="2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29" s="66" t="str">
        <f t="shared" si="3"/>
        <v>"C:\Program Files (x86)\AstroGrep\AstroGrep.exe" /spath="C:\Users\stu\Documents\Analysis\2016-02-23 RTDC Observations" /stypes="*4029*20160726*" /stext=" 12:.+((SYSTEM_STATE.+slice.+state.+changed )|(ment ac)|(system.+state.+changed )|(\|lc)|(penalty)|(\[timeout)|(PRM\|1\|D))" /e /r /s</v>
      </c>
      <c r="AG29" s="1" t="str">
        <f t="shared" si="6"/>
        <v>EC</v>
      </c>
    </row>
    <row r="30" spans="1:33" s="1" customFormat="1" x14ac:dyDescent="0.25">
      <c r="A30" s="45" t="s">
        <v>377</v>
      </c>
      <c r="B30" s="7">
        <v>4030</v>
      </c>
      <c r="C30" s="25" t="s">
        <v>248</v>
      </c>
      <c r="D30" s="25" t="s">
        <v>239</v>
      </c>
      <c r="E30" s="16">
        <v>42577.273472222223</v>
      </c>
      <c r="F30" s="16">
        <v>42577.274293981478</v>
      </c>
      <c r="G30" s="7">
        <v>1</v>
      </c>
      <c r="H30" s="16" t="s">
        <v>470</v>
      </c>
      <c r="I30" s="16">
        <v>42577.30605324074</v>
      </c>
      <c r="J30" s="7">
        <v>1</v>
      </c>
      <c r="K30" s="25" t="str">
        <f t="shared" si="0"/>
        <v>4029/4030</v>
      </c>
      <c r="L30" s="25" t="str">
        <f>VLOOKUP(A30,'Trips&amp;Operators'!$C$1:$E$10000,3,FALSE)</f>
        <v>ACKERMAN</v>
      </c>
      <c r="M30" s="6">
        <f t="shared" si="1"/>
        <v>3.1759259261889383E-2</v>
      </c>
      <c r="N30" s="7">
        <f t="shared" si="7"/>
        <v>45.733333337120712</v>
      </c>
      <c r="O30" s="7"/>
      <c r="P30" s="7"/>
      <c r="Q30" s="26"/>
      <c r="R30" s="26"/>
      <c r="S30" s="41">
        <f t="shared" si="4"/>
        <v>1</v>
      </c>
      <c r="T30" s="60" t="str">
        <f t="shared" si="8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30" s="65" t="str">
        <f t="shared" si="5"/>
        <v>N</v>
      </c>
      <c r="X30" s="83">
        <f t="shared" si="10"/>
        <v>1</v>
      </c>
      <c r="Y30" s="80">
        <f t="shared" si="11"/>
        <v>23.299099999999999</v>
      </c>
      <c r="Z30" s="80">
        <f t="shared" si="12"/>
        <v>3.7999999999999999E-2</v>
      </c>
      <c r="AA30" s="80">
        <f t="shared" si="13"/>
        <v>23.261099999999999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4"/>
        <v>0118-26</v>
      </c>
      <c r="AE30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30" s="66" t="str">
        <f t="shared" si="3"/>
        <v>"C:\Program Files (x86)\AstroGrep\AstroGrep.exe" /spath="C:\Users\stu\Documents\Analysis\2016-02-23 RTDC Observations" /stypes="*4030*20160726*" /stext=" 13:.+((SYSTEM_STATE.+slice.+state.+changed )|(ment ac)|(system.+state.+changed )|(\|lc)|(penalty)|(\[timeout)|(PRM\|1\|D))" /e /r /s</v>
      </c>
      <c r="AG30" s="1" t="str">
        <f t="shared" si="6"/>
        <v>EC</v>
      </c>
    </row>
    <row r="31" spans="1:33" s="1" customFormat="1" x14ac:dyDescent="0.25">
      <c r="A31" s="45" t="s">
        <v>382</v>
      </c>
      <c r="B31" s="7">
        <v>4025</v>
      </c>
      <c r="C31" s="25" t="s">
        <v>248</v>
      </c>
      <c r="D31" s="25" t="s">
        <v>471</v>
      </c>
      <c r="E31" s="16">
        <v>42577.250590277778</v>
      </c>
      <c r="F31" s="16">
        <v>42577.251608796294</v>
      </c>
      <c r="G31" s="7">
        <v>1</v>
      </c>
      <c r="H31" s="16" t="s">
        <v>156</v>
      </c>
      <c r="I31" s="16">
        <v>42577.277488425927</v>
      </c>
      <c r="J31" s="7">
        <v>0</v>
      </c>
      <c r="K31" s="25" t="str">
        <f t="shared" si="0"/>
        <v>4025/4026</v>
      </c>
      <c r="L31" s="25" t="str">
        <f>VLOOKUP(A31,'Trips&amp;Operators'!$C$1:$E$10000,3,FALSE)</f>
        <v>DAVIS</v>
      </c>
      <c r="M31" s="6">
        <f t="shared" si="1"/>
        <v>2.587962963298196E-2</v>
      </c>
      <c r="N31" s="7">
        <f t="shared" si="7"/>
        <v>37.266666671494022</v>
      </c>
      <c r="O31" s="7"/>
      <c r="P31" s="7"/>
      <c r="Q31" s="26"/>
      <c r="R31" s="26"/>
      <c r="S31" s="41">
        <f t="shared" si="4"/>
        <v>1</v>
      </c>
      <c r="T31" s="60" t="str">
        <f t="shared" si="8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05:00:51-0600',mode:absolute,to:'2016-07-26 07:39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31" s="65" t="str">
        <f t="shared" si="5"/>
        <v>N</v>
      </c>
      <c r="X31" s="83">
        <f t="shared" si="10"/>
        <v>1</v>
      </c>
      <c r="Y31" s="80">
        <f t="shared" si="11"/>
        <v>7.0400000000000004E-2</v>
      </c>
      <c r="Z31" s="80">
        <f t="shared" si="12"/>
        <v>23.3293</v>
      </c>
      <c r="AA31" s="80">
        <f t="shared" si="13"/>
        <v>23.258900000000001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4"/>
        <v>0119-26</v>
      </c>
      <c r="AE31" s="66" t="str">
        <f t="shared" si="2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31" s="66" t="str">
        <f t="shared" si="3"/>
        <v>"C:\Program Files (x86)\AstroGrep\AstroGrep.exe" /spath="C:\Users\stu\Documents\Analysis\2016-02-23 RTDC Observations" /stypes="*4025*20160726*" /stext=" 12:.+((SYSTEM_STATE.+slice.+state.+changed )|(ment ac)|(system.+state.+changed )|(\|lc)|(penalty)|(\[timeout)|(PRM\|1\|D))" /e /r /s</v>
      </c>
      <c r="AG31" s="1" t="str">
        <f t="shared" si="6"/>
        <v>EC</v>
      </c>
    </row>
    <row r="32" spans="1:33" s="1" customFormat="1" x14ac:dyDescent="0.25">
      <c r="A32" s="45" t="s">
        <v>373</v>
      </c>
      <c r="B32" s="7">
        <v>4026</v>
      </c>
      <c r="C32" s="25" t="s">
        <v>248</v>
      </c>
      <c r="D32" s="25" t="s">
        <v>471</v>
      </c>
      <c r="E32" s="16">
        <v>42577.250590277778</v>
      </c>
      <c r="F32" s="16">
        <v>42577.29891203704</v>
      </c>
      <c r="G32" s="7">
        <v>1</v>
      </c>
      <c r="H32" s="16" t="s">
        <v>156</v>
      </c>
      <c r="I32" s="16">
        <v>42577.318888888891</v>
      </c>
      <c r="J32" s="7">
        <v>0</v>
      </c>
      <c r="K32" s="25" t="str">
        <f t="shared" si="0"/>
        <v>4025/4026</v>
      </c>
      <c r="L32" s="25" t="str">
        <f>VLOOKUP(A32,'Trips&amp;Operators'!$C$1:$E$10000,3,FALSE)</f>
        <v>DAVIS</v>
      </c>
      <c r="M32" s="6">
        <f t="shared" si="1"/>
        <v>1.9976851850515231E-2</v>
      </c>
      <c r="N32" s="7"/>
      <c r="O32" s="7"/>
      <c r="P32" s="7">
        <f t="shared" si="7"/>
        <v>28.766666664741933</v>
      </c>
      <c r="Q32" s="26"/>
      <c r="R32" s="26" t="s">
        <v>774</v>
      </c>
      <c r="S32" s="41">
        <f t="shared" si="4"/>
        <v>0</v>
      </c>
      <c r="T32" s="60" t="str">
        <f t="shared" ref="T32" si="17">IF(ISEVEN(LEFT(A32,3)),"Southbound","NorthBound")</f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0</v>
      </c>
      <c r="V32" s="65" t="str">
        <f t="shared" ref="V32" si="18">"https://search-rtdc-monitor-bjffxe2xuh6vdkpspy63sjmuny.us-east-1.es.amazonaws.com/_plugin/kibana/#/discover/Steve-Slow-Train-Analysis-(2080s-and-2083s)?_g=(refreshInterval:(display:Off,section:0,value:0),time:(from:'"&amp;TEXT(E32-1/24,"yyyy-MM-DD hh:mm:ss")&amp;"-0600',mode:absolute,to:'"&amp;TEXT(I32+1/24,"yyyy-MM-DD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32&amp;"%22')),sort:!(Time,asc))"</f>
        <v>https://search-rtdc-monitor-bjffxe2xuh6vdkpspy63sjmuny.us-east-1.es.amazonaws.com/_plugin/kibana/#/discover/Steve-Slow-Train-Analysis-(2080s-and-2083s)?_g=(refreshInterval:(display:Off,section:0,value:0),time:(from:'2016-07-26 05:00:51-0600',mode:absolute,to:'2016-07-26 08:39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32" s="65" t="str">
        <f t="shared" si="5"/>
        <v>N</v>
      </c>
      <c r="X32" s="83">
        <f t="shared" ref="X32:X34" si="19">VALUE(LEFT(A32,3))-VALUE(LEFT(A31,3))</f>
        <v>1</v>
      </c>
      <c r="Y32" s="80">
        <f t="shared" ref="Y32" si="20">RIGHT(D32,LEN(D32)-4)/10000</f>
        <v>7.0400000000000004E-2</v>
      </c>
      <c r="Z32" s="80">
        <f t="shared" ref="Z32" si="21">RIGHT(H32,LEN(H32)-4)/10000</f>
        <v>23.3293</v>
      </c>
      <c r="AA32" s="80">
        <f t="shared" ref="AA32" si="22">ABS(Z32-Y32)</f>
        <v>23.258900000000001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ref="AD32" si="23">IF(LEN(A32)=6,"0"&amp;A32,A32)</f>
        <v>0120-26</v>
      </c>
      <c r="AE32" s="66" t="str">
        <f t="shared" si="2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32" s="66" t="str">
        <f t="shared" si="3"/>
        <v>"C:\Program Files (x86)\AstroGrep\AstroGrep.exe" /spath="C:\Users\stu\Documents\Analysis\2016-02-23 RTDC Observations" /stypes="*4026*20160726*" /stext=" 13:.+((SYSTEM_STATE.+slice.+state.+changed )|(ment ac)|(system.+state.+changed )|(\|lc)|(penalty)|(\[timeout)|(PRM\|1\|D))" /e /r /s</v>
      </c>
      <c r="AG32" s="1" t="str">
        <f t="shared" si="6"/>
        <v>EC</v>
      </c>
    </row>
    <row r="33" spans="1:33" s="1" customFormat="1" x14ac:dyDescent="0.25">
      <c r="A33" s="45" t="s">
        <v>397</v>
      </c>
      <c r="B33" s="7">
        <v>4042</v>
      </c>
      <c r="C33" s="25" t="s">
        <v>248</v>
      </c>
      <c r="D33" s="25" t="s">
        <v>472</v>
      </c>
      <c r="E33" s="16">
        <v>42577.258449074077</v>
      </c>
      <c r="F33" s="16">
        <v>42577.259571759256</v>
      </c>
      <c r="G33" s="7">
        <v>1</v>
      </c>
      <c r="H33" s="16" t="s">
        <v>295</v>
      </c>
      <c r="I33" s="16">
        <v>42577.288912037038</v>
      </c>
      <c r="J33" s="7">
        <v>0</v>
      </c>
      <c r="K33" s="25" t="str">
        <f t="shared" si="0"/>
        <v>4041/4042</v>
      </c>
      <c r="L33" s="25" t="str">
        <f>VLOOKUP(A33,'Trips&amp;Operators'!$C$1:$E$10000,3,FALSE)</f>
        <v>SPECTOR</v>
      </c>
      <c r="M33" s="6">
        <f t="shared" si="1"/>
        <v>2.9340277782466728E-2</v>
      </c>
      <c r="N33" s="7">
        <f t="shared" si="7"/>
        <v>42.250000006752089</v>
      </c>
      <c r="O33" s="7"/>
      <c r="P33" s="7"/>
      <c r="Q33" s="26"/>
      <c r="R33" s="26"/>
      <c r="S33" s="41">
        <f t="shared" si="4"/>
        <v>1</v>
      </c>
      <c r="T33" s="60" t="str">
        <f t="shared" si="8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05:12:10-0600',mode:absolute,to:'2016-07-26 07:56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33" s="65" t="str">
        <f t="shared" si="5"/>
        <v>N</v>
      </c>
      <c r="X33" s="83">
        <f t="shared" si="19"/>
        <v>1</v>
      </c>
      <c r="Y33" s="80">
        <f t="shared" si="11"/>
        <v>5.8599999999999999E-2</v>
      </c>
      <c r="Z33" s="80">
        <f t="shared" si="12"/>
        <v>23.331700000000001</v>
      </c>
      <c r="AA33" s="80">
        <f t="shared" si="13"/>
        <v>23.273100000000003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4"/>
        <v>0121-26</v>
      </c>
      <c r="AE33" s="66" t="str">
        <f t="shared" si="2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33" s="66" t="str">
        <f t="shared" si="3"/>
        <v>"C:\Program Files (x86)\AstroGrep\AstroGrep.exe" /spath="C:\Users\stu\Documents\Analysis\2016-02-23 RTDC Observations" /stypes="*4042*20160726*" /stext=" 12:.+((SYSTEM_STATE.+slice.+state.+changed )|(ment ac)|(system.+state.+changed )|(\|lc)|(penalty)|(\[timeout)|(PRM\|1\|D))" /e /r /s</v>
      </c>
      <c r="AG33" s="1" t="str">
        <f t="shared" si="6"/>
        <v>EC</v>
      </c>
    </row>
    <row r="34" spans="1:33" s="1" customFormat="1" x14ac:dyDescent="0.25">
      <c r="A34" s="45" t="s">
        <v>398</v>
      </c>
      <c r="B34" s="7">
        <v>4041</v>
      </c>
      <c r="C34" s="25" t="s">
        <v>248</v>
      </c>
      <c r="D34" s="25" t="s">
        <v>473</v>
      </c>
      <c r="E34" s="16">
        <v>42577.294756944444</v>
      </c>
      <c r="F34" s="16">
        <v>42577.295810185184</v>
      </c>
      <c r="G34" s="7">
        <v>1</v>
      </c>
      <c r="H34" s="16" t="s">
        <v>297</v>
      </c>
      <c r="I34" s="16">
        <v>42577.326099537036</v>
      </c>
      <c r="J34" s="7">
        <v>0</v>
      </c>
      <c r="K34" s="25" t="str">
        <f t="shared" si="0"/>
        <v>4041/4042</v>
      </c>
      <c r="L34" s="25" t="str">
        <f>VLOOKUP(A34,'Trips&amp;Operators'!$C$1:$E$10000,3,FALSE)</f>
        <v>SPECTOR</v>
      </c>
      <c r="M34" s="6">
        <f t="shared" si="1"/>
        <v>3.0289351852843538E-2</v>
      </c>
      <c r="N34" s="7">
        <f t="shared" si="7"/>
        <v>43.616666668094695</v>
      </c>
      <c r="O34" s="7"/>
      <c r="P34" s="7"/>
      <c r="Q34" s="26"/>
      <c r="R34" s="26"/>
      <c r="S34" s="41">
        <f t="shared" si="4"/>
        <v>1</v>
      </c>
      <c r="T34" s="60" t="str">
        <f t="shared" si="8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06:04:27-0600',mode:absolute,to:'2016-07-26 08:49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34" s="65" t="str">
        <f t="shared" si="5"/>
        <v>N</v>
      </c>
      <c r="X34" s="83">
        <f t="shared" si="19"/>
        <v>1</v>
      </c>
      <c r="Y34" s="80">
        <f t="shared" si="11"/>
        <v>23.298300000000001</v>
      </c>
      <c r="Z34" s="80">
        <f t="shared" si="12"/>
        <v>1.3599999999999999E-2</v>
      </c>
      <c r="AA34" s="80">
        <f t="shared" si="13"/>
        <v>23.284700000000001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4"/>
        <v>0122-26</v>
      </c>
      <c r="AE34" s="66" t="str">
        <f t="shared" si="2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34" s="66" t="str">
        <f t="shared" si="3"/>
        <v>"C:\Program Files (x86)\AstroGrep\AstroGrep.exe" /spath="C:\Users\stu\Documents\Analysis\2016-02-23 RTDC Observations" /stypes="*4041*20160726*" /stext=" 13:.+((SYSTEM_STATE.+slice.+state.+changed )|(ment ac)|(system.+state.+changed )|(\|lc)|(penalty)|(\[timeout)|(PRM\|1\|D))" /e /r /s</v>
      </c>
      <c r="AG34" s="1" t="str">
        <f t="shared" si="6"/>
        <v>EC</v>
      </c>
    </row>
    <row r="35" spans="1:33" s="1" customFormat="1" x14ac:dyDescent="0.25">
      <c r="A35" s="45" t="s">
        <v>378</v>
      </c>
      <c r="B35" s="7">
        <v>4031</v>
      </c>
      <c r="C35" s="25" t="s">
        <v>248</v>
      </c>
      <c r="D35" s="25" t="s">
        <v>315</v>
      </c>
      <c r="E35" s="16">
        <v>42577.266168981485</v>
      </c>
      <c r="F35" s="16">
        <v>42577.267071759263</v>
      </c>
      <c r="G35" s="7">
        <v>1</v>
      </c>
      <c r="H35" s="16" t="s">
        <v>474</v>
      </c>
      <c r="I35" s="16">
        <v>42577.295856481483</v>
      </c>
      <c r="J35" s="7">
        <v>0</v>
      </c>
      <c r="K35" s="25" t="str">
        <f t="shared" si="0"/>
        <v>4031/4032</v>
      </c>
      <c r="L35" s="25" t="str">
        <f>VLOOKUP(A35,'Trips&amp;Operators'!$C$1:$E$10000,3,FALSE)</f>
        <v>REBOLETTI</v>
      </c>
      <c r="M35" s="6">
        <f t="shared" si="1"/>
        <v>2.8784722220734693E-2</v>
      </c>
      <c r="N35" s="7">
        <f t="shared" si="7"/>
        <v>41.449999997857958</v>
      </c>
      <c r="O35" s="7"/>
      <c r="P35" s="7"/>
      <c r="Q35" s="26"/>
      <c r="R35" s="26"/>
      <c r="S35" s="41">
        <f t="shared" si="4"/>
        <v>1</v>
      </c>
      <c r="T35" s="60" t="str">
        <f t="shared" si="8"/>
        <v>NorthBound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05:23:17-0600',mode:absolute,to:'2016-07-26 08:06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35" s="65" t="str">
        <f t="shared" si="5"/>
        <v>N</v>
      </c>
      <c r="X35" s="83">
        <f t="shared" si="10"/>
        <v>1</v>
      </c>
      <c r="Y35" s="80">
        <f t="shared" si="11"/>
        <v>4.4200000000000003E-2</v>
      </c>
      <c r="Z35" s="80">
        <f t="shared" si="12"/>
        <v>23.333200000000001</v>
      </c>
      <c r="AA35" s="80">
        <f t="shared" si="13"/>
        <v>23.289000000000001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4"/>
        <v>0123-26</v>
      </c>
      <c r="AE35" s="66" t="str">
        <f t="shared" si="2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35" s="66" t="str">
        <f t="shared" si="3"/>
        <v>"C:\Program Files (x86)\AstroGrep\AstroGrep.exe" /spath="C:\Users\stu\Documents\Analysis\2016-02-23 RTDC Observations" /stypes="*4031*20160726*" /stext=" 13:.+((SYSTEM_STATE.+slice.+state.+changed )|(ment ac)|(system.+state.+changed )|(\|lc)|(penalty)|(\[timeout)|(PRM\|1\|D))" /e /r /s</v>
      </c>
      <c r="AG35" s="1" t="str">
        <f t="shared" si="6"/>
        <v>EC</v>
      </c>
    </row>
    <row r="36" spans="1:33" s="1" customFormat="1" x14ac:dyDescent="0.25">
      <c r="A36" s="45" t="s">
        <v>475</v>
      </c>
      <c r="B36" s="7">
        <v>4032</v>
      </c>
      <c r="C36" s="25" t="s">
        <v>248</v>
      </c>
      <c r="D36" s="25" t="s">
        <v>255</v>
      </c>
      <c r="E36" s="16">
        <v>42577.30195601852</v>
      </c>
      <c r="F36" s="16">
        <v>42577.302800925929</v>
      </c>
      <c r="G36" s="7">
        <v>1</v>
      </c>
      <c r="H36" s="16" t="s">
        <v>142</v>
      </c>
      <c r="I36" s="16">
        <v>42577.336909722224</v>
      </c>
      <c r="J36" s="7">
        <v>0</v>
      </c>
      <c r="K36" s="25" t="str">
        <f t="shared" si="0"/>
        <v>4031/4032</v>
      </c>
      <c r="L36" s="25" t="str">
        <f>VLOOKUP(A36,'Trips&amp;Operators'!$C$1:$E$10000,3,FALSE)</f>
        <v>REBOLETTI</v>
      </c>
      <c r="M36" s="6">
        <f t="shared" si="1"/>
        <v>3.4108796295186039E-2</v>
      </c>
      <c r="N36" s="7">
        <f t="shared" si="7"/>
        <v>49.116666665067896</v>
      </c>
      <c r="O36" s="7"/>
      <c r="P36" s="7"/>
      <c r="Q36" s="26"/>
      <c r="R36" s="26"/>
      <c r="S36" s="41">
        <f t="shared" si="4"/>
        <v>1</v>
      </c>
      <c r="T36" s="60" t="str">
        <f t="shared" si="8"/>
        <v>Southbound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06:14:49-0600',mode:absolute,to:'2016-07-26 09:05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36" s="65" t="str">
        <f t="shared" si="5"/>
        <v>N</v>
      </c>
      <c r="X36" s="83">
        <f t="shared" si="10"/>
        <v>1</v>
      </c>
      <c r="Y36" s="80">
        <f t="shared" si="11"/>
        <v>23.299199999999999</v>
      </c>
      <c r="Z36" s="80">
        <f t="shared" si="12"/>
        <v>1.3899999999999999E-2</v>
      </c>
      <c r="AA36" s="80">
        <f t="shared" si="13"/>
        <v>23.285299999999999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4"/>
        <v>0124-26</v>
      </c>
      <c r="AE36" s="66" t="str">
        <f t="shared" si="2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36" s="66" t="str">
        <f t="shared" si="3"/>
        <v>"C:\Program Files (x86)\AstroGrep\AstroGrep.exe" /spath="C:\Users\stu\Documents\Analysis\2016-02-23 RTDC Observations" /stypes="*4032*20160726*" /stext=" 14:.+((SYSTEM_STATE.+slice.+state.+changed )|(ment ac)|(system.+state.+changed )|(\|lc)|(penalty)|(\[timeout)|(PRM\|1\|D))" /e /r /s</v>
      </c>
      <c r="AG36" s="1" t="str">
        <f t="shared" si="6"/>
        <v>EC</v>
      </c>
    </row>
    <row r="37" spans="1:33" s="1" customFormat="1" x14ac:dyDescent="0.25">
      <c r="A37" s="45" t="s">
        <v>405</v>
      </c>
      <c r="B37" s="7">
        <v>4027</v>
      </c>
      <c r="C37" s="25" t="s">
        <v>248</v>
      </c>
      <c r="D37" s="25" t="s">
        <v>300</v>
      </c>
      <c r="E37" s="16">
        <v>42577.276412037034</v>
      </c>
      <c r="F37" s="16">
        <v>42577.277696759258</v>
      </c>
      <c r="G37" s="7">
        <v>1</v>
      </c>
      <c r="H37" s="16" t="s">
        <v>474</v>
      </c>
      <c r="I37" s="16">
        <v>42577.307673611111</v>
      </c>
      <c r="J37" s="7">
        <v>0</v>
      </c>
      <c r="K37" s="25" t="str">
        <f t="shared" si="0"/>
        <v>4027/4028</v>
      </c>
      <c r="L37" s="25" t="str">
        <f>VLOOKUP(A37,'Trips&amp;Operators'!$C$1:$E$10000,3,FALSE)</f>
        <v>GEBRETEKLE</v>
      </c>
      <c r="M37" s="6">
        <f t="shared" si="1"/>
        <v>2.99768518525525E-2</v>
      </c>
      <c r="N37" s="7">
        <f t="shared" si="7"/>
        <v>43.166666667675599</v>
      </c>
      <c r="O37" s="7"/>
      <c r="P37" s="7"/>
      <c r="Q37" s="26"/>
      <c r="R37" s="26"/>
      <c r="S37" s="41">
        <f t="shared" si="4"/>
        <v>1</v>
      </c>
      <c r="T37" s="60" t="str">
        <f t="shared" si="8"/>
        <v>NorthBound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05:38:02-0600',mode:absolute,to:'2016-07-26 08:23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7" s="65" t="str">
        <f t="shared" si="5"/>
        <v>N</v>
      </c>
      <c r="X37" s="83">
        <f t="shared" si="10"/>
        <v>1</v>
      </c>
      <c r="Y37" s="80">
        <f t="shared" si="11"/>
        <v>4.3799999999999999E-2</v>
      </c>
      <c r="Z37" s="80">
        <f t="shared" si="12"/>
        <v>23.333200000000001</v>
      </c>
      <c r="AA37" s="80">
        <f t="shared" si="13"/>
        <v>23.289400000000001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4"/>
        <v>0125-26</v>
      </c>
      <c r="AE37" s="66" t="str">
        <f t="shared" si="2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37" s="66" t="str">
        <f t="shared" si="3"/>
        <v>"C:\Program Files (x86)\AstroGrep\AstroGrep.exe" /spath="C:\Users\stu\Documents\Analysis\2016-02-23 RTDC Observations" /stypes="*4027*20160726*" /stext=" 13:.+((SYSTEM_STATE.+slice.+state.+changed )|(ment ac)|(system.+state.+changed )|(\|lc)|(penalty)|(\[timeout)|(PRM\|1\|D))" /e /r /s</v>
      </c>
      <c r="AG37" s="1" t="str">
        <f t="shared" si="6"/>
        <v>EC</v>
      </c>
    </row>
    <row r="38" spans="1:33" s="1" customFormat="1" x14ac:dyDescent="0.25">
      <c r="A38" s="45" t="s">
        <v>414</v>
      </c>
      <c r="B38" s="7">
        <v>4028</v>
      </c>
      <c r="C38" s="25" t="s">
        <v>248</v>
      </c>
      <c r="D38" s="25" t="s">
        <v>293</v>
      </c>
      <c r="E38" s="16">
        <v>42577.312731481485</v>
      </c>
      <c r="F38" s="16">
        <v>42577.314131944448</v>
      </c>
      <c r="G38" s="7">
        <v>2</v>
      </c>
      <c r="H38" s="16" t="s">
        <v>476</v>
      </c>
      <c r="I38" s="16">
        <v>42577.347268518519</v>
      </c>
      <c r="J38" s="7">
        <v>1</v>
      </c>
      <c r="K38" s="25" t="str">
        <f t="shared" si="0"/>
        <v>4027/4028</v>
      </c>
      <c r="L38" s="25" t="str">
        <f>VLOOKUP(A38,'Trips&amp;Operators'!$C$1:$E$10000,3,FALSE)</f>
        <v>GEBRETEKLE</v>
      </c>
      <c r="M38" s="6">
        <f t="shared" si="1"/>
        <v>3.3136574071249925E-2</v>
      </c>
      <c r="N38" s="7">
        <f t="shared" si="7"/>
        <v>47.716666662599891</v>
      </c>
      <c r="O38" s="7"/>
      <c r="P38" s="7"/>
      <c r="Q38" s="26"/>
      <c r="R38" s="26"/>
      <c r="S38" s="41">
        <f t="shared" si="4"/>
        <v>1</v>
      </c>
      <c r="T38" s="60" t="str">
        <f t="shared" si="8"/>
        <v>Southbound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06:30:20-0600',mode:absolute,to:'2016-07-26 09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8" s="65" t="str">
        <f t="shared" si="5"/>
        <v>N</v>
      </c>
      <c r="X38" s="83">
        <f t="shared" si="10"/>
        <v>1</v>
      </c>
      <c r="Y38" s="80">
        <f t="shared" si="11"/>
        <v>23.3</v>
      </c>
      <c r="Z38" s="80">
        <f t="shared" si="12"/>
        <v>2.3400000000000001E-2</v>
      </c>
      <c r="AA38" s="80">
        <f t="shared" si="13"/>
        <v>23.276600000000002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4"/>
        <v>0126-26</v>
      </c>
      <c r="AE38" s="66" t="str">
        <f t="shared" si="2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38" s="66" t="str">
        <f t="shared" si="3"/>
        <v>"C:\Program Files (x86)\AstroGrep\AstroGrep.exe" /spath="C:\Users\stu\Documents\Analysis\2016-02-23 RTDC Observations" /stypes="*4028*20160726*" /stext=" 14:.+((SYSTEM_STATE.+slice.+state.+changed )|(ment ac)|(system.+state.+changed )|(\|lc)|(penalty)|(\[timeout)|(PRM\|1\|D))" /e /r /s</v>
      </c>
      <c r="AG38" s="1" t="str">
        <f t="shared" si="6"/>
        <v>EC</v>
      </c>
    </row>
    <row r="39" spans="1:33" s="1" customFormat="1" x14ac:dyDescent="0.25">
      <c r="A39" s="45" t="s">
        <v>406</v>
      </c>
      <c r="B39" s="7">
        <v>4009</v>
      </c>
      <c r="C39" s="25" t="s">
        <v>248</v>
      </c>
      <c r="D39" s="25" t="s">
        <v>64</v>
      </c>
      <c r="E39" s="16">
        <v>42577.289097222223</v>
      </c>
      <c r="F39" s="16">
        <v>42577.290231481478</v>
      </c>
      <c r="G39" s="7">
        <v>1</v>
      </c>
      <c r="H39" s="16" t="s">
        <v>138</v>
      </c>
      <c r="I39" s="16">
        <v>42577.317777777775</v>
      </c>
      <c r="J39" s="7">
        <v>0</v>
      </c>
      <c r="K39" s="25" t="str">
        <f t="shared" si="0"/>
        <v>4009/4010</v>
      </c>
      <c r="L39" s="25" t="str">
        <f>VLOOKUP(A39,'Trips&amp;Operators'!$C$1:$E$10000,3,FALSE)</f>
        <v>HELVIE</v>
      </c>
      <c r="M39" s="6">
        <f t="shared" si="1"/>
        <v>2.7546296296350192E-2</v>
      </c>
      <c r="N39" s="7">
        <f t="shared" si="7"/>
        <v>39.666666666744277</v>
      </c>
      <c r="O39" s="7"/>
      <c r="P39" s="7"/>
      <c r="Q39" s="26"/>
      <c r="R39" s="26"/>
      <c r="S39" s="41">
        <f t="shared" si="4"/>
        <v>1</v>
      </c>
      <c r="T39" s="60" t="str">
        <f t="shared" si="8"/>
        <v>NorthBound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05:56:18-0600',mode:absolute,to:'2016-07-26 08:37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39" s="65" t="str">
        <f t="shared" si="5"/>
        <v>N</v>
      </c>
      <c r="X39" s="83">
        <f t="shared" si="10"/>
        <v>1</v>
      </c>
      <c r="Y39" s="80">
        <f t="shared" si="11"/>
        <v>4.5999999999999999E-2</v>
      </c>
      <c r="Z39" s="80">
        <f t="shared" si="12"/>
        <v>23.329899999999999</v>
      </c>
      <c r="AA39" s="80">
        <f t="shared" si="13"/>
        <v>23.283899999999999</v>
      </c>
      <c r="AB39" s="77" t="e">
        <f>VLOOKUP(A39,Enforcements!$C$7:$J$24,8,0)</f>
        <v>#N/A</v>
      </c>
      <c r="AC39" s="73" t="e">
        <f>VLOOKUP(A39,Enforcements!$C$7:$E$24,3,0)</f>
        <v>#N/A</v>
      </c>
      <c r="AD39" s="74" t="str">
        <f t="shared" si="14"/>
        <v>0127-26</v>
      </c>
      <c r="AE39" s="66" t="str">
        <f t="shared" si="2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39" s="66" t="str">
        <f t="shared" si="3"/>
        <v>"C:\Program Files (x86)\AstroGrep\AstroGrep.exe" /spath="C:\Users\stu\Documents\Analysis\2016-02-23 RTDC Observations" /stypes="*4009*20160726*" /stext=" 13:.+((SYSTEM_STATE.+slice.+state.+changed )|(ment ac)|(system.+state.+changed )|(\|lc)|(penalty)|(\[timeout)|(PRM\|1\|D))" /e /r /s</v>
      </c>
      <c r="AG39" s="1" t="str">
        <f t="shared" si="6"/>
        <v>EC</v>
      </c>
    </row>
    <row r="40" spans="1:33" s="1" customFormat="1" x14ac:dyDescent="0.25">
      <c r="A40" s="45" t="s">
        <v>411</v>
      </c>
      <c r="B40" s="7">
        <v>4010</v>
      </c>
      <c r="C40" s="25" t="s">
        <v>248</v>
      </c>
      <c r="D40" s="25" t="s">
        <v>235</v>
      </c>
      <c r="E40" s="16">
        <v>42577.326967592591</v>
      </c>
      <c r="F40" s="16">
        <v>42577.327997685185</v>
      </c>
      <c r="G40" s="7">
        <v>1</v>
      </c>
      <c r="H40" s="16" t="s">
        <v>238</v>
      </c>
      <c r="I40" s="16">
        <v>42577.35837962963</v>
      </c>
      <c r="J40" s="7">
        <v>1</v>
      </c>
      <c r="K40" s="25" t="str">
        <f t="shared" si="0"/>
        <v>4009/4010</v>
      </c>
      <c r="L40" s="25" t="str">
        <f>VLOOKUP(A40,'Trips&amp;Operators'!$C$1:$E$10000,3,FALSE)</f>
        <v>HELVIE</v>
      </c>
      <c r="M40" s="6">
        <f t="shared" si="1"/>
        <v>3.0381944445252884E-2</v>
      </c>
      <c r="N40" s="7">
        <f t="shared" si="7"/>
        <v>43.750000001164153</v>
      </c>
      <c r="O40" s="7"/>
      <c r="P40" s="7"/>
      <c r="Q40" s="26"/>
      <c r="R40" s="26"/>
      <c r="S40" s="41">
        <f t="shared" si="4"/>
        <v>1</v>
      </c>
      <c r="T40" s="60" t="str">
        <f t="shared" si="8"/>
        <v>Southbound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06:50:50-0600',mode:absolute,to:'2016-07-26 09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0" s="65" t="str">
        <f t="shared" si="5"/>
        <v>N</v>
      </c>
      <c r="X40" s="83">
        <f t="shared" si="10"/>
        <v>1</v>
      </c>
      <c r="Y40" s="80">
        <f t="shared" si="11"/>
        <v>23.2973</v>
      </c>
      <c r="Z40" s="80">
        <f t="shared" si="12"/>
        <v>1.5800000000000002E-2</v>
      </c>
      <c r="AA40" s="80">
        <f t="shared" si="13"/>
        <v>23.281500000000001</v>
      </c>
      <c r="AB40" s="77">
        <f>VLOOKUP(A40,Enforcements!$C$7:$J$24,8,0)</f>
        <v>191108</v>
      </c>
      <c r="AC40" s="73" t="str">
        <f>VLOOKUP(A40,Enforcements!$C$7:$E$24,3,0)</f>
        <v>PERMANENT SPEED RESTRICTION</v>
      </c>
      <c r="AD40" s="74" t="str">
        <f t="shared" si="14"/>
        <v>0128-26</v>
      </c>
      <c r="AE40" s="66" t="str">
        <f t="shared" si="2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40" s="66" t="str">
        <f t="shared" si="3"/>
        <v>"C:\Program Files (x86)\AstroGrep\AstroGrep.exe" /spath="C:\Users\stu\Documents\Analysis\2016-02-23 RTDC Observations" /stypes="*4010*20160726*" /stext=" 14:.+((SYSTEM_STATE.+slice.+state.+changed )|(ment ac)|(system.+state.+changed )|(\|lc)|(penalty)|(\[timeout)|(PRM\|1\|D))" /e /r /s</v>
      </c>
      <c r="AG40" s="1" t="str">
        <f t="shared" si="6"/>
        <v>EC</v>
      </c>
    </row>
    <row r="41" spans="1:33" s="1" customFormat="1" x14ac:dyDescent="0.25">
      <c r="A41" s="45" t="s">
        <v>477</v>
      </c>
      <c r="B41" s="7">
        <v>4020</v>
      </c>
      <c r="C41" s="25" t="s">
        <v>248</v>
      </c>
      <c r="D41" s="25" t="s">
        <v>157</v>
      </c>
      <c r="E41" s="16">
        <v>42577.298298611109</v>
      </c>
      <c r="F41" s="16">
        <v>42577.29960648148</v>
      </c>
      <c r="G41" s="7">
        <v>1</v>
      </c>
      <c r="H41" s="16" t="s">
        <v>478</v>
      </c>
      <c r="I41" s="16">
        <v>42577.327453703707</v>
      </c>
      <c r="J41" s="7">
        <v>0</v>
      </c>
      <c r="K41" s="25" t="str">
        <f t="shared" si="0"/>
        <v>4019/4020</v>
      </c>
      <c r="L41" s="25" t="str">
        <f>VLOOKUP(A41,'Trips&amp;Operators'!$C$1:$E$10000,3,FALSE)</f>
        <v>GRASTON</v>
      </c>
      <c r="M41" s="6">
        <f t="shared" si="1"/>
        <v>2.7847222227137536E-2</v>
      </c>
      <c r="N41" s="7">
        <f t="shared" si="7"/>
        <v>40.100000007078052</v>
      </c>
      <c r="O41" s="7"/>
      <c r="P41" s="7"/>
      <c r="Q41" s="26"/>
      <c r="R41" s="26"/>
      <c r="S41" s="41">
        <f t="shared" si="4"/>
        <v>1</v>
      </c>
      <c r="T41" s="60" t="str">
        <f t="shared" si="8"/>
        <v>NorthBound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06:09:33-0600',mode:absolute,to:'2016-07-26 08:51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41" s="65" t="str">
        <f t="shared" si="5"/>
        <v>N</v>
      </c>
      <c r="X41" s="83">
        <f t="shared" si="10"/>
        <v>1</v>
      </c>
      <c r="Y41" s="80">
        <f t="shared" si="11"/>
        <v>4.4900000000000002E-2</v>
      </c>
      <c r="Z41" s="80">
        <f t="shared" si="12"/>
        <v>23.3306</v>
      </c>
      <c r="AA41" s="80">
        <f t="shared" si="13"/>
        <v>23.285700000000002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4"/>
        <v>0129-26</v>
      </c>
      <c r="AE41" s="66" t="str">
        <f t="shared" si="2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41" s="66" t="str">
        <f t="shared" si="3"/>
        <v>"C:\Program Files (x86)\AstroGrep\AstroGrep.exe" /spath="C:\Users\stu\Documents\Analysis\2016-02-23 RTDC Observations" /stypes="*4020*20160726*" /stext=" 13:.+((SYSTEM_STATE.+slice.+state.+changed )|(ment ac)|(system.+state.+changed )|(\|lc)|(penalty)|(\[timeout)|(PRM\|1\|D))" /e /r /s</v>
      </c>
      <c r="AG41" s="1" t="str">
        <f t="shared" si="6"/>
        <v>EC</v>
      </c>
    </row>
    <row r="42" spans="1:33" s="1" customFormat="1" x14ac:dyDescent="0.25">
      <c r="A42" s="45" t="s">
        <v>479</v>
      </c>
      <c r="B42" s="7">
        <v>4019</v>
      </c>
      <c r="C42" s="25" t="s">
        <v>248</v>
      </c>
      <c r="D42" s="25" t="s">
        <v>257</v>
      </c>
      <c r="E42" s="16">
        <v>42577.337800925925</v>
      </c>
      <c r="F42" s="16">
        <v>42577.338761574072</v>
      </c>
      <c r="G42" s="7">
        <v>1</v>
      </c>
      <c r="H42" s="16" t="s">
        <v>58</v>
      </c>
      <c r="I42" s="16">
        <v>42577.367511574077</v>
      </c>
      <c r="J42" s="7">
        <v>0</v>
      </c>
      <c r="K42" s="25" t="str">
        <f t="shared" si="0"/>
        <v>4019/4020</v>
      </c>
      <c r="L42" s="25" t="str">
        <f>VLOOKUP(A42,'Trips&amp;Operators'!$C$1:$E$10000,3,FALSE)</f>
        <v>GRASTON</v>
      </c>
      <c r="M42" s="6">
        <f t="shared" si="1"/>
        <v>2.8750000004947651E-2</v>
      </c>
      <c r="N42" s="7">
        <f t="shared" si="7"/>
        <v>41.400000007124618</v>
      </c>
      <c r="O42" s="7"/>
      <c r="P42" s="7"/>
      <c r="Q42" s="26"/>
      <c r="R42" s="26"/>
      <c r="S42" s="41">
        <f t="shared" si="4"/>
        <v>1</v>
      </c>
      <c r="T42" s="60" t="str">
        <f t="shared" si="8"/>
        <v>Southbound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07:06:26-0600',mode:absolute,to:'2016-07-26 09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42" s="65" t="str">
        <f t="shared" si="5"/>
        <v>N</v>
      </c>
      <c r="X42" s="83">
        <f t="shared" si="10"/>
        <v>1</v>
      </c>
      <c r="Y42" s="80">
        <f t="shared" si="11"/>
        <v>23.298100000000002</v>
      </c>
      <c r="Z42" s="80">
        <f t="shared" si="12"/>
        <v>1.4500000000000001E-2</v>
      </c>
      <c r="AA42" s="80">
        <f t="shared" si="13"/>
        <v>23.2836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4"/>
        <v>0130-26</v>
      </c>
      <c r="AE42" s="66" t="str">
        <f t="shared" si="2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42" s="66" t="str">
        <f t="shared" si="3"/>
        <v>"C:\Program Files (x86)\AstroGrep\AstroGrep.exe" /spath="C:\Users\stu\Documents\Analysis\2016-02-23 RTDC Observations" /stypes="*4019*20160726*" /stext=" 14:.+((SYSTEM_STATE.+slice.+state.+changed )|(ment ac)|(system.+state.+changed )|(\|lc)|(penalty)|(\[timeout)|(PRM\|1\|D))" /e /r /s</v>
      </c>
      <c r="AG42" s="1" t="str">
        <f t="shared" si="6"/>
        <v>EC</v>
      </c>
    </row>
    <row r="43" spans="1:33" s="1" customFormat="1" x14ac:dyDescent="0.25">
      <c r="A43" s="45" t="s">
        <v>412</v>
      </c>
      <c r="B43" s="7">
        <v>4029</v>
      </c>
      <c r="C43" s="25" t="s">
        <v>248</v>
      </c>
      <c r="D43" s="25" t="s">
        <v>229</v>
      </c>
      <c r="E43" s="16">
        <v>42577.308368055557</v>
      </c>
      <c r="F43" s="16">
        <v>42577.309421296297</v>
      </c>
      <c r="G43" s="7">
        <v>1</v>
      </c>
      <c r="H43" s="16" t="s">
        <v>241</v>
      </c>
      <c r="I43" s="16">
        <v>42577.338888888888</v>
      </c>
      <c r="J43" s="7">
        <v>1</v>
      </c>
      <c r="K43" s="25" t="str">
        <f t="shared" si="0"/>
        <v>4029/4030</v>
      </c>
      <c r="L43" s="25" t="str">
        <f>VLOOKUP(A43,'Trips&amp;Operators'!$C$1:$E$10000,3,FALSE)</f>
        <v>ACKERMAN</v>
      </c>
      <c r="M43" s="6">
        <f t="shared" si="1"/>
        <v>2.9467592590663116E-2</v>
      </c>
      <c r="N43" s="7">
        <f t="shared" si="7"/>
        <v>42.433333330554888</v>
      </c>
      <c r="O43" s="7"/>
      <c r="P43" s="7"/>
      <c r="Q43" s="26"/>
      <c r="R43" s="26"/>
      <c r="S43" s="41">
        <f t="shared" si="4"/>
        <v>1</v>
      </c>
      <c r="T43" s="60" t="str">
        <f t="shared" si="8"/>
        <v>NorthBound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06:24:03-0600',mode:absolute,to:'2016-07-26 09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3" s="65" t="str">
        <f t="shared" si="5"/>
        <v>N</v>
      </c>
      <c r="X43" s="83">
        <f t="shared" si="10"/>
        <v>1</v>
      </c>
      <c r="Y43" s="80">
        <f t="shared" si="11"/>
        <v>4.7100000000000003E-2</v>
      </c>
      <c r="Z43" s="80">
        <f t="shared" si="12"/>
        <v>23.328800000000001</v>
      </c>
      <c r="AA43" s="80">
        <f t="shared" si="13"/>
        <v>23.281700000000001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4"/>
        <v>0131-26</v>
      </c>
      <c r="AE43" s="66" t="str">
        <f t="shared" si="2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43" s="66" t="str">
        <f t="shared" si="3"/>
        <v>"C:\Program Files (x86)\AstroGrep\AstroGrep.exe" /spath="C:\Users\stu\Documents\Analysis\2016-02-23 RTDC Observations" /stypes="*4029*20160726*" /stext=" 14:.+((SYSTEM_STATE.+slice.+state.+changed )|(ment ac)|(system.+state.+changed )|(\|lc)|(penalty)|(\[timeout)|(PRM\|1\|D))" /e /r /s</v>
      </c>
      <c r="AG43" s="1" t="str">
        <f t="shared" si="6"/>
        <v>EC</v>
      </c>
    </row>
    <row r="44" spans="1:33" s="1" customFormat="1" x14ac:dyDescent="0.25">
      <c r="A44" s="45" t="s">
        <v>416</v>
      </c>
      <c r="B44" s="7">
        <v>4030</v>
      </c>
      <c r="C44" s="25" t="s">
        <v>248</v>
      </c>
      <c r="D44" s="25" t="s">
        <v>480</v>
      </c>
      <c r="E44" s="16">
        <v>42577.360115740739</v>
      </c>
      <c r="F44" s="16">
        <v>42577.360868055555</v>
      </c>
      <c r="G44" s="7">
        <v>1</v>
      </c>
      <c r="H44" s="16" t="s">
        <v>153</v>
      </c>
      <c r="I44" s="16">
        <v>42577.382488425923</v>
      </c>
      <c r="J44" s="7">
        <v>1</v>
      </c>
      <c r="K44" s="25" t="str">
        <f t="shared" si="0"/>
        <v>4029/4030</v>
      </c>
      <c r="L44" s="25" t="str">
        <f>VLOOKUP(A44,'Trips&amp;Operators'!$C$1:$E$10000,3,FALSE)</f>
        <v>ACKERMAN</v>
      </c>
      <c r="M44" s="6">
        <f t="shared" si="1"/>
        <v>2.1620370367600117E-2</v>
      </c>
      <c r="N44" s="7"/>
      <c r="O44" s="7"/>
      <c r="P44" s="7">
        <f t="shared" si="7"/>
        <v>31.133333329344168</v>
      </c>
      <c r="Q44" s="26"/>
      <c r="R44" s="26" t="s">
        <v>770</v>
      </c>
      <c r="S44" s="41">
        <f t="shared" si="4"/>
        <v>1</v>
      </c>
      <c r="T44" s="60" t="str">
        <f t="shared" si="8"/>
        <v>Southbound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07:38:34-0600',mode:absolute,to:'2016-07-26 10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4" s="65" t="str">
        <f t="shared" si="5"/>
        <v>Y</v>
      </c>
      <c r="X44" s="83">
        <f t="shared" si="10"/>
        <v>1</v>
      </c>
      <c r="Y44" s="80">
        <f t="shared" si="11"/>
        <v>15.3972</v>
      </c>
      <c r="Z44" s="80">
        <f t="shared" si="12"/>
        <v>1.41E-2</v>
      </c>
      <c r="AA44" s="80">
        <f t="shared" si="13"/>
        <v>15.383100000000001</v>
      </c>
      <c r="AB44" s="77">
        <f>VLOOKUP(A44,Enforcements!$C$7:$J$24,8,0)</f>
        <v>157300</v>
      </c>
      <c r="AC44" s="73" t="str">
        <f>VLOOKUP(A44,Enforcements!$C$7:$E$24,3,0)</f>
        <v>SIGNAL</v>
      </c>
      <c r="AD44" s="74" t="str">
        <f t="shared" si="14"/>
        <v>0132-26</v>
      </c>
      <c r="AE44" s="66" t="str">
        <f t="shared" si="2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44" s="66" t="str">
        <f t="shared" si="3"/>
        <v>"C:\Program Files (x86)\AstroGrep\AstroGrep.exe" /spath="C:\Users\stu\Documents\Analysis\2016-02-23 RTDC Observations" /stypes="*4030*20160726*" /stext=" 15:.+((SYSTEM_STATE.+slice.+state.+changed )|(ment ac)|(system.+state.+changed )|(\|lc)|(penalty)|(\[timeout)|(PRM\|1\|D))" /e /r /s</v>
      </c>
      <c r="AG44" s="1" t="str">
        <f t="shared" si="6"/>
        <v>EC</v>
      </c>
    </row>
    <row r="45" spans="1:33" s="1" customFormat="1" x14ac:dyDescent="0.25">
      <c r="A45" s="45" t="s">
        <v>399</v>
      </c>
      <c r="B45" s="7">
        <v>4025</v>
      </c>
      <c r="C45" s="25" t="s">
        <v>248</v>
      </c>
      <c r="D45" s="25" t="s">
        <v>143</v>
      </c>
      <c r="E45" s="16">
        <v>42577.318923611114</v>
      </c>
      <c r="F45" s="16">
        <v>42577.31994212963</v>
      </c>
      <c r="G45" s="7">
        <v>1</v>
      </c>
      <c r="H45" s="16" t="s">
        <v>154</v>
      </c>
      <c r="I45" s="16">
        <v>42577.347905092596</v>
      </c>
      <c r="J45" s="7">
        <v>0</v>
      </c>
      <c r="K45" s="25" t="str">
        <f t="shared" ref="K45:K75" si="24">IF(ISEVEN(B45),(B45-1)&amp;"/"&amp;B45,B45&amp;"/"&amp;(B45+1))</f>
        <v>4025/4026</v>
      </c>
      <c r="L45" s="25" t="str">
        <f>VLOOKUP(A45,'Trips&amp;Operators'!$C$1:$E$10000,3,FALSE)</f>
        <v>DAVIS</v>
      </c>
      <c r="M45" s="6">
        <f t="shared" ref="M45:M75" si="25">I45-F45</f>
        <v>2.7962962965830229E-2</v>
      </c>
      <c r="N45" s="7">
        <f t="shared" si="7"/>
        <v>40.26666667079553</v>
      </c>
      <c r="O45" s="7"/>
      <c r="P45" s="7"/>
      <c r="Q45" s="26"/>
      <c r="R45" s="26"/>
      <c r="S45" s="41">
        <f t="shared" si="4"/>
        <v>1</v>
      </c>
      <c r="T45" s="60" t="str">
        <f t="shared" si="8"/>
        <v>NorthBound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06:39:15-0600',mode:absolute,to:'2016-07-26 09:20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45" s="65" t="str">
        <f t="shared" si="5"/>
        <v>N</v>
      </c>
      <c r="X45" s="83">
        <f t="shared" si="10"/>
        <v>1</v>
      </c>
      <c r="Y45" s="80">
        <f t="shared" si="11"/>
        <v>4.6199999999999998E-2</v>
      </c>
      <c r="Z45" s="80">
        <f t="shared" si="12"/>
        <v>23.330400000000001</v>
      </c>
      <c r="AA45" s="80">
        <f t="shared" si="13"/>
        <v>23.284200000000002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4"/>
        <v>0133-26</v>
      </c>
      <c r="AE45" s="66" t="str">
        <f t="shared" ref="AE45:AE75" si="26">"aws s3 cp "&amp;s3_bucket&amp;"/RTDC"&amp;B45&amp;"/"&amp;TEXT(F45,"YYYY-MM-DD")&amp;"/ "&amp;search_path&amp;"\RTDC"&amp;B45&amp;"\"&amp;TEXT(F45,"YYYY-MM-DD")&amp;" --recursive &amp; """&amp;walkandungz&amp;""" "&amp;search_path&amp;"\RTDC"&amp;B45&amp;"\"&amp;TEXT(F45,"YYYY-MM-DD")
&amp;" &amp; "&amp;"aws s3 cp "&amp;s3_bucket&amp;"/RTDC"&amp;B45&amp;"/"&amp;TEXT(F45+1,"YYYY-MM-DD")&amp;"/ "&amp;search_path&amp;"\RTDC"&amp;B45&amp;"\"&amp;TEXT(F45+1,"YYYY-MM-DD")&amp;" --recursive &amp; """&amp;walkandungz&amp;""" "&amp;search_path&amp;"\RTDC"&amp;B45&amp;"\"&amp;TEXT(F45+1,"YYYY-MM-DD")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45" s="66" t="str">
        <f t="shared" ref="AF45:AF75" si="27">astrogrep_path&amp;" /spath="&amp;search_path&amp;" /stypes=""*"&amp;B45&amp;"*"&amp;TEXT(I45-utc_offset/24,"YYYYMMDD")&amp;"*"" /stext="" "&amp;TEXT(I45-utc_offset/24,"HH")&amp;search_regexp&amp;""" /e /r /s"</f>
        <v>"C:\Program Files (x86)\AstroGrep\AstroGrep.exe" /spath="C:\Users\stu\Documents\Analysis\2016-02-23 RTDC Observations" /stypes="*4025*20160726*" /stext=" 14:.+((SYSTEM_STATE.+slice.+state.+changed )|(ment ac)|(system.+state.+changed )|(\|lc)|(penalty)|(\[timeout)|(PRM\|1\|D))" /e /r /s</v>
      </c>
      <c r="AG45" s="1" t="str">
        <f t="shared" si="6"/>
        <v>EC</v>
      </c>
    </row>
    <row r="46" spans="1:33" s="1" customFormat="1" x14ac:dyDescent="0.25">
      <c r="A46" s="45" t="s">
        <v>418</v>
      </c>
      <c r="B46" s="7">
        <v>4026</v>
      </c>
      <c r="C46" s="25" t="s">
        <v>248</v>
      </c>
      <c r="D46" s="25" t="s">
        <v>481</v>
      </c>
      <c r="E46" s="16">
        <v>42577.360937500001</v>
      </c>
      <c r="F46" s="16">
        <v>42577.362256944441</v>
      </c>
      <c r="G46" s="7">
        <v>1</v>
      </c>
      <c r="H46" s="16" t="s">
        <v>158</v>
      </c>
      <c r="I46" s="16">
        <v>42577.389594907407</v>
      </c>
      <c r="J46" s="7">
        <v>1</v>
      </c>
      <c r="K46" s="25" t="str">
        <f t="shared" si="24"/>
        <v>4025/4026</v>
      </c>
      <c r="L46" s="25" t="str">
        <f>VLOOKUP(A46,'Trips&amp;Operators'!$C$1:$E$10000,3,FALSE)</f>
        <v>DAVIS</v>
      </c>
      <c r="M46" s="6">
        <f t="shared" si="25"/>
        <v>2.7337962965248153E-2</v>
      </c>
      <c r="N46" s="7">
        <f t="shared" si="7"/>
        <v>39.36666666995734</v>
      </c>
      <c r="O46" s="7"/>
      <c r="P46" s="7"/>
      <c r="Q46" s="26"/>
      <c r="R46" s="26"/>
      <c r="S46" s="41">
        <f t="shared" si="4"/>
        <v>1</v>
      </c>
      <c r="T46" s="60" t="str">
        <f t="shared" si="8"/>
        <v>Southbound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07:39:45-0600',mode:absolute,to:'2016-07-26 10:21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46" s="65" t="str">
        <f t="shared" si="5"/>
        <v>N</v>
      </c>
      <c r="X46" s="83">
        <f t="shared" si="10"/>
        <v>1</v>
      </c>
      <c r="Y46" s="80">
        <f t="shared" si="11"/>
        <v>23.300599999999999</v>
      </c>
      <c r="Z46" s="80">
        <f t="shared" si="12"/>
        <v>1.6E-2</v>
      </c>
      <c r="AA46" s="80">
        <f t="shared" si="13"/>
        <v>23.284600000000001</v>
      </c>
      <c r="AB46" s="77">
        <f>VLOOKUP(A46,Enforcements!$C$7:$J$24,8,0)</f>
        <v>63309</v>
      </c>
      <c r="AC46" s="73" t="str">
        <f>VLOOKUP(A46,Enforcements!$C$7:$E$24,3,0)</f>
        <v>GRADE CROSSING</v>
      </c>
      <c r="AD46" s="74" t="str">
        <f t="shared" si="14"/>
        <v>0134-26</v>
      </c>
      <c r="AE46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46" s="66" t="str">
        <f t="shared" si="27"/>
        <v>"C:\Program Files (x86)\AstroGrep\AstroGrep.exe" /spath="C:\Users\stu\Documents\Analysis\2016-02-23 RTDC Observations" /stypes="*4026*20160726*" /stext=" 15:.+((SYSTEM_STATE.+slice.+state.+changed )|(ment ac)|(system.+state.+changed )|(\|lc)|(penalty)|(\[timeout)|(PRM\|1\|D))" /e /r /s</v>
      </c>
      <c r="AG46" s="1" t="str">
        <f t="shared" si="6"/>
        <v>EC</v>
      </c>
    </row>
    <row r="47" spans="1:33" s="1" customFormat="1" x14ac:dyDescent="0.25">
      <c r="A47" s="45" t="s">
        <v>482</v>
      </c>
      <c r="B47" s="7">
        <v>4042</v>
      </c>
      <c r="C47" s="25" t="s">
        <v>248</v>
      </c>
      <c r="D47" s="25" t="s">
        <v>251</v>
      </c>
      <c r="E47" s="16">
        <v>42577.328425925924</v>
      </c>
      <c r="F47" s="16">
        <v>42577.329386574071</v>
      </c>
      <c r="G47" s="7">
        <v>1</v>
      </c>
      <c r="H47" s="16" t="s">
        <v>240</v>
      </c>
      <c r="I47" s="16">
        <v>42577.358912037038</v>
      </c>
      <c r="J47" s="7">
        <v>0</v>
      </c>
      <c r="K47" s="25" t="str">
        <f t="shared" si="24"/>
        <v>4041/4042</v>
      </c>
      <c r="L47" s="25" t="str">
        <f>VLOOKUP(A47,'Trips&amp;Operators'!$C$1:$E$10000,3,FALSE)</f>
        <v>SPECTOR</v>
      </c>
      <c r="M47" s="6">
        <f t="shared" si="25"/>
        <v>2.9525462967285421E-2</v>
      </c>
      <c r="N47" s="7">
        <f t="shared" si="7"/>
        <v>42.516666672891006</v>
      </c>
      <c r="O47" s="7"/>
      <c r="P47" s="7"/>
      <c r="Q47" s="26"/>
      <c r="R47" s="26"/>
      <c r="S47" s="41">
        <f t="shared" si="4"/>
        <v>1</v>
      </c>
      <c r="T47" s="60" t="str">
        <f t="shared" si="8"/>
        <v>NorthBound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06:52:56-0600',mode:absolute,to:'2016-07-26 09:36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47" s="65" t="str">
        <f t="shared" si="5"/>
        <v>N</v>
      </c>
      <c r="X47" s="83">
        <f t="shared" si="10"/>
        <v>1</v>
      </c>
      <c r="Y47" s="80">
        <f t="shared" si="11"/>
        <v>4.4699999999999997E-2</v>
      </c>
      <c r="Z47" s="80">
        <f t="shared" si="12"/>
        <v>23.331600000000002</v>
      </c>
      <c r="AA47" s="80">
        <f t="shared" si="13"/>
        <v>23.286900000000003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4"/>
        <v>0135-26</v>
      </c>
      <c r="AE47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47" s="66" t="str">
        <f t="shared" si="27"/>
        <v>"C:\Program Files (x86)\AstroGrep\AstroGrep.exe" /spath="C:\Users\stu\Documents\Analysis\2016-02-23 RTDC Observations" /stypes="*4042*20160726*" /stext=" 14:.+((SYSTEM_STATE.+slice.+state.+changed )|(ment ac)|(system.+state.+changed )|(\|lc)|(penalty)|(\[timeout)|(PRM\|1\|D))" /e /r /s</v>
      </c>
      <c r="AG47" s="1" t="str">
        <f t="shared" si="6"/>
        <v>EC</v>
      </c>
    </row>
    <row r="48" spans="1:33" s="1" customFormat="1" x14ac:dyDescent="0.25">
      <c r="A48" s="45" t="s">
        <v>419</v>
      </c>
      <c r="B48" s="7">
        <v>4041</v>
      </c>
      <c r="C48" s="25" t="s">
        <v>248</v>
      </c>
      <c r="D48" s="25" t="s">
        <v>483</v>
      </c>
      <c r="E48" s="16">
        <v>42577.369479166664</v>
      </c>
      <c r="F48" s="16">
        <v>42577.37158564815</v>
      </c>
      <c r="G48" s="7">
        <v>3</v>
      </c>
      <c r="H48" s="16" t="s">
        <v>292</v>
      </c>
      <c r="I48" s="16">
        <v>42577.399398148147</v>
      </c>
      <c r="J48" s="7">
        <v>0</v>
      </c>
      <c r="K48" s="25" t="str">
        <f t="shared" si="24"/>
        <v>4041/4042</v>
      </c>
      <c r="L48" s="25" t="str">
        <f>VLOOKUP(A48,'Trips&amp;Operators'!$C$1:$E$10000,3,FALSE)</f>
        <v>SPECTOR</v>
      </c>
      <c r="M48" s="6">
        <f t="shared" si="25"/>
        <v>2.7812499996798579E-2</v>
      </c>
      <c r="N48" s="7">
        <f t="shared" si="7"/>
        <v>40.049999995389953</v>
      </c>
      <c r="O48" s="7"/>
      <c r="P48" s="7"/>
      <c r="Q48" s="26"/>
      <c r="R48" s="26"/>
      <c r="S48" s="41">
        <f t="shared" si="4"/>
        <v>1</v>
      </c>
      <c r="T48" s="60" t="str">
        <f t="shared" si="8"/>
        <v>Southbound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07:52:03-0600',mode:absolute,to:'2016-07-26 10:35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48" s="65" t="str">
        <f t="shared" si="5"/>
        <v>N</v>
      </c>
      <c r="X48" s="83">
        <f t="shared" si="10"/>
        <v>1</v>
      </c>
      <c r="Y48" s="80">
        <f t="shared" si="11"/>
        <v>23.3005</v>
      </c>
      <c r="Z48" s="80">
        <f t="shared" si="12"/>
        <v>1.34E-2</v>
      </c>
      <c r="AA48" s="80">
        <f t="shared" si="13"/>
        <v>23.287099999999999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4"/>
        <v>0136-26</v>
      </c>
      <c r="AE48" s="66" t="str">
        <f t="shared" si="26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48" s="66" t="str">
        <f t="shared" si="27"/>
        <v>"C:\Program Files (x86)\AstroGrep\AstroGrep.exe" /spath="C:\Users\stu\Documents\Analysis\2016-02-23 RTDC Observations" /stypes="*4041*20160726*" /stext=" 15:.+((SYSTEM_STATE.+slice.+state.+changed )|(ment ac)|(system.+state.+changed )|(\|lc)|(penalty)|(\[timeout)|(PRM\|1\|D))" /e /r /s</v>
      </c>
      <c r="AG48" s="1" t="str">
        <f t="shared" si="6"/>
        <v>EC</v>
      </c>
    </row>
    <row r="49" spans="1:33" s="1" customFormat="1" x14ac:dyDescent="0.25">
      <c r="A49" s="45" t="s">
        <v>484</v>
      </c>
      <c r="B49" s="7">
        <v>4031</v>
      </c>
      <c r="C49" s="25" t="s">
        <v>248</v>
      </c>
      <c r="D49" s="25" t="s">
        <v>226</v>
      </c>
      <c r="E49" s="16">
        <v>42577.338530092595</v>
      </c>
      <c r="F49" s="16">
        <v>42577.339525462965</v>
      </c>
      <c r="G49" s="7">
        <v>1</v>
      </c>
      <c r="H49" s="16" t="s">
        <v>485</v>
      </c>
      <c r="I49" s="16">
        <v>42577.370462962965</v>
      </c>
      <c r="J49" s="7">
        <v>0</v>
      </c>
      <c r="K49" s="25" t="str">
        <f t="shared" si="24"/>
        <v>4031/4032</v>
      </c>
      <c r="L49" s="25" t="str">
        <f>VLOOKUP(A49,'Trips&amp;Operators'!$C$1:$E$10000,3,FALSE)</f>
        <v>REBOLETTI</v>
      </c>
      <c r="M49" s="6">
        <f t="shared" si="25"/>
        <v>3.0937499999708962E-2</v>
      </c>
      <c r="N49" s="7">
        <f t="shared" si="7"/>
        <v>44.549999999580905</v>
      </c>
      <c r="O49" s="7"/>
      <c r="P49" s="7"/>
      <c r="Q49" s="26"/>
      <c r="R49" s="26"/>
      <c r="S49" s="41">
        <f t="shared" si="4"/>
        <v>1</v>
      </c>
      <c r="T49" s="60" t="str">
        <f t="shared" si="8"/>
        <v>NorthBound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07:07:29-0600',mode:absolute,to:'2016-07-26 09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49" s="65" t="str">
        <f t="shared" si="5"/>
        <v>N</v>
      </c>
      <c r="X49" s="83">
        <f t="shared" si="10"/>
        <v>1</v>
      </c>
      <c r="Y49" s="80">
        <f t="shared" si="11"/>
        <v>4.5499999999999999E-2</v>
      </c>
      <c r="Z49" s="80">
        <f t="shared" si="12"/>
        <v>23.332699999999999</v>
      </c>
      <c r="AA49" s="80">
        <f t="shared" si="13"/>
        <v>23.287199999999999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4"/>
        <v>0137-26</v>
      </c>
      <c r="AE49" s="66" t="str">
        <f t="shared" si="26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49" s="66" t="str">
        <f t="shared" si="27"/>
        <v>"C:\Program Files (x86)\AstroGrep\AstroGrep.exe" /spath="C:\Users\stu\Documents\Analysis\2016-02-23 RTDC Observations" /stypes="*4031*20160726*" /stext=" 14:.+((SYSTEM_STATE.+slice.+state.+changed )|(ment ac)|(system.+state.+changed )|(\|lc)|(penalty)|(\[timeout)|(PRM\|1\|D))" /e /r /s</v>
      </c>
      <c r="AG49" s="1" t="str">
        <f t="shared" si="6"/>
        <v>EC</v>
      </c>
    </row>
    <row r="50" spans="1:33" s="1" customFormat="1" x14ac:dyDescent="0.25">
      <c r="A50" s="45" t="s">
        <v>486</v>
      </c>
      <c r="B50" s="7">
        <v>4032</v>
      </c>
      <c r="C50" s="25" t="s">
        <v>248</v>
      </c>
      <c r="D50" s="25" t="s">
        <v>487</v>
      </c>
      <c r="E50" s="16">
        <v>42577.376550925925</v>
      </c>
      <c r="F50" s="16">
        <v>42577.377511574072</v>
      </c>
      <c r="G50" s="7">
        <v>1</v>
      </c>
      <c r="H50" s="16" t="s">
        <v>259</v>
      </c>
      <c r="I50" s="16">
        <v>42577.409166666665</v>
      </c>
      <c r="J50" s="7">
        <v>0</v>
      </c>
      <c r="K50" s="25" t="str">
        <f t="shared" si="24"/>
        <v>4031/4032</v>
      </c>
      <c r="L50" s="25" t="str">
        <f>VLOOKUP(A50,'Trips&amp;Operators'!$C$1:$E$10000,3,FALSE)</f>
        <v>REBOLETTI</v>
      </c>
      <c r="M50" s="6">
        <f t="shared" si="25"/>
        <v>3.1655092592700385E-2</v>
      </c>
      <c r="N50" s="7">
        <f t="shared" si="7"/>
        <v>45.583333333488554</v>
      </c>
      <c r="O50" s="7"/>
      <c r="P50" s="7"/>
      <c r="Q50" s="26"/>
      <c r="R50" s="26"/>
      <c r="S50" s="41">
        <f t="shared" si="4"/>
        <v>1</v>
      </c>
      <c r="T50" s="60" t="str">
        <f t="shared" si="8"/>
        <v>Southbound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08:02:14-0600',mode:absolute,to:'2016-07-26 10:49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50" s="65" t="str">
        <f t="shared" si="5"/>
        <v>N</v>
      </c>
      <c r="X50" s="83">
        <f t="shared" si="10"/>
        <v>1</v>
      </c>
      <c r="Y50" s="80">
        <f t="shared" si="11"/>
        <v>23.300999999999998</v>
      </c>
      <c r="Z50" s="80">
        <f t="shared" si="12"/>
        <v>1.47E-2</v>
      </c>
      <c r="AA50" s="80">
        <f t="shared" si="13"/>
        <v>23.286299999999997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4"/>
        <v>0138-26</v>
      </c>
      <c r="AE50" s="66" t="str">
        <f t="shared" si="26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50" s="66" t="str">
        <f t="shared" si="27"/>
        <v>"C:\Program Files (x86)\AstroGrep\AstroGrep.exe" /spath="C:\Users\stu\Documents\Analysis\2016-02-23 RTDC Observations" /stypes="*4032*20160726*" /stext=" 15:.+((SYSTEM_STATE.+slice.+state.+changed )|(ment ac)|(system.+state.+changed )|(\|lc)|(penalty)|(\[timeout)|(PRM\|1\|D))" /e /r /s</v>
      </c>
      <c r="AG50" s="1" t="str">
        <f t="shared" si="6"/>
        <v>EC</v>
      </c>
    </row>
    <row r="51" spans="1:33" s="1" customFormat="1" x14ac:dyDescent="0.25">
      <c r="A51" s="45" t="s">
        <v>488</v>
      </c>
      <c r="B51" s="7">
        <v>4027</v>
      </c>
      <c r="C51" s="25" t="s">
        <v>248</v>
      </c>
      <c r="D51" s="25" t="s">
        <v>489</v>
      </c>
      <c r="E51" s="16">
        <v>42577.349849537037</v>
      </c>
      <c r="F51" s="16">
        <v>42577.351076388892</v>
      </c>
      <c r="G51" s="7">
        <v>1</v>
      </c>
      <c r="H51" s="16" t="s">
        <v>241</v>
      </c>
      <c r="I51" s="16">
        <v>42577.380011574074</v>
      </c>
      <c r="J51" s="7">
        <v>0</v>
      </c>
      <c r="K51" s="25" t="str">
        <f t="shared" si="24"/>
        <v>4027/4028</v>
      </c>
      <c r="L51" s="25" t="str">
        <f>VLOOKUP(A51,'Trips&amp;Operators'!$C$1:$E$10000,3,FALSE)</f>
        <v>GEBRETEKLE</v>
      </c>
      <c r="M51" s="6">
        <f t="shared" si="25"/>
        <v>2.8935185182490386E-2</v>
      </c>
      <c r="N51" s="7">
        <f t="shared" si="7"/>
        <v>41.666666662786156</v>
      </c>
      <c r="O51" s="7"/>
      <c r="P51" s="7"/>
      <c r="Q51" s="26"/>
      <c r="R51" s="26"/>
      <c r="S51" s="41">
        <f t="shared" si="4"/>
        <v>1</v>
      </c>
      <c r="T51" s="60" t="str">
        <f t="shared" si="8"/>
        <v>NorthBound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07:23:47-0600',mode:absolute,to:'2016-07-26 10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1" s="65" t="str">
        <f t="shared" si="5"/>
        <v>N</v>
      </c>
      <c r="X51" s="83">
        <f t="shared" si="10"/>
        <v>1</v>
      </c>
      <c r="Y51" s="80">
        <f t="shared" si="11"/>
        <v>5.3900000000000003E-2</v>
      </c>
      <c r="Z51" s="80">
        <f t="shared" si="12"/>
        <v>23.328800000000001</v>
      </c>
      <c r="AA51" s="80">
        <f t="shared" si="13"/>
        <v>23.274900000000002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4"/>
        <v>0139-26</v>
      </c>
      <c r="AE51" s="66" t="str">
        <f t="shared" si="26"/>
        <v>aws s3 cp s3://rtdc.mdm.uploadarchive/RTDC4027/2016-07-26/ "C:\Users\stu\Documents\Analysis\2016-02-23 RTDC Observations"\RTDC4027\2016-07-26 --recursive &amp; "C:\Users\stu\Documents\GitHub\mrs-test-scripts\Headless Mode &amp; Sideloading\WalkAndUnGZ.bat" "C:\Users\stu\Documents\Analysis\2016-02-23 RTDC Observations"\RTDC4027\2016-07-26 &amp; 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</v>
      </c>
      <c r="AF51" s="66" t="str">
        <f t="shared" si="27"/>
        <v>"C:\Program Files (x86)\AstroGrep\AstroGrep.exe" /spath="C:\Users\stu\Documents\Analysis\2016-02-23 RTDC Observations" /stypes="*4027*20160726*" /stext=" 15:.+((SYSTEM_STATE.+slice.+state.+changed )|(ment ac)|(system.+state.+changed )|(\|lc)|(penalty)|(\[timeout)|(PRM\|1\|D))" /e /r /s</v>
      </c>
      <c r="AG51" s="1" t="str">
        <f t="shared" si="6"/>
        <v>EC</v>
      </c>
    </row>
    <row r="52" spans="1:33" x14ac:dyDescent="0.25">
      <c r="A52" s="45" t="s">
        <v>490</v>
      </c>
      <c r="B52" s="7">
        <v>4028</v>
      </c>
      <c r="C52" s="25" t="s">
        <v>248</v>
      </c>
      <c r="D52" s="25" t="s">
        <v>491</v>
      </c>
      <c r="E52" s="16">
        <v>42577.390127314815</v>
      </c>
      <c r="F52" s="16">
        <v>42577.393541666665</v>
      </c>
      <c r="G52" s="7">
        <v>4</v>
      </c>
      <c r="H52" s="16" t="s">
        <v>492</v>
      </c>
      <c r="I52" s="16">
        <v>42577.419907407406</v>
      </c>
      <c r="J52" s="7">
        <v>0</v>
      </c>
      <c r="K52" s="25" t="str">
        <f t="shared" si="24"/>
        <v>4027/4028</v>
      </c>
      <c r="L52" s="25" t="str">
        <f>VLOOKUP(A52,'Trips&amp;Operators'!$C$1:$E$10000,3,FALSE)</f>
        <v>GEBRETEKLE</v>
      </c>
      <c r="M52" s="6">
        <f t="shared" si="25"/>
        <v>2.6365740741312038E-2</v>
      </c>
      <c r="N52" s="7">
        <f t="shared" si="7"/>
        <v>37.966666667489335</v>
      </c>
      <c r="O52" s="7"/>
      <c r="P52" s="7"/>
      <c r="Q52" s="26"/>
      <c r="R52" s="26"/>
      <c r="S52" s="41">
        <f t="shared" si="4"/>
        <v>1</v>
      </c>
      <c r="T52" s="60" t="str">
        <f t="shared" si="8"/>
        <v>Southbound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08:21:47-0600',mode:absolute,to:'2016-07-26 11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2" s="65" t="str">
        <f t="shared" si="5"/>
        <v>N</v>
      </c>
      <c r="X52" s="83">
        <f t="shared" si="10"/>
        <v>1</v>
      </c>
      <c r="Y52" s="80">
        <f t="shared" si="11"/>
        <v>23.296299999999999</v>
      </c>
      <c r="Z52" s="80">
        <f t="shared" si="12"/>
        <v>0.1201</v>
      </c>
      <c r="AA52" s="80">
        <f t="shared" si="13"/>
        <v>23.176199999999998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4"/>
        <v>0140-26</v>
      </c>
      <c r="AE52" s="66" t="str">
        <f t="shared" si="26"/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AF52" s="66" t="str">
        <f t="shared" si="27"/>
        <v>"C:\Program Files (x86)\AstroGrep\AstroGrep.exe" /spath="C:\Users\stu\Documents\Analysis\2016-02-23 RTDC Observations" /stypes="*4028*20160726*" /stext=" 16:.+((SYSTEM_STATE.+slice.+state.+changed )|(ment ac)|(system.+state.+changed )|(\|lc)|(penalty)|(\[timeout)|(PRM\|1\|D))" /e /r /s</v>
      </c>
      <c r="AG52" s="1" t="str">
        <f t="shared" si="6"/>
        <v>EC</v>
      </c>
    </row>
    <row r="53" spans="1:33" x14ac:dyDescent="0.25">
      <c r="A53" s="55" t="s">
        <v>493</v>
      </c>
      <c r="B53" s="7">
        <v>4009</v>
      </c>
      <c r="C53" s="25" t="s">
        <v>248</v>
      </c>
      <c r="D53" s="25" t="s">
        <v>258</v>
      </c>
      <c r="E53" s="16">
        <v>42577.360439814816</v>
      </c>
      <c r="F53" s="16">
        <v>42577.36146990741</v>
      </c>
      <c r="G53" s="7">
        <v>1</v>
      </c>
      <c r="H53" s="16" t="s">
        <v>254</v>
      </c>
      <c r="I53" s="16">
        <v>42577.389930555553</v>
      </c>
      <c r="J53" s="7">
        <v>0</v>
      </c>
      <c r="K53" s="25" t="str">
        <f t="shared" si="24"/>
        <v>4009/4010</v>
      </c>
      <c r="L53" s="25" t="str">
        <f>VLOOKUP(A53,'Trips&amp;Operators'!$C$1:$E$10000,3,FALSE)</f>
        <v>HELVIE</v>
      </c>
      <c r="M53" s="6">
        <f t="shared" si="25"/>
        <v>2.8460648143664002E-2</v>
      </c>
      <c r="N53" s="7">
        <f t="shared" si="7"/>
        <v>40.983333326876163</v>
      </c>
      <c r="O53" s="7"/>
      <c r="P53" s="7"/>
      <c r="Q53" s="26"/>
      <c r="R53" s="26"/>
      <c r="S53" s="41">
        <f t="shared" si="4"/>
        <v>1</v>
      </c>
      <c r="T53" s="60" t="str">
        <f t="shared" si="8"/>
        <v>NorthBound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07:39:02-0600',mode:absolute,to:'2016-07-26 10:21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3" s="65" t="str">
        <f t="shared" si="5"/>
        <v>N</v>
      </c>
      <c r="X53" s="83">
        <f t="shared" si="10"/>
        <v>1</v>
      </c>
      <c r="Y53" s="80">
        <f t="shared" si="11"/>
        <v>4.7699999999999999E-2</v>
      </c>
      <c r="Z53" s="80">
        <f t="shared" si="12"/>
        <v>23.3291</v>
      </c>
      <c r="AA53" s="80">
        <f t="shared" si="13"/>
        <v>23.281400000000001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4"/>
        <v>0141-26</v>
      </c>
      <c r="AE53" s="66" t="str">
        <f t="shared" si="26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53" s="66" t="str">
        <f t="shared" si="27"/>
        <v>"C:\Program Files (x86)\AstroGrep\AstroGrep.exe" /spath="C:\Users\stu\Documents\Analysis\2016-02-23 RTDC Observations" /stypes="*4009*20160726*" /stext=" 15:.+((SYSTEM_STATE.+slice.+state.+changed )|(ment ac)|(system.+state.+changed )|(\|lc)|(penalty)|(\[timeout)|(PRM\|1\|D))" /e /r /s</v>
      </c>
      <c r="AG53" s="1" t="str">
        <f t="shared" si="6"/>
        <v>EC</v>
      </c>
    </row>
    <row r="54" spans="1:33" s="1" customFormat="1" x14ac:dyDescent="0.25">
      <c r="A54" s="45" t="s">
        <v>494</v>
      </c>
      <c r="B54" s="7">
        <v>4010</v>
      </c>
      <c r="C54" s="25" t="s">
        <v>248</v>
      </c>
      <c r="D54" s="25" t="s">
        <v>495</v>
      </c>
      <c r="E54" s="16">
        <v>42577.39603009259</v>
      </c>
      <c r="F54" s="16">
        <v>42577.397083333337</v>
      </c>
      <c r="G54" s="7">
        <v>1</v>
      </c>
      <c r="H54" s="16" t="s">
        <v>238</v>
      </c>
      <c r="I54" s="16">
        <v>42577.4299537037</v>
      </c>
      <c r="J54" s="7">
        <v>0</v>
      </c>
      <c r="K54" s="25" t="str">
        <f t="shared" si="24"/>
        <v>4009/4010</v>
      </c>
      <c r="L54" s="25" t="str">
        <f>VLOOKUP(A54,'Trips&amp;Operators'!$C$1:$E$10000,3,FALSE)</f>
        <v>HELVIE</v>
      </c>
      <c r="M54" s="6">
        <f t="shared" si="25"/>
        <v>3.2870370363525581E-2</v>
      </c>
      <c r="N54" s="7">
        <f t="shared" si="7"/>
        <v>47.333333323476836</v>
      </c>
      <c r="O54" s="7"/>
      <c r="P54" s="7"/>
      <c r="Q54" s="26"/>
      <c r="R54" s="26"/>
      <c r="S54" s="41">
        <f t="shared" si="4"/>
        <v>1</v>
      </c>
      <c r="T54" s="60" t="str">
        <f t="shared" si="8"/>
        <v>Southbound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08:30:17-0600',mode:absolute,to:'2016-07-26 11:19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4" s="65" t="str">
        <f t="shared" si="5"/>
        <v>N</v>
      </c>
      <c r="X54" s="83">
        <f t="shared" si="10"/>
        <v>1</v>
      </c>
      <c r="Y54" s="80">
        <f t="shared" si="11"/>
        <v>23.2959</v>
      </c>
      <c r="Z54" s="80">
        <f t="shared" si="12"/>
        <v>1.5800000000000002E-2</v>
      </c>
      <c r="AA54" s="80">
        <f t="shared" si="13"/>
        <v>23.280100000000001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4"/>
        <v>0142-26</v>
      </c>
      <c r="AE54" s="66" t="str">
        <f t="shared" si="26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54" s="66" t="str">
        <f t="shared" si="27"/>
        <v>"C:\Program Files (x86)\AstroGrep\AstroGrep.exe" /spath="C:\Users\stu\Documents\Analysis\2016-02-23 RTDC Observations" /stypes="*4010*20160726*" /stext=" 16:.+((SYSTEM_STATE.+slice.+state.+changed )|(ment ac)|(system.+state.+changed )|(\|lc)|(penalty)|(\[timeout)|(PRM\|1\|D))" /e /r /s</v>
      </c>
      <c r="AG54" s="1" t="str">
        <f t="shared" si="6"/>
        <v>EC</v>
      </c>
    </row>
    <row r="55" spans="1:33" x14ac:dyDescent="0.25">
      <c r="A55" s="45" t="s">
        <v>496</v>
      </c>
      <c r="B55" s="7">
        <v>4020</v>
      </c>
      <c r="C55" s="25" t="s">
        <v>248</v>
      </c>
      <c r="D55" s="25" t="s">
        <v>64</v>
      </c>
      <c r="E55" s="16">
        <v>42577.370023148149</v>
      </c>
      <c r="F55" s="16">
        <v>42577.371018518519</v>
      </c>
      <c r="G55" s="7">
        <v>1</v>
      </c>
      <c r="H55" s="16" t="s">
        <v>289</v>
      </c>
      <c r="I55" s="16">
        <v>42577.399976851855</v>
      </c>
      <c r="J55" s="7">
        <v>0</v>
      </c>
      <c r="K55" s="25" t="str">
        <f t="shared" si="24"/>
        <v>4019/4020</v>
      </c>
      <c r="L55" s="25" t="str">
        <f>VLOOKUP(A55,'Trips&amp;Operators'!$C$1:$E$10000,3,FALSE)</f>
        <v>GRASTON</v>
      </c>
      <c r="M55" s="6">
        <f t="shared" si="25"/>
        <v>2.8958333336049691E-2</v>
      </c>
      <c r="N55" s="7">
        <f t="shared" si="7"/>
        <v>41.700000003911555</v>
      </c>
      <c r="O55" s="7"/>
      <c r="P55" s="7"/>
      <c r="Q55" s="26"/>
      <c r="R55" s="26"/>
      <c r="S55" s="41">
        <f t="shared" si="4"/>
        <v>1</v>
      </c>
      <c r="T55" s="60" t="str">
        <f t="shared" si="8"/>
        <v>NorthBound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07:52:50-0600',mode:absolute,to:'2016-07-26 10:35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55" s="65" t="str">
        <f t="shared" si="5"/>
        <v>N</v>
      </c>
      <c r="X55" s="83">
        <f t="shared" si="10"/>
        <v>1</v>
      </c>
      <c r="Y55" s="80">
        <f t="shared" si="11"/>
        <v>4.5999999999999999E-2</v>
      </c>
      <c r="Z55" s="80">
        <f t="shared" si="12"/>
        <v>23.329699999999999</v>
      </c>
      <c r="AA55" s="80">
        <f t="shared" si="13"/>
        <v>23.2837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4"/>
        <v>0143-26</v>
      </c>
      <c r="AE55" s="66" t="str">
        <f t="shared" si="26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55" s="66" t="str">
        <f t="shared" si="27"/>
        <v>"C:\Program Files (x86)\AstroGrep\AstroGrep.exe" /spath="C:\Users\stu\Documents\Analysis\2016-02-23 RTDC Observations" /stypes="*4020*20160726*" /stext=" 15:.+((SYSTEM_STATE.+slice.+state.+changed )|(ment ac)|(system.+state.+changed )|(\|lc)|(penalty)|(\[timeout)|(PRM\|1\|D))" /e /r /s</v>
      </c>
      <c r="AG55" s="1" t="str">
        <f t="shared" si="6"/>
        <v>EC</v>
      </c>
    </row>
    <row r="56" spans="1:33" x14ac:dyDescent="0.25">
      <c r="A56" s="45" t="s">
        <v>497</v>
      </c>
      <c r="B56" s="7">
        <v>4019</v>
      </c>
      <c r="C56" s="25" t="s">
        <v>248</v>
      </c>
      <c r="D56" s="25" t="s">
        <v>255</v>
      </c>
      <c r="E56" s="16">
        <v>42577.410381944443</v>
      </c>
      <c r="F56" s="16">
        <v>42577.411666666667</v>
      </c>
      <c r="G56" s="7">
        <v>1</v>
      </c>
      <c r="H56" s="16" t="s">
        <v>238</v>
      </c>
      <c r="I56" s="16">
        <v>42577.441689814812</v>
      </c>
      <c r="J56" s="7">
        <v>0</v>
      </c>
      <c r="K56" s="25" t="str">
        <f t="shared" si="24"/>
        <v>4019/4020</v>
      </c>
      <c r="L56" s="25" t="str">
        <f>VLOOKUP(A56,'Trips&amp;Operators'!$C$1:$E$10000,3,FALSE)</f>
        <v>GRASTON</v>
      </c>
      <c r="M56" s="6">
        <f t="shared" si="25"/>
        <v>3.0023148145119194E-2</v>
      </c>
      <c r="N56" s="7">
        <f t="shared" si="7"/>
        <v>43.233333328971639</v>
      </c>
      <c r="O56" s="7"/>
      <c r="P56" s="7"/>
      <c r="Q56" s="26"/>
      <c r="R56" s="26"/>
      <c r="S56" s="41">
        <f t="shared" si="4"/>
        <v>1</v>
      </c>
      <c r="T56" s="60" t="str">
        <f t="shared" si="8"/>
        <v>Southbound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08:50:57-0600',mode:absolute,to:'2016-07-26 11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56" s="65" t="str">
        <f t="shared" si="5"/>
        <v>N</v>
      </c>
      <c r="X56" s="83">
        <f t="shared" si="10"/>
        <v>1</v>
      </c>
      <c r="Y56" s="80">
        <f t="shared" si="11"/>
        <v>23.299199999999999</v>
      </c>
      <c r="Z56" s="80">
        <f t="shared" si="12"/>
        <v>1.5800000000000002E-2</v>
      </c>
      <c r="AA56" s="80">
        <f t="shared" si="13"/>
        <v>23.2834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4"/>
        <v>0144-26</v>
      </c>
      <c r="AE56" s="66" t="str">
        <f t="shared" si="26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56" s="66" t="str">
        <f t="shared" si="27"/>
        <v>"C:\Program Files (x86)\AstroGrep\AstroGrep.exe" /spath="C:\Users\stu\Documents\Analysis\2016-02-23 RTDC Observations" /stypes="*4019*20160726*" /stext=" 16:.+((SYSTEM_STATE.+slice.+state.+changed )|(ment ac)|(system.+state.+changed )|(\|lc)|(penalty)|(\[timeout)|(PRM\|1\|D))" /e /r /s</v>
      </c>
      <c r="AG56" s="1" t="str">
        <f t="shared" si="6"/>
        <v>EC</v>
      </c>
    </row>
    <row r="57" spans="1:33" x14ac:dyDescent="0.25">
      <c r="A57" s="45" t="s">
        <v>498</v>
      </c>
      <c r="B57" s="7">
        <v>4029</v>
      </c>
      <c r="C57" s="25" t="s">
        <v>248</v>
      </c>
      <c r="D57" s="25" t="s">
        <v>64</v>
      </c>
      <c r="E57" s="16">
        <v>42577.383715277778</v>
      </c>
      <c r="F57" s="16">
        <v>42577.384444444448</v>
      </c>
      <c r="G57" s="7">
        <v>1</v>
      </c>
      <c r="H57" s="16" t="s">
        <v>304</v>
      </c>
      <c r="I57" s="16">
        <v>42577.41034722222</v>
      </c>
      <c r="J57" s="7">
        <v>0</v>
      </c>
      <c r="K57" s="25" t="str">
        <f t="shared" si="24"/>
        <v>4029/4030</v>
      </c>
      <c r="L57" s="25" t="str">
        <f>VLOOKUP(A57,'Trips&amp;Operators'!$C$1:$E$10000,3,FALSE)</f>
        <v>ACKERMAN</v>
      </c>
      <c r="M57" s="6">
        <f t="shared" si="25"/>
        <v>2.5902777771989349E-2</v>
      </c>
      <c r="N57" s="7">
        <f t="shared" si="7"/>
        <v>37.299999991664663</v>
      </c>
      <c r="O57" s="7"/>
      <c r="P57" s="7"/>
      <c r="Q57" s="26"/>
      <c r="R57" s="26"/>
      <c r="S57" s="41">
        <f t="shared" si="4"/>
        <v>1</v>
      </c>
      <c r="T57" s="60" t="str">
        <f t="shared" si="8"/>
        <v>NorthBound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08:12:33-0600',mode:absolute,to:'2016-07-26 10:50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7" s="65" t="str">
        <f t="shared" si="5"/>
        <v>N</v>
      </c>
      <c r="X57" s="83">
        <f t="shared" si="10"/>
        <v>1</v>
      </c>
      <c r="Y57" s="80">
        <f t="shared" si="11"/>
        <v>4.5999999999999999E-2</v>
      </c>
      <c r="Z57" s="80">
        <f t="shared" si="12"/>
        <v>23.3276</v>
      </c>
      <c r="AA57" s="80">
        <f t="shared" si="13"/>
        <v>23.281600000000001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4"/>
        <v>0145-26</v>
      </c>
      <c r="AE57" s="66" t="str">
        <f t="shared" si="26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57" s="66" t="str">
        <f t="shared" si="27"/>
        <v>"C:\Program Files (x86)\AstroGrep\AstroGrep.exe" /spath="C:\Users\stu\Documents\Analysis\2016-02-23 RTDC Observations" /stypes="*4029*20160726*" /stext=" 15:.+((SYSTEM_STATE.+slice.+state.+changed )|(ment ac)|(system.+state.+changed )|(\|lc)|(penalty)|(\[timeout)|(PRM\|1\|D))" /e /r /s</v>
      </c>
      <c r="AG57" s="1" t="str">
        <f t="shared" si="6"/>
        <v>EC</v>
      </c>
    </row>
    <row r="58" spans="1:33" x14ac:dyDescent="0.25">
      <c r="A58" s="45" t="s">
        <v>423</v>
      </c>
      <c r="B58" s="7">
        <v>4030</v>
      </c>
      <c r="C58" s="25" t="s">
        <v>248</v>
      </c>
      <c r="D58" s="25" t="s">
        <v>233</v>
      </c>
      <c r="E58" s="16">
        <v>42577.419317129628</v>
      </c>
      <c r="F58" s="16">
        <v>42577.420219907406</v>
      </c>
      <c r="G58" s="7">
        <v>1</v>
      </c>
      <c r="H58" s="16" t="s">
        <v>162</v>
      </c>
      <c r="I58" s="16">
        <v>42577.456967592596</v>
      </c>
      <c r="J58" s="7">
        <v>1</v>
      </c>
      <c r="K58" s="25" t="str">
        <f t="shared" si="24"/>
        <v>4029/4030</v>
      </c>
      <c r="L58" s="25" t="str">
        <f>VLOOKUP(A58,'Trips&amp;Operators'!$C$1:$E$10000,3,FALSE)</f>
        <v>ACKERMAN</v>
      </c>
      <c r="M58" s="6">
        <f t="shared" si="25"/>
        <v>3.6747685189766344E-2</v>
      </c>
      <c r="N58" s="7">
        <f t="shared" si="7"/>
        <v>52.916666673263535</v>
      </c>
      <c r="O58" s="7"/>
      <c r="P58" s="7"/>
      <c r="Q58" s="26"/>
      <c r="R58" s="26"/>
      <c r="S58" s="41">
        <f t="shared" si="4"/>
        <v>1</v>
      </c>
      <c r="T58" s="60" t="str">
        <f t="shared" si="8"/>
        <v>Southbound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09:03:49-0600',mode:absolute,to:'2016-07-26 11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8" s="65" t="str">
        <f t="shared" si="5"/>
        <v>N</v>
      </c>
      <c r="X58" s="83">
        <f t="shared" si="10"/>
        <v>1</v>
      </c>
      <c r="Y58" s="80">
        <f t="shared" si="11"/>
        <v>23.299399999999999</v>
      </c>
      <c r="Z58" s="80">
        <f t="shared" si="12"/>
        <v>1.6299999999999999E-2</v>
      </c>
      <c r="AA58" s="80">
        <f t="shared" si="13"/>
        <v>23.283099999999997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4"/>
        <v>0146-26</v>
      </c>
      <c r="AE58" s="66" t="str">
        <f t="shared" si="26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58" s="66" t="str">
        <f t="shared" si="27"/>
        <v>"C:\Program Files (x86)\AstroGrep\AstroGrep.exe" /spath="C:\Users\stu\Documents\Analysis\2016-02-23 RTDC Observations" /stypes="*4030*20160726*" /stext=" 16:.+((SYSTEM_STATE.+slice.+state.+changed )|(ment ac)|(system.+state.+changed )|(\|lc)|(penalty)|(\[timeout)|(PRM\|1\|D))" /e /r /s</v>
      </c>
      <c r="AG58" s="1" t="str">
        <f t="shared" si="6"/>
        <v>EC</v>
      </c>
    </row>
    <row r="59" spans="1:33" x14ac:dyDescent="0.25">
      <c r="A59" s="45" t="s">
        <v>499</v>
      </c>
      <c r="B59" s="7">
        <v>4025</v>
      </c>
      <c r="C59" s="25" t="s">
        <v>248</v>
      </c>
      <c r="D59" s="25" t="s">
        <v>250</v>
      </c>
      <c r="E59" s="16">
        <v>42577.392685185187</v>
      </c>
      <c r="F59" s="16">
        <v>42577.393738425926</v>
      </c>
      <c r="G59" s="7">
        <v>1</v>
      </c>
      <c r="H59" s="16" t="s">
        <v>308</v>
      </c>
      <c r="I59" s="16">
        <v>42577.420902777776</v>
      </c>
      <c r="J59" s="7">
        <v>0</v>
      </c>
      <c r="K59" s="25" t="str">
        <f t="shared" si="24"/>
        <v>4025/4026</v>
      </c>
      <c r="L59" s="25" t="str">
        <f>VLOOKUP(A59,'Trips&amp;Operators'!$C$1:$E$10000,3,FALSE)</f>
        <v>DAVIS</v>
      </c>
      <c r="M59" s="6">
        <f t="shared" si="25"/>
        <v>2.7164351849933155E-2</v>
      </c>
      <c r="N59" s="7">
        <f t="shared" si="7"/>
        <v>39.116666663903743</v>
      </c>
      <c r="O59" s="7"/>
      <c r="P59" s="7"/>
      <c r="Q59" s="26"/>
      <c r="R59" s="26"/>
      <c r="S59" s="41">
        <f t="shared" si="4"/>
        <v>1</v>
      </c>
      <c r="T59" s="60" t="str">
        <f t="shared" si="8"/>
        <v>NorthBound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08:25:28-0600',mode:absolute,to:'2016-07-26 11:06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59" s="65" t="str">
        <f t="shared" si="5"/>
        <v>N</v>
      </c>
      <c r="X59" s="83">
        <f t="shared" si="10"/>
        <v>1</v>
      </c>
      <c r="Y59" s="80">
        <f t="shared" si="11"/>
        <v>4.5699999999999998E-2</v>
      </c>
      <c r="Z59" s="80">
        <f t="shared" si="12"/>
        <v>23.331399999999999</v>
      </c>
      <c r="AA59" s="80">
        <f t="shared" si="13"/>
        <v>23.285699999999999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4"/>
        <v>0147-26</v>
      </c>
      <c r="AE59" s="66" t="str">
        <f t="shared" si="26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59" s="66" t="str">
        <f t="shared" si="27"/>
        <v>"C:\Program Files (x86)\AstroGrep\AstroGrep.exe" /spath="C:\Users\stu\Documents\Analysis\2016-02-23 RTDC Observations" /stypes="*4025*20160726*" /stext=" 16:.+((SYSTEM_STATE.+slice.+state.+changed )|(ment ac)|(system.+state.+changed )|(\|lc)|(penalty)|(\[timeout)|(PRM\|1\|D))" /e /r /s</v>
      </c>
      <c r="AG59" s="1" t="str">
        <f t="shared" si="6"/>
        <v>EC</v>
      </c>
    </row>
    <row r="60" spans="1:33" x14ac:dyDescent="0.25">
      <c r="A60" s="45" t="s">
        <v>500</v>
      </c>
      <c r="B60" s="7">
        <v>4026</v>
      </c>
      <c r="C60" s="25" t="s">
        <v>248</v>
      </c>
      <c r="D60" s="25" t="s">
        <v>236</v>
      </c>
      <c r="E60" s="16">
        <v>42577.428726851853</v>
      </c>
      <c r="F60" s="16">
        <v>42577.4296875</v>
      </c>
      <c r="G60" s="7">
        <v>1</v>
      </c>
      <c r="H60" s="16" t="s">
        <v>153</v>
      </c>
      <c r="I60" s="16">
        <v>42577.467222222222</v>
      </c>
      <c r="J60" s="7">
        <v>0</v>
      </c>
      <c r="K60" s="25" t="str">
        <f t="shared" si="24"/>
        <v>4025/4026</v>
      </c>
      <c r="L60" s="25" t="str">
        <f>VLOOKUP(A60,'Trips&amp;Operators'!$C$1:$E$10000,3,FALSE)</f>
        <v>DAVIS</v>
      </c>
      <c r="M60" s="6">
        <f t="shared" si="25"/>
        <v>3.7534722221607808E-2</v>
      </c>
      <c r="N60" s="7">
        <f t="shared" si="7"/>
        <v>54.049999999115244</v>
      </c>
      <c r="O60" s="7"/>
      <c r="P60" s="7"/>
      <c r="Q60" s="26"/>
      <c r="R60" s="26"/>
      <c r="S60" s="41">
        <f t="shared" si="4"/>
        <v>1</v>
      </c>
      <c r="T60" s="60" t="str">
        <f t="shared" si="8"/>
        <v>Southbound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09:17:22-0600',mode:absolute,to:'2016-07-26 12:12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60" s="65" t="str">
        <f t="shared" si="5"/>
        <v>N</v>
      </c>
      <c r="X60" s="83">
        <f t="shared" si="10"/>
        <v>1</v>
      </c>
      <c r="Y60" s="80">
        <f t="shared" si="11"/>
        <v>23.2971</v>
      </c>
      <c r="Z60" s="80">
        <f t="shared" si="12"/>
        <v>1.41E-2</v>
      </c>
      <c r="AA60" s="80">
        <f t="shared" si="13"/>
        <v>23.283000000000001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4"/>
        <v>0148-26</v>
      </c>
      <c r="AE60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60" s="66" t="str">
        <f t="shared" si="27"/>
        <v>"C:\Program Files (x86)\AstroGrep\AstroGrep.exe" /spath="C:\Users\stu\Documents\Analysis\2016-02-23 RTDC Observations" /stypes="*4026*20160726*" /stext=" 17:.+((SYSTEM_STATE.+slice.+state.+changed )|(ment ac)|(system.+state.+changed )|(\|lc)|(penalty)|(\[timeout)|(PRM\|1\|D))" /e /r /s</v>
      </c>
      <c r="AG60" s="1" t="str">
        <f t="shared" si="6"/>
        <v>EC</v>
      </c>
    </row>
    <row r="61" spans="1:33" x14ac:dyDescent="0.25">
      <c r="A61" s="45" t="s">
        <v>420</v>
      </c>
      <c r="B61" s="7">
        <v>4042</v>
      </c>
      <c r="C61" s="25" t="s">
        <v>248</v>
      </c>
      <c r="D61" s="25" t="s">
        <v>501</v>
      </c>
      <c r="E61" s="16">
        <v>42577.401724537034</v>
      </c>
      <c r="F61" s="16">
        <v>42577.402604166666</v>
      </c>
      <c r="G61" s="7">
        <v>1</v>
      </c>
      <c r="H61" s="16" t="s">
        <v>169</v>
      </c>
      <c r="I61" s="16">
        <v>42577.431608796294</v>
      </c>
      <c r="J61" s="7">
        <v>1</v>
      </c>
      <c r="K61" s="25" t="str">
        <f t="shared" si="24"/>
        <v>4041/4042</v>
      </c>
      <c r="L61" s="25" t="str">
        <f>VLOOKUP(A61,'Trips&amp;Operators'!$C$1:$E$10000,3,FALSE)</f>
        <v>SPECTOR</v>
      </c>
      <c r="M61" s="6">
        <f t="shared" si="25"/>
        <v>2.9004629628616385E-2</v>
      </c>
      <c r="N61" s="7">
        <f t="shared" si="7"/>
        <v>41.766666665207595</v>
      </c>
      <c r="O61" s="7"/>
      <c r="P61" s="7"/>
      <c r="Q61" s="26"/>
      <c r="R61" s="26"/>
      <c r="S61" s="41">
        <f t="shared" si="4"/>
        <v>1</v>
      </c>
      <c r="T61" s="60" t="str">
        <f t="shared" si="8"/>
        <v>NorthBound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08:38:29-0600',mode:absolute,to:'2016-07-26 11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61" s="65" t="str">
        <f t="shared" si="5"/>
        <v>N</v>
      </c>
      <c r="X61" s="83">
        <f t="shared" si="10"/>
        <v>1</v>
      </c>
      <c r="Y61" s="80">
        <f t="shared" si="11"/>
        <v>4.3499999999999997E-2</v>
      </c>
      <c r="Z61" s="80">
        <f t="shared" si="12"/>
        <v>23.3308</v>
      </c>
      <c r="AA61" s="80">
        <f t="shared" si="13"/>
        <v>23.287299999999998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4"/>
        <v>0149-26</v>
      </c>
      <c r="AE61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61" s="66" t="str">
        <f t="shared" si="27"/>
        <v>"C:\Program Files (x86)\AstroGrep\AstroGrep.exe" /spath="C:\Users\stu\Documents\Analysis\2016-02-23 RTDC Observations" /stypes="*4042*20160726*" /stext=" 16:.+((SYSTEM_STATE.+slice.+state.+changed )|(ment ac)|(system.+state.+changed )|(\|lc)|(penalty)|(\[timeout)|(PRM\|1\|D))" /e /r /s</v>
      </c>
      <c r="AG61" s="1" t="str">
        <f t="shared" si="6"/>
        <v>EC</v>
      </c>
    </row>
    <row r="62" spans="1:33" x14ac:dyDescent="0.25">
      <c r="A62" s="45" t="s">
        <v>502</v>
      </c>
      <c r="B62" s="7">
        <v>4041</v>
      </c>
      <c r="C62" s="25" t="s">
        <v>248</v>
      </c>
      <c r="D62" s="25" t="s">
        <v>503</v>
      </c>
      <c r="E62" s="16">
        <v>42577.437754629631</v>
      </c>
      <c r="F62" s="16">
        <v>42577.441979166666</v>
      </c>
      <c r="G62" s="7">
        <v>6</v>
      </c>
      <c r="H62" s="16" t="s">
        <v>249</v>
      </c>
      <c r="I62" s="16">
        <v>42577.47314814815</v>
      </c>
      <c r="J62" s="7">
        <v>0</v>
      </c>
      <c r="K62" s="25" t="str">
        <f t="shared" si="24"/>
        <v>4041/4042</v>
      </c>
      <c r="L62" s="25" t="str">
        <f>VLOOKUP(A62,'Trips&amp;Operators'!$C$1:$E$10000,3,FALSE)</f>
        <v>SPECTOR</v>
      </c>
      <c r="M62" s="6">
        <f t="shared" si="25"/>
        <v>3.1168981484370306E-2</v>
      </c>
      <c r="N62" s="7">
        <f t="shared" si="7"/>
        <v>44.883333337493241</v>
      </c>
      <c r="O62" s="7"/>
      <c r="P62" s="7"/>
      <c r="Q62" s="26"/>
      <c r="R62" s="26"/>
      <c r="S62" s="41">
        <f t="shared" si="4"/>
        <v>1</v>
      </c>
      <c r="T62" s="60" t="str">
        <f t="shared" si="8"/>
        <v>Southbound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09:30:22-0600',mode:absolute,to:'2016-07-26 12:21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62" s="65" t="str">
        <f t="shared" si="5"/>
        <v>N</v>
      </c>
      <c r="X62" s="83">
        <f t="shared" si="10"/>
        <v>1</v>
      </c>
      <c r="Y62" s="80">
        <f t="shared" si="11"/>
        <v>23.299299999999999</v>
      </c>
      <c r="Z62" s="80">
        <f t="shared" si="12"/>
        <v>1.29E-2</v>
      </c>
      <c r="AA62" s="80">
        <f t="shared" si="13"/>
        <v>23.2864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4"/>
        <v>0150-26</v>
      </c>
      <c r="AE62" s="66" t="str">
        <f t="shared" si="26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62" s="66" t="str">
        <f t="shared" si="27"/>
        <v>"C:\Program Files (x86)\AstroGrep\AstroGrep.exe" /spath="C:\Users\stu\Documents\Analysis\2016-02-23 RTDC Observations" /stypes="*4041*20160726*" /stext=" 17:.+((SYSTEM_STATE.+slice.+state.+changed )|(ment ac)|(system.+state.+changed )|(\|lc)|(penalty)|(\[timeout)|(PRM\|1\|D))" /e /r /s</v>
      </c>
      <c r="AG62" s="1" t="str">
        <f t="shared" si="6"/>
        <v>EC</v>
      </c>
    </row>
    <row r="63" spans="1:33" x14ac:dyDescent="0.25">
      <c r="A63" s="45" t="s">
        <v>421</v>
      </c>
      <c r="B63" s="7">
        <v>4031</v>
      </c>
      <c r="C63" s="25" t="s">
        <v>248</v>
      </c>
      <c r="D63" s="25" t="s">
        <v>230</v>
      </c>
      <c r="E63" s="16">
        <v>42577.410717592589</v>
      </c>
      <c r="F63" s="16">
        <v>42577.412048611113</v>
      </c>
      <c r="G63" s="7">
        <v>1</v>
      </c>
      <c r="H63" s="16" t="s">
        <v>264</v>
      </c>
      <c r="I63" s="16">
        <v>42577.445300925923</v>
      </c>
      <c r="J63" s="7">
        <v>1</v>
      </c>
      <c r="K63" s="25" t="str">
        <f t="shared" si="24"/>
        <v>4031/4032</v>
      </c>
      <c r="L63" s="25" t="str">
        <f>VLOOKUP(A63,'Trips&amp;Operators'!$C$1:$E$10000,3,FALSE)</f>
        <v>REBOLETTI</v>
      </c>
      <c r="M63" s="6">
        <f t="shared" si="25"/>
        <v>3.3252314809942618E-2</v>
      </c>
      <c r="N63" s="7">
        <f t="shared" si="7"/>
        <v>47.88333332631737</v>
      </c>
      <c r="O63" s="7"/>
      <c r="P63" s="7"/>
      <c r="Q63" s="26"/>
      <c r="R63" s="26"/>
      <c r="S63" s="41">
        <f t="shared" si="4"/>
        <v>1</v>
      </c>
      <c r="T63" s="60" t="str">
        <f t="shared" si="8"/>
        <v>NorthBound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08:51:26-0600',mode:absolute,to:'2016-07-26 11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63" s="65" t="str">
        <f t="shared" si="5"/>
        <v>N</v>
      </c>
      <c r="X63" s="83">
        <f t="shared" si="10"/>
        <v>1</v>
      </c>
      <c r="Y63" s="80">
        <f t="shared" si="11"/>
        <v>4.4600000000000001E-2</v>
      </c>
      <c r="Z63" s="80">
        <f t="shared" si="12"/>
        <v>23.327999999999999</v>
      </c>
      <c r="AA63" s="80">
        <f t="shared" si="13"/>
        <v>23.2834</v>
      </c>
      <c r="AB63" s="77">
        <f>VLOOKUP(A63,Enforcements!$C$7:$J$24,8,0)</f>
        <v>127562</v>
      </c>
      <c r="AC63" s="73" t="str">
        <f>VLOOKUP(A63,Enforcements!$C$7:$E$24,3,0)</f>
        <v>GRADE CROSSING</v>
      </c>
      <c r="AD63" s="74" t="str">
        <f t="shared" si="14"/>
        <v>0151-26</v>
      </c>
      <c r="AE63" s="66" t="str">
        <f t="shared" si="26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63" s="66" t="str">
        <f t="shared" si="27"/>
        <v>"C:\Program Files (x86)\AstroGrep\AstroGrep.exe" /spath="C:\Users\stu\Documents\Analysis\2016-02-23 RTDC Observations" /stypes="*4031*20160726*" /stext=" 16:.+((SYSTEM_STATE.+slice.+state.+changed )|(ment ac)|(system.+state.+changed )|(\|lc)|(penalty)|(\[timeout)|(PRM\|1\|D))" /e /r /s</v>
      </c>
      <c r="AG63" s="1" t="str">
        <f t="shared" si="6"/>
        <v>EC</v>
      </c>
    </row>
    <row r="64" spans="1:33" x14ac:dyDescent="0.25">
      <c r="A64" s="45" t="s">
        <v>504</v>
      </c>
      <c r="B64" s="7">
        <v>4032</v>
      </c>
      <c r="C64" s="25" t="s">
        <v>248</v>
      </c>
      <c r="D64" s="25" t="s">
        <v>464</v>
      </c>
      <c r="E64" s="16">
        <v>42577.449236111112</v>
      </c>
      <c r="F64" s="16">
        <v>42577.45003472222</v>
      </c>
      <c r="G64" s="7">
        <v>1</v>
      </c>
      <c r="H64" s="16" t="s">
        <v>297</v>
      </c>
      <c r="I64" s="16">
        <v>42577.483437499999</v>
      </c>
      <c r="J64" s="7">
        <v>0</v>
      </c>
      <c r="K64" s="25" t="str">
        <f t="shared" si="24"/>
        <v>4031/4032</v>
      </c>
      <c r="L64" s="25" t="str">
        <f>VLOOKUP(A64,'Trips&amp;Operators'!$C$1:$E$10000,3,FALSE)</f>
        <v>REBOLETTI</v>
      </c>
      <c r="M64" s="6">
        <f t="shared" si="25"/>
        <v>3.3402777778974269E-2</v>
      </c>
      <c r="N64" s="7">
        <f t="shared" si="7"/>
        <v>48.100000001722947</v>
      </c>
      <c r="O64" s="7"/>
      <c r="P64" s="7"/>
      <c r="Q64" s="26"/>
      <c r="R64" s="26"/>
      <c r="S64" s="41">
        <f t="shared" si="4"/>
        <v>1</v>
      </c>
      <c r="T64" s="60" t="str">
        <f t="shared" si="8"/>
        <v>Southbound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09:46:54-0600',mode:absolute,to:'2016-07-26 12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64" s="65" t="str">
        <f t="shared" si="5"/>
        <v>N</v>
      </c>
      <c r="X64" s="83">
        <f t="shared" si="10"/>
        <v>1</v>
      </c>
      <c r="Y64" s="80">
        <f t="shared" si="11"/>
        <v>23.297999999999998</v>
      </c>
      <c r="Z64" s="80">
        <f t="shared" si="12"/>
        <v>1.3599999999999999E-2</v>
      </c>
      <c r="AA64" s="80">
        <f t="shared" si="13"/>
        <v>23.284399999999998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4"/>
        <v>0152-26</v>
      </c>
      <c r="AE64" s="66" t="str">
        <f t="shared" si="26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64" s="66" t="str">
        <f t="shared" si="27"/>
        <v>"C:\Program Files (x86)\AstroGrep\AstroGrep.exe" /spath="C:\Users\stu\Documents\Analysis\2016-02-23 RTDC Observations" /stypes="*4032*20160726*" /stext=" 17:.+((SYSTEM_STATE.+slice.+state.+changed )|(ment ac)|(system.+state.+changed )|(\|lc)|(penalty)|(\[timeout)|(PRM\|1\|D))" /e /r /s</v>
      </c>
      <c r="AG64" s="1" t="str">
        <f t="shared" si="6"/>
        <v>EC</v>
      </c>
    </row>
    <row r="65" spans="1:33" x14ac:dyDescent="0.25">
      <c r="A65" s="45" t="s">
        <v>505</v>
      </c>
      <c r="B65" s="7">
        <v>4018</v>
      </c>
      <c r="C65" s="25" t="s">
        <v>248</v>
      </c>
      <c r="D65" s="25" t="s">
        <v>506</v>
      </c>
      <c r="E65" s="16">
        <v>42577.425474537034</v>
      </c>
      <c r="F65" s="16">
        <v>42577.426446759258</v>
      </c>
      <c r="G65" s="7">
        <v>1</v>
      </c>
      <c r="H65" s="16" t="s">
        <v>225</v>
      </c>
      <c r="I65" s="16">
        <v>42577.454004629632</v>
      </c>
      <c r="J65" s="7">
        <v>0</v>
      </c>
      <c r="K65" s="25" t="str">
        <f t="shared" si="24"/>
        <v>4017/4018</v>
      </c>
      <c r="L65" s="25" t="str">
        <f>VLOOKUP(A65,'Trips&amp;Operators'!$C$1:$E$10000,3,FALSE)</f>
        <v>GEBRETEKLE</v>
      </c>
      <c r="M65" s="6">
        <f t="shared" si="25"/>
        <v>2.7557870373129845E-2</v>
      </c>
      <c r="N65" s="7">
        <f t="shared" si="7"/>
        <v>39.683333337306976</v>
      </c>
      <c r="O65" s="7"/>
      <c r="P65" s="7"/>
      <c r="Q65" s="26"/>
      <c r="R65" s="26"/>
      <c r="S65" s="41">
        <f t="shared" si="4"/>
        <v>1</v>
      </c>
      <c r="T65" s="60" t="str">
        <f t="shared" si="8"/>
        <v>NorthBound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09:12:41-0600',mode:absolute,to:'2016-07-26 11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5" s="65" t="str">
        <f t="shared" si="5"/>
        <v>N</v>
      </c>
      <c r="X65" s="83">
        <f t="shared" si="10"/>
        <v>1</v>
      </c>
      <c r="Y65" s="80">
        <f t="shared" si="11"/>
        <v>4.3299999999999998E-2</v>
      </c>
      <c r="Z65" s="80">
        <f t="shared" si="12"/>
        <v>23.330200000000001</v>
      </c>
      <c r="AA65" s="80">
        <f t="shared" si="13"/>
        <v>23.286900000000003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4"/>
        <v>0153-26</v>
      </c>
      <c r="AE65" s="66" t="str">
        <f t="shared" si="26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65" s="66" t="str">
        <f t="shared" si="27"/>
        <v>"C:\Program Files (x86)\AstroGrep\AstroGrep.exe" /spath="C:\Users\stu\Documents\Analysis\2016-02-23 RTDC Observations" /stypes="*4018*20160726*" /stext=" 16:.+((SYSTEM_STATE.+slice.+state.+changed )|(ment ac)|(system.+state.+changed )|(\|lc)|(penalty)|(\[timeout)|(PRM\|1\|D))" /e /r /s</v>
      </c>
      <c r="AG65" s="1" t="str">
        <f t="shared" si="6"/>
        <v>EC</v>
      </c>
    </row>
    <row r="66" spans="1:33" x14ac:dyDescent="0.25">
      <c r="A66" s="45" t="s">
        <v>425</v>
      </c>
      <c r="B66" s="7">
        <v>4017</v>
      </c>
      <c r="C66" s="25" t="s">
        <v>248</v>
      </c>
      <c r="D66" s="25" t="s">
        <v>256</v>
      </c>
      <c r="E66" s="16">
        <v>42577.463229166664</v>
      </c>
      <c r="F66" s="16">
        <v>42577.464432870373</v>
      </c>
      <c r="G66" s="7">
        <v>1</v>
      </c>
      <c r="H66" s="16" t="s">
        <v>259</v>
      </c>
      <c r="I66" s="16">
        <v>42577.493657407409</v>
      </c>
      <c r="J66" s="7">
        <v>1</v>
      </c>
      <c r="K66" s="25" t="str">
        <f t="shared" si="24"/>
        <v>4017/4018</v>
      </c>
      <c r="L66" s="25" t="str">
        <f>VLOOKUP(A66,'Trips&amp;Operators'!$C$1:$E$10000,3,FALSE)</f>
        <v>GEBRETEKLE</v>
      </c>
      <c r="M66" s="6">
        <f t="shared" si="25"/>
        <v>2.9224537036498077E-2</v>
      </c>
      <c r="N66" s="7">
        <f t="shared" si="7"/>
        <v>42.083333332557231</v>
      </c>
      <c r="O66" s="7"/>
      <c r="P66" s="7"/>
      <c r="Q66" s="26"/>
      <c r="R66" s="26"/>
      <c r="S66" s="41">
        <f t="shared" si="4"/>
        <v>1</v>
      </c>
      <c r="T66" s="60" t="str">
        <f t="shared" si="8"/>
        <v>Southbound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10:07:03-0600',mode:absolute,to:'2016-07-26 12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66" s="65" t="str">
        <f t="shared" si="5"/>
        <v>N</v>
      </c>
      <c r="X66" s="83">
        <f t="shared" si="10"/>
        <v>1</v>
      </c>
      <c r="Y66" s="80">
        <f t="shared" si="11"/>
        <v>23.2989</v>
      </c>
      <c r="Z66" s="80">
        <f t="shared" si="12"/>
        <v>1.47E-2</v>
      </c>
      <c r="AA66" s="80">
        <f t="shared" si="13"/>
        <v>23.284199999999998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4"/>
        <v>0154-26</v>
      </c>
      <c r="AE66" s="66" t="str">
        <f t="shared" si="26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66" s="66" t="str">
        <f t="shared" si="27"/>
        <v>"C:\Program Files (x86)\AstroGrep\AstroGrep.exe" /spath="C:\Users\stu\Documents\Analysis\2016-02-23 RTDC Observations" /stypes="*4017*20160726*" /stext=" 17:.+((SYSTEM_STATE.+slice.+state.+changed )|(ment ac)|(system.+state.+changed )|(\|lc)|(penalty)|(\[timeout)|(PRM\|1\|D))" /e /r /s</v>
      </c>
      <c r="AG66" s="1" t="str">
        <f t="shared" si="6"/>
        <v>EC</v>
      </c>
    </row>
    <row r="67" spans="1:33" x14ac:dyDescent="0.25">
      <c r="A67" s="45" t="s">
        <v>507</v>
      </c>
      <c r="B67" s="7">
        <v>4009</v>
      </c>
      <c r="C67" s="25" t="s">
        <v>248</v>
      </c>
      <c r="D67" s="25" t="s">
        <v>229</v>
      </c>
      <c r="E67" s="16">
        <v>42577.436053240737</v>
      </c>
      <c r="F67" s="16">
        <v>42577.436782407407</v>
      </c>
      <c r="G67" s="7">
        <v>1</v>
      </c>
      <c r="H67" s="16" t="s">
        <v>508</v>
      </c>
      <c r="I67" s="16">
        <v>42577.46943287037</v>
      </c>
      <c r="J67" s="7">
        <v>0</v>
      </c>
      <c r="K67" s="25" t="str">
        <f t="shared" si="24"/>
        <v>4009/4010</v>
      </c>
      <c r="L67" s="25" t="str">
        <f>VLOOKUP(A67,'Trips&amp;Operators'!$C$1:$E$10000,3,FALSE)</f>
        <v>STARKS</v>
      </c>
      <c r="M67" s="6">
        <f t="shared" si="25"/>
        <v>3.2650462962919846E-2</v>
      </c>
      <c r="N67" s="7">
        <f t="shared" si="7"/>
        <v>47.016666666604578</v>
      </c>
      <c r="O67" s="7"/>
      <c r="P67" s="7"/>
      <c r="Q67" s="26"/>
      <c r="R67" s="26"/>
      <c r="S67" s="41">
        <f t="shared" si="4"/>
        <v>1</v>
      </c>
      <c r="T67" s="60" t="str">
        <f t="shared" si="8"/>
        <v>NorthBound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09:27:55-0600',mode:absolute,to:'2016-07-26 12:15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7" s="65" t="str">
        <f t="shared" si="5"/>
        <v>N</v>
      </c>
      <c r="X67" s="83">
        <f t="shared" si="10"/>
        <v>1</v>
      </c>
      <c r="Y67" s="80">
        <f t="shared" si="11"/>
        <v>4.7100000000000003E-2</v>
      </c>
      <c r="Z67" s="80">
        <f t="shared" si="12"/>
        <v>23.3324</v>
      </c>
      <c r="AA67" s="80">
        <f t="shared" si="13"/>
        <v>23.285299999999999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4"/>
        <v>0155-26</v>
      </c>
      <c r="AE67" s="66" t="str">
        <f t="shared" si="26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67" s="66" t="str">
        <f t="shared" si="27"/>
        <v>"C:\Program Files (x86)\AstroGrep\AstroGrep.exe" /spath="C:\Users\stu\Documents\Analysis\2016-02-23 RTDC Observations" /stypes="*4009*20160726*" /stext=" 17:.+((SYSTEM_STATE.+slice.+state.+changed )|(ment ac)|(system.+state.+changed )|(\|lc)|(penalty)|(\[timeout)|(PRM\|1\|D))" /e /r /s</v>
      </c>
      <c r="AG67" s="1" t="str">
        <f t="shared" si="6"/>
        <v>EC</v>
      </c>
    </row>
    <row r="68" spans="1:33" s="24" customFormat="1" x14ac:dyDescent="0.25">
      <c r="A68" s="45" t="s">
        <v>509</v>
      </c>
      <c r="B68" s="7">
        <v>4010</v>
      </c>
      <c r="C68" s="25" t="s">
        <v>248</v>
      </c>
      <c r="D68" s="25" t="s">
        <v>150</v>
      </c>
      <c r="E68" s="16">
        <v>42577.47384259259</v>
      </c>
      <c r="F68" s="16">
        <v>42577.475717592592</v>
      </c>
      <c r="G68" s="7">
        <v>2</v>
      </c>
      <c r="H68" s="16" t="s">
        <v>100</v>
      </c>
      <c r="I68" s="16">
        <v>42577.506192129629</v>
      </c>
      <c r="J68" s="7">
        <v>0</v>
      </c>
      <c r="K68" s="25" t="str">
        <f t="shared" si="24"/>
        <v>4009/4010</v>
      </c>
      <c r="L68" s="25" t="str">
        <f>VLOOKUP(A68,'Trips&amp;Operators'!$C$1:$E$10000,3,FALSE)</f>
        <v>STARKS</v>
      </c>
      <c r="M68" s="6">
        <f t="shared" si="25"/>
        <v>3.047453703766223E-2</v>
      </c>
      <c r="N68" s="7">
        <f t="shared" si="7"/>
        <v>43.883333334233612</v>
      </c>
      <c r="O68" s="7"/>
      <c r="P68" s="7"/>
      <c r="Q68" s="26"/>
      <c r="R68" s="26"/>
      <c r="S68" s="41">
        <f t="shared" si="4"/>
        <v>1</v>
      </c>
      <c r="T68" s="60" t="str">
        <f t="shared" si="8"/>
        <v>Southbound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10:22:20-0600',mode:absolute,to:'2016-07-26 13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8" s="65" t="str">
        <f t="shared" si="5"/>
        <v>N</v>
      </c>
      <c r="X68" s="83">
        <f t="shared" si="10"/>
        <v>1</v>
      </c>
      <c r="Y68" s="80">
        <f t="shared" si="11"/>
        <v>23.298400000000001</v>
      </c>
      <c r="Z68" s="80">
        <f t="shared" si="12"/>
        <v>1.43E-2</v>
      </c>
      <c r="AA68" s="80">
        <f t="shared" si="13"/>
        <v>23.284100000000002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4"/>
        <v>0156-26</v>
      </c>
      <c r="AE68" s="66" t="str">
        <f t="shared" si="26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68" s="66" t="str">
        <f t="shared" si="27"/>
        <v>"C:\Program Files (x86)\AstroGrep\AstroGrep.exe" /spath="C:\Users\stu\Documents\Analysis\2016-02-23 RTDC Observations" /stypes="*4010*20160726*" /stext=" 18:.+((SYSTEM_STATE.+slice.+state.+changed )|(ment ac)|(system.+state.+changed )|(\|lc)|(penalty)|(\[timeout)|(PRM\|1\|D))" /e /r /s</v>
      </c>
      <c r="AG68" s="1" t="str">
        <f t="shared" si="6"/>
        <v>EC</v>
      </c>
    </row>
    <row r="69" spans="1:33" x14ac:dyDescent="0.25">
      <c r="A69" s="45" t="s">
        <v>510</v>
      </c>
      <c r="B69" s="7">
        <v>4020</v>
      </c>
      <c r="C69" s="25" t="s">
        <v>248</v>
      </c>
      <c r="D69" s="25" t="s">
        <v>290</v>
      </c>
      <c r="E69" s="16">
        <v>42577.445335648146</v>
      </c>
      <c r="F69" s="16">
        <v>42577.446168981478</v>
      </c>
      <c r="G69" s="7">
        <v>1</v>
      </c>
      <c r="H69" s="16" t="s">
        <v>511</v>
      </c>
      <c r="I69" s="16">
        <v>42577.521979166668</v>
      </c>
      <c r="J69" s="7">
        <v>0</v>
      </c>
      <c r="K69" s="25" t="str">
        <f t="shared" si="24"/>
        <v>4019/4020</v>
      </c>
      <c r="L69" s="25" t="str">
        <f>VLOOKUP(A69,'Trips&amp;Operators'!$C$1:$E$10000,3,FALSE)</f>
        <v>GRASTON</v>
      </c>
      <c r="M69" s="6">
        <f t="shared" si="25"/>
        <v>7.5810185189766344E-2</v>
      </c>
      <c r="N69" s="7"/>
      <c r="O69" s="7"/>
      <c r="P69" s="7">
        <f t="shared" si="7"/>
        <v>109.16666667326353</v>
      </c>
      <c r="Q69" s="26"/>
      <c r="R69" s="26" t="s">
        <v>771</v>
      </c>
      <c r="S69" s="41">
        <f t="shared" si="4"/>
        <v>0</v>
      </c>
      <c r="T69" s="60" t="str">
        <f t="shared" si="8"/>
        <v>NorthBound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0</v>
      </c>
      <c r="V69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09:41:17-0600',mode:absolute,to:'2016-07-26 13:31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69" s="65" t="str">
        <f t="shared" si="5"/>
        <v>Y</v>
      </c>
      <c r="X69" s="83">
        <f t="shared" si="10"/>
        <v>1</v>
      </c>
      <c r="Y69" s="80">
        <f t="shared" si="11"/>
        <v>4.6600000000000003E-2</v>
      </c>
      <c r="Z69" s="80">
        <f t="shared" si="12"/>
        <v>0.16059999999999999</v>
      </c>
      <c r="AA69" s="80">
        <f t="shared" si="13"/>
        <v>0.11399999999999999</v>
      </c>
      <c r="AB69" s="77" t="e">
        <f>VLOOKUP(A69,Enforcements!$C$7:$J$24,8,0)</f>
        <v>#N/A</v>
      </c>
      <c r="AC69" s="73" t="e">
        <f>VLOOKUP(A69,Enforcements!$C$7:$E$24,3,0)</f>
        <v>#N/A</v>
      </c>
      <c r="AD69" s="74" t="str">
        <f t="shared" si="14"/>
        <v>0157-26</v>
      </c>
      <c r="AE69" s="66" t="str">
        <f t="shared" si="26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69" s="66" t="str">
        <f t="shared" si="27"/>
        <v>"C:\Program Files (x86)\AstroGrep\AstroGrep.exe" /spath="C:\Users\stu\Documents\Analysis\2016-02-23 RTDC Observations" /stypes="*4020*20160726*" /stext=" 18:.+((SYSTEM_STATE.+slice.+state.+changed )|(ment ac)|(system.+state.+changed )|(\|lc)|(penalty)|(\[timeout)|(PRM\|1\|D))" /e /r /s</v>
      </c>
      <c r="AG69" s="1" t="str">
        <f t="shared" si="6"/>
        <v>EC</v>
      </c>
    </row>
    <row r="70" spans="1:33" s="24" customFormat="1" x14ac:dyDescent="0.25">
      <c r="A70" s="45" t="s">
        <v>426</v>
      </c>
      <c r="B70" s="7">
        <v>4019</v>
      </c>
      <c r="C70" s="25" t="s">
        <v>248</v>
      </c>
      <c r="D70" s="25" t="s">
        <v>257</v>
      </c>
      <c r="E70" s="16">
        <v>42577.482939814814</v>
      </c>
      <c r="F70" s="16">
        <v>42577.483923611115</v>
      </c>
      <c r="G70" s="7">
        <v>1</v>
      </c>
      <c r="H70" s="16" t="s">
        <v>116</v>
      </c>
      <c r="I70" s="16">
        <v>42577.513749999998</v>
      </c>
      <c r="J70" s="7">
        <v>1</v>
      </c>
      <c r="K70" s="25" t="str">
        <f t="shared" si="24"/>
        <v>4019/4020</v>
      </c>
      <c r="L70" s="25" t="str">
        <f>VLOOKUP(A70,'Trips&amp;Operators'!$C$1:$E$10000,3,FALSE)</f>
        <v>GRASTON</v>
      </c>
      <c r="M70" s="6">
        <f t="shared" si="25"/>
        <v>2.9826388883520849E-2</v>
      </c>
      <c r="N70" s="7">
        <f t="shared" si="7"/>
        <v>42.949999992270023</v>
      </c>
      <c r="O70" s="7"/>
      <c r="P70" s="7"/>
      <c r="Q70" s="26"/>
      <c r="R70" s="26"/>
      <c r="S70" s="41">
        <f t="shared" si="4"/>
        <v>1</v>
      </c>
      <c r="T70" s="60" t="str">
        <f t="shared" si="8"/>
        <v>Southbound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10:35:26-0600',mode:absolute,to:'2016-07-26 13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70" s="65" t="str">
        <f t="shared" si="5"/>
        <v>N</v>
      </c>
      <c r="X70" s="83">
        <f t="shared" si="10"/>
        <v>1</v>
      </c>
      <c r="Y70" s="80">
        <f t="shared" si="11"/>
        <v>23.298100000000002</v>
      </c>
      <c r="Z70" s="80">
        <f t="shared" si="12"/>
        <v>1.61E-2</v>
      </c>
      <c r="AA70" s="80">
        <f t="shared" si="13"/>
        <v>23.282</v>
      </c>
      <c r="AB70" s="77">
        <f>VLOOKUP(A70,Enforcements!$C$7:$J$24,8,0)</f>
        <v>127587</v>
      </c>
      <c r="AC70" s="73" t="str">
        <f>VLOOKUP(A70,Enforcements!$C$7:$E$24,3,0)</f>
        <v>SIGNAL</v>
      </c>
      <c r="AD70" s="74" t="str">
        <f t="shared" si="14"/>
        <v>0158-26</v>
      </c>
      <c r="AE70" s="66" t="str">
        <f t="shared" si="26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70" s="66" t="str">
        <f t="shared" si="27"/>
        <v>"C:\Program Files (x86)\AstroGrep\AstroGrep.exe" /spath="C:\Users\stu\Documents\Analysis\2016-02-23 RTDC Observations" /stypes="*4019*20160726*" /stext=" 18:.+((SYSTEM_STATE.+slice.+state.+changed )|(ment ac)|(system.+state.+changed )|(\|lc)|(penalty)|(\[timeout)|(PRM\|1\|D))" /e /r /s</v>
      </c>
      <c r="AG70" s="1" t="str">
        <f t="shared" si="6"/>
        <v>EC</v>
      </c>
    </row>
    <row r="71" spans="1:33" x14ac:dyDescent="0.25">
      <c r="A71" s="45" t="s">
        <v>512</v>
      </c>
      <c r="B71" s="7">
        <v>4029</v>
      </c>
      <c r="C71" s="25" t="s">
        <v>248</v>
      </c>
      <c r="D71" s="25" t="s">
        <v>513</v>
      </c>
      <c r="E71" s="16">
        <v>42577.466134259259</v>
      </c>
      <c r="F71" s="16">
        <v>42577.467106481483</v>
      </c>
      <c r="G71" s="7">
        <v>1</v>
      </c>
      <c r="H71" s="16" t="s">
        <v>514</v>
      </c>
      <c r="I71" s="16">
        <v>42577.492893518516</v>
      </c>
      <c r="J71" s="7">
        <v>0</v>
      </c>
      <c r="K71" s="25" t="str">
        <f t="shared" si="24"/>
        <v>4029/4030</v>
      </c>
      <c r="L71" s="25" t="str">
        <f>VLOOKUP(A71,'Trips&amp;Operators'!$C$1:$E$10000,3,FALSE)</f>
        <v>BARTLETT</v>
      </c>
      <c r="M71" s="6">
        <f t="shared" si="25"/>
        <v>2.5787037033296656E-2</v>
      </c>
      <c r="N71" s="7"/>
      <c r="O71" s="7"/>
      <c r="P71" s="7">
        <f t="shared" si="7"/>
        <v>37.133333327947184</v>
      </c>
      <c r="Q71" s="26"/>
      <c r="R71" s="26" t="s">
        <v>770</v>
      </c>
      <c r="S71" s="41">
        <f t="shared" si="4"/>
        <v>1</v>
      </c>
      <c r="T71" s="60" t="str">
        <f t="shared" si="8"/>
        <v>NorthBound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10:11:14-0600',mode:absolute,to:'2016-07-26 12:49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1" s="65" t="str">
        <f t="shared" si="5"/>
        <v>Y</v>
      </c>
      <c r="X71" s="83">
        <f t="shared" si="10"/>
        <v>1</v>
      </c>
      <c r="Y71" s="80">
        <f t="shared" si="11"/>
        <v>1.9134</v>
      </c>
      <c r="Z71" s="80">
        <f t="shared" si="12"/>
        <v>23.326599999999999</v>
      </c>
      <c r="AA71" s="80">
        <f t="shared" si="13"/>
        <v>21.4132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4"/>
        <v>0159-26</v>
      </c>
      <c r="AE71" s="66" t="str">
        <f t="shared" si="26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71" s="66" t="str">
        <f t="shared" si="27"/>
        <v>"C:\Program Files (x86)\AstroGrep\AstroGrep.exe" /spath="C:\Users\stu\Documents\Analysis\2016-02-23 RTDC Observations" /stypes="*4029*20160726*" /stext=" 17:.+((SYSTEM_STATE.+slice.+state.+changed )|(ment ac)|(system.+state.+changed )|(\|lc)|(penalty)|(\[timeout)|(PRM\|1\|D))" /e /r /s</v>
      </c>
      <c r="AG71" s="1" t="str">
        <f t="shared" si="6"/>
        <v>EC</v>
      </c>
    </row>
    <row r="72" spans="1:33" x14ac:dyDescent="0.25">
      <c r="A72" s="45" t="s">
        <v>427</v>
      </c>
      <c r="B72" s="7">
        <v>4030</v>
      </c>
      <c r="C72" s="25" t="s">
        <v>248</v>
      </c>
      <c r="D72" s="25" t="s">
        <v>310</v>
      </c>
      <c r="E72" s="16">
        <v>42577.493900462963</v>
      </c>
      <c r="F72" s="16">
        <v>42577.494942129626</v>
      </c>
      <c r="G72" s="7">
        <v>1</v>
      </c>
      <c r="H72" s="16" t="s">
        <v>515</v>
      </c>
      <c r="I72" s="16">
        <v>42577.525000000001</v>
      </c>
      <c r="J72" s="7">
        <v>1</v>
      </c>
      <c r="K72" s="25" t="str">
        <f t="shared" si="24"/>
        <v>4029/4030</v>
      </c>
      <c r="L72" s="25" t="str">
        <f>VLOOKUP(A72,'Trips&amp;Operators'!$C$1:$E$10000,3,FALSE)</f>
        <v>BARTLETT</v>
      </c>
      <c r="M72" s="6">
        <f t="shared" si="25"/>
        <v>3.0057870375458151E-2</v>
      </c>
      <c r="N72" s="7">
        <f t="shared" si="7"/>
        <v>43.283333340659738</v>
      </c>
      <c r="O72" s="7"/>
      <c r="P72" s="7"/>
      <c r="Q72" s="26"/>
      <c r="R72" s="26"/>
      <c r="S72" s="41">
        <f t="shared" si="4"/>
        <v>1</v>
      </c>
      <c r="T72" s="60" t="str">
        <f t="shared" si="8"/>
        <v>Southbound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10:51:13-0600',mode:absolute,to:'2016-07-26 13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2" s="65" t="str">
        <f t="shared" si="5"/>
        <v>N</v>
      </c>
      <c r="X72" s="83">
        <f t="shared" si="10"/>
        <v>1</v>
      </c>
      <c r="Y72" s="80">
        <f t="shared" si="11"/>
        <v>23.293600000000001</v>
      </c>
      <c r="Z72" s="80">
        <f t="shared" si="12"/>
        <v>4.0599999999999997E-2</v>
      </c>
      <c r="AA72" s="80">
        <f t="shared" si="13"/>
        <v>23.253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4"/>
        <v>0160-26</v>
      </c>
      <c r="AE72" s="66" t="str">
        <f t="shared" si="26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72" s="66" t="str">
        <f t="shared" si="27"/>
        <v>"C:\Program Files (x86)\AstroGrep\AstroGrep.exe" /spath="C:\Users\stu\Documents\Analysis\2016-02-23 RTDC Observations" /stypes="*4030*20160726*" /stext=" 18:.+((SYSTEM_STATE.+slice.+state.+changed )|(ment ac)|(system.+state.+changed )|(\|lc)|(penalty)|(\[timeout)|(PRM\|1\|D))" /e /r /s</v>
      </c>
      <c r="AG72" s="1" t="str">
        <f t="shared" si="6"/>
        <v>EC</v>
      </c>
    </row>
    <row r="73" spans="1:33" x14ac:dyDescent="0.25">
      <c r="A73" s="45" t="s">
        <v>516</v>
      </c>
      <c r="B73" s="7">
        <v>4025</v>
      </c>
      <c r="C73" s="25" t="s">
        <v>248</v>
      </c>
      <c r="D73" s="25" t="s">
        <v>290</v>
      </c>
      <c r="E73" s="16">
        <v>42577.46980324074</v>
      </c>
      <c r="F73" s="16">
        <v>42577.471030092594</v>
      </c>
      <c r="G73" s="7">
        <v>1</v>
      </c>
      <c r="H73" s="16" t="s">
        <v>517</v>
      </c>
      <c r="I73" s="16">
        <v>42577.501886574071</v>
      </c>
      <c r="J73" s="7">
        <v>0</v>
      </c>
      <c r="K73" s="25" t="str">
        <f t="shared" si="24"/>
        <v>4025/4026</v>
      </c>
      <c r="L73" s="25" t="str">
        <f>VLOOKUP(A73,'Trips&amp;Operators'!$C$1:$E$10000,3,FALSE)</f>
        <v>STEWART</v>
      </c>
      <c r="M73" s="6">
        <f t="shared" si="25"/>
        <v>3.085648147680331E-2</v>
      </c>
      <c r="N73" s="7">
        <f t="shared" si="7"/>
        <v>44.433333326596767</v>
      </c>
      <c r="O73" s="7"/>
      <c r="P73" s="7"/>
      <c r="Q73" s="26"/>
      <c r="R73" s="26"/>
      <c r="S73" s="41">
        <f t="shared" si="4"/>
        <v>1</v>
      </c>
      <c r="T73" s="60" t="str">
        <f t="shared" si="8"/>
        <v>NorthBound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10:16:31-0600',mode:absolute,to:'2016-07-26 13:02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73" s="65" t="str">
        <f t="shared" si="5"/>
        <v>N</v>
      </c>
      <c r="X73" s="83">
        <f t="shared" si="10"/>
        <v>1</v>
      </c>
      <c r="Y73" s="80">
        <f t="shared" si="11"/>
        <v>4.6600000000000003E-2</v>
      </c>
      <c r="Z73" s="80">
        <f t="shared" si="12"/>
        <v>23.328099999999999</v>
      </c>
      <c r="AA73" s="80">
        <f t="shared" si="13"/>
        <v>23.281499999999998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4"/>
        <v>0161-26</v>
      </c>
      <c r="AE73" s="66" t="str">
        <f t="shared" si="26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73" s="66" t="str">
        <f t="shared" si="27"/>
        <v>"C:\Program Files (x86)\AstroGrep\AstroGrep.exe" /spath="C:\Users\stu\Documents\Analysis\2016-02-23 RTDC Observations" /stypes="*4025*20160726*" /stext=" 18:.+((SYSTEM_STATE.+slice.+state.+changed )|(ment ac)|(system.+state.+changed )|(\|lc)|(penalty)|(\[timeout)|(PRM\|1\|D))" /e /r /s</v>
      </c>
      <c r="AG73" s="1" t="str">
        <f t="shared" si="6"/>
        <v>EC</v>
      </c>
    </row>
    <row r="74" spans="1:33" x14ac:dyDescent="0.25">
      <c r="A74" s="45" t="s">
        <v>428</v>
      </c>
      <c r="B74" s="7">
        <v>4026</v>
      </c>
      <c r="C74" s="25" t="s">
        <v>248</v>
      </c>
      <c r="D74" s="25" t="s">
        <v>518</v>
      </c>
      <c r="E74" s="16">
        <v>42577.505196759259</v>
      </c>
      <c r="F74" s="16">
        <v>42577.506215277775</v>
      </c>
      <c r="G74" s="7">
        <v>1</v>
      </c>
      <c r="H74" s="16" t="s">
        <v>252</v>
      </c>
      <c r="I74" s="16">
        <v>42577.53833333333</v>
      </c>
      <c r="J74" s="7">
        <v>2</v>
      </c>
      <c r="K74" s="25" t="str">
        <f t="shared" si="24"/>
        <v>4025/4026</v>
      </c>
      <c r="L74" s="25" t="str">
        <f>VLOOKUP(A74,'Trips&amp;Operators'!$C$1:$E$10000,3,FALSE)</f>
        <v>STEWART</v>
      </c>
      <c r="M74" s="6">
        <f t="shared" si="25"/>
        <v>3.2118055554747116E-2</v>
      </c>
      <c r="N74" s="7">
        <f t="shared" si="7"/>
        <v>46.249999998835847</v>
      </c>
      <c r="O74" s="7"/>
      <c r="P74" s="7"/>
      <c r="Q74" s="26"/>
      <c r="R74" s="26"/>
      <c r="S74" s="41">
        <f t="shared" si="4"/>
        <v>1</v>
      </c>
      <c r="T74" s="60" t="str">
        <f t="shared" si="8"/>
        <v>Southbound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74" s="65" t="str">
        <f t="shared" si="5"/>
        <v>N</v>
      </c>
      <c r="X74" s="83">
        <f t="shared" si="10"/>
        <v>1</v>
      </c>
      <c r="Y74" s="80">
        <f t="shared" si="11"/>
        <v>23.2987</v>
      </c>
      <c r="Z74" s="80">
        <f t="shared" si="12"/>
        <v>1.7600000000000001E-2</v>
      </c>
      <c r="AA74" s="80">
        <f t="shared" si="13"/>
        <v>23.281099999999999</v>
      </c>
      <c r="AB74" s="77">
        <f>VLOOKUP(A74,Enforcements!$C$7:$J$24,8,0)</f>
        <v>78469</v>
      </c>
      <c r="AC74" s="73" t="str">
        <f>VLOOKUP(A74,Enforcements!$C$7:$E$24,3,0)</f>
        <v>GRADE CROSSING</v>
      </c>
      <c r="AD74" s="74" t="str">
        <f t="shared" si="14"/>
        <v>0162-26</v>
      </c>
      <c r="AE74" s="66" t="str">
        <f t="shared" si="26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74" s="66" t="str">
        <f t="shared" si="27"/>
        <v>"C:\Program Files (x86)\AstroGrep\AstroGrep.exe" /spath="C:\Users\stu\Documents\Analysis\2016-02-23 RTDC Observations" /stypes="*4026*20160726*" /stext=" 18:.+((SYSTEM_STATE.+slice.+state.+changed )|(ment ac)|(system.+state.+changed )|(\|lc)|(penalty)|(\[timeout)|(PRM\|1\|D))" /e /r /s</v>
      </c>
      <c r="AG74" s="1" t="str">
        <f t="shared" si="6"/>
        <v>EC</v>
      </c>
    </row>
    <row r="75" spans="1:33" x14ac:dyDescent="0.25">
      <c r="A75" s="45" t="s">
        <v>519</v>
      </c>
      <c r="B75" s="7">
        <v>4042</v>
      </c>
      <c r="C75" s="25" t="s">
        <v>248</v>
      </c>
      <c r="D75" s="25" t="s">
        <v>506</v>
      </c>
      <c r="E75" s="16">
        <v>42577.476724537039</v>
      </c>
      <c r="F75" s="16">
        <v>42577.480069444442</v>
      </c>
      <c r="G75" s="7">
        <v>4</v>
      </c>
      <c r="H75" s="16" t="s">
        <v>520</v>
      </c>
      <c r="I75" s="16">
        <v>42577.50545138889</v>
      </c>
      <c r="J75" s="7">
        <v>0</v>
      </c>
      <c r="K75" s="25" t="str">
        <f t="shared" si="24"/>
        <v>4041/4042</v>
      </c>
      <c r="L75" s="25" t="str">
        <f>VLOOKUP(A75,'Trips&amp;Operators'!$C$1:$E$10000,3,FALSE)</f>
        <v>LOCKLEAR</v>
      </c>
      <c r="M75" s="6">
        <f t="shared" si="25"/>
        <v>2.5381944447872229E-2</v>
      </c>
      <c r="N75" s="7">
        <f t="shared" si="7"/>
        <v>36.55000000493601</v>
      </c>
      <c r="O75" s="7"/>
      <c r="P75" s="7"/>
      <c r="Q75" s="26"/>
      <c r="R75" s="26"/>
      <c r="S75" s="41">
        <f t="shared" si="4"/>
        <v>1</v>
      </c>
      <c r="T75" s="60" t="str">
        <f t="shared" si="8"/>
        <v>NorthBound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10:26:29-0600',mode:absolute,to:'2016-07-26 13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75" s="65" t="str">
        <f t="shared" si="5"/>
        <v>N</v>
      </c>
      <c r="X75" s="83">
        <f t="shared" si="10"/>
        <v>1</v>
      </c>
      <c r="Y75" s="80">
        <f t="shared" si="11"/>
        <v>4.3299999999999998E-2</v>
      </c>
      <c r="Z75" s="80">
        <f t="shared" si="12"/>
        <v>23.334099999999999</v>
      </c>
      <c r="AA75" s="80">
        <f t="shared" si="13"/>
        <v>23.290800000000001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4"/>
        <v>0163-26</v>
      </c>
      <c r="AE75" s="66" t="str">
        <f t="shared" si="26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75" s="66" t="str">
        <f t="shared" si="27"/>
        <v>"C:\Program Files (x86)\AstroGrep\AstroGrep.exe" /spath="C:\Users\stu\Documents\Analysis\2016-02-23 RTDC Observations" /stypes="*4042*20160726*" /stext=" 18:.+((SYSTEM_STATE.+slice.+state.+changed )|(ment ac)|(system.+state.+changed )|(\|lc)|(penalty)|(\[timeout)|(PRM\|1\|D))" /e /r /s</v>
      </c>
      <c r="AG75" s="1" t="str">
        <f t="shared" si="6"/>
        <v>EC</v>
      </c>
    </row>
    <row r="76" spans="1:33" x14ac:dyDescent="0.25">
      <c r="A76" s="45" t="s">
        <v>521</v>
      </c>
      <c r="B76" s="7">
        <v>4041</v>
      </c>
      <c r="C76" s="25" t="s">
        <v>248</v>
      </c>
      <c r="D76" s="25" t="s">
        <v>233</v>
      </c>
      <c r="E76" s="16">
        <v>42577.513009259259</v>
      </c>
      <c r="F76" s="16">
        <v>42577.513993055552</v>
      </c>
      <c r="G76" s="7">
        <v>1</v>
      </c>
      <c r="H76" s="16" t="s">
        <v>139</v>
      </c>
      <c r="I76" s="16">
        <v>42577.548460648148</v>
      </c>
      <c r="J76" s="7">
        <v>0</v>
      </c>
      <c r="K76" s="25" t="str">
        <f t="shared" ref="K76:K107" si="28">IF(ISEVEN(B76),(B76-1)&amp;"/"&amp;B76,B76&amp;"/"&amp;(B76+1))</f>
        <v>4041/4042</v>
      </c>
      <c r="L76" s="25" t="str">
        <f>VLOOKUP(A76,'Trips&amp;Operators'!$C$1:$E$10000,3,FALSE)</f>
        <v>LOCKLEAR</v>
      </c>
      <c r="M76" s="6">
        <f t="shared" ref="M76:M107" si="29">I76-F76</f>
        <v>3.4467592595319729E-2</v>
      </c>
      <c r="N76" s="7">
        <f t="shared" si="7"/>
        <v>49.63333333726041</v>
      </c>
      <c r="O76" s="7"/>
      <c r="P76" s="7"/>
      <c r="Q76" s="26"/>
      <c r="R76" s="26"/>
      <c r="S76" s="41">
        <f t="shared" si="4"/>
        <v>1</v>
      </c>
      <c r="T76" s="60" t="str">
        <f t="shared" si="8"/>
        <v>Southbound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11:18:44-0600',mode:absolute,to:'2016-07-26 14:09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76" s="65" t="str">
        <f t="shared" si="5"/>
        <v>N</v>
      </c>
      <c r="X76" s="83">
        <f t="shared" si="10"/>
        <v>1</v>
      </c>
      <c r="Y76" s="80">
        <f t="shared" si="11"/>
        <v>23.299399999999999</v>
      </c>
      <c r="Z76" s="80">
        <f t="shared" si="12"/>
        <v>1.54E-2</v>
      </c>
      <c r="AA76" s="80">
        <f t="shared" si="13"/>
        <v>23.283999999999999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4"/>
        <v>0164-26</v>
      </c>
      <c r="AE76" s="66" t="str">
        <f t="shared" ref="AE76:AE107" si="30">"aws s3 cp "&amp;s3_bucket&amp;"/RTDC"&amp;B76&amp;"/"&amp;TEXT(F76,"YYYY-MM-DD")&amp;"/ "&amp;search_path&amp;"\RTDC"&amp;B76&amp;"\"&amp;TEXT(F76,"YYYY-MM-DD")&amp;" --recursive &amp; """&amp;walkandungz&amp;""" "&amp;search_path&amp;"\RTDC"&amp;B76&amp;"\"&amp;TEXT(F76,"YYYY-MM-DD")
&amp;" &amp; "&amp;"aws s3 cp "&amp;s3_bucket&amp;"/RTDC"&amp;B76&amp;"/"&amp;TEXT(F76+1,"YYYY-MM-DD")&amp;"/ "&amp;search_path&amp;"\RTDC"&amp;B76&amp;"\"&amp;TEXT(F76+1,"YYYY-MM-DD")&amp;" --recursive &amp; """&amp;walkandungz&amp;""" "&amp;search_path&amp;"\RTDC"&amp;B76&amp;"\"&amp;TEXT(F76+1,"YYYY-MM-DD")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76" s="66" t="str">
        <f t="shared" ref="AF76:AF107" si="31">astrogrep_path&amp;" /spath="&amp;search_path&amp;" /stypes=""*"&amp;B76&amp;"*"&amp;TEXT(I76-utc_offset/24,"YYYYMMDD")&amp;"*"" /stext="" "&amp;TEXT(I76-utc_offset/24,"HH")&amp;search_regexp&amp;""" /e /r /s"</f>
        <v>"C:\Program Files (x86)\AstroGrep\AstroGrep.exe" /spath="C:\Users\stu\Documents\Analysis\2016-02-23 RTDC Observations" /stypes="*4041*20160726*" /stext=" 19:.+((SYSTEM_STATE.+slice.+state.+changed )|(ment ac)|(system.+state.+changed )|(\|lc)|(penalty)|(\[timeout)|(PRM\|1\|D))" /e /r /s</v>
      </c>
      <c r="AG76" s="1" t="str">
        <f t="shared" si="6"/>
        <v>EC</v>
      </c>
    </row>
    <row r="77" spans="1:33" x14ac:dyDescent="0.25">
      <c r="A77" s="45" t="s">
        <v>522</v>
      </c>
      <c r="B77" s="7">
        <v>4031</v>
      </c>
      <c r="C77" s="25" t="s">
        <v>248</v>
      </c>
      <c r="D77" s="25" t="s">
        <v>300</v>
      </c>
      <c r="E77" s="16">
        <v>42577.488182870373</v>
      </c>
      <c r="F77" s="16">
        <v>42577.489363425928</v>
      </c>
      <c r="G77" s="7">
        <v>1</v>
      </c>
      <c r="H77" s="16" t="s">
        <v>523</v>
      </c>
      <c r="I77" s="16">
        <v>42577.516157407408</v>
      </c>
      <c r="J77" s="7">
        <v>0</v>
      </c>
      <c r="K77" s="25" t="str">
        <f t="shared" si="28"/>
        <v>4031/4032</v>
      </c>
      <c r="L77" s="25" t="str">
        <f>VLOOKUP(A77,'Trips&amp;Operators'!$C$1:$E$10000,3,FALSE)</f>
        <v>BONDS</v>
      </c>
      <c r="M77" s="6">
        <f t="shared" si="29"/>
        <v>2.679398148029577E-2</v>
      </c>
      <c r="N77" s="7">
        <f t="shared" si="7"/>
        <v>38.583333331625909</v>
      </c>
      <c r="O77" s="7"/>
      <c r="P77" s="7"/>
      <c r="Q77" s="26"/>
      <c r="R77" s="26"/>
      <c r="S77" s="41">
        <f t="shared" si="4"/>
        <v>1</v>
      </c>
      <c r="T77" s="60" t="str">
        <f t="shared" si="8"/>
        <v>NorthBound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9"/>
        <v>https://search-rtdc-monitor-bjffxe2xuh6vdkpspy63sjmuny.us-east-1.es.amazonaws.com/_plugin/kibana/#/discover/Steve-Slow-Train-Analysis-(2080s-and-2083s)?_g=(refreshInterval:(display:Off,section:0,value:0),time:(from:'2016-07-26 10:42:59-0600',mode:absolute,to:'2016-07-26 13:23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77" s="65" t="str">
        <f t="shared" si="5"/>
        <v>N</v>
      </c>
      <c r="X77" s="83">
        <f t="shared" si="10"/>
        <v>1</v>
      </c>
      <c r="Y77" s="80">
        <f t="shared" si="11"/>
        <v>4.3799999999999999E-2</v>
      </c>
      <c r="Z77" s="80">
        <f t="shared" si="12"/>
        <v>23.333400000000001</v>
      </c>
      <c r="AA77" s="80">
        <f t="shared" si="13"/>
        <v>23.2896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4"/>
        <v>0165-26</v>
      </c>
      <c r="AE77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77" s="66" t="str">
        <f t="shared" si="31"/>
        <v>"C:\Program Files (x86)\AstroGrep\AstroGrep.exe" /spath="C:\Users\stu\Documents\Analysis\2016-02-23 RTDC Observations" /stypes="*4031*20160726*" /stext=" 18:.+((SYSTEM_STATE.+slice.+state.+changed )|(ment ac)|(system.+state.+changed )|(\|lc)|(penalty)|(\[timeout)|(PRM\|1\|D))" /e /r /s</v>
      </c>
      <c r="AG77" s="1" t="str">
        <f t="shared" si="6"/>
        <v>EC</v>
      </c>
    </row>
    <row r="78" spans="1:33" x14ac:dyDescent="0.25">
      <c r="A78" s="45" t="s">
        <v>524</v>
      </c>
      <c r="B78" s="7">
        <v>4032</v>
      </c>
      <c r="C78" s="25" t="s">
        <v>248</v>
      </c>
      <c r="D78" s="25" t="s">
        <v>525</v>
      </c>
      <c r="E78" s="16">
        <v>42577.521516203706</v>
      </c>
      <c r="F78" s="16">
        <v>42577.523043981484</v>
      </c>
      <c r="G78" s="7">
        <v>2</v>
      </c>
      <c r="H78" s="16" t="s">
        <v>142</v>
      </c>
      <c r="I78" s="16">
        <v>42577.556122685186</v>
      </c>
      <c r="J78" s="7">
        <v>0</v>
      </c>
      <c r="K78" s="25" t="str">
        <f t="shared" si="28"/>
        <v>4031/4032</v>
      </c>
      <c r="L78" s="25" t="str">
        <f>VLOOKUP(A78,'Trips&amp;Operators'!$C$1:$E$10000,3,FALSE)</f>
        <v>BONDS</v>
      </c>
      <c r="M78" s="6">
        <f t="shared" si="29"/>
        <v>3.3078703701903578E-2</v>
      </c>
      <c r="N78" s="7">
        <f t="shared" ref="N78:P141" si="32">24*60*SUM($M78:$M78)</f>
        <v>47.633333330741152</v>
      </c>
      <c r="O78" s="7"/>
      <c r="P78" s="7"/>
      <c r="Q78" s="26"/>
      <c r="R78" s="26"/>
      <c r="S78" s="41">
        <f t="shared" ref="S78:S141" si="33">SUM(U78:U78)/IF(AG78="EC",12,1)</f>
        <v>1</v>
      </c>
      <c r="T78" s="60" t="str">
        <f t="shared" ref="T78:T141" si="34">IF(ISEVEN(LEFT(A78,3)),"Southbound","NorthBound")</f>
        <v>Southbound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ref="V78:V141" si="35">"https://search-rtdc-monitor-bjffxe2xuh6vdkpspy63sjmuny.us-east-1.es.amazonaws.com/_plugin/kibana/#/discover/Steve-Slow-Train-Analysis-(2080s-and-2083s)?_g=(refreshInterval:(display:Off,section:0,value:0),time:(from:'"&amp;TEXT(E78-1/24,"yyyy-MM-DD hh:mm:ss")&amp;"-0600',mode:absolute,to:'"&amp;TEXT(I78+1/24,"yyyy-MM-DD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https://search-rtdc-monitor-bjffxe2xuh6vdkpspy63sjmuny.us-east-1.es.amazonaws.com/_plugin/kibana/#/discover/Steve-Slow-Train-Analysis-(2080s-and-2083s)?_g=(refreshInterval:(display:Off,section:0,value:0),time:(from:'2016-07-26 11:30:59-0600',mode:absolute,to:'2016-07-26 14:20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78" s="65" t="str">
        <f t="shared" ref="W78:W141" si="36">IF(AA78&lt;IF(AG78="EC",23,5.65),"Y","N")</f>
        <v>N</v>
      </c>
      <c r="X78" s="83">
        <f t="shared" ref="X78:X141" si="37">VALUE(LEFT(A78,3))-VALUE(LEFT(A77,3))</f>
        <v>1</v>
      </c>
      <c r="Y78" s="80">
        <f t="shared" ref="Y78:Y141" si="38">RIGHT(D78,LEN(D78)-4)/10000</f>
        <v>23.3017</v>
      </c>
      <c r="Z78" s="80">
        <f t="shared" ref="Z78:Z141" si="39">RIGHT(H78,LEN(H78)-4)/10000</f>
        <v>1.3899999999999999E-2</v>
      </c>
      <c r="AA78" s="80">
        <f t="shared" ref="AA78:AA141" si="40">ABS(Z78-Y78)</f>
        <v>23.287800000000001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ref="AD78:AD141" si="41">IF(LEN(A78)=6,"0"&amp;A78,A78)</f>
        <v>0166-26</v>
      </c>
      <c r="AE78" s="66" t="str">
        <f t="shared" si="30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78" s="66" t="str">
        <f t="shared" si="31"/>
        <v>"C:\Program Files (x86)\AstroGrep\AstroGrep.exe" /spath="C:\Users\stu\Documents\Analysis\2016-02-23 RTDC Observations" /stypes="*4032*20160726*" /stext=" 19:.+((SYSTEM_STATE.+slice.+state.+changed )|(ment ac)|(system.+state.+changed )|(\|lc)|(penalty)|(\[timeout)|(PRM\|1\|D))" /e /r /s</v>
      </c>
      <c r="AG78" s="1" t="str">
        <f t="shared" ref="AG78:AG141" si="42">IF(VALUE(LEFT(AD78,2))&lt;=2,"EC",IF(VALUE(LEFT(AD78,2))=8,"NW","GL"))</f>
        <v>EC</v>
      </c>
    </row>
    <row r="79" spans="1:33" x14ac:dyDescent="0.25">
      <c r="A79" s="45" t="s">
        <v>526</v>
      </c>
      <c r="B79" s="7">
        <v>4018</v>
      </c>
      <c r="C79" s="25" t="s">
        <v>248</v>
      </c>
      <c r="D79" s="25" t="s">
        <v>159</v>
      </c>
      <c r="E79" s="16">
        <v>42577.497291666667</v>
      </c>
      <c r="F79" s="16">
        <v>42577.498912037037</v>
      </c>
      <c r="G79" s="7">
        <v>2</v>
      </c>
      <c r="H79" s="16" t="s">
        <v>260</v>
      </c>
      <c r="I79" s="16">
        <v>42577.529745370368</v>
      </c>
      <c r="J79" s="7">
        <v>0</v>
      </c>
      <c r="K79" s="25" t="str">
        <f t="shared" si="28"/>
        <v>4017/4018</v>
      </c>
      <c r="L79" s="25" t="str">
        <f>VLOOKUP(A79,'Trips&amp;Operators'!$C$1:$E$10000,3,FALSE)</f>
        <v>YOUNG</v>
      </c>
      <c r="M79" s="6">
        <f t="shared" si="29"/>
        <v>3.0833333330519963E-2</v>
      </c>
      <c r="N79" s="7">
        <f t="shared" si="32"/>
        <v>44.399999995948747</v>
      </c>
      <c r="O79" s="7"/>
      <c r="P79" s="7"/>
      <c r="Q79" s="26"/>
      <c r="R79" s="26"/>
      <c r="S79" s="41">
        <f t="shared" si="33"/>
        <v>1</v>
      </c>
      <c r="T79" s="60" t="str">
        <f t="shared" si="34"/>
        <v>NorthBound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10:56:06-0600',mode:absolute,to:'2016-07-26 13:42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79" s="65" t="str">
        <f t="shared" si="36"/>
        <v>N</v>
      </c>
      <c r="X79" s="83">
        <f t="shared" si="37"/>
        <v>1</v>
      </c>
      <c r="Y79" s="80">
        <f t="shared" si="38"/>
        <v>4.7300000000000002E-2</v>
      </c>
      <c r="Z79" s="80">
        <f t="shared" si="39"/>
        <v>23.3307</v>
      </c>
      <c r="AA79" s="80">
        <f t="shared" si="40"/>
        <v>23.2834</v>
      </c>
      <c r="AB79" s="77" t="e">
        <f>VLOOKUP(A79,Enforcements!$C$7:$J$24,8,0)</f>
        <v>#N/A</v>
      </c>
      <c r="AC79" s="73" t="e">
        <f>VLOOKUP(A79,Enforcements!$C$7:$E$24,3,0)</f>
        <v>#N/A</v>
      </c>
      <c r="AD79" s="74" t="str">
        <f t="shared" si="41"/>
        <v>0167-26</v>
      </c>
      <c r="AE79" s="66" t="str">
        <f t="shared" si="30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79" s="66" t="str">
        <f t="shared" si="31"/>
        <v>"C:\Program Files (x86)\AstroGrep\AstroGrep.exe" /spath="C:\Users\stu\Documents\Analysis\2016-02-23 RTDC Observations" /stypes="*4018*20160726*" /stext=" 18:.+((SYSTEM_STATE.+slice.+state.+changed )|(ment ac)|(system.+state.+changed )|(\|lc)|(penalty)|(\[timeout)|(PRM\|1\|D))" /e /r /s</v>
      </c>
      <c r="AG79" s="1" t="str">
        <f t="shared" si="42"/>
        <v>EC</v>
      </c>
    </row>
    <row r="80" spans="1:33" x14ac:dyDescent="0.25">
      <c r="A80" s="45" t="s">
        <v>527</v>
      </c>
      <c r="B80" s="7">
        <v>4017</v>
      </c>
      <c r="C80" s="25" t="s">
        <v>248</v>
      </c>
      <c r="D80" s="25" t="s">
        <v>461</v>
      </c>
      <c r="E80" s="16">
        <v>42577.533368055556</v>
      </c>
      <c r="F80" s="16">
        <v>42577.534722222219</v>
      </c>
      <c r="G80" s="7">
        <v>1</v>
      </c>
      <c r="H80" s="16" t="s">
        <v>528</v>
      </c>
      <c r="I80" s="16">
        <v>42577.569756944446</v>
      </c>
      <c r="J80" s="7">
        <v>0</v>
      </c>
      <c r="K80" s="25" t="str">
        <f t="shared" si="28"/>
        <v>4017/4018</v>
      </c>
      <c r="L80" s="25" t="str">
        <f>VLOOKUP(A80,'Trips&amp;Operators'!$C$1:$E$10000,3,FALSE)</f>
        <v>YOUNG</v>
      </c>
      <c r="M80" s="6">
        <f t="shared" si="29"/>
        <v>3.5034722226555459E-2</v>
      </c>
      <c r="N80" s="7">
        <f t="shared" si="32"/>
        <v>50.450000006239861</v>
      </c>
      <c r="O80" s="7"/>
      <c r="P80" s="7"/>
      <c r="Q80" s="26"/>
      <c r="R80" s="26"/>
      <c r="S80" s="41">
        <f t="shared" si="33"/>
        <v>1</v>
      </c>
      <c r="T80" s="60" t="str">
        <f t="shared" si="34"/>
        <v>Southbound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11:48:03-0600',mode:absolute,to:'2016-07-26 14:40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0" s="65" t="str">
        <f t="shared" si="36"/>
        <v>N</v>
      </c>
      <c r="X80" s="83">
        <f t="shared" si="37"/>
        <v>1</v>
      </c>
      <c r="Y80" s="80">
        <f t="shared" si="38"/>
        <v>23.2986</v>
      </c>
      <c r="Z80" s="80">
        <f t="shared" si="39"/>
        <v>2.0899999999999998E-2</v>
      </c>
      <c r="AA80" s="80">
        <f t="shared" si="40"/>
        <v>23.277699999999999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41"/>
        <v>0168-26</v>
      </c>
      <c r="AE80" s="66" t="str">
        <f t="shared" si="30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80" s="66" t="str">
        <f t="shared" si="31"/>
        <v>"C:\Program Files (x86)\AstroGrep\AstroGrep.exe" /spath="C:\Users\stu\Documents\Analysis\2016-02-23 RTDC Observations" /stypes="*4017*20160726*" /stext=" 19:.+((SYSTEM_STATE.+slice.+state.+changed )|(ment ac)|(system.+state.+changed )|(\|lc)|(penalty)|(\[timeout)|(PRM\|1\|D))" /e /r /s</v>
      </c>
      <c r="AG80" s="1" t="str">
        <f t="shared" si="42"/>
        <v>EC</v>
      </c>
    </row>
    <row r="81" spans="1:33" x14ac:dyDescent="0.25">
      <c r="A81" s="45" t="s">
        <v>529</v>
      </c>
      <c r="B81" s="7">
        <v>4009</v>
      </c>
      <c r="C81" s="25" t="s">
        <v>248</v>
      </c>
      <c r="D81" s="25" t="s">
        <v>506</v>
      </c>
      <c r="E81" s="16">
        <v>42577.508217592593</v>
      </c>
      <c r="F81" s="16">
        <v>42577.510601851849</v>
      </c>
      <c r="G81" s="7">
        <v>3</v>
      </c>
      <c r="H81" s="16" t="s">
        <v>530</v>
      </c>
      <c r="I81" s="16">
        <v>42577.535740740743</v>
      </c>
      <c r="J81" s="7">
        <v>0</v>
      </c>
      <c r="K81" s="25" t="str">
        <f t="shared" si="28"/>
        <v>4009/4010</v>
      </c>
      <c r="L81" s="25" t="str">
        <f>VLOOKUP(A81,'Trips&amp;Operators'!$C$1:$E$10000,3,FALSE)</f>
        <v>MAYBERRY</v>
      </c>
      <c r="M81" s="6">
        <f t="shared" si="29"/>
        <v>2.513888889370719E-2</v>
      </c>
      <c r="N81" s="7">
        <f t="shared" si="32"/>
        <v>36.200000006938353</v>
      </c>
      <c r="O81" s="7"/>
      <c r="P81" s="7"/>
      <c r="Q81" s="26"/>
      <c r="R81" s="26"/>
      <c r="S81" s="41">
        <f t="shared" si="33"/>
        <v>1</v>
      </c>
      <c r="T81" s="60" t="str">
        <f t="shared" si="34"/>
        <v>NorthBound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11:11:50-0600',mode:absolute,to:'2016-07-26 13:51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1" s="65" t="str">
        <f t="shared" si="36"/>
        <v>N</v>
      </c>
      <c r="X81" s="83">
        <f t="shared" si="37"/>
        <v>1</v>
      </c>
      <c r="Y81" s="80">
        <f t="shared" si="38"/>
        <v>4.3299999999999998E-2</v>
      </c>
      <c r="Z81" s="80">
        <f t="shared" si="39"/>
        <v>23.33</v>
      </c>
      <c r="AA81" s="80">
        <f t="shared" si="40"/>
        <v>23.2867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41"/>
        <v>0169-26</v>
      </c>
      <c r="AE81" s="66" t="str">
        <f t="shared" si="30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81" s="66" t="str">
        <f t="shared" si="31"/>
        <v>"C:\Program Files (x86)\AstroGrep\AstroGrep.exe" /spath="C:\Users\stu\Documents\Analysis\2016-02-23 RTDC Observations" /stypes="*4009*20160726*" /stext=" 18:.+((SYSTEM_STATE.+slice.+state.+changed )|(ment ac)|(system.+state.+changed )|(\|lc)|(penalty)|(\[timeout)|(PRM\|1\|D))" /e /r /s</v>
      </c>
      <c r="AG81" s="1" t="str">
        <f t="shared" si="42"/>
        <v>EC</v>
      </c>
    </row>
    <row r="82" spans="1:33" x14ac:dyDescent="0.25">
      <c r="A82" s="45" t="s">
        <v>429</v>
      </c>
      <c r="B82" s="7">
        <v>4010</v>
      </c>
      <c r="C82" s="25" t="s">
        <v>248</v>
      </c>
      <c r="D82" s="25" t="s">
        <v>531</v>
      </c>
      <c r="E82" s="16">
        <v>42577.539027777777</v>
      </c>
      <c r="F82" s="16">
        <v>42577.540243055555</v>
      </c>
      <c r="G82" s="7">
        <v>1</v>
      </c>
      <c r="H82" s="16" t="s">
        <v>532</v>
      </c>
      <c r="I82" s="16">
        <v>42577.577928240738</v>
      </c>
      <c r="J82" s="7">
        <v>1</v>
      </c>
      <c r="K82" s="25" t="str">
        <f t="shared" si="28"/>
        <v>4009/4010</v>
      </c>
      <c r="L82" s="25" t="str">
        <f>VLOOKUP(A82,'Trips&amp;Operators'!$C$1:$E$10000,3,FALSE)</f>
        <v>MAYBERRY</v>
      </c>
      <c r="M82" s="6">
        <f t="shared" si="29"/>
        <v>3.7685185183363501E-2</v>
      </c>
      <c r="N82" s="7">
        <f t="shared" si="32"/>
        <v>54.266666664043441</v>
      </c>
      <c r="O82" s="7"/>
      <c r="P82" s="7"/>
      <c r="Q82" s="26"/>
      <c r="R82" s="26"/>
      <c r="S82" s="41">
        <f t="shared" si="33"/>
        <v>1</v>
      </c>
      <c r="T82" s="60" t="str">
        <f t="shared" si="34"/>
        <v>Southbound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11:56:12-0600',mode:absolute,to:'2016-07-26 14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2" s="65" t="str">
        <f t="shared" si="36"/>
        <v>N</v>
      </c>
      <c r="X82" s="83">
        <f t="shared" si="37"/>
        <v>1</v>
      </c>
      <c r="Y82" s="80">
        <f t="shared" si="38"/>
        <v>23.297000000000001</v>
      </c>
      <c r="Z82" s="80">
        <f t="shared" si="39"/>
        <v>1.23E-2</v>
      </c>
      <c r="AA82" s="80">
        <f t="shared" si="40"/>
        <v>23.284700000000001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si="41"/>
        <v>0170-26</v>
      </c>
      <c r="AE82" s="66" t="str">
        <f t="shared" si="30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82" s="66" t="str">
        <f t="shared" si="31"/>
        <v>"C:\Program Files (x86)\AstroGrep\AstroGrep.exe" /spath="C:\Users\stu\Documents\Analysis\2016-02-23 RTDC Observations" /stypes="*4010*20160726*" /stext=" 19:.+((SYSTEM_STATE.+slice.+state.+changed )|(ment ac)|(system.+state.+changed )|(\|lc)|(penalty)|(\[timeout)|(PRM\|1\|D))" /e /r /s</v>
      </c>
      <c r="AG82" s="1" t="str">
        <f t="shared" si="42"/>
        <v>EC</v>
      </c>
    </row>
    <row r="83" spans="1:33" x14ac:dyDescent="0.25">
      <c r="A83" s="45" t="s">
        <v>533</v>
      </c>
      <c r="B83" s="7">
        <v>4020</v>
      </c>
      <c r="C83" s="25" t="s">
        <v>248</v>
      </c>
      <c r="D83" s="25" t="s">
        <v>534</v>
      </c>
      <c r="E83" s="16">
        <v>42577.525081018517</v>
      </c>
      <c r="F83" s="16">
        <v>42577.525949074072</v>
      </c>
      <c r="G83" s="7">
        <v>1</v>
      </c>
      <c r="H83" s="16" t="s">
        <v>535</v>
      </c>
      <c r="I83" s="16">
        <v>42577.548726851855</v>
      </c>
      <c r="J83" s="7">
        <v>0</v>
      </c>
      <c r="K83" s="25" t="str">
        <f t="shared" si="28"/>
        <v>4019/4020</v>
      </c>
      <c r="L83" s="25" t="str">
        <f>VLOOKUP(A83,'Trips&amp;Operators'!$C$1:$E$10000,3,FALSE)</f>
        <v>WEBSTER</v>
      </c>
      <c r="M83" s="6">
        <f t="shared" si="29"/>
        <v>2.2777777783630881E-2</v>
      </c>
      <c r="N83" s="7"/>
      <c r="O83" s="7"/>
      <c r="P83" s="7">
        <f>24*60*SUM($M83:$M84)</f>
        <v>35.200000014156103</v>
      </c>
      <c r="Q83" s="26"/>
      <c r="R83" s="26" t="s">
        <v>772</v>
      </c>
      <c r="S83" s="41">
        <f t="shared" si="33"/>
        <v>1</v>
      </c>
      <c r="T83" s="60" t="str">
        <f t="shared" si="34"/>
        <v>NorthBound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11:36:07-0600',mode:absolute,to:'2016-07-26 14:10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83" s="65" t="str">
        <f t="shared" si="36"/>
        <v>Y</v>
      </c>
      <c r="X83" s="83">
        <f t="shared" si="37"/>
        <v>1</v>
      </c>
      <c r="Y83" s="80">
        <f t="shared" si="38"/>
        <v>1.9121999999999999</v>
      </c>
      <c r="Z83" s="80">
        <f t="shared" si="39"/>
        <v>23.330500000000001</v>
      </c>
      <c r="AA83" s="80">
        <f t="shared" si="40"/>
        <v>21.418300000000002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41"/>
        <v>0171-26</v>
      </c>
      <c r="AE83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83" s="66" t="str">
        <f t="shared" si="31"/>
        <v>"C:\Program Files (x86)\AstroGrep\AstroGrep.exe" /spath="C:\Users\stu\Documents\Analysis\2016-02-23 RTDC Observations" /stypes="*4020*20160726*" /stext=" 19:.+((SYSTEM_STATE.+slice.+state.+changed )|(ment ac)|(system.+state.+changed )|(\|lc)|(penalty)|(\[timeout)|(PRM\|1\|D))" /e /r /s</v>
      </c>
      <c r="AG83" s="1" t="str">
        <f t="shared" si="42"/>
        <v>EC</v>
      </c>
    </row>
    <row r="84" spans="1:33" x14ac:dyDescent="0.25">
      <c r="A84" s="45" t="s">
        <v>533</v>
      </c>
      <c r="B84" s="7">
        <v>4020</v>
      </c>
      <c r="C84" s="25" t="s">
        <v>248</v>
      </c>
      <c r="D84" s="25" t="s">
        <v>118</v>
      </c>
      <c r="E84" s="16">
        <v>42577.517777777779</v>
      </c>
      <c r="F84" s="16">
        <v>42577.520312499997</v>
      </c>
      <c r="G84" s="7">
        <v>3</v>
      </c>
      <c r="H84" s="16" t="s">
        <v>511</v>
      </c>
      <c r="I84" s="16">
        <v>42577.521979166668</v>
      </c>
      <c r="J84" s="7">
        <v>0</v>
      </c>
      <c r="K84" s="25" t="str">
        <f t="shared" si="28"/>
        <v>4019/4020</v>
      </c>
      <c r="L84" s="25" t="str">
        <f>VLOOKUP(A84,'Trips&amp;Operators'!$C$1:$E$10000,3,FALSE)</f>
        <v>WEBSTER</v>
      </c>
      <c r="M84" s="6">
        <f t="shared" si="29"/>
        <v>1.6666666706441902E-3</v>
      </c>
      <c r="N84" s="7"/>
      <c r="O84" s="7"/>
      <c r="P84" s="7"/>
      <c r="Q84" s="26"/>
      <c r="R84" s="26"/>
      <c r="S84" s="41">
        <f t="shared" si="33"/>
        <v>0</v>
      </c>
      <c r="T84" s="60" t="str">
        <f t="shared" si="34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0</v>
      </c>
      <c r="V8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11:25:36-0600',mode:absolute,to:'2016-07-26 13:31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84" s="65" t="str">
        <f t="shared" si="36"/>
        <v>Y</v>
      </c>
      <c r="X84" s="83">
        <f t="shared" si="37"/>
        <v>0</v>
      </c>
      <c r="Y84" s="80">
        <f t="shared" si="38"/>
        <v>4.58E-2</v>
      </c>
      <c r="Z84" s="80">
        <f t="shared" si="39"/>
        <v>0.16059999999999999</v>
      </c>
      <c r="AA84" s="80">
        <f t="shared" si="40"/>
        <v>0.11479999999999999</v>
      </c>
      <c r="AB84" s="77" t="e">
        <f>VLOOKUP(A84,Enforcements!$C$7:$J$24,8,0)</f>
        <v>#N/A</v>
      </c>
      <c r="AC84" s="73" t="e">
        <f>VLOOKUP(A84,Enforcements!$C$7:$E$24,3,0)</f>
        <v>#N/A</v>
      </c>
      <c r="AD84" s="74" t="str">
        <f t="shared" si="41"/>
        <v>0171-26</v>
      </c>
      <c r="AE84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84" s="66" t="str">
        <f t="shared" si="31"/>
        <v>"C:\Program Files (x86)\AstroGrep\AstroGrep.exe" /spath="C:\Users\stu\Documents\Analysis\2016-02-23 RTDC Observations" /stypes="*4020*20160726*" /stext=" 18:.+((SYSTEM_STATE.+slice.+state.+changed )|(ment ac)|(system.+state.+changed )|(\|lc)|(penalty)|(\[timeout)|(PRM\|1\|D))" /e /r /s</v>
      </c>
      <c r="AG84" s="1" t="str">
        <f t="shared" si="42"/>
        <v>EC</v>
      </c>
    </row>
    <row r="85" spans="1:33" x14ac:dyDescent="0.25">
      <c r="A85" s="45" t="s">
        <v>432</v>
      </c>
      <c r="B85" s="7">
        <v>4019</v>
      </c>
      <c r="C85" s="25" t="s">
        <v>248</v>
      </c>
      <c r="D85" s="25" t="s">
        <v>144</v>
      </c>
      <c r="E85" s="16">
        <v>42577.556041666663</v>
      </c>
      <c r="F85" s="16">
        <v>42577.557280092595</v>
      </c>
      <c r="G85" s="7">
        <v>1</v>
      </c>
      <c r="H85" s="16" t="s">
        <v>297</v>
      </c>
      <c r="I85" s="16">
        <v>42577.587071759262</v>
      </c>
      <c r="J85" s="7">
        <v>1</v>
      </c>
      <c r="K85" s="25" t="str">
        <f t="shared" si="28"/>
        <v>4019/4020</v>
      </c>
      <c r="L85" s="25" t="str">
        <f>VLOOKUP(A85,'Trips&amp;Operators'!$C$1:$E$10000,3,FALSE)</f>
        <v>WEBSTER</v>
      </c>
      <c r="M85" s="6">
        <f t="shared" si="29"/>
        <v>2.9791666667733807E-2</v>
      </c>
      <c r="N85" s="7">
        <f t="shared" si="32"/>
        <v>42.900000001536682</v>
      </c>
      <c r="O85" s="7"/>
      <c r="P85" s="7"/>
      <c r="Q85" s="26"/>
      <c r="R85" s="26"/>
      <c r="S85" s="41">
        <f t="shared" si="33"/>
        <v>1</v>
      </c>
      <c r="T85" s="60" t="str">
        <f t="shared" si="34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12:20:42-0600',mode:absolute,to:'2016-07-26 15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85" s="65" t="str">
        <f t="shared" si="36"/>
        <v>N</v>
      </c>
      <c r="X85" s="83">
        <f t="shared" si="37"/>
        <v>1</v>
      </c>
      <c r="Y85" s="80">
        <f t="shared" si="38"/>
        <v>23.298200000000001</v>
      </c>
      <c r="Z85" s="80">
        <f t="shared" si="39"/>
        <v>1.3599999999999999E-2</v>
      </c>
      <c r="AA85" s="80">
        <f t="shared" si="40"/>
        <v>23.284600000000001</v>
      </c>
      <c r="AB85" s="77">
        <f>VLOOKUP(A85,Enforcements!$C$7:$J$24,8,0)</f>
        <v>63309</v>
      </c>
      <c r="AC85" s="73" t="str">
        <f>VLOOKUP(A85,Enforcements!$C$7:$E$24,3,0)</f>
        <v>GRADE CROSSING</v>
      </c>
      <c r="AD85" s="74" t="str">
        <f t="shared" si="41"/>
        <v>0172-26</v>
      </c>
      <c r="AE85" s="66" t="str">
        <f t="shared" si="30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85" s="66" t="str">
        <f t="shared" si="31"/>
        <v>"C:\Program Files (x86)\AstroGrep\AstroGrep.exe" /spath="C:\Users\stu\Documents\Analysis\2016-02-23 RTDC Observations" /stypes="*4019*20160726*" /stext=" 20:.+((SYSTEM_STATE.+slice.+state.+changed )|(ment ac)|(system.+state.+changed )|(\|lc)|(penalty)|(\[timeout)|(PRM\|1\|D))" /e /r /s</v>
      </c>
      <c r="AG85" s="1" t="str">
        <f t="shared" si="42"/>
        <v>EC</v>
      </c>
    </row>
    <row r="86" spans="1:33" x14ac:dyDescent="0.25">
      <c r="A86" s="45" t="s">
        <v>536</v>
      </c>
      <c r="B86" s="7">
        <v>4029</v>
      </c>
      <c r="C86" s="25" t="s">
        <v>248</v>
      </c>
      <c r="D86" s="25" t="s">
        <v>537</v>
      </c>
      <c r="E86" s="16">
        <v>42577.527025462965</v>
      </c>
      <c r="F86" s="16">
        <v>42577.528055555558</v>
      </c>
      <c r="G86" s="7">
        <v>1</v>
      </c>
      <c r="H86" s="16" t="s">
        <v>538</v>
      </c>
      <c r="I86" s="16">
        <v>42577.557210648149</v>
      </c>
      <c r="J86" s="7">
        <v>0</v>
      </c>
      <c r="K86" s="25" t="str">
        <f t="shared" si="28"/>
        <v>4029/4030</v>
      </c>
      <c r="L86" s="25" t="str">
        <f>VLOOKUP(A86,'Trips&amp;Operators'!$C$1:$E$10000,3,FALSE)</f>
        <v>BARTLETT</v>
      </c>
      <c r="M86" s="6">
        <f t="shared" si="29"/>
        <v>2.9155092590372078E-2</v>
      </c>
      <c r="N86" s="7">
        <f t="shared" si="32"/>
        <v>41.983333330135792</v>
      </c>
      <c r="O86" s="7"/>
      <c r="P86" s="7"/>
      <c r="Q86" s="26"/>
      <c r="R86" s="26"/>
      <c r="S86" s="41">
        <f t="shared" si="33"/>
        <v>1</v>
      </c>
      <c r="T86" s="60" t="str">
        <f t="shared" si="34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11:38:55-0600',mode:absolute,to:'2016-07-26 14:22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6" s="65" t="str">
        <f t="shared" si="36"/>
        <v>N</v>
      </c>
      <c r="X86" s="83">
        <f t="shared" si="37"/>
        <v>1</v>
      </c>
      <c r="Y86" s="80">
        <f t="shared" si="38"/>
        <v>5.4800000000000001E-2</v>
      </c>
      <c r="Z86" s="80">
        <f t="shared" si="39"/>
        <v>23.331</v>
      </c>
      <c r="AA86" s="80">
        <f t="shared" si="40"/>
        <v>23.276199999999999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41"/>
        <v>0173-26</v>
      </c>
      <c r="AE86" s="66" t="str">
        <f t="shared" si="30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86" s="66" t="str">
        <f t="shared" si="31"/>
        <v>"C:\Program Files (x86)\AstroGrep\AstroGrep.exe" /spath="C:\Users\stu\Documents\Analysis\2016-02-23 RTDC Observations" /stypes="*4029*20160726*" /stext=" 19:.+((SYSTEM_STATE.+slice.+state.+changed )|(ment ac)|(system.+state.+changed )|(\|lc)|(penalty)|(\[timeout)|(PRM\|1\|D))" /e /r /s</v>
      </c>
      <c r="AG86" s="1" t="str">
        <f t="shared" si="42"/>
        <v>EC</v>
      </c>
    </row>
    <row r="87" spans="1:33" x14ac:dyDescent="0.25">
      <c r="A87" s="45" t="s">
        <v>539</v>
      </c>
      <c r="B87" s="7">
        <v>4030</v>
      </c>
      <c r="C87" s="25" t="s">
        <v>248</v>
      </c>
      <c r="D87" s="25" t="s">
        <v>463</v>
      </c>
      <c r="E87" s="16">
        <v>42577.566134259258</v>
      </c>
      <c r="F87" s="16">
        <v>42577.567199074074</v>
      </c>
      <c r="G87" s="7">
        <v>1</v>
      </c>
      <c r="H87" s="16" t="s">
        <v>540</v>
      </c>
      <c r="I87" s="16">
        <v>42577.598229166666</v>
      </c>
      <c r="J87" s="7">
        <v>0</v>
      </c>
      <c r="K87" s="25" t="str">
        <f t="shared" si="28"/>
        <v>4029/4030</v>
      </c>
      <c r="L87" s="25" t="str">
        <f>VLOOKUP(A87,'Trips&amp;Operators'!$C$1:$E$10000,3,FALSE)</f>
        <v>BARTLETT</v>
      </c>
      <c r="M87" s="6">
        <f t="shared" si="29"/>
        <v>3.1030092592118308E-2</v>
      </c>
      <c r="N87" s="7">
        <f t="shared" si="32"/>
        <v>44.683333332650363</v>
      </c>
      <c r="O87" s="7"/>
      <c r="P87" s="7"/>
      <c r="Q87" s="26"/>
      <c r="R87" s="26"/>
      <c r="S87" s="41">
        <f t="shared" si="33"/>
        <v>1</v>
      </c>
      <c r="T87" s="60" t="str">
        <f t="shared" si="34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12:35:14-0600',mode:absolute,to:'2016-07-26 15:21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7" s="65" t="str">
        <f t="shared" si="36"/>
        <v>N</v>
      </c>
      <c r="X87" s="83">
        <f t="shared" si="37"/>
        <v>1</v>
      </c>
      <c r="Y87" s="80">
        <f t="shared" si="38"/>
        <v>23.299600000000002</v>
      </c>
      <c r="Z87" s="80">
        <f t="shared" si="39"/>
        <v>3.95E-2</v>
      </c>
      <c r="AA87" s="80">
        <f t="shared" si="40"/>
        <v>23.260100000000001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41"/>
        <v>0174-26</v>
      </c>
      <c r="AE87" s="66" t="str">
        <f t="shared" si="30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87" s="66" t="str">
        <f t="shared" si="31"/>
        <v>"C:\Program Files (x86)\AstroGrep\AstroGrep.exe" /spath="C:\Users\stu\Documents\Analysis\2016-02-23 RTDC Observations" /stypes="*4030*20160726*" /stext=" 20:.+((SYSTEM_STATE.+slice.+state.+changed )|(ment ac)|(system.+state.+changed )|(\|lc)|(penalty)|(\[timeout)|(PRM\|1\|D))" /e /r /s</v>
      </c>
      <c r="AG87" s="1" t="str">
        <f t="shared" si="42"/>
        <v>EC</v>
      </c>
    </row>
    <row r="88" spans="1:33" x14ac:dyDescent="0.25">
      <c r="A88" s="45" t="s">
        <v>541</v>
      </c>
      <c r="B88" s="7">
        <v>4025</v>
      </c>
      <c r="C88" s="25" t="s">
        <v>248</v>
      </c>
      <c r="D88" s="25" t="s">
        <v>542</v>
      </c>
      <c r="E88" s="16">
        <v>42577.54047453704</v>
      </c>
      <c r="F88" s="16">
        <v>42577.541550925926</v>
      </c>
      <c r="G88" s="7">
        <v>1</v>
      </c>
      <c r="H88" s="16" t="s">
        <v>543</v>
      </c>
      <c r="I88" s="16">
        <v>42577.574363425927</v>
      </c>
      <c r="J88" s="7">
        <v>0</v>
      </c>
      <c r="K88" s="25" t="str">
        <f t="shared" si="28"/>
        <v>4025/4026</v>
      </c>
      <c r="L88" s="25" t="str">
        <f>VLOOKUP(A88,'Trips&amp;Operators'!$C$1:$E$10000,3,FALSE)</f>
        <v>STEWART</v>
      </c>
      <c r="M88" s="6">
        <f t="shared" si="29"/>
        <v>3.2812500001455192E-2</v>
      </c>
      <c r="N88" s="7">
        <f t="shared" si="32"/>
        <v>47.250000002095476</v>
      </c>
      <c r="O88" s="7"/>
      <c r="P88" s="7"/>
      <c r="Q88" s="26"/>
      <c r="R88" s="26"/>
      <c r="S88" s="41">
        <f t="shared" si="33"/>
        <v>1</v>
      </c>
      <c r="T88" s="60" t="str">
        <f t="shared" si="34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11:58:17-0600',mode:absolute,to:'2016-07-26 14:47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88" s="65" t="str">
        <f t="shared" si="36"/>
        <v>N</v>
      </c>
      <c r="X88" s="83">
        <f t="shared" si="37"/>
        <v>1</v>
      </c>
      <c r="Y88" s="80">
        <f t="shared" si="38"/>
        <v>5.0799999999999998E-2</v>
      </c>
      <c r="Z88" s="80">
        <f t="shared" si="39"/>
        <v>23.326799999999999</v>
      </c>
      <c r="AA88" s="80">
        <f t="shared" si="40"/>
        <v>23.276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41"/>
        <v>0175-26</v>
      </c>
      <c r="AE88" s="66" t="str">
        <f t="shared" si="30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88" s="66" t="str">
        <f t="shared" si="31"/>
        <v>"C:\Program Files (x86)\AstroGrep\AstroGrep.exe" /spath="C:\Users\stu\Documents\Analysis\2016-02-23 RTDC Observations" /stypes="*4025*20160726*" /stext=" 19:.+((SYSTEM_STATE.+slice.+state.+changed )|(ment ac)|(system.+state.+changed )|(\|lc)|(penalty)|(\[timeout)|(PRM\|1\|D))" /e /r /s</v>
      </c>
      <c r="AG88" s="1" t="str">
        <f t="shared" si="42"/>
        <v>EC</v>
      </c>
    </row>
    <row r="89" spans="1:33" x14ac:dyDescent="0.25">
      <c r="A89" s="45" t="s">
        <v>544</v>
      </c>
      <c r="B89" s="7">
        <v>4026</v>
      </c>
      <c r="C89" s="25" t="s">
        <v>248</v>
      </c>
      <c r="D89" s="25" t="s">
        <v>309</v>
      </c>
      <c r="E89" s="16">
        <v>42577.577361111114</v>
      </c>
      <c r="F89" s="16">
        <v>42577.578402777777</v>
      </c>
      <c r="G89" s="7">
        <v>1</v>
      </c>
      <c r="H89" s="16" t="s">
        <v>238</v>
      </c>
      <c r="I89" s="16">
        <v>42577.610115740739</v>
      </c>
      <c r="J89" s="7">
        <v>0</v>
      </c>
      <c r="K89" s="25" t="str">
        <f t="shared" si="28"/>
        <v>4025/4026</v>
      </c>
      <c r="L89" s="25" t="str">
        <f>VLOOKUP(A89,'Trips&amp;Operators'!$C$1:$E$10000,3,FALSE)</f>
        <v>STEWART</v>
      </c>
      <c r="M89" s="6">
        <f t="shared" si="29"/>
        <v>3.1712962962046731E-2</v>
      </c>
      <c r="N89" s="7">
        <f t="shared" si="32"/>
        <v>45.666666665347293</v>
      </c>
      <c r="O89" s="7"/>
      <c r="P89" s="7"/>
      <c r="Q89" s="26"/>
      <c r="R89" s="26"/>
      <c r="S89" s="41">
        <f t="shared" si="33"/>
        <v>1</v>
      </c>
      <c r="T89" s="60" t="str">
        <f t="shared" si="34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12:51:24-0600',mode:absolute,to:'2016-07-26 15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89" s="65" t="str">
        <f t="shared" si="36"/>
        <v>N</v>
      </c>
      <c r="X89" s="83">
        <f t="shared" si="37"/>
        <v>1</v>
      </c>
      <c r="Y89" s="80">
        <f t="shared" si="38"/>
        <v>23.296500000000002</v>
      </c>
      <c r="Z89" s="80">
        <f t="shared" si="39"/>
        <v>1.5800000000000002E-2</v>
      </c>
      <c r="AA89" s="80">
        <f t="shared" si="40"/>
        <v>23.280700000000003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41"/>
        <v>0176-26</v>
      </c>
      <c r="AE89" s="66" t="str">
        <f t="shared" si="30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89" s="66" t="str">
        <f t="shared" si="31"/>
        <v>"C:\Program Files (x86)\AstroGrep\AstroGrep.exe" /spath="C:\Users\stu\Documents\Analysis\2016-02-23 RTDC Observations" /stypes="*4026*20160726*" /stext=" 20:.+((SYSTEM_STATE.+slice.+state.+changed )|(ment ac)|(system.+state.+changed )|(\|lc)|(penalty)|(\[timeout)|(PRM\|1\|D))" /e /r /s</v>
      </c>
      <c r="AG89" s="1" t="str">
        <f t="shared" si="42"/>
        <v>EC</v>
      </c>
    </row>
    <row r="90" spans="1:33" x14ac:dyDescent="0.25">
      <c r="A90" s="45" t="s">
        <v>545</v>
      </c>
      <c r="B90" s="7">
        <v>4042</v>
      </c>
      <c r="C90" s="25" t="s">
        <v>248</v>
      </c>
      <c r="D90" s="25" t="s">
        <v>141</v>
      </c>
      <c r="E90" s="16">
        <v>42577.549826388888</v>
      </c>
      <c r="F90" s="16">
        <v>42577.55091435185</v>
      </c>
      <c r="G90" s="7">
        <v>1</v>
      </c>
      <c r="H90" s="16" t="s">
        <v>523</v>
      </c>
      <c r="I90" s="16">
        <v>42577.576990740738</v>
      </c>
      <c r="J90" s="7">
        <v>0</v>
      </c>
      <c r="K90" s="25" t="str">
        <f t="shared" si="28"/>
        <v>4041/4042</v>
      </c>
      <c r="L90" s="25" t="str">
        <f>VLOOKUP(A90,'Trips&amp;Operators'!$C$1:$E$10000,3,FALSE)</f>
        <v>LOCKLEAR</v>
      </c>
      <c r="M90" s="6">
        <f t="shared" si="29"/>
        <v>2.6076388887304347E-2</v>
      </c>
      <c r="N90" s="7">
        <f t="shared" si="32"/>
        <v>37.54999999771826</v>
      </c>
      <c r="O90" s="7"/>
      <c r="P90" s="7"/>
      <c r="Q90" s="26"/>
      <c r="R90" s="26"/>
      <c r="S90" s="41">
        <f t="shared" si="33"/>
        <v>1</v>
      </c>
      <c r="T90" s="60" t="str">
        <f t="shared" si="34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12:11:45-0600',mode:absolute,to:'2016-07-26 14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90" s="65" t="str">
        <f t="shared" si="36"/>
        <v>N</v>
      </c>
      <c r="X90" s="83">
        <f t="shared" si="37"/>
        <v>1</v>
      </c>
      <c r="Y90" s="80">
        <f t="shared" si="38"/>
        <v>4.6399999999999997E-2</v>
      </c>
      <c r="Z90" s="80">
        <f t="shared" si="39"/>
        <v>23.333400000000001</v>
      </c>
      <c r="AA90" s="80">
        <f t="shared" si="40"/>
        <v>23.287000000000003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41"/>
        <v>0177-26</v>
      </c>
      <c r="AE90" s="66" t="str">
        <f t="shared" si="30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90" s="66" t="str">
        <f t="shared" si="31"/>
        <v>"C:\Program Files (x86)\AstroGrep\AstroGrep.exe" /spath="C:\Users\stu\Documents\Analysis\2016-02-23 RTDC Observations" /stypes="*4042*20160726*" /stext=" 19:.+((SYSTEM_STATE.+slice.+state.+changed )|(ment ac)|(system.+state.+changed )|(\|lc)|(penalty)|(\[timeout)|(PRM\|1\|D))" /e /r /s</v>
      </c>
      <c r="AG90" s="1" t="str">
        <f t="shared" si="42"/>
        <v>EC</v>
      </c>
    </row>
    <row r="91" spans="1:33" x14ac:dyDescent="0.25">
      <c r="A91" s="45" t="s">
        <v>435</v>
      </c>
      <c r="B91" s="7">
        <v>4041</v>
      </c>
      <c r="C91" s="25" t="s">
        <v>248</v>
      </c>
      <c r="D91" s="25" t="s">
        <v>306</v>
      </c>
      <c r="E91" s="16">
        <v>42577.587685185186</v>
      </c>
      <c r="F91" s="16">
        <v>42577.588888888888</v>
      </c>
      <c r="G91" s="7">
        <v>1</v>
      </c>
      <c r="H91" s="16" t="s">
        <v>237</v>
      </c>
      <c r="I91" s="16">
        <v>42577.620416666665</v>
      </c>
      <c r="J91" s="7">
        <v>2</v>
      </c>
      <c r="K91" s="25" t="str">
        <f t="shared" si="28"/>
        <v>4041/4042</v>
      </c>
      <c r="L91" s="25" t="str">
        <f>VLOOKUP(A91,'Trips&amp;Operators'!$C$1:$E$10000,3,FALSE)</f>
        <v>LOCKLEAR</v>
      </c>
      <c r="M91" s="6">
        <f t="shared" si="29"/>
        <v>3.1527777777228039E-2</v>
      </c>
      <c r="N91" s="7">
        <f t="shared" si="32"/>
        <v>45.399999999208376</v>
      </c>
      <c r="O91" s="7"/>
      <c r="P91" s="7"/>
      <c r="Q91" s="26"/>
      <c r="R91" s="26"/>
      <c r="S91" s="41">
        <f t="shared" si="33"/>
        <v>1</v>
      </c>
      <c r="T91" s="60" t="str">
        <f t="shared" si="34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91" s="65" t="str">
        <f t="shared" si="36"/>
        <v>N</v>
      </c>
      <c r="X91" s="83">
        <f t="shared" si="37"/>
        <v>1</v>
      </c>
      <c r="Y91" s="80">
        <f t="shared" si="38"/>
        <v>23.301500000000001</v>
      </c>
      <c r="Z91" s="80">
        <f t="shared" si="39"/>
        <v>1.49E-2</v>
      </c>
      <c r="AA91" s="80">
        <f t="shared" si="40"/>
        <v>23.2866</v>
      </c>
      <c r="AB91" s="77">
        <f>VLOOKUP(A91,Enforcements!$C$7:$J$24,8,0)</f>
        <v>37462</v>
      </c>
      <c r="AC91" s="73" t="str">
        <f>VLOOKUP(A91,Enforcements!$C$7:$E$24,3,0)</f>
        <v>GRADE CROSSING</v>
      </c>
      <c r="AD91" s="74" t="str">
        <f t="shared" si="41"/>
        <v>0178-26</v>
      </c>
      <c r="AE91" s="66" t="str">
        <f t="shared" si="30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91" s="66" t="str">
        <f t="shared" si="31"/>
        <v>"C:\Program Files (x86)\AstroGrep\AstroGrep.exe" /spath="C:\Users\stu\Documents\Analysis\2016-02-23 RTDC Observations" /stypes="*4041*20160726*" /stext=" 20:.+((SYSTEM_STATE.+slice.+state.+changed )|(ment ac)|(system.+state.+changed )|(\|lc)|(penalty)|(\[timeout)|(PRM\|1\|D))" /e /r /s</v>
      </c>
      <c r="AG91" s="1" t="str">
        <f t="shared" si="42"/>
        <v>EC</v>
      </c>
    </row>
    <row r="92" spans="1:33" x14ac:dyDescent="0.25">
      <c r="A92" s="45" t="s">
        <v>431</v>
      </c>
      <c r="B92" s="7">
        <v>4031</v>
      </c>
      <c r="C92" s="25" t="s">
        <v>248</v>
      </c>
      <c r="D92" s="25" t="s">
        <v>546</v>
      </c>
      <c r="E92" s="16">
        <v>42577.570023148146</v>
      </c>
      <c r="F92" s="16">
        <v>42577.570543981485</v>
      </c>
      <c r="G92" s="7">
        <v>0</v>
      </c>
      <c r="H92" s="16" t="s">
        <v>547</v>
      </c>
      <c r="I92" s="16">
        <v>42577.59516203704</v>
      </c>
      <c r="J92" s="7">
        <v>0</v>
      </c>
      <c r="K92" s="25" t="str">
        <f t="shared" si="28"/>
        <v>4031/4032</v>
      </c>
      <c r="L92" s="25" t="str">
        <f>VLOOKUP(A92,'Trips&amp;Operators'!$C$1:$E$10000,3,FALSE)</f>
        <v>BONDS</v>
      </c>
      <c r="M92" s="6">
        <f t="shared" si="29"/>
        <v>2.4618055555038154E-2</v>
      </c>
      <c r="N92" s="7"/>
      <c r="O92" s="7"/>
      <c r="P92" s="7">
        <f>24*60*SUM($M92:$M94)</f>
        <v>44.733333333861083</v>
      </c>
      <c r="Q92" s="26"/>
      <c r="R92" s="26" t="s">
        <v>772</v>
      </c>
      <c r="S92" s="41">
        <f t="shared" si="33"/>
        <v>1</v>
      </c>
      <c r="T92" s="60" t="str">
        <f t="shared" si="34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12:40:50-0600',mode:absolute,to:'2016-07-26 15:17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2" s="65" t="str">
        <f t="shared" si="36"/>
        <v>Y</v>
      </c>
      <c r="X92" s="83">
        <f t="shared" si="37"/>
        <v>1</v>
      </c>
      <c r="Y92" s="80">
        <f t="shared" si="38"/>
        <v>1.9152</v>
      </c>
      <c r="Z92" s="80">
        <f t="shared" si="39"/>
        <v>23.3339</v>
      </c>
      <c r="AA92" s="80">
        <f t="shared" si="40"/>
        <v>21.418700000000001</v>
      </c>
      <c r="AB92" s="77">
        <f>VLOOKUP(A92,Enforcements!$C$7:$J$24,8,0)</f>
        <v>2789</v>
      </c>
      <c r="AC92" s="73" t="str">
        <f>VLOOKUP(A92,Enforcements!$C$7:$E$24,3,0)</f>
        <v>SIGNAL</v>
      </c>
      <c r="AD92" s="74" t="str">
        <f t="shared" si="41"/>
        <v>0179-26</v>
      </c>
      <c r="AE92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2" s="66" t="str">
        <f t="shared" si="31"/>
        <v>"C:\Program Files (x86)\AstroGrep\AstroGrep.exe" /spath="C:\Users\stu\Documents\Analysis\2016-02-23 RTDC Observations" /stypes="*4031*20160726*" /stext=" 20:.+((SYSTEM_STATE.+slice.+state.+changed )|(ment ac)|(system.+state.+changed )|(\|lc)|(penalty)|(\[timeout)|(PRM\|1\|D))" /e /r /s</v>
      </c>
      <c r="AG92" s="1" t="str">
        <f t="shared" si="42"/>
        <v>EC</v>
      </c>
    </row>
    <row r="93" spans="1:33" x14ac:dyDescent="0.25">
      <c r="A93" s="45" t="s">
        <v>431</v>
      </c>
      <c r="B93" s="7">
        <v>4031</v>
      </c>
      <c r="C93" s="25" t="s">
        <v>248</v>
      </c>
      <c r="D93" s="25" t="s">
        <v>315</v>
      </c>
      <c r="E93" s="16">
        <v>42577.557673611111</v>
      </c>
      <c r="F93" s="16">
        <v>42577.558703703704</v>
      </c>
      <c r="G93" s="7">
        <v>1</v>
      </c>
      <c r="H93" s="16" t="s">
        <v>548</v>
      </c>
      <c r="I93" s="16">
        <v>42577.562939814816</v>
      </c>
      <c r="J93" s="7">
        <v>0</v>
      </c>
      <c r="K93" s="25" t="str">
        <f t="shared" si="28"/>
        <v>4031/4032</v>
      </c>
      <c r="L93" s="25" t="str">
        <f>VLOOKUP(A93,'Trips&amp;Operators'!$C$1:$E$10000,3,FALSE)</f>
        <v>BONDS</v>
      </c>
      <c r="M93" s="6">
        <f t="shared" si="29"/>
        <v>4.2361111118225381E-3</v>
      </c>
      <c r="N93" s="7"/>
      <c r="O93" s="7"/>
      <c r="P93" s="7"/>
      <c r="Q93" s="26"/>
      <c r="R93" s="26"/>
      <c r="S93" s="41">
        <f t="shared" si="33"/>
        <v>0</v>
      </c>
      <c r="T93" s="60" t="str">
        <f t="shared" si="34"/>
        <v>NorthBound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0</v>
      </c>
      <c r="V9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12:23:03-0600',mode:absolute,to:'2016-07-26 14:30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3" s="65" t="str">
        <f t="shared" si="36"/>
        <v>Y</v>
      </c>
      <c r="X93" s="83">
        <f t="shared" si="37"/>
        <v>0</v>
      </c>
      <c r="Y93" s="80">
        <f t="shared" si="38"/>
        <v>4.4200000000000003E-2</v>
      </c>
      <c r="Z93" s="80">
        <f t="shared" si="39"/>
        <v>0.1071</v>
      </c>
      <c r="AA93" s="80">
        <f t="shared" si="40"/>
        <v>6.2899999999999998E-2</v>
      </c>
      <c r="AB93" s="77">
        <f>VLOOKUP(A93,Enforcements!$C$7:$J$24,8,0)</f>
        <v>2789</v>
      </c>
      <c r="AC93" s="73" t="str">
        <f>VLOOKUP(A93,Enforcements!$C$7:$E$24,3,0)</f>
        <v>SIGNAL</v>
      </c>
      <c r="AD93" s="74" t="str">
        <f t="shared" si="41"/>
        <v>0179-26</v>
      </c>
      <c r="AE93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3" s="66" t="str">
        <f t="shared" si="31"/>
        <v>"C:\Program Files (x86)\AstroGrep\AstroGrep.exe" /spath="C:\Users\stu\Documents\Analysis\2016-02-23 RTDC Observations" /stypes="*4031*20160726*" /stext=" 19:.+((SYSTEM_STATE.+slice.+state.+changed )|(ment ac)|(system.+state.+changed )|(\|lc)|(penalty)|(\[timeout)|(PRM\|1\|D))" /e /r /s</v>
      </c>
      <c r="AG93" s="1" t="str">
        <f t="shared" si="42"/>
        <v>EC</v>
      </c>
    </row>
    <row r="94" spans="1:33" x14ac:dyDescent="0.25">
      <c r="A94" s="45" t="s">
        <v>431</v>
      </c>
      <c r="B94" s="7">
        <v>4031</v>
      </c>
      <c r="C94" s="25" t="s">
        <v>248</v>
      </c>
      <c r="D94" s="25" t="s">
        <v>549</v>
      </c>
      <c r="E94" s="16">
        <v>42577.565196759257</v>
      </c>
      <c r="F94" s="16">
        <v>42577.565787037034</v>
      </c>
      <c r="G94" s="7">
        <v>0</v>
      </c>
      <c r="H94" s="16" t="s">
        <v>550</v>
      </c>
      <c r="I94" s="16">
        <v>42577.567997685182</v>
      </c>
      <c r="J94" s="7">
        <v>1</v>
      </c>
      <c r="K94" s="25" t="str">
        <f t="shared" si="28"/>
        <v>4031/4032</v>
      </c>
      <c r="L94" s="25" t="str">
        <f>VLOOKUP(A94,'Trips&amp;Operators'!$C$1:$E$10000,3,FALSE)</f>
        <v>BONDS</v>
      </c>
      <c r="M94" s="6">
        <f t="shared" si="29"/>
        <v>2.2106481483206153E-3</v>
      </c>
      <c r="N94" s="7"/>
      <c r="O94" s="7"/>
      <c r="P94" s="7"/>
      <c r="Q94" s="26"/>
      <c r="R94" s="26"/>
      <c r="S94" s="41">
        <f t="shared" si="33"/>
        <v>0</v>
      </c>
      <c r="T94" s="60" t="str">
        <f t="shared" si="34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0</v>
      </c>
      <c r="V9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12:33:53-0600',mode:absolute,to:'2016-07-26 14:37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94" s="65" t="str">
        <f t="shared" si="36"/>
        <v>Y</v>
      </c>
      <c r="X94" s="83">
        <f t="shared" si="37"/>
        <v>0</v>
      </c>
      <c r="Y94" s="80">
        <f t="shared" si="38"/>
        <v>0.64759999999999995</v>
      </c>
      <c r="Z94" s="80">
        <f t="shared" si="39"/>
        <v>0.76749999999999996</v>
      </c>
      <c r="AA94" s="80">
        <f t="shared" si="40"/>
        <v>0.11990000000000001</v>
      </c>
      <c r="AB94" s="77">
        <f>VLOOKUP(A94,Enforcements!$C$7:$J$24,8,0)</f>
        <v>2789</v>
      </c>
      <c r="AC94" s="73" t="str">
        <f>VLOOKUP(A94,Enforcements!$C$7:$E$24,3,0)</f>
        <v>SIGNAL</v>
      </c>
      <c r="AD94" s="74" t="str">
        <f t="shared" si="41"/>
        <v>0179-26</v>
      </c>
      <c r="AE94" s="66" t="str">
        <f t="shared" si="30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94" s="66" t="str">
        <f t="shared" si="31"/>
        <v>"C:\Program Files (x86)\AstroGrep\AstroGrep.exe" /spath="C:\Users\stu\Documents\Analysis\2016-02-23 RTDC Observations" /stypes="*4031*20160726*" /stext=" 19:.+((SYSTEM_STATE.+slice.+state.+changed )|(ment ac)|(system.+state.+changed )|(\|lc)|(penalty)|(\[timeout)|(PRM\|1\|D))" /e /r /s</v>
      </c>
      <c r="AG94" s="1" t="str">
        <f t="shared" si="42"/>
        <v>EC</v>
      </c>
    </row>
    <row r="95" spans="1:33" x14ac:dyDescent="0.25">
      <c r="A95" s="45" t="s">
        <v>436</v>
      </c>
      <c r="B95" s="7">
        <v>4032</v>
      </c>
      <c r="C95" s="25" t="s">
        <v>248</v>
      </c>
      <c r="D95" s="25" t="s">
        <v>483</v>
      </c>
      <c r="E95" s="16">
        <v>42577.598900462966</v>
      </c>
      <c r="F95" s="16">
        <v>42577.599594907406</v>
      </c>
      <c r="G95" s="7">
        <v>1</v>
      </c>
      <c r="H95" s="16" t="s">
        <v>551</v>
      </c>
      <c r="I95" s="16">
        <v>42577.630104166667</v>
      </c>
      <c r="J95" s="7">
        <v>1</v>
      </c>
      <c r="K95" s="25" t="str">
        <f t="shared" si="28"/>
        <v>4031/4032</v>
      </c>
      <c r="L95" s="25" t="str">
        <f>VLOOKUP(A95,'Trips&amp;Operators'!$C$1:$E$10000,3,FALSE)</f>
        <v>BONDS</v>
      </c>
      <c r="M95" s="6">
        <f t="shared" si="29"/>
        <v>3.050925926072523E-2</v>
      </c>
      <c r="N95" s="7">
        <f t="shared" si="32"/>
        <v>43.933333335444331</v>
      </c>
      <c r="O95" s="7"/>
      <c r="P95" s="7"/>
      <c r="Q95" s="26"/>
      <c r="R95" s="26"/>
      <c r="S95" s="41">
        <f t="shared" si="33"/>
        <v>1</v>
      </c>
      <c r="T95" s="60" t="str">
        <f t="shared" si="34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13:22:25-0600',mode:absolute,to:'2016-07-26 16:07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95" s="65" t="str">
        <f t="shared" si="36"/>
        <v>N</v>
      </c>
      <c r="X95" s="83">
        <f t="shared" si="37"/>
        <v>1</v>
      </c>
      <c r="Y95" s="80">
        <f t="shared" si="38"/>
        <v>23.3005</v>
      </c>
      <c r="Z95" s="80">
        <f t="shared" si="39"/>
        <v>1.2999999999999999E-2</v>
      </c>
      <c r="AA95" s="80">
        <f t="shared" si="40"/>
        <v>23.287499999999998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41"/>
        <v>0180-26</v>
      </c>
      <c r="AE95" s="66" t="str">
        <f t="shared" si="30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95" s="66" t="str">
        <f t="shared" si="31"/>
        <v>"C:\Program Files (x86)\AstroGrep\AstroGrep.exe" /spath="C:\Users\stu\Documents\Analysis\2016-02-23 RTDC Observations" /stypes="*4032*20160726*" /stext=" 21:.+((SYSTEM_STATE.+slice.+state.+changed )|(ment ac)|(system.+state.+changed )|(\|lc)|(penalty)|(\[timeout)|(PRM\|1\|D))" /e /r /s</v>
      </c>
      <c r="AG95" s="1" t="str">
        <f t="shared" si="42"/>
        <v>EC</v>
      </c>
    </row>
    <row r="96" spans="1:33" x14ac:dyDescent="0.25">
      <c r="A96" s="45" t="s">
        <v>552</v>
      </c>
      <c r="B96" s="7">
        <v>4018</v>
      </c>
      <c r="C96" s="25" t="s">
        <v>248</v>
      </c>
      <c r="D96" s="25" t="s">
        <v>553</v>
      </c>
      <c r="E96" s="16">
        <v>42577.572268518517</v>
      </c>
      <c r="F96" s="16">
        <v>42577.57340277778</v>
      </c>
      <c r="G96" s="7">
        <v>1</v>
      </c>
      <c r="H96" s="16" t="s">
        <v>308</v>
      </c>
      <c r="I96" s="16">
        <v>42577.600868055553</v>
      </c>
      <c r="J96" s="7">
        <v>0</v>
      </c>
      <c r="K96" s="25" t="str">
        <f t="shared" si="28"/>
        <v>4017/4018</v>
      </c>
      <c r="L96" s="25" t="str">
        <f>VLOOKUP(A96,'Trips&amp;Operators'!$C$1:$E$10000,3,FALSE)</f>
        <v>YOUNG</v>
      </c>
      <c r="M96" s="6">
        <f t="shared" si="29"/>
        <v>2.7465277773444541E-2</v>
      </c>
      <c r="N96" s="7">
        <f t="shared" si="32"/>
        <v>39.549999993760139</v>
      </c>
      <c r="O96" s="7"/>
      <c r="P96" s="7"/>
      <c r="Q96" s="26"/>
      <c r="R96" s="26"/>
      <c r="S96" s="41">
        <f t="shared" si="33"/>
        <v>1</v>
      </c>
      <c r="T96" s="60" t="str">
        <f t="shared" si="34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12:44:04-0600',mode:absolute,to:'2016-07-26 15:25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6" s="65" t="str">
        <f t="shared" si="36"/>
        <v>N</v>
      </c>
      <c r="X96" s="83">
        <f t="shared" si="37"/>
        <v>1</v>
      </c>
      <c r="Y96" s="80">
        <f t="shared" si="38"/>
        <v>5.0900000000000001E-2</v>
      </c>
      <c r="Z96" s="80">
        <f t="shared" si="39"/>
        <v>23.331399999999999</v>
      </c>
      <c r="AA96" s="80">
        <f t="shared" si="40"/>
        <v>23.2805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41"/>
        <v>0181-26</v>
      </c>
      <c r="AE96" s="66" t="str">
        <f t="shared" si="30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96" s="66" t="str">
        <f t="shared" si="31"/>
        <v>"C:\Program Files (x86)\AstroGrep\AstroGrep.exe" /spath="C:\Users\stu\Documents\Analysis\2016-02-23 RTDC Observations" /stypes="*4018*20160726*" /stext=" 20:.+((SYSTEM_STATE.+slice.+state.+changed )|(ment ac)|(system.+state.+changed )|(\|lc)|(penalty)|(\[timeout)|(PRM\|1\|D))" /e /r /s</v>
      </c>
      <c r="AG96" s="1" t="str">
        <f t="shared" si="42"/>
        <v>EC</v>
      </c>
    </row>
    <row r="97" spans="1:33" x14ac:dyDescent="0.25">
      <c r="A97" s="45" t="s">
        <v>554</v>
      </c>
      <c r="B97" s="7">
        <v>4017</v>
      </c>
      <c r="C97" s="25" t="s">
        <v>248</v>
      </c>
      <c r="D97" s="25" t="s">
        <v>555</v>
      </c>
      <c r="E97" s="16">
        <v>42577.610185185185</v>
      </c>
      <c r="F97" s="16">
        <v>42577.611145833333</v>
      </c>
      <c r="G97" s="7">
        <v>1</v>
      </c>
      <c r="H97" s="16" t="s">
        <v>58</v>
      </c>
      <c r="I97" s="16">
        <v>42577.643773148149</v>
      </c>
      <c r="J97" s="7">
        <v>0</v>
      </c>
      <c r="K97" s="25" t="str">
        <f t="shared" si="28"/>
        <v>4017/4018</v>
      </c>
      <c r="L97" s="25" t="str">
        <f>VLOOKUP(A97,'Trips&amp;Operators'!$C$1:$E$10000,3,FALSE)</f>
        <v>YOUNG</v>
      </c>
      <c r="M97" s="6">
        <f t="shared" si="29"/>
        <v>3.2627314816636499E-2</v>
      </c>
      <c r="N97" s="7">
        <f t="shared" si="32"/>
        <v>46.983333335956559</v>
      </c>
      <c r="O97" s="7"/>
      <c r="P97" s="7"/>
      <c r="Q97" s="26"/>
      <c r="R97" s="26"/>
      <c r="S97" s="41">
        <f t="shared" si="33"/>
        <v>1</v>
      </c>
      <c r="T97" s="60" t="str">
        <f t="shared" si="34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13:38:40-0600',mode:absolute,to:'2016-07-26 16:27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7" s="65" t="str">
        <f t="shared" si="36"/>
        <v>N</v>
      </c>
      <c r="X97" s="83">
        <f t="shared" si="37"/>
        <v>1</v>
      </c>
      <c r="Y97" s="80">
        <f t="shared" si="38"/>
        <v>23.3002</v>
      </c>
      <c r="Z97" s="80">
        <f t="shared" si="39"/>
        <v>1.4500000000000001E-2</v>
      </c>
      <c r="AA97" s="80">
        <f t="shared" si="40"/>
        <v>23.285699999999999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41"/>
        <v>0182-26</v>
      </c>
      <c r="AE97" s="66" t="str">
        <f t="shared" si="30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97" s="66" t="str">
        <f t="shared" si="31"/>
        <v>"C:\Program Files (x86)\AstroGrep\AstroGrep.exe" /spath="C:\Users\stu\Documents\Analysis\2016-02-23 RTDC Observations" /stypes="*4017*20160726*" /stext=" 21:.+((SYSTEM_STATE.+slice.+state.+changed )|(ment ac)|(system.+state.+changed )|(\|lc)|(penalty)|(\[timeout)|(PRM\|1\|D))" /e /r /s</v>
      </c>
      <c r="AG97" s="1" t="str">
        <f t="shared" si="42"/>
        <v>EC</v>
      </c>
    </row>
    <row r="98" spans="1:33" x14ac:dyDescent="0.25">
      <c r="A98" s="45" t="s">
        <v>556</v>
      </c>
      <c r="B98" s="7">
        <v>4009</v>
      </c>
      <c r="C98" s="25" t="s">
        <v>248</v>
      </c>
      <c r="D98" s="25" t="s">
        <v>296</v>
      </c>
      <c r="E98" s="16">
        <v>42577.58048611111</v>
      </c>
      <c r="F98" s="16">
        <v>42577.581655092596</v>
      </c>
      <c r="G98" s="7">
        <v>1</v>
      </c>
      <c r="H98" s="16" t="s">
        <v>557</v>
      </c>
      <c r="I98" s="16">
        <v>42577.611620370371</v>
      </c>
      <c r="J98" s="7">
        <v>0</v>
      </c>
      <c r="K98" s="25" t="str">
        <f t="shared" si="28"/>
        <v>4009/4010</v>
      </c>
      <c r="L98" s="25" t="str">
        <f>VLOOKUP(A98,'Trips&amp;Operators'!$C$1:$E$10000,3,FALSE)</f>
        <v>MAYBERRY</v>
      </c>
      <c r="M98" s="6">
        <f t="shared" si="29"/>
        <v>2.9965277775772847E-2</v>
      </c>
      <c r="N98" s="7">
        <f t="shared" si="32"/>
        <v>43.1499999971129</v>
      </c>
      <c r="O98" s="7"/>
      <c r="P98" s="7"/>
      <c r="Q98" s="26"/>
      <c r="R98" s="26"/>
      <c r="S98" s="41">
        <f t="shared" si="33"/>
        <v>1</v>
      </c>
      <c r="T98" s="60" t="str">
        <f t="shared" si="34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12:55:54-0600',mode:absolute,to:'2016-07-26 15:40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8" s="65" t="str">
        <f t="shared" si="36"/>
        <v>N</v>
      </c>
      <c r="X98" s="83">
        <f t="shared" si="37"/>
        <v>1</v>
      </c>
      <c r="Y98" s="80">
        <f t="shared" si="38"/>
        <v>4.3999999999999997E-2</v>
      </c>
      <c r="Z98" s="80">
        <f t="shared" si="39"/>
        <v>23.331800000000001</v>
      </c>
      <c r="AA98" s="80">
        <f t="shared" si="40"/>
        <v>23.287800000000001</v>
      </c>
      <c r="AB98" s="77" t="e">
        <f>VLOOKUP(A98,Enforcements!$C$7:$J$24,8,0)</f>
        <v>#N/A</v>
      </c>
      <c r="AC98" s="73" t="e">
        <f>VLOOKUP(A98,Enforcements!$C$7:$E$24,3,0)</f>
        <v>#N/A</v>
      </c>
      <c r="AD98" s="74" t="str">
        <f t="shared" si="41"/>
        <v>0183-26</v>
      </c>
      <c r="AE98" s="66" t="str">
        <f t="shared" si="30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98" s="66" t="str">
        <f t="shared" si="31"/>
        <v>"C:\Program Files (x86)\AstroGrep\AstroGrep.exe" /spath="C:\Users\stu\Documents\Analysis\2016-02-23 RTDC Observations" /stypes="*4009*20160726*" /stext=" 20:.+((SYSTEM_STATE.+slice.+state.+changed )|(ment ac)|(system.+state.+changed )|(\|lc)|(penalty)|(\[timeout)|(PRM\|1\|D))" /e /r /s</v>
      </c>
      <c r="AG98" s="1" t="str">
        <f t="shared" si="42"/>
        <v>EC</v>
      </c>
    </row>
    <row r="99" spans="1:33" x14ac:dyDescent="0.25">
      <c r="A99" s="45" t="s">
        <v>558</v>
      </c>
      <c r="B99" s="7">
        <v>4010</v>
      </c>
      <c r="C99" s="25" t="s">
        <v>248</v>
      </c>
      <c r="D99" s="25" t="s">
        <v>559</v>
      </c>
      <c r="E99" s="16">
        <v>42577.616782407407</v>
      </c>
      <c r="F99" s="16">
        <v>42577.617777777778</v>
      </c>
      <c r="G99" s="7">
        <v>1</v>
      </c>
      <c r="H99" s="16" t="s">
        <v>100</v>
      </c>
      <c r="I99" s="16">
        <v>42577.652592592596</v>
      </c>
      <c r="J99" s="7">
        <v>0</v>
      </c>
      <c r="K99" s="25" t="str">
        <f t="shared" si="28"/>
        <v>4009/4010</v>
      </c>
      <c r="L99" s="25" t="str">
        <f>VLOOKUP(A99,'Trips&amp;Operators'!$C$1:$E$10000,3,FALSE)</f>
        <v>MAYBERRY</v>
      </c>
      <c r="M99" s="6">
        <f t="shared" si="29"/>
        <v>3.4814814818673767E-2</v>
      </c>
      <c r="N99" s="7">
        <f t="shared" si="32"/>
        <v>50.133333338890225</v>
      </c>
      <c r="O99" s="7"/>
      <c r="P99" s="7"/>
      <c r="Q99" s="26"/>
      <c r="R99" s="26"/>
      <c r="S99" s="41">
        <f t="shared" si="33"/>
        <v>1</v>
      </c>
      <c r="T99" s="60" t="str">
        <f t="shared" si="34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13:48:10-0600',mode:absolute,to:'2016-07-26 16:39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9" s="65" t="str">
        <f t="shared" si="36"/>
        <v>N</v>
      </c>
      <c r="X99" s="83">
        <f t="shared" si="37"/>
        <v>1</v>
      </c>
      <c r="Y99" s="80">
        <f t="shared" si="38"/>
        <v>23.2988</v>
      </c>
      <c r="Z99" s="80">
        <f t="shared" si="39"/>
        <v>1.43E-2</v>
      </c>
      <c r="AA99" s="80">
        <f t="shared" si="40"/>
        <v>23.284500000000001</v>
      </c>
      <c r="AB99" s="77" t="e">
        <f>VLOOKUP(A99,Enforcements!$C$7:$J$24,8,0)</f>
        <v>#N/A</v>
      </c>
      <c r="AC99" s="73" t="e">
        <f>VLOOKUP(A99,Enforcements!$C$7:$E$24,3,0)</f>
        <v>#N/A</v>
      </c>
      <c r="AD99" s="74" t="str">
        <f t="shared" si="41"/>
        <v>0184-26</v>
      </c>
      <c r="AE99" s="66" t="str">
        <f t="shared" si="30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99" s="66" t="str">
        <f t="shared" si="31"/>
        <v>"C:\Program Files (x86)\AstroGrep\AstroGrep.exe" /spath="C:\Users\stu\Documents\Analysis\2016-02-23 RTDC Observations" /stypes="*4010*20160726*" /stext=" 21:.+((SYSTEM_STATE.+slice.+state.+changed )|(ment ac)|(system.+state.+changed )|(\|lc)|(penalty)|(\[timeout)|(PRM\|1\|D))" /e /r /s</v>
      </c>
      <c r="AG99" s="1" t="str">
        <f t="shared" si="42"/>
        <v>EC</v>
      </c>
    </row>
    <row r="100" spans="1:33" x14ac:dyDescent="0.25">
      <c r="A100" s="45" t="s">
        <v>560</v>
      </c>
      <c r="B100" s="7">
        <v>4020</v>
      </c>
      <c r="C100" s="25" t="s">
        <v>248</v>
      </c>
      <c r="D100" s="25" t="s">
        <v>561</v>
      </c>
      <c r="E100" s="16">
        <v>42577.589224537034</v>
      </c>
      <c r="F100" s="16">
        <v>42577.590300925927</v>
      </c>
      <c r="G100" s="7">
        <v>1</v>
      </c>
      <c r="H100" s="16" t="s">
        <v>562</v>
      </c>
      <c r="I100" s="16">
        <v>42577.620347222219</v>
      </c>
      <c r="J100" s="7">
        <v>0</v>
      </c>
      <c r="K100" s="25" t="str">
        <f t="shared" si="28"/>
        <v>4019/4020</v>
      </c>
      <c r="L100" s="25" t="str">
        <f>VLOOKUP(A100,'Trips&amp;Operators'!$C$1:$E$10000,3,FALSE)</f>
        <v>WEBSTER</v>
      </c>
      <c r="M100" s="6">
        <f t="shared" si="29"/>
        <v>3.0046296291402541E-2</v>
      </c>
      <c r="N100" s="7">
        <f t="shared" si="32"/>
        <v>43.266666659619659</v>
      </c>
      <c r="O100" s="7"/>
      <c r="P100" s="7"/>
      <c r="Q100" s="26"/>
      <c r="R100" s="26"/>
      <c r="S100" s="41">
        <f t="shared" si="33"/>
        <v>1</v>
      </c>
      <c r="T100" s="60" t="str">
        <f t="shared" si="34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13:08:29-0600',mode:absolute,to:'2016-07-26 15:53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00" s="65" t="str">
        <f t="shared" si="36"/>
        <v>N</v>
      </c>
      <c r="X100" s="83">
        <f t="shared" si="37"/>
        <v>1</v>
      </c>
      <c r="Y100" s="80">
        <f t="shared" si="38"/>
        <v>4.3099999999999999E-2</v>
      </c>
      <c r="Z100" s="80">
        <f t="shared" si="39"/>
        <v>23.329799999999999</v>
      </c>
      <c r="AA100" s="80">
        <f t="shared" si="40"/>
        <v>23.2867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41"/>
        <v>0185-26</v>
      </c>
      <c r="AE100" s="66" t="str">
        <f t="shared" si="30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00" s="66" t="str">
        <f t="shared" si="31"/>
        <v>"C:\Program Files (x86)\AstroGrep\AstroGrep.exe" /spath="C:\Users\stu\Documents\Analysis\2016-02-23 RTDC Observations" /stypes="*4020*20160726*" /stext=" 20:.+((SYSTEM_STATE.+slice.+state.+changed )|(ment ac)|(system.+state.+changed )|(\|lc)|(penalty)|(\[timeout)|(PRM\|1\|D))" /e /r /s</v>
      </c>
      <c r="AG100" s="1" t="str">
        <f t="shared" si="42"/>
        <v>EC</v>
      </c>
    </row>
    <row r="101" spans="1:33" x14ac:dyDescent="0.25">
      <c r="A101" s="45" t="s">
        <v>439</v>
      </c>
      <c r="B101" s="7">
        <v>4019</v>
      </c>
      <c r="C101" s="25" t="s">
        <v>248</v>
      </c>
      <c r="D101" s="25" t="s">
        <v>473</v>
      </c>
      <c r="E101" s="16">
        <v>42577.629861111112</v>
      </c>
      <c r="F101" s="16">
        <v>42577.631064814814</v>
      </c>
      <c r="G101" s="7">
        <v>1</v>
      </c>
      <c r="H101" s="16" t="s">
        <v>100</v>
      </c>
      <c r="I101" s="16">
        <v>42577.661874999998</v>
      </c>
      <c r="J101" s="7">
        <v>1</v>
      </c>
      <c r="K101" s="25" t="str">
        <f t="shared" si="28"/>
        <v>4019/4020</v>
      </c>
      <c r="L101" s="25" t="str">
        <f>VLOOKUP(A101,'Trips&amp;Operators'!$C$1:$E$10000,3,FALSE)</f>
        <v>WEBSTER</v>
      </c>
      <c r="M101" s="6">
        <f t="shared" si="29"/>
        <v>3.0810185184236616E-2</v>
      </c>
      <c r="N101" s="7">
        <f t="shared" si="32"/>
        <v>44.366666665300727</v>
      </c>
      <c r="O101" s="7"/>
      <c r="P101" s="7"/>
      <c r="Q101" s="26"/>
      <c r="R101" s="26"/>
      <c r="S101" s="41">
        <f t="shared" si="33"/>
        <v>1</v>
      </c>
      <c r="T101" s="60" t="str">
        <f t="shared" si="34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14:07:00-0600',mode:absolute,to:'2016-07-26 16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01" s="65" t="str">
        <f t="shared" si="36"/>
        <v>N</v>
      </c>
      <c r="X101" s="83">
        <f t="shared" si="37"/>
        <v>1</v>
      </c>
      <c r="Y101" s="80">
        <f t="shared" si="38"/>
        <v>23.298300000000001</v>
      </c>
      <c r="Z101" s="80">
        <f t="shared" si="39"/>
        <v>1.43E-2</v>
      </c>
      <c r="AA101" s="80">
        <f t="shared" si="40"/>
        <v>23.284000000000002</v>
      </c>
      <c r="AB101" s="77">
        <f>VLOOKUP(A101,Enforcements!$C$7:$J$24,8,0)</f>
        <v>78469</v>
      </c>
      <c r="AC101" s="73" t="str">
        <f>VLOOKUP(A101,Enforcements!$C$7:$E$24,3,0)</f>
        <v>GRADE CROSSING</v>
      </c>
      <c r="AD101" s="74" t="str">
        <f t="shared" si="41"/>
        <v>0186-26</v>
      </c>
      <c r="AE101" s="66" t="str">
        <f t="shared" si="30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01" s="66" t="str">
        <f t="shared" si="31"/>
        <v>"C:\Program Files (x86)\AstroGrep\AstroGrep.exe" /spath="C:\Users\stu\Documents\Analysis\2016-02-23 RTDC Observations" /stypes="*4019*20160726*" /stext=" 21:.+((SYSTEM_STATE.+slice.+state.+changed )|(ment ac)|(system.+state.+changed )|(\|lc)|(penalty)|(\[timeout)|(PRM\|1\|D))" /e /r /s</v>
      </c>
      <c r="AG101" s="1" t="str">
        <f t="shared" si="42"/>
        <v>EC</v>
      </c>
    </row>
    <row r="102" spans="1:33" x14ac:dyDescent="0.25">
      <c r="A102" s="45" t="s">
        <v>563</v>
      </c>
      <c r="B102" s="7">
        <v>4029</v>
      </c>
      <c r="C102" s="25" t="s">
        <v>248</v>
      </c>
      <c r="D102" s="25" t="s">
        <v>564</v>
      </c>
      <c r="E102" s="16">
        <v>42577.601168981484</v>
      </c>
      <c r="F102" s="16">
        <v>42577.602048611108</v>
      </c>
      <c r="G102" s="7">
        <v>1</v>
      </c>
      <c r="H102" s="16" t="s">
        <v>565</v>
      </c>
      <c r="I102" s="16">
        <v>42577.630648148152</v>
      </c>
      <c r="J102" s="7">
        <v>0</v>
      </c>
      <c r="K102" s="25" t="str">
        <f t="shared" si="28"/>
        <v>4029/4030</v>
      </c>
      <c r="L102" s="25" t="str">
        <f>VLOOKUP(A102,'Trips&amp;Operators'!$C$1:$E$10000,3,FALSE)</f>
        <v>BARTLETT</v>
      </c>
      <c r="M102" s="6">
        <f t="shared" si="29"/>
        <v>2.8599537043191958E-2</v>
      </c>
      <c r="N102" s="7">
        <f t="shared" si="32"/>
        <v>41.18333334219642</v>
      </c>
      <c r="O102" s="7"/>
      <c r="P102" s="7"/>
      <c r="Q102" s="26"/>
      <c r="R102" s="26"/>
      <c r="S102" s="41">
        <f t="shared" si="33"/>
        <v>1</v>
      </c>
      <c r="T102" s="60" t="str">
        <f t="shared" si="34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13:25:41-0600',mode:absolute,to:'2016-07-26 16:08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02" s="65" t="str">
        <f t="shared" si="36"/>
        <v>N</v>
      </c>
      <c r="X102" s="83">
        <f t="shared" si="37"/>
        <v>1</v>
      </c>
      <c r="Y102" s="80">
        <f t="shared" si="38"/>
        <v>5.6599999999999998E-2</v>
      </c>
      <c r="Z102" s="80">
        <f t="shared" si="39"/>
        <v>23.3278</v>
      </c>
      <c r="AA102" s="80">
        <f t="shared" si="40"/>
        <v>23.2712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41"/>
        <v>0187-26</v>
      </c>
      <c r="AE102" s="66" t="str">
        <f t="shared" si="30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02" s="66" t="str">
        <f t="shared" si="31"/>
        <v>"C:\Program Files (x86)\AstroGrep\AstroGrep.exe" /spath="C:\Users\stu\Documents\Analysis\2016-02-23 RTDC Observations" /stypes="*4029*20160726*" /stext=" 21:.+((SYSTEM_STATE.+slice.+state.+changed )|(ment ac)|(system.+state.+changed )|(\|lc)|(penalty)|(\[timeout)|(PRM\|1\|D))" /e /r /s</v>
      </c>
      <c r="AG102" s="1" t="str">
        <f t="shared" si="42"/>
        <v>EC</v>
      </c>
    </row>
    <row r="103" spans="1:33" x14ac:dyDescent="0.25">
      <c r="A103" s="45" t="s">
        <v>566</v>
      </c>
      <c r="B103" s="7">
        <v>4030</v>
      </c>
      <c r="C103" s="25" t="s">
        <v>248</v>
      </c>
      <c r="D103" s="25" t="s">
        <v>224</v>
      </c>
      <c r="E103" s="16">
        <v>42577.638680555552</v>
      </c>
      <c r="F103" s="16">
        <v>42577.639432870368</v>
      </c>
      <c r="G103" s="7">
        <v>1</v>
      </c>
      <c r="H103" s="16" t="s">
        <v>567</v>
      </c>
      <c r="I103" s="16">
        <v>42577.671157407407</v>
      </c>
      <c r="J103" s="7">
        <v>0</v>
      </c>
      <c r="K103" s="25" t="str">
        <f t="shared" si="28"/>
        <v>4029/4030</v>
      </c>
      <c r="L103" s="25" t="str">
        <f>VLOOKUP(A103,'Trips&amp;Operators'!$C$1:$E$10000,3,FALSE)</f>
        <v>BARTLETT</v>
      </c>
      <c r="M103" s="6">
        <f t="shared" si="29"/>
        <v>3.1724537038826384E-2</v>
      </c>
      <c r="N103" s="7">
        <f t="shared" si="32"/>
        <v>45.683333335909992</v>
      </c>
      <c r="O103" s="7"/>
      <c r="P103" s="7"/>
      <c r="Q103" s="26"/>
      <c r="R103" s="26"/>
      <c r="S103" s="41">
        <f t="shared" si="33"/>
        <v>1</v>
      </c>
      <c r="T103" s="60" t="str">
        <f t="shared" si="34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14:19:42-0600',mode:absolute,to:'2016-07-26 17:06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3" s="65" t="str">
        <f t="shared" si="36"/>
        <v>N</v>
      </c>
      <c r="X103" s="83">
        <f t="shared" si="37"/>
        <v>1</v>
      </c>
      <c r="Y103" s="80">
        <f t="shared" si="38"/>
        <v>23.297499999999999</v>
      </c>
      <c r="Z103" s="80">
        <f t="shared" si="39"/>
        <v>4.0899999999999999E-2</v>
      </c>
      <c r="AA103" s="80">
        <f t="shared" si="40"/>
        <v>23.256599999999999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41"/>
        <v>0188-26</v>
      </c>
      <c r="AE103" s="66" t="str">
        <f t="shared" si="30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03" s="66" t="str">
        <f t="shared" si="31"/>
        <v>"C:\Program Files (x86)\AstroGrep\AstroGrep.exe" /spath="C:\Users\stu\Documents\Analysis\2016-02-23 RTDC Observations" /stypes="*4030*20160726*" /stext=" 22:.+((SYSTEM_STATE.+slice.+state.+changed )|(ment ac)|(system.+state.+changed )|(\|lc)|(penalty)|(\[timeout)|(PRM\|1\|D))" /e /r /s</v>
      </c>
      <c r="AG103" s="1" t="str">
        <f t="shared" si="42"/>
        <v>EC</v>
      </c>
    </row>
    <row r="104" spans="1:33" x14ac:dyDescent="0.25">
      <c r="A104" s="45" t="s">
        <v>437</v>
      </c>
      <c r="B104" s="7">
        <v>4025</v>
      </c>
      <c r="C104" s="25" t="s">
        <v>248</v>
      </c>
      <c r="D104" s="25" t="s">
        <v>160</v>
      </c>
      <c r="E104" s="16">
        <v>42577.611909722225</v>
      </c>
      <c r="F104" s="16">
        <v>42577.612916666665</v>
      </c>
      <c r="G104" s="7">
        <v>1</v>
      </c>
      <c r="H104" s="16" t="s">
        <v>156</v>
      </c>
      <c r="I104" s="16">
        <v>42577.640057870369</v>
      </c>
      <c r="J104" s="7">
        <v>1</v>
      </c>
      <c r="K104" s="25" t="str">
        <f t="shared" si="28"/>
        <v>4025/4026</v>
      </c>
      <c r="L104" s="25" t="str">
        <f>VLOOKUP(A104,'Trips&amp;Operators'!$C$1:$E$10000,3,FALSE)</f>
        <v>STEWART</v>
      </c>
      <c r="M104" s="6">
        <f t="shared" si="29"/>
        <v>2.7141203703649808E-2</v>
      </c>
      <c r="N104" s="7">
        <f t="shared" si="32"/>
        <v>39.083333333255723</v>
      </c>
      <c r="O104" s="7"/>
      <c r="P104" s="7"/>
      <c r="Q104" s="26"/>
      <c r="R104" s="26"/>
      <c r="S104" s="41">
        <f t="shared" si="33"/>
        <v>1</v>
      </c>
      <c r="T104" s="60" t="str">
        <f t="shared" si="34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13:41:09-0600',mode:absolute,to:'2016-07-26 16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04" s="65" t="str">
        <f t="shared" si="36"/>
        <v>N</v>
      </c>
      <c r="X104" s="83">
        <f t="shared" si="37"/>
        <v>1</v>
      </c>
      <c r="Y104" s="80">
        <f t="shared" si="38"/>
        <v>4.6699999999999998E-2</v>
      </c>
      <c r="Z104" s="80">
        <f t="shared" si="39"/>
        <v>23.3293</v>
      </c>
      <c r="AA104" s="80">
        <f t="shared" si="40"/>
        <v>23.282599999999999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41"/>
        <v>0189-26</v>
      </c>
      <c r="AE104" s="66" t="str">
        <f t="shared" si="30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04" s="66" t="str">
        <f t="shared" si="31"/>
        <v>"C:\Program Files (x86)\AstroGrep\AstroGrep.exe" /spath="C:\Users\stu\Documents\Analysis\2016-02-23 RTDC Observations" /stypes="*4025*20160726*" /stext=" 21:.+((SYSTEM_STATE.+slice.+state.+changed )|(ment ac)|(system.+state.+changed )|(\|lc)|(penalty)|(\[timeout)|(PRM\|1\|D))" /e /r /s</v>
      </c>
      <c r="AG104" s="1" t="str">
        <f t="shared" si="42"/>
        <v>EC</v>
      </c>
    </row>
    <row r="105" spans="1:33" x14ac:dyDescent="0.25">
      <c r="A105" s="45" t="s">
        <v>568</v>
      </c>
      <c r="B105" s="7">
        <v>4026</v>
      </c>
      <c r="C105" s="25" t="s">
        <v>248</v>
      </c>
      <c r="D105" s="25" t="s">
        <v>307</v>
      </c>
      <c r="E105" s="16">
        <v>42577.649988425925</v>
      </c>
      <c r="F105" s="16">
        <v>42577.651134259257</v>
      </c>
      <c r="G105" s="7">
        <v>1</v>
      </c>
      <c r="H105" s="16" t="s">
        <v>569</v>
      </c>
      <c r="I105" s="16">
        <v>42577.682430555556</v>
      </c>
      <c r="J105" s="7">
        <v>0</v>
      </c>
      <c r="K105" s="25" t="str">
        <f t="shared" si="28"/>
        <v>4025/4026</v>
      </c>
      <c r="L105" s="25" t="str">
        <f>VLOOKUP(A105,'Trips&amp;Operators'!$C$1:$E$10000,3,FALSE)</f>
        <v>STEWART</v>
      </c>
      <c r="M105" s="6">
        <f t="shared" si="29"/>
        <v>3.1296296299842652E-2</v>
      </c>
      <c r="N105" s="7">
        <f t="shared" si="32"/>
        <v>45.066666671773419</v>
      </c>
      <c r="O105" s="7"/>
      <c r="P105" s="7"/>
      <c r="Q105" s="26"/>
      <c r="R105" s="26"/>
      <c r="S105" s="41">
        <f t="shared" si="33"/>
        <v>1</v>
      </c>
      <c r="T105" s="60" t="str">
        <f t="shared" si="34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14:35:59-0600',mode:absolute,to:'2016-07-26 17:22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05" s="65" t="str">
        <f t="shared" si="36"/>
        <v>N</v>
      </c>
      <c r="X105" s="83">
        <f t="shared" si="37"/>
        <v>1</v>
      </c>
      <c r="Y105" s="80">
        <f t="shared" si="38"/>
        <v>23.296600000000002</v>
      </c>
      <c r="Z105" s="80">
        <f t="shared" si="39"/>
        <v>1.7000000000000001E-2</v>
      </c>
      <c r="AA105" s="80">
        <f t="shared" si="40"/>
        <v>23.279600000000002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41"/>
        <v>0190-26</v>
      </c>
      <c r="AE105" s="66" t="str">
        <f t="shared" si="30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05" s="66" t="str">
        <f t="shared" si="31"/>
        <v>"C:\Program Files (x86)\AstroGrep\AstroGrep.exe" /spath="C:\Users\stu\Documents\Analysis\2016-02-23 RTDC Observations" /stypes="*4026*20160726*" /stext=" 22:.+((SYSTEM_STATE.+slice.+state.+changed )|(ment ac)|(system.+state.+changed )|(\|lc)|(penalty)|(\[timeout)|(PRM\|1\|D))" /e /r /s</v>
      </c>
      <c r="AG105" s="1" t="str">
        <f t="shared" si="42"/>
        <v>EC</v>
      </c>
    </row>
    <row r="106" spans="1:33" x14ac:dyDescent="0.25">
      <c r="A106" s="45" t="s">
        <v>570</v>
      </c>
      <c r="B106" s="7">
        <v>4042</v>
      </c>
      <c r="C106" s="25" t="s">
        <v>248</v>
      </c>
      <c r="D106" s="25" t="s">
        <v>571</v>
      </c>
      <c r="E106" s="16">
        <v>42577.621898148151</v>
      </c>
      <c r="F106" s="16">
        <v>42577.623113425929</v>
      </c>
      <c r="G106" s="7">
        <v>1</v>
      </c>
      <c r="H106" s="16" t="s">
        <v>523</v>
      </c>
      <c r="I106" s="16">
        <v>42577.649872685186</v>
      </c>
      <c r="J106" s="7">
        <v>0</v>
      </c>
      <c r="K106" s="25" t="str">
        <f t="shared" si="28"/>
        <v>4041/4042</v>
      </c>
      <c r="L106" s="25" t="str">
        <f>VLOOKUP(A106,'Trips&amp;Operators'!$C$1:$E$10000,3,FALSE)</f>
        <v>LOCKLEAR</v>
      </c>
      <c r="M106" s="6">
        <f t="shared" si="29"/>
        <v>2.675925925723277E-2</v>
      </c>
      <c r="N106" s="7">
        <f t="shared" si="32"/>
        <v>38.533333330415189</v>
      </c>
      <c r="O106" s="7"/>
      <c r="P106" s="7"/>
      <c r="Q106" s="26"/>
      <c r="R106" s="26"/>
      <c r="S106" s="41">
        <f t="shared" si="33"/>
        <v>1</v>
      </c>
      <c r="T106" s="60" t="str">
        <f t="shared" si="34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13:55:32-0600',mode:absolute,to:'2016-07-26 16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06" s="65" t="str">
        <f t="shared" si="36"/>
        <v>N</v>
      </c>
      <c r="X106" s="83">
        <f t="shared" si="37"/>
        <v>1</v>
      </c>
      <c r="Y106" s="80">
        <f t="shared" si="38"/>
        <v>0.05</v>
      </c>
      <c r="Z106" s="80">
        <f t="shared" si="39"/>
        <v>23.333400000000001</v>
      </c>
      <c r="AA106" s="80">
        <f t="shared" si="40"/>
        <v>23.2834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41"/>
        <v>0191-26</v>
      </c>
      <c r="AE106" s="66" t="str">
        <f t="shared" si="30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06" s="66" t="str">
        <f t="shared" si="31"/>
        <v>"C:\Program Files (x86)\AstroGrep\AstroGrep.exe" /spath="C:\Users\stu\Documents\Analysis\2016-02-23 RTDC Observations" /stypes="*4042*20160726*" /stext=" 21:.+((SYSTEM_STATE.+slice.+state.+changed )|(ment ac)|(system.+state.+changed )|(\|lc)|(penalty)|(\[timeout)|(PRM\|1\|D))" /e /r /s</v>
      </c>
      <c r="AG106" s="1" t="str">
        <f t="shared" si="42"/>
        <v>EC</v>
      </c>
    </row>
    <row r="107" spans="1:33" x14ac:dyDescent="0.25">
      <c r="A107" s="45" t="s">
        <v>440</v>
      </c>
      <c r="B107" s="7">
        <v>4041</v>
      </c>
      <c r="C107" s="25" t="s">
        <v>248</v>
      </c>
      <c r="D107" s="25" t="s">
        <v>572</v>
      </c>
      <c r="E107" s="16">
        <v>42577.67664351852</v>
      </c>
      <c r="F107" s="16">
        <v>42577.661423611113</v>
      </c>
      <c r="G107" s="7">
        <v>1</v>
      </c>
      <c r="H107" s="16" t="s">
        <v>259</v>
      </c>
      <c r="I107" s="16">
        <v>42577.694560185184</v>
      </c>
      <c r="J107" s="7">
        <v>1</v>
      </c>
      <c r="K107" s="25" t="str">
        <f t="shared" si="28"/>
        <v>4041/4042</v>
      </c>
      <c r="L107" s="25" t="str">
        <f>VLOOKUP(A107,'Trips&amp;Operators'!$C$1:$E$10000,3,FALSE)</f>
        <v>LOCKLEAR</v>
      </c>
      <c r="M107" s="6">
        <f t="shared" si="29"/>
        <v>3.3136574071249925E-2</v>
      </c>
      <c r="N107" s="7"/>
      <c r="O107" s="7"/>
      <c r="P107" s="7">
        <f t="shared" si="32"/>
        <v>47.716666662599891</v>
      </c>
      <c r="Q107" s="26"/>
      <c r="R107" s="26" t="s">
        <v>407</v>
      </c>
      <c r="S107" s="41">
        <f t="shared" si="33"/>
        <v>1</v>
      </c>
      <c r="T107" s="60" t="str">
        <f t="shared" si="34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15:14:22-0600',mode:absolute,to:'2016-07-26 17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7" s="65" t="str">
        <f t="shared" si="36"/>
        <v>Y</v>
      </c>
      <c r="X107" s="83">
        <f t="shared" si="37"/>
        <v>1</v>
      </c>
      <c r="Y107" s="80">
        <f t="shared" si="38"/>
        <v>12.785500000000001</v>
      </c>
      <c r="Z107" s="80">
        <f t="shared" si="39"/>
        <v>1.47E-2</v>
      </c>
      <c r="AA107" s="80">
        <f t="shared" si="40"/>
        <v>12.770800000000001</v>
      </c>
      <c r="AB107" s="77">
        <f>VLOOKUP(A107,Enforcements!$C$7:$J$24,8,0)</f>
        <v>33257</v>
      </c>
      <c r="AC107" s="73" t="str">
        <f>VLOOKUP(A107,Enforcements!$C$7:$E$24,3,0)</f>
        <v>GRADE CROSSING</v>
      </c>
      <c r="AD107" s="74" t="str">
        <f t="shared" si="41"/>
        <v>0192-26</v>
      </c>
      <c r="AE107" s="66" t="str">
        <f t="shared" si="30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07" s="66" t="str">
        <f t="shared" si="31"/>
        <v>"C:\Program Files (x86)\AstroGrep\AstroGrep.exe" /spath="C:\Users\stu\Documents\Analysis\2016-02-23 RTDC Observations" /stypes="*4041*20160726*" /stext=" 22:.+((SYSTEM_STATE.+slice.+state.+changed )|(ment ac)|(system.+state.+changed )|(\|lc)|(penalty)|(\[timeout)|(PRM\|1\|D))" /e /r /s</v>
      </c>
      <c r="AG107" s="1" t="str">
        <f t="shared" si="42"/>
        <v>EC</v>
      </c>
    </row>
    <row r="108" spans="1:33" x14ac:dyDescent="0.25">
      <c r="A108" s="45" t="s">
        <v>440</v>
      </c>
      <c r="B108" s="7">
        <v>4041</v>
      </c>
      <c r="C108" s="25" t="s">
        <v>248</v>
      </c>
      <c r="D108" s="25" t="s">
        <v>573</v>
      </c>
      <c r="E108" s="16">
        <v>42577.659641203703</v>
      </c>
      <c r="F108" s="16">
        <v>42577.661469907405</v>
      </c>
      <c r="G108" s="7">
        <v>2</v>
      </c>
      <c r="H108" s="16" t="s">
        <v>259</v>
      </c>
      <c r="I108" s="16">
        <v>42577.694606481484</v>
      </c>
      <c r="J108" s="7">
        <v>1</v>
      </c>
      <c r="K108" s="25" t="str">
        <f t="shared" ref="K108:K139" si="43">IF(ISEVEN(B108),(B108-1)&amp;"/"&amp;B108,B108&amp;"/"&amp;(B108+1))</f>
        <v>4041/4042</v>
      </c>
      <c r="L108" s="25" t="str">
        <f>VLOOKUP(A108,'Trips&amp;Operators'!$C$1:$E$10000,3,FALSE)</f>
        <v>LOCKLEAR</v>
      </c>
      <c r="M108" s="6">
        <f t="shared" ref="M108:M139" si="44">I108-F108</f>
        <v>3.3136574078525882E-2</v>
      </c>
      <c r="N108" s="7"/>
      <c r="O108" s="7"/>
      <c r="P108" s="7"/>
      <c r="Q108" s="26"/>
      <c r="R108" s="26"/>
      <c r="S108" s="41">
        <f t="shared" si="33"/>
        <v>0</v>
      </c>
      <c r="T108" s="60" t="str">
        <f t="shared" si="34"/>
        <v>Southbound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0</v>
      </c>
      <c r="V10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14:49:53-0600',mode:absolute,to:'2016-07-26 17:40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08" s="65" t="str">
        <f t="shared" si="36"/>
        <v>Y</v>
      </c>
      <c r="X108" s="83">
        <f t="shared" si="37"/>
        <v>0</v>
      </c>
      <c r="Y108" s="80">
        <f t="shared" si="38"/>
        <v>23.301300000000001</v>
      </c>
      <c r="Z108" s="80">
        <v>23.3</v>
      </c>
      <c r="AA108" s="80">
        <f t="shared" si="40"/>
        <v>1.300000000000523E-3</v>
      </c>
      <c r="AB108" s="77">
        <f>VLOOKUP(A108,Enforcements!$C$7:$J$24,8,0)</f>
        <v>33257</v>
      </c>
      <c r="AC108" s="73" t="str">
        <f>VLOOKUP(A108,Enforcements!$C$7:$E$24,3,0)</f>
        <v>GRADE CROSSING</v>
      </c>
      <c r="AD108" s="74" t="str">
        <f t="shared" si="41"/>
        <v>0192-26</v>
      </c>
      <c r="AE108" s="66" t="str">
        <f t="shared" ref="AE108:AE139" si="45">"aws s3 cp "&amp;s3_bucket&amp;"/RTDC"&amp;B108&amp;"/"&amp;TEXT(F108,"YYYY-MM-DD")&amp;"/ "&amp;search_path&amp;"\RTDC"&amp;B108&amp;"\"&amp;TEXT(F108,"YYYY-MM-DD")&amp;" --recursive &amp; """&amp;walkandungz&amp;""" "&amp;search_path&amp;"\RTDC"&amp;B108&amp;"\"&amp;TEXT(F108,"YYYY-MM-DD")
&amp;" &amp; "&amp;"aws s3 cp "&amp;s3_bucket&amp;"/RTDC"&amp;B108&amp;"/"&amp;TEXT(F108+1,"YYYY-MM-DD")&amp;"/ "&amp;search_path&amp;"\RTDC"&amp;B108&amp;"\"&amp;TEXT(F108+1,"YYYY-MM-DD")&amp;" --recursive &amp; """&amp;walkandungz&amp;""" "&amp;search_path&amp;"\RTDC"&amp;B108&amp;"\"&amp;TEXT(F108+1,"YYYY-MM-DD")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08" s="66" t="str">
        <f t="shared" ref="AF108:AF139" si="46">astrogrep_path&amp;" /spath="&amp;search_path&amp;" /stypes=""*"&amp;B108&amp;"*"&amp;TEXT(I108-utc_offset/24,"YYYYMMDD")&amp;"*"" /stext="" "&amp;TEXT(I108-utc_offset/24,"HH")&amp;search_regexp&amp;""" /e /r /s"</f>
        <v>"C:\Program Files (x86)\AstroGrep\AstroGrep.exe" /spath="C:\Users\stu\Documents\Analysis\2016-02-23 RTDC Observations" /stypes="*4041*20160726*" /stext=" 22:.+((SYSTEM_STATE.+slice.+state.+changed )|(ment ac)|(system.+state.+changed )|(\|lc)|(penalty)|(\[timeout)|(PRM\|1\|D))" /e /r /s</v>
      </c>
      <c r="AG108" s="1" t="str">
        <f t="shared" si="42"/>
        <v>EC</v>
      </c>
    </row>
    <row r="109" spans="1:33" x14ac:dyDescent="0.25">
      <c r="A109" s="45" t="s">
        <v>574</v>
      </c>
      <c r="B109" s="7">
        <v>4031</v>
      </c>
      <c r="C109" s="25" t="s">
        <v>248</v>
      </c>
      <c r="D109" s="25" t="s">
        <v>296</v>
      </c>
      <c r="E109" s="16">
        <v>42577.63140046296</v>
      </c>
      <c r="F109" s="16">
        <v>42577.632395833331</v>
      </c>
      <c r="G109" s="7">
        <v>1</v>
      </c>
      <c r="H109" s="16" t="s">
        <v>575</v>
      </c>
      <c r="I109" s="16">
        <v>42577.661712962959</v>
      </c>
      <c r="J109" s="7">
        <v>0</v>
      </c>
      <c r="K109" s="25" t="str">
        <f t="shared" si="43"/>
        <v>4031/4032</v>
      </c>
      <c r="L109" s="25" t="str">
        <f>VLOOKUP(A109,'Trips&amp;Operators'!$C$1:$E$10000,3,FALSE)</f>
        <v>BONDS</v>
      </c>
      <c r="M109" s="6">
        <f t="shared" si="44"/>
        <v>2.9317129628907423E-2</v>
      </c>
      <c r="N109" s="7">
        <f t="shared" si="32"/>
        <v>42.21666666562669</v>
      </c>
      <c r="O109" s="7"/>
      <c r="P109" s="7"/>
      <c r="Q109" s="26"/>
      <c r="R109" s="26"/>
      <c r="S109" s="41">
        <f t="shared" si="33"/>
        <v>1</v>
      </c>
      <c r="T109" s="60" t="str">
        <f t="shared" si="34"/>
        <v>NorthBound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14:09:13-0600',mode:absolute,to:'2016-07-26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09" s="65" t="str">
        <f t="shared" si="36"/>
        <v>N</v>
      </c>
      <c r="X109" s="83">
        <f t="shared" si="37"/>
        <v>1</v>
      </c>
      <c r="Y109" s="80">
        <f t="shared" si="38"/>
        <v>4.3999999999999997E-2</v>
      </c>
      <c r="Z109" s="80">
        <f t="shared" si="39"/>
        <v>23.334199999999999</v>
      </c>
      <c r="AA109" s="80">
        <f t="shared" si="40"/>
        <v>23.290199999999999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41"/>
        <v>0193-26</v>
      </c>
      <c r="AE109" s="66" t="str">
        <f t="shared" si="45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109" s="66" t="str">
        <f t="shared" si="46"/>
        <v>"C:\Program Files (x86)\AstroGrep\AstroGrep.exe" /spath="C:\Users\stu\Documents\Analysis\2016-02-23 RTDC Observations" /stypes="*4031*20160726*" /stext=" 21:.+((SYSTEM_STATE.+slice.+state.+changed )|(ment ac)|(system.+state.+changed )|(\|lc)|(penalty)|(\[timeout)|(PRM\|1\|D))" /e /r /s</v>
      </c>
      <c r="AG109" s="1" t="str">
        <f t="shared" si="42"/>
        <v>EC</v>
      </c>
    </row>
    <row r="110" spans="1:33" x14ac:dyDescent="0.25">
      <c r="A110" s="45" t="s">
        <v>576</v>
      </c>
      <c r="B110" s="7">
        <v>4032</v>
      </c>
      <c r="C110" s="25" t="s">
        <v>248</v>
      </c>
      <c r="D110" s="25" t="s">
        <v>577</v>
      </c>
      <c r="E110" s="16">
        <v>42577.666678240741</v>
      </c>
      <c r="F110" s="16">
        <v>42577.667453703703</v>
      </c>
      <c r="G110" s="7">
        <v>1</v>
      </c>
      <c r="H110" s="16" t="s">
        <v>100</v>
      </c>
      <c r="I110" s="16">
        <v>42577.702361111114</v>
      </c>
      <c r="J110" s="7">
        <v>0</v>
      </c>
      <c r="K110" s="25" t="str">
        <f t="shared" si="43"/>
        <v>4031/4032</v>
      </c>
      <c r="L110" s="25" t="str">
        <f>VLOOKUP(A110,'Trips&amp;Operators'!$C$1:$E$10000,3,FALSE)</f>
        <v>BONDS</v>
      </c>
      <c r="M110" s="6">
        <f t="shared" si="44"/>
        <v>3.4907407411083113E-2</v>
      </c>
      <c r="N110" s="7">
        <f t="shared" si="32"/>
        <v>50.266666671959683</v>
      </c>
      <c r="O110" s="7"/>
      <c r="P110" s="7"/>
      <c r="Q110" s="26"/>
      <c r="R110" s="26"/>
      <c r="S110" s="41">
        <f t="shared" si="33"/>
        <v>1</v>
      </c>
      <c r="T110" s="60" t="str">
        <f t="shared" si="34"/>
        <v>Southbound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15:00:01-0600',mode:absolute,to:'2016-07-26 17:51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0" s="65" t="str">
        <f t="shared" si="36"/>
        <v>N</v>
      </c>
      <c r="X110" s="83">
        <f t="shared" si="37"/>
        <v>1</v>
      </c>
      <c r="Y110" s="80">
        <f t="shared" si="38"/>
        <v>23.301100000000002</v>
      </c>
      <c r="Z110" s="80">
        <f t="shared" si="39"/>
        <v>1.43E-2</v>
      </c>
      <c r="AA110" s="80">
        <f t="shared" si="40"/>
        <v>23.286800000000003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41"/>
        <v>0194-26</v>
      </c>
      <c r="AE110" s="66" t="str">
        <f t="shared" si="45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110" s="66" t="str">
        <f t="shared" si="46"/>
        <v>"C:\Program Files (x86)\AstroGrep\AstroGrep.exe" /spath="C:\Users\stu\Documents\Analysis\2016-02-23 RTDC Observations" /stypes="*4032*20160726*" /stext=" 22:.+((SYSTEM_STATE.+slice.+state.+changed )|(ment ac)|(system.+state.+changed )|(\|lc)|(penalty)|(\[timeout)|(PRM\|1\|D))" /e /r /s</v>
      </c>
      <c r="AG110" s="1" t="str">
        <f t="shared" si="42"/>
        <v>EC</v>
      </c>
    </row>
    <row r="111" spans="1:33" x14ac:dyDescent="0.25">
      <c r="A111" s="45" t="s">
        <v>578</v>
      </c>
      <c r="B111" s="7">
        <v>4018</v>
      </c>
      <c r="C111" s="25" t="s">
        <v>248</v>
      </c>
      <c r="D111" s="25" t="s">
        <v>157</v>
      </c>
      <c r="E111" s="16">
        <v>42577.646157407406</v>
      </c>
      <c r="F111" s="16">
        <v>42577.647233796299</v>
      </c>
      <c r="G111" s="7">
        <v>1</v>
      </c>
      <c r="H111" s="16" t="s">
        <v>508</v>
      </c>
      <c r="I111" s="16">
        <v>42577.674375000002</v>
      </c>
      <c r="J111" s="7">
        <v>0</v>
      </c>
      <c r="K111" s="25" t="str">
        <f t="shared" si="43"/>
        <v>4017/4018</v>
      </c>
      <c r="L111" s="25" t="str">
        <f>VLOOKUP(A111,'Trips&amp;Operators'!$C$1:$E$10000,3,FALSE)</f>
        <v>YOUNG</v>
      </c>
      <c r="M111" s="6">
        <f t="shared" si="44"/>
        <v>2.7141203703649808E-2</v>
      </c>
      <c r="N111" s="7">
        <f t="shared" si="32"/>
        <v>39.083333333255723</v>
      </c>
      <c r="O111" s="7"/>
      <c r="P111" s="7"/>
      <c r="Q111" s="26"/>
      <c r="R111" s="26"/>
      <c r="S111" s="41">
        <f t="shared" si="33"/>
        <v>1</v>
      </c>
      <c r="T111" s="60" t="str">
        <f t="shared" si="34"/>
        <v>NorthBound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14:30:28-0600',mode:absolute,to:'2016-07-26 17:11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65" t="str">
        <f t="shared" si="36"/>
        <v>N</v>
      </c>
      <c r="X111" s="83">
        <f t="shared" si="37"/>
        <v>1</v>
      </c>
      <c r="Y111" s="80">
        <f t="shared" si="38"/>
        <v>4.4900000000000002E-2</v>
      </c>
      <c r="Z111" s="80">
        <f t="shared" si="39"/>
        <v>23.3324</v>
      </c>
      <c r="AA111" s="80">
        <f t="shared" si="40"/>
        <v>23.287500000000001</v>
      </c>
      <c r="AB111" s="77" t="e">
        <f>VLOOKUP(A111,Enforcements!$C$7:$J$24,8,0)</f>
        <v>#N/A</v>
      </c>
      <c r="AC111" s="73" t="e">
        <f>VLOOKUP(A111,Enforcements!$C$7:$E$24,3,0)</f>
        <v>#N/A</v>
      </c>
      <c r="AD111" s="74" t="str">
        <f t="shared" si="41"/>
        <v>0195-26</v>
      </c>
      <c r="AE111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11" s="66" t="str">
        <f t="shared" si="46"/>
        <v>"C:\Program Files (x86)\AstroGrep\AstroGrep.exe" /spath="C:\Users\stu\Documents\Analysis\2016-02-23 RTDC Observations" /stypes="*4018*20160726*" /stext=" 22:.+((SYSTEM_STATE.+slice.+state.+changed )|(ment ac)|(system.+state.+changed )|(\|lc)|(penalty)|(\[timeout)|(PRM\|1\|D))" /e /r /s</v>
      </c>
      <c r="AG111" s="1" t="str">
        <f t="shared" si="42"/>
        <v>EC</v>
      </c>
    </row>
    <row r="112" spans="1:33" x14ac:dyDescent="0.25">
      <c r="A112" s="45" t="s">
        <v>579</v>
      </c>
      <c r="B112" s="7">
        <v>4017</v>
      </c>
      <c r="C112" s="25" t="s">
        <v>248</v>
      </c>
      <c r="D112" s="25" t="s">
        <v>577</v>
      </c>
      <c r="E112" s="16">
        <v>42577.680648148147</v>
      </c>
      <c r="F112" s="16">
        <v>42577.681689814817</v>
      </c>
      <c r="G112" s="7">
        <v>1</v>
      </c>
      <c r="H112" s="16" t="s">
        <v>580</v>
      </c>
      <c r="I112" s="16">
        <v>42577.714050925926</v>
      </c>
      <c r="J112" s="7">
        <v>0</v>
      </c>
      <c r="K112" s="25" t="str">
        <f t="shared" si="43"/>
        <v>4017/4018</v>
      </c>
      <c r="L112" s="25" t="str">
        <f>VLOOKUP(A112,'Trips&amp;Operators'!$C$1:$E$10000,3,FALSE)</f>
        <v>YOUNG</v>
      </c>
      <c r="M112" s="6">
        <f t="shared" si="44"/>
        <v>3.2361111108912155E-2</v>
      </c>
      <c r="N112" s="7">
        <f t="shared" si="32"/>
        <v>46.599999996833503</v>
      </c>
      <c r="O112" s="7"/>
      <c r="P112" s="7"/>
      <c r="Q112" s="26"/>
      <c r="R112" s="26"/>
      <c r="S112" s="41">
        <f t="shared" si="33"/>
        <v>1</v>
      </c>
      <c r="T112" s="60" t="str">
        <f t="shared" si="34"/>
        <v>Southbound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15:20:08-0600',mode:absolute,to:'2016-07-26 18:08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65" t="str">
        <f t="shared" si="36"/>
        <v>N</v>
      </c>
      <c r="X112" s="83">
        <f t="shared" si="37"/>
        <v>1</v>
      </c>
      <c r="Y112" s="80">
        <f t="shared" si="38"/>
        <v>23.301100000000002</v>
      </c>
      <c r="Z112" s="80">
        <f t="shared" si="39"/>
        <v>1.8700000000000001E-2</v>
      </c>
      <c r="AA112" s="80">
        <f t="shared" si="40"/>
        <v>23.282400000000003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41"/>
        <v>0196-26</v>
      </c>
      <c r="AE112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12" s="66" t="str">
        <f t="shared" si="46"/>
        <v>"C:\Program Files (x86)\AstroGrep\AstroGrep.exe" /spath="C:\Users\stu\Documents\Analysis\2016-02-23 RTDC Observations" /stypes="*4017*20160726*" /stext=" 23:.+((SYSTEM_STATE.+slice.+state.+changed )|(ment ac)|(system.+state.+changed )|(\|lc)|(penalty)|(\[timeout)|(PRM\|1\|D))" /e /r /s</v>
      </c>
      <c r="AG112" s="1" t="str">
        <f t="shared" si="42"/>
        <v>EC</v>
      </c>
    </row>
    <row r="113" spans="1:33" x14ac:dyDescent="0.25">
      <c r="A113" s="45" t="s">
        <v>581</v>
      </c>
      <c r="B113" s="7">
        <v>4009</v>
      </c>
      <c r="C113" s="25" t="s">
        <v>248</v>
      </c>
      <c r="D113" s="25" t="s">
        <v>300</v>
      </c>
      <c r="E113" s="16">
        <v>42577.653935185182</v>
      </c>
      <c r="F113" s="16">
        <v>42577.655127314814</v>
      </c>
      <c r="G113" s="7">
        <v>1</v>
      </c>
      <c r="H113" s="16" t="s">
        <v>242</v>
      </c>
      <c r="I113" s="16">
        <v>42577.68346064815</v>
      </c>
      <c r="J113" s="7">
        <v>0</v>
      </c>
      <c r="K113" s="25" t="str">
        <f t="shared" si="43"/>
        <v>4009/4010</v>
      </c>
      <c r="L113" s="25" t="str">
        <f>VLOOKUP(A113,'Trips&amp;Operators'!$C$1:$E$10000,3,FALSE)</f>
        <v>MAYBERRY</v>
      </c>
      <c r="M113" s="6">
        <f t="shared" si="44"/>
        <v>2.8333333335467614E-2</v>
      </c>
      <c r="N113" s="7">
        <f t="shared" si="32"/>
        <v>40.800000003073364</v>
      </c>
      <c r="O113" s="7"/>
      <c r="P113" s="7"/>
      <c r="Q113" s="26"/>
      <c r="R113" s="26"/>
      <c r="S113" s="41">
        <f t="shared" si="33"/>
        <v>1</v>
      </c>
      <c r="T113" s="60" t="str">
        <f t="shared" si="34"/>
        <v>NorthBound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14:41:40-0600',mode:absolute,to:'2016-07-26 17:24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3" s="65" t="str">
        <f t="shared" si="36"/>
        <v>N</v>
      </c>
      <c r="X113" s="83">
        <f t="shared" si="37"/>
        <v>1</v>
      </c>
      <c r="Y113" s="80">
        <f t="shared" si="38"/>
        <v>4.3799999999999999E-2</v>
      </c>
      <c r="Z113" s="80">
        <f t="shared" si="39"/>
        <v>23.327400000000001</v>
      </c>
      <c r="AA113" s="80">
        <f t="shared" si="40"/>
        <v>23.2836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41"/>
        <v>0197-26</v>
      </c>
      <c r="AE113" s="66" t="str">
        <f t="shared" si="45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113" s="66" t="str">
        <f t="shared" si="46"/>
        <v>"C:\Program Files (x86)\AstroGrep\AstroGrep.exe" /spath="C:\Users\stu\Documents\Analysis\2016-02-23 RTDC Observations" /stypes="*4009*20160726*" /stext=" 22:.+((SYSTEM_STATE.+slice.+state.+changed )|(ment ac)|(system.+state.+changed )|(\|lc)|(penalty)|(\[timeout)|(PRM\|1\|D))" /e /r /s</v>
      </c>
      <c r="AG113" s="1" t="str">
        <f t="shared" si="42"/>
        <v>EC</v>
      </c>
    </row>
    <row r="114" spans="1:33" x14ac:dyDescent="0.25">
      <c r="A114" s="45" t="s">
        <v>582</v>
      </c>
      <c r="B114" s="7">
        <v>4010</v>
      </c>
      <c r="C114" s="25" t="s">
        <v>248</v>
      </c>
      <c r="D114" s="25" t="s">
        <v>531</v>
      </c>
      <c r="E114" s="16">
        <v>42577.685185185182</v>
      </c>
      <c r="F114" s="16">
        <v>42577.686840277776</v>
      </c>
      <c r="G114" s="7">
        <v>2</v>
      </c>
      <c r="H114" s="16" t="s">
        <v>100</v>
      </c>
      <c r="I114" s="16">
        <v>42577.721643518518</v>
      </c>
      <c r="J114" s="7">
        <v>0</v>
      </c>
      <c r="K114" s="25" t="str">
        <f t="shared" si="43"/>
        <v>4009/4010</v>
      </c>
      <c r="L114" s="25" t="str">
        <f>VLOOKUP(A114,'Trips&amp;Operators'!$C$1:$E$10000,3,FALSE)</f>
        <v>MAYBERRY</v>
      </c>
      <c r="M114" s="6">
        <f t="shared" si="44"/>
        <v>3.4803240741894115E-2</v>
      </c>
      <c r="N114" s="7">
        <f t="shared" si="32"/>
        <v>50.116666668327525</v>
      </c>
      <c r="O114" s="7"/>
      <c r="P114" s="7"/>
      <c r="Q114" s="26"/>
      <c r="R114" s="26"/>
      <c r="S114" s="41">
        <f t="shared" si="33"/>
        <v>1</v>
      </c>
      <c r="T114" s="60" t="str">
        <f t="shared" si="34"/>
        <v>Southbound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15:26:40-0600',mode:absolute,to:'2016-07-26 18:19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4" s="65" t="str">
        <f t="shared" si="36"/>
        <v>N</v>
      </c>
      <c r="X114" s="83">
        <f t="shared" si="37"/>
        <v>1</v>
      </c>
      <c r="Y114" s="80">
        <f t="shared" si="38"/>
        <v>23.297000000000001</v>
      </c>
      <c r="Z114" s="80">
        <f t="shared" si="39"/>
        <v>1.43E-2</v>
      </c>
      <c r="AA114" s="80">
        <f t="shared" si="40"/>
        <v>23.282700000000002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41"/>
        <v>0198-26</v>
      </c>
      <c r="AE114" s="66" t="str">
        <f t="shared" si="45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14" s="66" t="str">
        <f t="shared" si="46"/>
        <v>"C:\Program Files (x86)\AstroGrep\AstroGrep.exe" /spath="C:\Users\stu\Documents\Analysis\2016-02-23 RTDC Observations" /stypes="*4010*20160726*" /stext=" 23:.+((SYSTEM_STATE.+slice.+state.+changed )|(ment ac)|(system.+state.+changed )|(\|lc)|(penalty)|(\[timeout)|(PRM\|1\|D))" /e /r /s</v>
      </c>
      <c r="AG114" s="1" t="str">
        <f t="shared" si="42"/>
        <v>EC</v>
      </c>
    </row>
    <row r="115" spans="1:33" x14ac:dyDescent="0.25">
      <c r="A115" s="45" t="s">
        <v>583</v>
      </c>
      <c r="B115" s="7">
        <v>4020</v>
      </c>
      <c r="C115" s="25" t="s">
        <v>248</v>
      </c>
      <c r="D115" s="25" t="s">
        <v>251</v>
      </c>
      <c r="E115" s="16">
        <v>42577.663807870369</v>
      </c>
      <c r="F115" s="16">
        <v>42577.665011574078</v>
      </c>
      <c r="G115" s="7">
        <v>1</v>
      </c>
      <c r="H115" s="16" t="s">
        <v>260</v>
      </c>
      <c r="I115" s="16">
        <v>42577.692974537036</v>
      </c>
      <c r="J115" s="7">
        <v>0</v>
      </c>
      <c r="K115" s="25" t="str">
        <f t="shared" si="43"/>
        <v>4019/4020</v>
      </c>
      <c r="L115" s="25" t="str">
        <f>VLOOKUP(A115,'Trips&amp;Operators'!$C$1:$E$10000,3,FALSE)</f>
        <v>WEBSTER</v>
      </c>
      <c r="M115" s="6">
        <f t="shared" si="44"/>
        <v>2.7962962958554272E-2</v>
      </c>
      <c r="N115" s="7">
        <f t="shared" si="32"/>
        <v>40.266666660318151</v>
      </c>
      <c r="O115" s="7"/>
      <c r="P115" s="7"/>
      <c r="Q115" s="26"/>
      <c r="R115" s="26"/>
      <c r="S115" s="41">
        <f t="shared" si="33"/>
        <v>1</v>
      </c>
      <c r="T115" s="60" t="str">
        <f t="shared" si="34"/>
        <v>NorthBound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14:55:53-0600',mode:absolute,to:'2016-07-26 17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15" s="65" t="str">
        <f t="shared" si="36"/>
        <v>N</v>
      </c>
      <c r="X115" s="83">
        <f t="shared" si="37"/>
        <v>1</v>
      </c>
      <c r="Y115" s="80">
        <f t="shared" si="38"/>
        <v>4.4699999999999997E-2</v>
      </c>
      <c r="Z115" s="80">
        <f t="shared" si="39"/>
        <v>23.3307</v>
      </c>
      <c r="AA115" s="80">
        <f t="shared" si="40"/>
        <v>23.286000000000001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41"/>
        <v>0199-26</v>
      </c>
      <c r="AE115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15" s="66" t="str">
        <f t="shared" si="46"/>
        <v>"C:\Program Files (x86)\AstroGrep\AstroGrep.exe" /spath="C:\Users\stu\Documents\Analysis\2016-02-23 RTDC Observations" /stypes="*4020*20160726*" /stext=" 22:.+((SYSTEM_STATE.+slice.+state.+changed )|(ment ac)|(system.+state.+changed )|(\|lc)|(penalty)|(\[timeout)|(PRM\|1\|D))" /e /r /s</v>
      </c>
      <c r="AG115" s="1" t="str">
        <f t="shared" si="42"/>
        <v>EC</v>
      </c>
    </row>
    <row r="116" spans="1:33" x14ac:dyDescent="0.25">
      <c r="A116" s="45" t="s">
        <v>441</v>
      </c>
      <c r="B116" s="7">
        <v>4019</v>
      </c>
      <c r="C116" s="25" t="s">
        <v>248</v>
      </c>
      <c r="D116" s="25" t="s">
        <v>65</v>
      </c>
      <c r="E116" s="16">
        <v>42577.701041666667</v>
      </c>
      <c r="F116" s="16">
        <v>42577.702060185184</v>
      </c>
      <c r="G116" s="7">
        <v>1</v>
      </c>
      <c r="H116" s="16" t="s">
        <v>153</v>
      </c>
      <c r="I116" s="16">
        <v>42577.733981481484</v>
      </c>
      <c r="J116" s="7">
        <v>1</v>
      </c>
      <c r="K116" s="25" t="str">
        <f t="shared" si="43"/>
        <v>4019/4020</v>
      </c>
      <c r="L116" s="25" t="str">
        <f>VLOOKUP(A116,'Trips&amp;Operators'!$C$1:$E$10000,3,FALSE)</f>
        <v>WEBSTER</v>
      </c>
      <c r="M116" s="6">
        <f t="shared" si="44"/>
        <v>3.1921296300424729E-2</v>
      </c>
      <c r="N116" s="7">
        <f t="shared" si="32"/>
        <v>45.966666672611609</v>
      </c>
      <c r="O116" s="7"/>
      <c r="P116" s="7"/>
      <c r="Q116" s="26"/>
      <c r="R116" s="26"/>
      <c r="S116" s="41">
        <f t="shared" si="33"/>
        <v>1</v>
      </c>
      <c r="T116" s="60" t="str">
        <f t="shared" si="34"/>
        <v>Southbound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15:49:30-0600',mode:absolute,to:'2016-07-26 18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16" s="65" t="str">
        <f t="shared" si="36"/>
        <v>N</v>
      </c>
      <c r="X116" s="83">
        <f t="shared" si="37"/>
        <v>1</v>
      </c>
      <c r="Y116" s="80">
        <f t="shared" si="38"/>
        <v>23.297699999999999</v>
      </c>
      <c r="Z116" s="80">
        <f t="shared" si="39"/>
        <v>1.41E-2</v>
      </c>
      <c r="AA116" s="80">
        <f t="shared" si="40"/>
        <v>23.2836</v>
      </c>
      <c r="AB116" s="77">
        <f>VLOOKUP(A116,Enforcements!$C$7:$J$24,8,0)</f>
        <v>229055</v>
      </c>
      <c r="AC116" s="73" t="str">
        <f>VLOOKUP(A116,Enforcements!$C$7:$E$24,3,0)</f>
        <v>PERMANENT SPEED RESTRICTION</v>
      </c>
      <c r="AD116" s="74" t="str">
        <f t="shared" si="41"/>
        <v>0200-26</v>
      </c>
      <c r="AE116" s="66" t="str">
        <f t="shared" si="45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16" s="66" t="str">
        <f t="shared" si="46"/>
        <v>"C:\Program Files (x86)\AstroGrep\AstroGrep.exe" /spath="C:\Users\stu\Documents\Analysis\2016-02-23 RTDC Observations" /stypes="*4019*20160726*" /stext=" 23:.+((SYSTEM_STATE.+slice.+state.+changed )|(ment ac)|(system.+state.+changed )|(\|lc)|(penalty)|(\[timeout)|(PRM\|1\|D))" /e /r /s</v>
      </c>
      <c r="AG116" s="1" t="str">
        <f t="shared" si="42"/>
        <v>EC</v>
      </c>
    </row>
    <row r="117" spans="1:33" x14ac:dyDescent="0.25">
      <c r="A117" s="45" t="s">
        <v>584</v>
      </c>
      <c r="B117" s="7">
        <v>4029</v>
      </c>
      <c r="C117" s="25" t="s">
        <v>248</v>
      </c>
      <c r="D117" s="25" t="s">
        <v>585</v>
      </c>
      <c r="E117" s="16">
        <v>42577.672962962963</v>
      </c>
      <c r="F117" s="16">
        <v>42577.674143518518</v>
      </c>
      <c r="G117" s="7">
        <v>1</v>
      </c>
      <c r="H117" s="16" t="s">
        <v>243</v>
      </c>
      <c r="I117" s="16">
        <v>42577.703020833331</v>
      </c>
      <c r="J117" s="7">
        <v>0</v>
      </c>
      <c r="K117" s="25" t="str">
        <f t="shared" si="43"/>
        <v>4029/4030</v>
      </c>
      <c r="L117" s="25" t="str">
        <f>VLOOKUP(A117,'Trips&amp;Operators'!$C$1:$E$10000,3,FALSE)</f>
        <v>BARTLETT</v>
      </c>
      <c r="M117" s="6">
        <f t="shared" si="44"/>
        <v>2.8877314813144039E-2</v>
      </c>
      <c r="N117" s="7">
        <f t="shared" si="32"/>
        <v>41.583333330927417</v>
      </c>
      <c r="O117" s="7"/>
      <c r="P117" s="7"/>
      <c r="Q117" s="26"/>
      <c r="R117" s="26"/>
      <c r="S117" s="41">
        <f t="shared" si="33"/>
        <v>1</v>
      </c>
      <c r="T117" s="60" t="str">
        <f t="shared" si="34"/>
        <v>NorthBound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15:09:04-0600',mode:absolute,to:'2016-07-26 17:52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7" s="65" t="str">
        <f t="shared" si="36"/>
        <v>N</v>
      </c>
      <c r="X117" s="83">
        <f t="shared" si="37"/>
        <v>1</v>
      </c>
      <c r="Y117" s="80">
        <f t="shared" si="38"/>
        <v>5.5300000000000002E-2</v>
      </c>
      <c r="Z117" s="80">
        <f t="shared" si="39"/>
        <v>23.328499999999998</v>
      </c>
      <c r="AA117" s="80">
        <f t="shared" si="40"/>
        <v>23.273199999999999</v>
      </c>
      <c r="AB117" s="77" t="e">
        <f>VLOOKUP(A117,Enforcements!$C$7:$J$24,8,0)</f>
        <v>#N/A</v>
      </c>
      <c r="AC117" s="73" t="e">
        <f>VLOOKUP(A117,Enforcements!$C$7:$E$24,3,0)</f>
        <v>#N/A</v>
      </c>
      <c r="AD117" s="74" t="str">
        <f t="shared" si="41"/>
        <v>0201-26</v>
      </c>
      <c r="AE117" s="66" t="str">
        <f t="shared" si="45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17" s="66" t="str">
        <f t="shared" si="46"/>
        <v>"C:\Program Files (x86)\AstroGrep\AstroGrep.exe" /spath="C:\Users\stu\Documents\Analysis\2016-02-23 RTDC Observations" /stypes="*4029*20160726*" /stext=" 22:.+((SYSTEM_STATE.+slice.+state.+changed )|(ment ac)|(system.+state.+changed )|(\|lc)|(penalty)|(\[timeout)|(PRM\|1\|D))" /e /r /s</v>
      </c>
      <c r="AG117" s="1" t="str">
        <f t="shared" si="42"/>
        <v>EC</v>
      </c>
    </row>
    <row r="118" spans="1:33" x14ac:dyDescent="0.25">
      <c r="A118" s="45" t="s">
        <v>586</v>
      </c>
      <c r="B118" s="7">
        <v>4030</v>
      </c>
      <c r="C118" s="25" t="s">
        <v>248</v>
      </c>
      <c r="D118" s="25" t="s">
        <v>587</v>
      </c>
      <c r="E118" s="16">
        <v>42577.706400462965</v>
      </c>
      <c r="F118" s="16">
        <v>42577.707384259258</v>
      </c>
      <c r="G118" s="7">
        <v>1</v>
      </c>
      <c r="H118" s="16" t="s">
        <v>290</v>
      </c>
      <c r="I118" s="16">
        <v>42577.744004629632</v>
      </c>
      <c r="J118" s="7">
        <v>0</v>
      </c>
      <c r="K118" s="25" t="str">
        <f t="shared" si="43"/>
        <v>4029/4030</v>
      </c>
      <c r="L118" s="25" t="str">
        <f>VLOOKUP(A118,'Trips&amp;Operators'!$C$1:$E$10000,3,FALSE)</f>
        <v>BARTLETT</v>
      </c>
      <c r="M118" s="6">
        <f t="shared" si="44"/>
        <v>3.6620370374293998E-2</v>
      </c>
      <c r="N118" s="7">
        <f t="shared" si="32"/>
        <v>52.733333338983357</v>
      </c>
      <c r="O118" s="7"/>
      <c r="P118" s="7"/>
      <c r="Q118" s="26"/>
      <c r="R118" s="26"/>
      <c r="S118" s="41">
        <f t="shared" si="33"/>
        <v>1</v>
      </c>
      <c r="T118" s="60" t="str">
        <f t="shared" si="34"/>
        <v>Southbound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15:57:13-0600',mode:absolute,to:'2016-07-26 18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8" s="65" t="str">
        <f t="shared" si="36"/>
        <v>N</v>
      </c>
      <c r="X118" s="83">
        <f t="shared" si="37"/>
        <v>1</v>
      </c>
      <c r="Y118" s="80">
        <f t="shared" si="38"/>
        <v>23.295999999999999</v>
      </c>
      <c r="Z118" s="80">
        <f t="shared" si="39"/>
        <v>4.6600000000000003E-2</v>
      </c>
      <c r="AA118" s="80">
        <f t="shared" si="40"/>
        <v>23.249399999999998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41"/>
        <v>0202-26</v>
      </c>
      <c r="AE118" s="66" t="str">
        <f t="shared" si="45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18" s="66" t="str">
        <f t="shared" si="46"/>
        <v>"C:\Program Files (x86)\AstroGrep\AstroGrep.exe" /spath="C:\Users\stu\Documents\Analysis\2016-02-23 RTDC Observations" /stypes="*4030*20160726*" /stext=" 23:.+((SYSTEM_STATE.+slice.+state.+changed )|(ment ac)|(system.+state.+changed )|(\|lc)|(penalty)|(\[timeout)|(PRM\|1\|D))" /e /r /s</v>
      </c>
      <c r="AG118" s="1" t="str">
        <f t="shared" si="42"/>
        <v>EC</v>
      </c>
    </row>
    <row r="119" spans="1:33" x14ac:dyDescent="0.25">
      <c r="A119" s="45" t="s">
        <v>443</v>
      </c>
      <c r="B119" s="7">
        <v>4025</v>
      </c>
      <c r="C119" s="25" t="s">
        <v>248</v>
      </c>
      <c r="D119" s="25" t="s">
        <v>302</v>
      </c>
      <c r="E119" s="16">
        <v>42577.684594907405</v>
      </c>
      <c r="F119" s="16">
        <v>42577.685335648152</v>
      </c>
      <c r="G119" s="7">
        <v>1</v>
      </c>
      <c r="H119" s="16" t="s">
        <v>588</v>
      </c>
      <c r="I119" s="16">
        <v>42577.713634259257</v>
      </c>
      <c r="J119" s="7">
        <v>1</v>
      </c>
      <c r="K119" s="25" t="str">
        <f t="shared" si="43"/>
        <v>4025/4026</v>
      </c>
      <c r="L119" s="25" t="str">
        <f>VLOOKUP(A119,'Trips&amp;Operators'!$C$1:$E$10000,3,FALSE)</f>
        <v>STEWART</v>
      </c>
      <c r="M119" s="6">
        <f t="shared" si="44"/>
        <v>2.8298611105128657E-2</v>
      </c>
      <c r="N119" s="7">
        <f t="shared" si="32"/>
        <v>40.749999991385266</v>
      </c>
      <c r="O119" s="7"/>
      <c r="P119" s="7"/>
      <c r="Q119" s="26"/>
      <c r="R119" s="26"/>
      <c r="S119" s="41">
        <f t="shared" si="33"/>
        <v>1</v>
      </c>
      <c r="T119" s="60" t="str">
        <f t="shared" si="34"/>
        <v>NorthBound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15:25:49-0600',mode:absolute,to:'2016-07-26 18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19" s="65" t="str">
        <f t="shared" si="36"/>
        <v>N</v>
      </c>
      <c r="X119" s="83">
        <f t="shared" si="37"/>
        <v>1</v>
      </c>
      <c r="Y119" s="80">
        <f t="shared" si="38"/>
        <v>4.6899999999999997E-2</v>
      </c>
      <c r="Z119" s="80">
        <f t="shared" si="39"/>
        <v>23.3263</v>
      </c>
      <c r="AA119" s="80">
        <f t="shared" si="40"/>
        <v>23.279399999999999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41"/>
        <v>0203-26</v>
      </c>
      <c r="AE119" s="66" t="str">
        <f t="shared" si="45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19" s="66" t="str">
        <f t="shared" si="46"/>
        <v>"C:\Program Files (x86)\AstroGrep\AstroGrep.exe" /spath="C:\Users\stu\Documents\Analysis\2016-02-23 RTDC Observations" /stypes="*4025*20160726*" /stext=" 23:.+((SYSTEM_STATE.+slice.+state.+changed )|(ment ac)|(system.+state.+changed )|(\|lc)|(penalty)|(\[timeout)|(PRM\|1\|D))" /e /r /s</v>
      </c>
      <c r="AG119" s="1" t="str">
        <f t="shared" si="42"/>
        <v>EC</v>
      </c>
    </row>
    <row r="120" spans="1:33" x14ac:dyDescent="0.25">
      <c r="A120" s="45" t="s">
        <v>444</v>
      </c>
      <c r="B120" s="7">
        <v>4026</v>
      </c>
      <c r="C120" s="25" t="s">
        <v>248</v>
      </c>
      <c r="D120" s="25" t="s">
        <v>589</v>
      </c>
      <c r="E120" s="16">
        <v>42577.724282407406</v>
      </c>
      <c r="F120" s="16">
        <v>42577.725208333337</v>
      </c>
      <c r="G120" s="7">
        <v>1</v>
      </c>
      <c r="H120" s="16" t="s">
        <v>100</v>
      </c>
      <c r="I120" s="16">
        <v>42577.755173611113</v>
      </c>
      <c r="J120" s="7">
        <v>1</v>
      </c>
      <c r="K120" s="25" t="str">
        <f t="shared" si="43"/>
        <v>4025/4026</v>
      </c>
      <c r="L120" s="25" t="str">
        <f>VLOOKUP(A120,'Trips&amp;Operators'!$C$1:$E$10000,3,FALSE)</f>
        <v>STEWART</v>
      </c>
      <c r="M120" s="6">
        <f t="shared" si="44"/>
        <v>2.9965277775772847E-2</v>
      </c>
      <c r="N120" s="7">
        <f t="shared" si="32"/>
        <v>43.1499999971129</v>
      </c>
      <c r="O120" s="7"/>
      <c r="P120" s="7"/>
      <c r="Q120" s="26"/>
      <c r="R120" s="26"/>
      <c r="S120" s="41">
        <f t="shared" si="33"/>
        <v>1</v>
      </c>
      <c r="T120" s="60" t="str">
        <f t="shared" si="34"/>
        <v>Southbound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16:22:58-0600',mode:absolute,to:'2016-07-26 19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20" s="65" t="str">
        <f t="shared" si="36"/>
        <v>N</v>
      </c>
      <c r="X120" s="83">
        <f t="shared" si="37"/>
        <v>1</v>
      </c>
      <c r="Y120" s="80">
        <f t="shared" si="38"/>
        <v>23.293199999999999</v>
      </c>
      <c r="Z120" s="80">
        <f t="shared" si="39"/>
        <v>1.43E-2</v>
      </c>
      <c r="AA120" s="80">
        <f t="shared" si="40"/>
        <v>23.2789</v>
      </c>
      <c r="AB120" s="77">
        <f>VLOOKUP(A120,Enforcements!$C$7:$J$24,8,0)</f>
        <v>127587</v>
      </c>
      <c r="AC120" s="73" t="str">
        <f>VLOOKUP(A120,Enforcements!$C$7:$E$24,3,0)</f>
        <v>SIGNAL</v>
      </c>
      <c r="AD120" s="74" t="str">
        <f t="shared" si="41"/>
        <v>0204-26</v>
      </c>
      <c r="AE120" s="66" t="str">
        <f t="shared" si="45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20" s="66" t="str">
        <f t="shared" si="46"/>
        <v>"C:\Program Files (x86)\AstroGrep\AstroGrep.exe" /spath="C:\Users\stu\Documents\Analysis\2016-02-23 RTDC Observations" /stypes="*4026*20160727*" /stext=" 00:.+((SYSTEM_STATE.+slice.+state.+changed )|(ment ac)|(system.+state.+changed )|(\|lc)|(penalty)|(\[timeout)|(PRM\|1\|D))" /e /r /s</v>
      </c>
      <c r="AG120" s="1" t="str">
        <f t="shared" si="42"/>
        <v>EC</v>
      </c>
    </row>
    <row r="121" spans="1:33" s="24" customFormat="1" x14ac:dyDescent="0.25">
      <c r="A121" s="45" t="s">
        <v>442</v>
      </c>
      <c r="B121" s="7">
        <v>4042</v>
      </c>
      <c r="C121" s="25" t="s">
        <v>248</v>
      </c>
      <c r="D121" s="25" t="s">
        <v>64</v>
      </c>
      <c r="E121" s="16">
        <v>42577.6955787037</v>
      </c>
      <c r="F121" s="16">
        <v>42577.698055555556</v>
      </c>
      <c r="G121" s="7">
        <v>3</v>
      </c>
      <c r="H121" s="16" t="s">
        <v>299</v>
      </c>
      <c r="I121" s="16">
        <v>42577.722974537035</v>
      </c>
      <c r="J121" s="7">
        <v>1</v>
      </c>
      <c r="K121" s="25" t="str">
        <f t="shared" si="43"/>
        <v>4041/4042</v>
      </c>
      <c r="L121" s="25" t="str">
        <f>VLOOKUP(A121,'Trips&amp;Operators'!$C$1:$E$10000,3,FALSE)</f>
        <v>LOCKLEAR</v>
      </c>
      <c r="M121" s="6">
        <f t="shared" si="44"/>
        <v>2.491898147854954E-2</v>
      </c>
      <c r="N121" s="7">
        <f t="shared" si="32"/>
        <v>35.883333329111338</v>
      </c>
      <c r="O121" s="7"/>
      <c r="P121" s="7"/>
      <c r="Q121" s="26"/>
      <c r="R121" s="26"/>
      <c r="S121" s="41">
        <f t="shared" si="33"/>
        <v>1</v>
      </c>
      <c r="T121" s="60" t="str">
        <f t="shared" si="34"/>
        <v>NorthBound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15:41:38-0600',mode:absolute,to:'2016-07-26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21" s="65" t="str">
        <f t="shared" si="36"/>
        <v>N</v>
      </c>
      <c r="X121" s="83">
        <f t="shared" si="37"/>
        <v>1</v>
      </c>
      <c r="Y121" s="80">
        <f t="shared" si="38"/>
        <v>4.5999999999999999E-2</v>
      </c>
      <c r="Z121" s="80">
        <f t="shared" si="39"/>
        <v>23.332100000000001</v>
      </c>
      <c r="AA121" s="80">
        <f t="shared" si="40"/>
        <v>23.286100000000001</v>
      </c>
      <c r="AB121" s="77">
        <f>VLOOKUP(A121,Enforcements!$C$7:$J$24,8,0)</f>
        <v>119716</v>
      </c>
      <c r="AC121" s="73" t="str">
        <f>VLOOKUP(A121,Enforcements!$C$7:$E$24,3,0)</f>
        <v>PERMANENT SPEED RESTRICTION</v>
      </c>
      <c r="AD121" s="74" t="str">
        <f t="shared" si="41"/>
        <v>0205-26</v>
      </c>
      <c r="AE121" s="66" t="str">
        <f t="shared" si="45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21" s="66" t="str">
        <f t="shared" si="46"/>
        <v>"C:\Program Files (x86)\AstroGrep\AstroGrep.exe" /spath="C:\Users\stu\Documents\Analysis\2016-02-23 RTDC Observations" /stypes="*4042*20160726*" /stext=" 23:.+((SYSTEM_STATE.+slice.+state.+changed )|(ment ac)|(system.+state.+changed )|(\|lc)|(penalty)|(\[timeout)|(PRM\|1\|D))" /e /r /s</v>
      </c>
      <c r="AG121" s="1" t="str">
        <f t="shared" si="42"/>
        <v>EC</v>
      </c>
    </row>
    <row r="122" spans="1:33" s="24" customFormat="1" x14ac:dyDescent="0.25">
      <c r="A122" s="45" t="s">
        <v>445</v>
      </c>
      <c r="B122" s="7">
        <v>4041</v>
      </c>
      <c r="C122" s="25" t="s">
        <v>248</v>
      </c>
      <c r="D122" s="25" t="s">
        <v>590</v>
      </c>
      <c r="E122" s="16">
        <v>42577.734837962962</v>
      </c>
      <c r="F122" s="16">
        <v>42577.735833333332</v>
      </c>
      <c r="G122" s="7">
        <v>1</v>
      </c>
      <c r="H122" s="16" t="s">
        <v>110</v>
      </c>
      <c r="I122" s="16">
        <v>42577.765081018515</v>
      </c>
      <c r="J122" s="7">
        <v>1</v>
      </c>
      <c r="K122" s="25" t="str">
        <f t="shared" si="43"/>
        <v>4041/4042</v>
      </c>
      <c r="L122" s="25" t="str">
        <f>VLOOKUP(A122,'Trips&amp;Operators'!$C$1:$E$10000,3,FALSE)</f>
        <v>LOCKLEAR</v>
      </c>
      <c r="M122" s="6">
        <f t="shared" si="44"/>
        <v>2.9247685182781424E-2</v>
      </c>
      <c r="N122" s="7">
        <f t="shared" si="32"/>
        <v>42.116666663205251</v>
      </c>
      <c r="O122" s="7"/>
      <c r="P122" s="7"/>
      <c r="Q122" s="26"/>
      <c r="R122" s="26"/>
      <c r="S122" s="41">
        <f t="shared" si="33"/>
        <v>1</v>
      </c>
      <c r="T122" s="60" t="str">
        <f t="shared" si="34"/>
        <v>Southbound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16:38:10-0600',mode:absolute,to:'2016-07-26 19:21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22" s="65" t="str">
        <f t="shared" si="36"/>
        <v>N</v>
      </c>
      <c r="X122" s="83">
        <f t="shared" si="37"/>
        <v>1</v>
      </c>
      <c r="Y122" s="80">
        <f t="shared" si="38"/>
        <v>23.3019</v>
      </c>
      <c r="Z122" s="80">
        <f t="shared" si="39"/>
        <v>1.5599999999999999E-2</v>
      </c>
      <c r="AA122" s="80">
        <f t="shared" si="40"/>
        <v>23.286300000000001</v>
      </c>
      <c r="AB122" s="77">
        <f>VLOOKUP(A122,Enforcements!$C$7:$J$24,8,0)</f>
        <v>127587</v>
      </c>
      <c r="AC122" s="73" t="str">
        <f>VLOOKUP(A122,Enforcements!$C$7:$E$24,3,0)</f>
        <v>SIGNAL</v>
      </c>
      <c r="AD122" s="74" t="str">
        <f t="shared" si="41"/>
        <v>0206-26</v>
      </c>
      <c r="AE122" s="66" t="str">
        <f t="shared" si="45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22" s="66" t="str">
        <f t="shared" si="46"/>
        <v>"C:\Program Files (x86)\AstroGrep\AstroGrep.exe" /spath="C:\Users\stu\Documents\Analysis\2016-02-23 RTDC Observations" /stypes="*4041*20160727*" /stext=" 00:.+((SYSTEM_STATE.+slice.+state.+changed )|(ment ac)|(system.+state.+changed )|(\|lc)|(penalty)|(\[timeout)|(PRM\|1\|D))" /e /r /s</v>
      </c>
      <c r="AG122" s="1" t="str">
        <f t="shared" si="42"/>
        <v>EC</v>
      </c>
    </row>
    <row r="123" spans="1:33" s="24" customFormat="1" x14ac:dyDescent="0.25">
      <c r="A123" s="45" t="s">
        <v>591</v>
      </c>
      <c r="B123" s="7">
        <v>4031</v>
      </c>
      <c r="C123" s="25" t="s">
        <v>248</v>
      </c>
      <c r="D123" s="25" t="s">
        <v>290</v>
      </c>
      <c r="E123" s="16">
        <v>42577.704664351855</v>
      </c>
      <c r="F123" s="16">
        <v>42577.705659722225</v>
      </c>
      <c r="G123" s="7">
        <v>1</v>
      </c>
      <c r="H123" s="16" t="s">
        <v>592</v>
      </c>
      <c r="I123" s="16">
        <v>42577.734965277778</v>
      </c>
      <c r="J123" s="7">
        <v>0</v>
      </c>
      <c r="K123" s="25" t="str">
        <f t="shared" si="43"/>
        <v>4031/4032</v>
      </c>
      <c r="L123" s="25" t="str">
        <f>VLOOKUP(A123,'Trips&amp;Operators'!$C$1:$E$10000,3,FALSE)</f>
        <v>BONDS</v>
      </c>
      <c r="M123" s="6">
        <f t="shared" si="44"/>
        <v>2.9305555552127771E-2</v>
      </c>
      <c r="N123" s="7">
        <f t="shared" si="32"/>
        <v>42.19999999506399</v>
      </c>
      <c r="O123" s="7"/>
      <c r="P123" s="7"/>
      <c r="Q123" s="26"/>
      <c r="R123" s="26"/>
      <c r="S123" s="41">
        <f t="shared" si="33"/>
        <v>1</v>
      </c>
      <c r="T123" s="60" t="str">
        <f t="shared" si="34"/>
        <v>NorthBound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15:54:43-0600',mode:absolute,to:'2016-07-26 18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3" s="65" t="str">
        <f t="shared" si="36"/>
        <v>N</v>
      </c>
      <c r="X123" s="83">
        <f t="shared" si="37"/>
        <v>1</v>
      </c>
      <c r="Y123" s="80">
        <f t="shared" si="38"/>
        <v>4.6600000000000003E-2</v>
      </c>
      <c r="Z123" s="80">
        <f t="shared" si="39"/>
        <v>23.3322</v>
      </c>
      <c r="AA123" s="80">
        <f t="shared" si="40"/>
        <v>23.285599999999999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41"/>
        <v>0207-26</v>
      </c>
      <c r="AE123" s="66" t="str">
        <f t="shared" si="45"/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AF123" s="66" t="str">
        <f t="shared" si="46"/>
        <v>"C:\Program Files (x86)\AstroGrep\AstroGrep.exe" /spath="C:\Users\stu\Documents\Analysis\2016-02-23 RTDC Observations" /stypes="*4031*20160726*" /stext=" 23:.+((SYSTEM_STATE.+slice.+state.+changed )|(ment ac)|(system.+state.+changed )|(\|lc)|(penalty)|(\[timeout)|(PRM\|1\|D))" /e /r /s</v>
      </c>
      <c r="AG123" s="1" t="str">
        <f t="shared" si="42"/>
        <v>EC</v>
      </c>
    </row>
    <row r="124" spans="1:33" s="24" customFormat="1" x14ac:dyDescent="0.25">
      <c r="A124" s="45" t="s">
        <v>446</v>
      </c>
      <c r="B124" s="7">
        <v>4032</v>
      </c>
      <c r="C124" s="25" t="s">
        <v>248</v>
      </c>
      <c r="D124" s="25" t="s">
        <v>483</v>
      </c>
      <c r="E124" s="16">
        <v>42577.739652777775</v>
      </c>
      <c r="F124" s="16">
        <v>42577.740324074075</v>
      </c>
      <c r="G124" s="7">
        <v>0</v>
      </c>
      <c r="H124" s="16" t="s">
        <v>294</v>
      </c>
      <c r="I124" s="16">
        <v>42577.77716435185</v>
      </c>
      <c r="J124" s="7">
        <v>1</v>
      </c>
      <c r="K124" s="25" t="str">
        <f t="shared" si="43"/>
        <v>4031/4032</v>
      </c>
      <c r="L124" s="25" t="str">
        <f>VLOOKUP(A124,'Trips&amp;Operators'!$C$1:$E$10000,3,FALSE)</f>
        <v>BONDS</v>
      </c>
      <c r="M124" s="6">
        <f t="shared" si="44"/>
        <v>3.6840277774899732E-2</v>
      </c>
      <c r="N124" s="7">
        <f t="shared" si="32"/>
        <v>53.049999995855615</v>
      </c>
      <c r="O124" s="7"/>
      <c r="P124" s="7"/>
      <c r="Q124" s="26"/>
      <c r="R124" s="26"/>
      <c r="S124" s="41">
        <f t="shared" si="33"/>
        <v>1</v>
      </c>
      <c r="T124" s="60" t="str">
        <f t="shared" si="34"/>
        <v>Southbound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16:45:06-0600',mode:absolute,to:'2016-07-26 19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24" s="65" t="str">
        <f t="shared" si="36"/>
        <v>N</v>
      </c>
      <c r="X124" s="83">
        <f t="shared" si="37"/>
        <v>1</v>
      </c>
      <c r="Y124" s="80">
        <f t="shared" si="38"/>
        <v>23.3005</v>
      </c>
      <c r="Z124" s="80">
        <f t="shared" si="39"/>
        <v>1.2699999999999999E-2</v>
      </c>
      <c r="AA124" s="80">
        <f t="shared" si="40"/>
        <v>23.287800000000001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41"/>
        <v>0208-26</v>
      </c>
      <c r="AE124" s="66" t="str">
        <f t="shared" si="45"/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AF124" s="66" t="str">
        <f t="shared" si="46"/>
        <v>"C:\Program Files (x86)\AstroGrep\AstroGrep.exe" /spath="C:\Users\stu\Documents\Analysis\2016-02-23 RTDC Observations" /stypes="*4032*20160727*" /stext=" 00:.+((SYSTEM_STATE.+slice.+state.+changed )|(ment ac)|(system.+state.+changed )|(\|lc)|(penalty)|(\[timeout)|(PRM\|1\|D))" /e /r /s</v>
      </c>
      <c r="AG124" s="1" t="str">
        <f t="shared" si="42"/>
        <v>EC</v>
      </c>
    </row>
    <row r="125" spans="1:33" s="24" customFormat="1" x14ac:dyDescent="0.25">
      <c r="A125" s="45" t="s">
        <v>593</v>
      </c>
      <c r="B125" s="7">
        <v>4018</v>
      </c>
      <c r="C125" s="25" t="s">
        <v>248</v>
      </c>
      <c r="D125" s="25" t="s">
        <v>594</v>
      </c>
      <c r="E125" s="16">
        <v>42577.717986111114</v>
      </c>
      <c r="F125" s="16">
        <v>42577.720405092594</v>
      </c>
      <c r="G125" s="7">
        <v>3</v>
      </c>
      <c r="H125" s="16" t="s">
        <v>565</v>
      </c>
      <c r="I125" s="16">
        <v>42577.746307870373</v>
      </c>
      <c r="J125" s="7">
        <v>0</v>
      </c>
      <c r="K125" s="25" t="str">
        <f t="shared" si="43"/>
        <v>4017/4018</v>
      </c>
      <c r="L125" s="25" t="str">
        <f>VLOOKUP(A125,'Trips&amp;Operators'!$C$1:$E$10000,3,FALSE)</f>
        <v>LEVERE</v>
      </c>
      <c r="M125" s="6">
        <f t="shared" si="44"/>
        <v>2.5902777779265307E-2</v>
      </c>
      <c r="N125" s="7">
        <f t="shared" si="32"/>
        <v>37.300000002142042</v>
      </c>
      <c r="O125" s="7"/>
      <c r="P125" s="7"/>
      <c r="Q125" s="26"/>
      <c r="R125" s="26"/>
      <c r="S125" s="41">
        <f t="shared" si="33"/>
        <v>1</v>
      </c>
      <c r="T125" s="60" t="str">
        <f t="shared" si="34"/>
        <v>NorthBound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16:13:54-0600',mode:absolute,to:'2016-07-26 18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5" s="65" t="str">
        <f t="shared" si="36"/>
        <v>N</v>
      </c>
      <c r="X125" s="83">
        <f t="shared" si="37"/>
        <v>1</v>
      </c>
      <c r="Y125" s="80">
        <f t="shared" si="38"/>
        <v>5.0599999999999999E-2</v>
      </c>
      <c r="Z125" s="80">
        <f t="shared" si="39"/>
        <v>23.3278</v>
      </c>
      <c r="AA125" s="80">
        <f t="shared" si="40"/>
        <v>23.277200000000001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41"/>
        <v>0209-26</v>
      </c>
      <c r="AE125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25" s="66" t="str">
        <f t="shared" si="46"/>
        <v>"C:\Program Files (x86)\AstroGrep\AstroGrep.exe" /spath="C:\Users\stu\Documents\Analysis\2016-02-23 RTDC Observations" /stypes="*4018*20160726*" /stext=" 23:.+((SYSTEM_STATE.+slice.+state.+changed )|(ment ac)|(system.+state.+changed )|(\|lc)|(penalty)|(\[timeout)|(PRM\|1\|D))" /e /r /s</v>
      </c>
      <c r="AG125" s="1" t="str">
        <f t="shared" si="42"/>
        <v>EC</v>
      </c>
    </row>
    <row r="126" spans="1:33" s="24" customFormat="1" x14ac:dyDescent="0.25">
      <c r="A126" s="45" t="s">
        <v>595</v>
      </c>
      <c r="B126" s="7">
        <v>4017</v>
      </c>
      <c r="C126" s="25" t="s">
        <v>248</v>
      </c>
      <c r="D126" s="25" t="s">
        <v>596</v>
      </c>
      <c r="E126" s="16">
        <v>42577.751319444447</v>
      </c>
      <c r="F126" s="16">
        <v>42577.752152777779</v>
      </c>
      <c r="G126" s="7">
        <v>1</v>
      </c>
      <c r="H126" s="16" t="s">
        <v>267</v>
      </c>
      <c r="I126" s="16">
        <v>42577.784456018519</v>
      </c>
      <c r="J126" s="7">
        <v>0</v>
      </c>
      <c r="K126" s="25" t="str">
        <f t="shared" si="43"/>
        <v>4017/4018</v>
      </c>
      <c r="L126" s="25" t="str">
        <f>VLOOKUP(A126,'Trips&amp;Operators'!$C$1:$E$10000,3,FALSE)</f>
        <v>LEVERE</v>
      </c>
      <c r="M126" s="6">
        <f t="shared" si="44"/>
        <v>3.2303240739565808E-2</v>
      </c>
      <c r="N126" s="7">
        <f t="shared" si="32"/>
        <v>46.516666664974764</v>
      </c>
      <c r="O126" s="7"/>
      <c r="P126" s="7"/>
      <c r="Q126" s="26"/>
      <c r="R126" s="26"/>
      <c r="S126" s="41">
        <f t="shared" si="33"/>
        <v>1</v>
      </c>
      <c r="T126" s="60" t="str">
        <f t="shared" si="34"/>
        <v>Southbound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17:01:54-0600',mode:absolute,to:'2016-07-26 19:49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6" s="65" t="str">
        <f t="shared" si="36"/>
        <v>N</v>
      </c>
      <c r="X126" s="83">
        <f t="shared" si="37"/>
        <v>1</v>
      </c>
      <c r="Y126" s="80">
        <f t="shared" si="38"/>
        <v>23.296199999999999</v>
      </c>
      <c r="Z126" s="80">
        <f t="shared" si="39"/>
        <v>1.67E-2</v>
      </c>
      <c r="AA126" s="80">
        <f t="shared" si="40"/>
        <v>23.279499999999999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41"/>
        <v>0210-26</v>
      </c>
      <c r="AE126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26" s="66" t="str">
        <f t="shared" si="46"/>
        <v>"C:\Program Files (x86)\AstroGrep\AstroGrep.exe" /spath="C:\Users\stu\Documents\Analysis\2016-02-23 RTDC Observations" /stypes="*4017*20160727*" /stext=" 00:.+((SYSTEM_STATE.+slice.+state.+changed )|(ment ac)|(system.+state.+changed )|(\|lc)|(penalty)|(\[timeout)|(PRM\|1\|D))" /e /r /s</v>
      </c>
      <c r="AG126" s="1" t="str">
        <f t="shared" si="42"/>
        <v>EC</v>
      </c>
    </row>
    <row r="127" spans="1:33" s="24" customFormat="1" x14ac:dyDescent="0.25">
      <c r="A127" s="45" t="s">
        <v>597</v>
      </c>
      <c r="B127" s="7">
        <v>4009</v>
      </c>
      <c r="C127" s="25" t="s">
        <v>248</v>
      </c>
      <c r="D127" s="25" t="s">
        <v>228</v>
      </c>
      <c r="E127" s="16">
        <v>42577.724988425929</v>
      </c>
      <c r="F127" s="16">
        <v>42577.726064814815</v>
      </c>
      <c r="G127" s="7">
        <v>1</v>
      </c>
      <c r="H127" s="16" t="s">
        <v>163</v>
      </c>
      <c r="I127" s="16">
        <v>42577.757233796299</v>
      </c>
      <c r="J127" s="7">
        <v>0</v>
      </c>
      <c r="K127" s="25" t="str">
        <f t="shared" si="43"/>
        <v>4009/4010</v>
      </c>
      <c r="L127" s="25" t="str">
        <f>VLOOKUP(A127,'Trips&amp;Operators'!$C$1:$E$10000,3,FALSE)</f>
        <v>YOUNG</v>
      </c>
      <c r="M127" s="6">
        <f t="shared" si="44"/>
        <v>3.1168981484370306E-2</v>
      </c>
      <c r="N127" s="7">
        <f t="shared" si="32"/>
        <v>44.883333337493241</v>
      </c>
      <c r="O127" s="7"/>
      <c r="P127" s="7"/>
      <c r="Q127" s="26"/>
      <c r="R127" s="26"/>
      <c r="S127" s="41">
        <f t="shared" si="33"/>
        <v>1</v>
      </c>
      <c r="T127" s="60" t="str">
        <f t="shared" si="34"/>
        <v>NorthBound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16:23:59-0600',mode:absolute,to:'2016-07-26 19:10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7" s="65" t="str">
        <f t="shared" si="36"/>
        <v>N</v>
      </c>
      <c r="X127" s="83">
        <f t="shared" si="37"/>
        <v>1</v>
      </c>
      <c r="Y127" s="80">
        <f t="shared" si="38"/>
        <v>4.53E-2</v>
      </c>
      <c r="Z127" s="80">
        <f t="shared" si="39"/>
        <v>23.330300000000001</v>
      </c>
      <c r="AA127" s="80">
        <f t="shared" si="40"/>
        <v>23.285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41"/>
        <v>0211-26</v>
      </c>
      <c r="AE127" s="66" t="str">
        <f t="shared" si="45"/>
        <v>aws s3 cp s3://rtdc.mdm.uploadarchive/RTDC4009/2016-07-26/ "C:\Users\stu\Documents\Analysis\2016-02-23 RTDC Observations"\RTDC4009\2016-07-26 --recursive &amp; "C:\Users\stu\Documents\GitHub\mrs-test-scripts\Headless Mode &amp; Sideloading\WalkAndUnGZ.bat" "C:\Users\stu\Documents\Analysis\2016-02-23 RTDC Observations"\RTDC4009\2016-07-26 &amp; 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</v>
      </c>
      <c r="AF127" s="66" t="str">
        <f t="shared" si="46"/>
        <v>"C:\Program Files (x86)\AstroGrep\AstroGrep.exe" /spath="C:\Users\stu\Documents\Analysis\2016-02-23 RTDC Observations" /stypes="*4009*20160727*" /stext=" 00:.+((SYSTEM_STATE.+slice.+state.+changed )|(ment ac)|(system.+state.+changed )|(\|lc)|(penalty)|(\[timeout)|(PRM\|1\|D))" /e /r /s</v>
      </c>
      <c r="AG127" s="1" t="str">
        <f t="shared" si="42"/>
        <v>EC</v>
      </c>
    </row>
    <row r="128" spans="1:33" s="24" customFormat="1" x14ac:dyDescent="0.25">
      <c r="A128" s="45" t="s">
        <v>598</v>
      </c>
      <c r="B128" s="7">
        <v>4010</v>
      </c>
      <c r="C128" s="25" t="s">
        <v>248</v>
      </c>
      <c r="D128" s="25" t="s">
        <v>144</v>
      </c>
      <c r="E128" s="16">
        <v>42577.76222222222</v>
      </c>
      <c r="F128" s="16">
        <v>42577.763460648152</v>
      </c>
      <c r="G128" s="7">
        <v>1</v>
      </c>
      <c r="H128" s="16" t="s">
        <v>140</v>
      </c>
      <c r="I128" s="16">
        <v>42577.798009259262</v>
      </c>
      <c r="J128" s="7">
        <v>0</v>
      </c>
      <c r="K128" s="25" t="str">
        <f t="shared" si="43"/>
        <v>4009/4010</v>
      </c>
      <c r="L128" s="25" t="str">
        <f>VLOOKUP(A128,'Trips&amp;Operators'!$C$1:$E$10000,3,FALSE)</f>
        <v>YOUNG</v>
      </c>
      <c r="M128" s="6">
        <f t="shared" si="44"/>
        <v>3.4548611110949423E-2</v>
      </c>
      <c r="N128" s="7">
        <f t="shared" si="32"/>
        <v>49.749999999767169</v>
      </c>
      <c r="O128" s="7"/>
      <c r="P128" s="7"/>
      <c r="Q128" s="26"/>
      <c r="R128" s="26"/>
      <c r="S128" s="41">
        <f t="shared" si="33"/>
        <v>1</v>
      </c>
      <c r="T128" s="60" t="str">
        <f t="shared" si="34"/>
        <v>Southbound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17:17:36-0600',mode:absolute,to:'2016-07-26 20:09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8" s="65" t="str">
        <f t="shared" si="36"/>
        <v>N</v>
      </c>
      <c r="X128" s="83">
        <f t="shared" si="37"/>
        <v>1</v>
      </c>
      <c r="Y128" s="80">
        <f t="shared" si="38"/>
        <v>23.298200000000001</v>
      </c>
      <c r="Z128" s="80">
        <f t="shared" si="39"/>
        <v>1.4999999999999999E-2</v>
      </c>
      <c r="AA128" s="80">
        <f t="shared" si="40"/>
        <v>23.283200000000001</v>
      </c>
      <c r="AB128" s="77" t="e">
        <f>VLOOKUP(A128,Enforcements!$C$7:$J$24,8,0)</f>
        <v>#N/A</v>
      </c>
      <c r="AC128" s="73" t="e">
        <f>VLOOKUP(A128,Enforcements!$C$7:$E$24,3,0)</f>
        <v>#N/A</v>
      </c>
      <c r="AD128" s="74" t="str">
        <f t="shared" si="41"/>
        <v>0212-26</v>
      </c>
      <c r="AE128" s="66" t="str">
        <f t="shared" si="45"/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AF128" s="66" t="str">
        <f t="shared" si="46"/>
        <v>"C:\Program Files (x86)\AstroGrep\AstroGrep.exe" /spath="C:\Users\stu\Documents\Analysis\2016-02-23 RTDC Observations" /stypes="*4010*20160727*" /stext=" 01:.+((SYSTEM_STATE.+slice.+state.+changed )|(ment ac)|(system.+state.+changed )|(\|lc)|(penalty)|(\[timeout)|(PRM\|1\|D))" /e /r /s</v>
      </c>
      <c r="AG128" s="1" t="str">
        <f t="shared" si="42"/>
        <v>EC</v>
      </c>
    </row>
    <row r="129" spans="1:33" s="24" customFormat="1" x14ac:dyDescent="0.25">
      <c r="A129" s="45" t="s">
        <v>599</v>
      </c>
      <c r="B129" s="7">
        <v>4020</v>
      </c>
      <c r="C129" s="25" t="s">
        <v>248</v>
      </c>
      <c r="D129" s="25" t="s">
        <v>226</v>
      </c>
      <c r="E129" s="16">
        <v>42577.736018518517</v>
      </c>
      <c r="F129" s="16">
        <v>42577.737314814818</v>
      </c>
      <c r="G129" s="7">
        <v>1</v>
      </c>
      <c r="H129" s="16" t="s">
        <v>478</v>
      </c>
      <c r="I129" s="16">
        <v>42577.764849537038</v>
      </c>
      <c r="J129" s="7">
        <v>0</v>
      </c>
      <c r="K129" s="25" t="str">
        <f t="shared" si="43"/>
        <v>4019/4020</v>
      </c>
      <c r="L129" s="25" t="str">
        <f>VLOOKUP(A129,'Trips&amp;Operators'!$C$1:$E$10000,3,FALSE)</f>
        <v>COOLAHAN</v>
      </c>
      <c r="M129" s="6">
        <f t="shared" si="44"/>
        <v>2.753472221957054E-2</v>
      </c>
      <c r="N129" s="7">
        <f t="shared" si="32"/>
        <v>39.649999996181577</v>
      </c>
      <c r="O129" s="7"/>
      <c r="P129" s="7"/>
      <c r="Q129" s="26"/>
      <c r="R129" s="26"/>
      <c r="S129" s="41">
        <f t="shared" si="33"/>
        <v>1</v>
      </c>
      <c r="T129" s="60" t="str">
        <f t="shared" si="34"/>
        <v>NorthBound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16:39:52-0600',mode:absolute,to:'2016-07-26 19:21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29" s="65" t="str">
        <f t="shared" si="36"/>
        <v>N</v>
      </c>
      <c r="X129" s="83">
        <f t="shared" si="37"/>
        <v>1</v>
      </c>
      <c r="Y129" s="80">
        <f t="shared" si="38"/>
        <v>4.5499999999999999E-2</v>
      </c>
      <c r="Z129" s="80">
        <f t="shared" si="39"/>
        <v>23.3306</v>
      </c>
      <c r="AA129" s="80">
        <f t="shared" si="40"/>
        <v>23.2851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41"/>
        <v>0213-26</v>
      </c>
      <c r="AE129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29" s="66" t="str">
        <f t="shared" si="46"/>
        <v>"C:\Program Files (x86)\AstroGrep\AstroGrep.exe" /spath="C:\Users\stu\Documents\Analysis\2016-02-23 RTDC Observations" /stypes="*4020*20160727*" /stext=" 00:.+((SYSTEM_STATE.+slice.+state.+changed )|(ment ac)|(system.+state.+changed )|(\|lc)|(penalty)|(\[timeout)|(PRM\|1\|D))" /e /r /s</v>
      </c>
      <c r="AG129" s="1" t="str">
        <f t="shared" si="42"/>
        <v>EC</v>
      </c>
    </row>
    <row r="130" spans="1:33" s="24" customFormat="1" x14ac:dyDescent="0.25">
      <c r="A130" s="45" t="s">
        <v>600</v>
      </c>
      <c r="B130" s="7">
        <v>4019</v>
      </c>
      <c r="C130" s="25" t="s">
        <v>248</v>
      </c>
      <c r="D130" s="25" t="s">
        <v>256</v>
      </c>
      <c r="E130" s="16">
        <v>42577.774525462963</v>
      </c>
      <c r="F130" s="16">
        <v>42577.77684027778</v>
      </c>
      <c r="G130" s="7">
        <v>3</v>
      </c>
      <c r="H130" s="16" t="s">
        <v>100</v>
      </c>
      <c r="I130" s="16">
        <v>42577.806226851855</v>
      </c>
      <c r="J130" s="7">
        <v>0</v>
      </c>
      <c r="K130" s="25" t="str">
        <f t="shared" si="43"/>
        <v>4019/4020</v>
      </c>
      <c r="L130" s="25" t="str">
        <f>VLOOKUP(A130,'Trips&amp;Operators'!$C$1:$E$10000,3,FALSE)</f>
        <v>COOLAHAN</v>
      </c>
      <c r="M130" s="6">
        <f t="shared" si="44"/>
        <v>2.9386574075033423E-2</v>
      </c>
      <c r="N130" s="7">
        <f t="shared" si="32"/>
        <v>42.316666668048128</v>
      </c>
      <c r="O130" s="7"/>
      <c r="P130" s="7"/>
      <c r="Q130" s="26"/>
      <c r="R130" s="26"/>
      <c r="S130" s="41">
        <f t="shared" si="33"/>
        <v>1</v>
      </c>
      <c r="T130" s="60" t="str">
        <f t="shared" si="34"/>
        <v>Southbound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17:35:19-0600',mode:absolute,to:'2016-07-26 20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30" s="65" t="str">
        <f t="shared" si="36"/>
        <v>N</v>
      </c>
      <c r="X130" s="83">
        <f t="shared" si="37"/>
        <v>1</v>
      </c>
      <c r="Y130" s="80">
        <f t="shared" si="38"/>
        <v>23.2989</v>
      </c>
      <c r="Z130" s="80">
        <f t="shared" si="39"/>
        <v>1.43E-2</v>
      </c>
      <c r="AA130" s="80">
        <f t="shared" si="40"/>
        <v>23.284600000000001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41"/>
        <v>0214-26</v>
      </c>
      <c r="AE130" s="66" t="str">
        <f t="shared" si="45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30" s="66" t="str">
        <f t="shared" si="46"/>
        <v>"C:\Program Files (x86)\AstroGrep\AstroGrep.exe" /spath="C:\Users\stu\Documents\Analysis\2016-02-23 RTDC Observations" /stypes="*4019*20160727*" /stext=" 01:.+((SYSTEM_STATE.+slice.+state.+changed )|(ment ac)|(system.+state.+changed )|(\|lc)|(penalty)|(\[timeout)|(PRM\|1\|D))" /e /r /s</v>
      </c>
      <c r="AG130" s="1" t="str">
        <f t="shared" si="42"/>
        <v>EC</v>
      </c>
    </row>
    <row r="131" spans="1:33" s="24" customFormat="1" x14ac:dyDescent="0.25">
      <c r="A131" s="45" t="s">
        <v>601</v>
      </c>
      <c r="B131" s="7">
        <v>4029</v>
      </c>
      <c r="C131" s="25" t="s">
        <v>248</v>
      </c>
      <c r="D131" s="25" t="s">
        <v>602</v>
      </c>
      <c r="E131" s="16">
        <v>42577.748599537037</v>
      </c>
      <c r="F131" s="16">
        <v>42577.749641203707</v>
      </c>
      <c r="G131" s="7">
        <v>1</v>
      </c>
      <c r="H131" s="16" t="s">
        <v>240</v>
      </c>
      <c r="I131" s="16">
        <v>42577.775312500002</v>
      </c>
      <c r="J131" s="7">
        <v>0</v>
      </c>
      <c r="K131" s="25" t="str">
        <f t="shared" si="43"/>
        <v>4029/4030</v>
      </c>
      <c r="L131" s="25" t="str">
        <f>VLOOKUP(A131,'Trips&amp;Operators'!$C$1:$E$10000,3,FALSE)</f>
        <v>WEBSTER</v>
      </c>
      <c r="M131" s="6">
        <f t="shared" si="44"/>
        <v>2.5671296294603962E-2</v>
      </c>
      <c r="N131" s="7">
        <f t="shared" si="32"/>
        <v>36.966666664229706</v>
      </c>
      <c r="O131" s="7"/>
      <c r="P131" s="7"/>
      <c r="Q131" s="26"/>
      <c r="R131" s="26"/>
      <c r="S131" s="41">
        <f t="shared" si="33"/>
        <v>1</v>
      </c>
      <c r="T131" s="60" t="str">
        <f t="shared" si="34"/>
        <v>NorthBound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16:57:59-0600',mode:absolute,to:'2016-07-26 19:36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1" s="65" t="str">
        <f t="shared" si="36"/>
        <v>N</v>
      </c>
      <c r="X131" s="83">
        <f t="shared" si="37"/>
        <v>1</v>
      </c>
      <c r="Y131" s="80">
        <f t="shared" si="38"/>
        <v>6.08E-2</v>
      </c>
      <c r="Z131" s="80">
        <f t="shared" si="39"/>
        <v>23.331600000000002</v>
      </c>
      <c r="AA131" s="80">
        <f t="shared" si="40"/>
        <v>23.270800000000001</v>
      </c>
      <c r="AB131" s="77" t="e">
        <f>VLOOKUP(A131,Enforcements!$C$7:$J$24,8,0)</f>
        <v>#N/A</v>
      </c>
      <c r="AC131" s="73" t="e">
        <f>VLOOKUP(A131,Enforcements!$C$7:$E$24,3,0)</f>
        <v>#N/A</v>
      </c>
      <c r="AD131" s="74" t="str">
        <f t="shared" si="41"/>
        <v>0215-26</v>
      </c>
      <c r="AE131" s="66" t="str">
        <f t="shared" si="45"/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AF131" s="66" t="str">
        <f t="shared" si="46"/>
        <v>"C:\Program Files (x86)\AstroGrep\AstroGrep.exe" /spath="C:\Users\stu\Documents\Analysis\2016-02-23 RTDC Observations" /stypes="*4029*20160727*" /stext=" 00:.+((SYSTEM_STATE.+slice.+state.+changed )|(ment ac)|(system.+state.+changed )|(\|lc)|(penalty)|(\[timeout)|(PRM\|1\|D))" /e /r /s</v>
      </c>
      <c r="AG131" s="1" t="str">
        <f t="shared" si="42"/>
        <v>EC</v>
      </c>
    </row>
    <row r="132" spans="1:33" s="24" customFormat="1" x14ac:dyDescent="0.25">
      <c r="A132" s="25" t="s">
        <v>448</v>
      </c>
      <c r="B132" s="99">
        <v>4030</v>
      </c>
      <c r="C132" s="100" t="s">
        <v>248</v>
      </c>
      <c r="D132" s="100" t="s">
        <v>293</v>
      </c>
      <c r="E132" s="101">
        <v>42577.784155092595</v>
      </c>
      <c r="F132" s="101">
        <v>42577.785682870373</v>
      </c>
      <c r="G132" s="99">
        <v>2</v>
      </c>
      <c r="H132" s="101" t="s">
        <v>603</v>
      </c>
      <c r="I132" s="101">
        <v>42577.817175925928</v>
      </c>
      <c r="J132" s="99">
        <v>1</v>
      </c>
      <c r="K132" s="25" t="str">
        <f t="shared" si="43"/>
        <v>4029/4030</v>
      </c>
      <c r="L132" s="25" t="str">
        <f>VLOOKUP(A132,'Trips&amp;Operators'!$C$1:$E$10000,3,FALSE)</f>
        <v>WEBSTER</v>
      </c>
      <c r="M132" s="6">
        <f t="shared" si="44"/>
        <v>3.1493055554165039E-2</v>
      </c>
      <c r="N132" s="7">
        <f t="shared" si="32"/>
        <v>45.349999997997656</v>
      </c>
      <c r="O132" s="7"/>
      <c r="P132" s="7"/>
      <c r="Q132" s="26"/>
      <c r="R132" s="26"/>
      <c r="S132" s="41">
        <f t="shared" si="33"/>
        <v>1</v>
      </c>
      <c r="T132" s="60" t="str">
        <f t="shared" si="34"/>
        <v>Southbound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17:49:11-0600',mode:absolute,to:'2016-07-26 20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2" s="65" t="str">
        <f t="shared" si="36"/>
        <v>N</v>
      </c>
      <c r="X132" s="83">
        <f t="shared" si="37"/>
        <v>1</v>
      </c>
      <c r="Y132" s="80">
        <f t="shared" si="38"/>
        <v>23.3</v>
      </c>
      <c r="Z132" s="80">
        <f t="shared" si="39"/>
        <v>4.2900000000000001E-2</v>
      </c>
      <c r="AA132" s="80">
        <f t="shared" si="40"/>
        <v>23.257100000000001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41"/>
        <v>0216-26</v>
      </c>
      <c r="AE132" s="66" t="str">
        <f t="shared" si="45"/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AF132" s="66" t="str">
        <f t="shared" si="46"/>
        <v>"C:\Program Files (x86)\AstroGrep\AstroGrep.exe" /spath="C:\Users\stu\Documents\Analysis\2016-02-23 RTDC Observations" /stypes="*4030*20160727*" /stext=" 01:.+((SYSTEM_STATE.+slice.+state.+changed )|(ment ac)|(system.+state.+changed )|(\|lc)|(penalty)|(\[timeout)|(PRM\|1\|D))" /e /r /s</v>
      </c>
      <c r="AG132" s="1" t="str">
        <f t="shared" si="42"/>
        <v>EC</v>
      </c>
    </row>
    <row r="133" spans="1:33" s="24" customFormat="1" x14ac:dyDescent="0.25">
      <c r="A133" s="25" t="s">
        <v>604</v>
      </c>
      <c r="B133" s="99">
        <v>4025</v>
      </c>
      <c r="C133" s="100" t="s">
        <v>248</v>
      </c>
      <c r="D133" s="100" t="s">
        <v>141</v>
      </c>
      <c r="E133" s="101">
        <v>42577.757337962961</v>
      </c>
      <c r="F133" s="101">
        <v>42577.758564814816</v>
      </c>
      <c r="G133" s="99">
        <v>1</v>
      </c>
      <c r="H133" s="101" t="s">
        <v>538</v>
      </c>
      <c r="I133" s="101">
        <v>42577.785810185182</v>
      </c>
      <c r="J133" s="99">
        <v>0</v>
      </c>
      <c r="K133" s="25" t="str">
        <f t="shared" si="43"/>
        <v>4025/4026</v>
      </c>
      <c r="L133" s="25" t="str">
        <f>VLOOKUP(A133,'Trips&amp;Operators'!$C$1:$E$10000,3,FALSE)</f>
        <v>DE LA ROSA</v>
      </c>
      <c r="M133" s="6">
        <f t="shared" si="44"/>
        <v>2.7245370365562849E-2</v>
      </c>
      <c r="N133" s="7">
        <f t="shared" si="32"/>
        <v>39.233333326410502</v>
      </c>
      <c r="O133" s="7"/>
      <c r="P133" s="7"/>
      <c r="Q133" s="26"/>
      <c r="R133" s="26"/>
      <c r="S133" s="41">
        <f t="shared" si="33"/>
        <v>1</v>
      </c>
      <c r="T133" s="60" t="str">
        <f t="shared" si="34"/>
        <v>NorthBound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17:10:34-0600',mode:absolute,to:'2016-07-26 19:51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33" s="65" t="str">
        <f t="shared" si="36"/>
        <v>N</v>
      </c>
      <c r="X133" s="83">
        <f t="shared" si="37"/>
        <v>1</v>
      </c>
      <c r="Y133" s="80">
        <f t="shared" si="38"/>
        <v>4.6399999999999997E-2</v>
      </c>
      <c r="Z133" s="80">
        <f t="shared" si="39"/>
        <v>23.331</v>
      </c>
      <c r="AA133" s="80">
        <f t="shared" si="40"/>
        <v>23.284600000000001</v>
      </c>
      <c r="AB133" s="77" t="e">
        <f>VLOOKUP(A133,Enforcements!$C$7:$J$24,8,0)</f>
        <v>#N/A</v>
      </c>
      <c r="AC133" s="73" t="e">
        <f>VLOOKUP(A133,Enforcements!$C$7:$E$24,3,0)</f>
        <v>#N/A</v>
      </c>
      <c r="AD133" s="74" t="str">
        <f t="shared" si="41"/>
        <v>0217-26</v>
      </c>
      <c r="AE133" s="66" t="str">
        <f t="shared" si="45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33" s="66" t="str">
        <f t="shared" si="46"/>
        <v>"C:\Program Files (x86)\AstroGrep\AstroGrep.exe" /spath="C:\Users\stu\Documents\Analysis\2016-02-23 RTDC Observations" /stypes="*4025*20160727*" /stext=" 00:.+((SYSTEM_STATE.+slice.+state.+changed )|(ment ac)|(system.+state.+changed )|(\|lc)|(penalty)|(\[timeout)|(PRM\|1\|D))" /e /r /s</v>
      </c>
      <c r="AG133" s="1" t="str">
        <f t="shared" si="42"/>
        <v>EC</v>
      </c>
    </row>
    <row r="134" spans="1:33" s="24" customFormat="1" x14ac:dyDescent="0.25">
      <c r="A134" s="25" t="s">
        <v>605</v>
      </c>
      <c r="B134" s="99">
        <v>4026</v>
      </c>
      <c r="C134" s="100" t="s">
        <v>248</v>
      </c>
      <c r="D134" s="100" t="s">
        <v>256</v>
      </c>
      <c r="E134" s="101">
        <v>42577.788182870368</v>
      </c>
      <c r="F134" s="101">
        <v>42577.795358796298</v>
      </c>
      <c r="G134" s="99">
        <v>10</v>
      </c>
      <c r="H134" s="101" t="s">
        <v>162</v>
      </c>
      <c r="I134" s="101">
        <v>42577.826238425929</v>
      </c>
      <c r="J134" s="99">
        <v>0</v>
      </c>
      <c r="K134" s="25" t="str">
        <f t="shared" si="43"/>
        <v>4025/4026</v>
      </c>
      <c r="L134" s="25" t="str">
        <f>VLOOKUP(A134,'Trips&amp;Operators'!$C$1:$E$10000,3,FALSE)</f>
        <v>DE LA ROSA</v>
      </c>
      <c r="M134" s="6">
        <f t="shared" si="44"/>
        <v>3.0879629630362615E-2</v>
      </c>
      <c r="N134" s="7">
        <f t="shared" si="32"/>
        <v>44.466666667722166</v>
      </c>
      <c r="O134" s="7"/>
      <c r="P134" s="7"/>
      <c r="Q134" s="26"/>
      <c r="R134" s="26"/>
      <c r="S134" s="41">
        <f t="shared" si="33"/>
        <v>1</v>
      </c>
      <c r="T134" s="60" t="str">
        <f t="shared" si="34"/>
        <v>Southbound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17:54:59-0600',mode:absolute,to:'2016-07-26 20:49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34" s="65" t="str">
        <f t="shared" si="36"/>
        <v>N</v>
      </c>
      <c r="X134" s="83">
        <f t="shared" si="37"/>
        <v>1</v>
      </c>
      <c r="Y134" s="80">
        <f t="shared" si="38"/>
        <v>23.2989</v>
      </c>
      <c r="Z134" s="80">
        <f t="shared" si="39"/>
        <v>1.6299999999999999E-2</v>
      </c>
      <c r="AA134" s="80">
        <f t="shared" si="40"/>
        <v>23.282599999999999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41"/>
        <v>0218-26</v>
      </c>
      <c r="AE134" s="66" t="str">
        <f t="shared" si="45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34" s="66" t="str">
        <f t="shared" si="46"/>
        <v>"C:\Program Files (x86)\AstroGrep\AstroGrep.exe" /spath="C:\Users\stu\Documents\Analysis\2016-02-23 RTDC Observations" /stypes="*4026*20160727*" /stext=" 01:.+((SYSTEM_STATE.+slice.+state.+changed )|(ment ac)|(system.+state.+changed )|(\|lc)|(penalty)|(\[timeout)|(PRM\|1\|D))" /e /r /s</v>
      </c>
      <c r="AG134" s="1" t="str">
        <f t="shared" si="42"/>
        <v>EC</v>
      </c>
    </row>
    <row r="135" spans="1:33" s="24" customFormat="1" x14ac:dyDescent="0.25">
      <c r="A135" s="25" t="s">
        <v>606</v>
      </c>
      <c r="B135" s="99">
        <v>4042</v>
      </c>
      <c r="C135" s="100" t="s">
        <v>248</v>
      </c>
      <c r="D135" s="100" t="s">
        <v>64</v>
      </c>
      <c r="E135" s="101">
        <v>42577.769189814811</v>
      </c>
      <c r="F135" s="101">
        <v>42577.770752314813</v>
      </c>
      <c r="G135" s="99">
        <v>2</v>
      </c>
      <c r="H135" s="101" t="s">
        <v>223</v>
      </c>
      <c r="I135" s="101">
        <v>42577.795844907407</v>
      </c>
      <c r="J135" s="99">
        <v>0</v>
      </c>
      <c r="K135" s="25" t="str">
        <f t="shared" si="43"/>
        <v>4041/4042</v>
      </c>
      <c r="L135" s="25" t="str">
        <f>VLOOKUP(A135,'Trips&amp;Operators'!$C$1:$E$10000,3,FALSE)</f>
        <v>CHANDLER</v>
      </c>
      <c r="M135" s="6">
        <f t="shared" si="44"/>
        <v>2.5092592593864538E-2</v>
      </c>
      <c r="N135" s="7">
        <f t="shared" si="32"/>
        <v>36.133333335164934</v>
      </c>
      <c r="O135" s="7"/>
      <c r="P135" s="7"/>
      <c r="Q135" s="26"/>
      <c r="R135" s="26"/>
      <c r="S135" s="41">
        <f t="shared" si="33"/>
        <v>1</v>
      </c>
      <c r="T135" s="60" t="str">
        <f t="shared" si="34"/>
        <v>NorthBound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17:27:38-0600',mode:absolute,to:'2016-07-26 20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35" s="65" t="str">
        <f t="shared" si="36"/>
        <v>N</v>
      </c>
      <c r="X135" s="83">
        <f t="shared" si="37"/>
        <v>1</v>
      </c>
      <c r="Y135" s="80">
        <f t="shared" si="38"/>
        <v>4.5999999999999999E-2</v>
      </c>
      <c r="Z135" s="80">
        <f t="shared" si="39"/>
        <v>23.328600000000002</v>
      </c>
      <c r="AA135" s="80">
        <f t="shared" si="40"/>
        <v>23.282600000000002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41"/>
        <v>0219-26</v>
      </c>
      <c r="AE135" s="66" t="str">
        <f t="shared" si="45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35" s="66" t="str">
        <f t="shared" si="46"/>
        <v>"C:\Program Files (x86)\AstroGrep\AstroGrep.exe" /spath="C:\Users\stu\Documents\Analysis\2016-02-23 RTDC Observations" /stypes="*4042*20160727*" /stext=" 01:.+((SYSTEM_STATE.+slice.+state.+changed )|(ment ac)|(system.+state.+changed )|(\|lc)|(penalty)|(\[timeout)|(PRM\|1\|D))" /e /r /s</v>
      </c>
      <c r="AG135" s="1" t="str">
        <f t="shared" si="42"/>
        <v>EC</v>
      </c>
    </row>
    <row r="136" spans="1:33" s="24" customFormat="1" x14ac:dyDescent="0.25">
      <c r="A136" s="25" t="s">
        <v>607</v>
      </c>
      <c r="B136" s="99">
        <v>4041</v>
      </c>
      <c r="C136" s="100" t="s">
        <v>248</v>
      </c>
      <c r="D136" s="100" t="s">
        <v>227</v>
      </c>
      <c r="E136" s="101">
        <v>42577.807997685188</v>
      </c>
      <c r="F136" s="101">
        <v>42577.809189814812</v>
      </c>
      <c r="G136" s="99">
        <v>1</v>
      </c>
      <c r="H136" s="101" t="s">
        <v>116</v>
      </c>
      <c r="I136" s="101">
        <v>42577.83730324074</v>
      </c>
      <c r="J136" s="99">
        <v>0</v>
      </c>
      <c r="K136" s="25" t="str">
        <f t="shared" si="43"/>
        <v>4041/4042</v>
      </c>
      <c r="L136" s="25" t="str">
        <f>VLOOKUP(A136,'Trips&amp;Operators'!$C$1:$E$10000,3,FALSE)</f>
        <v>CHANDLER</v>
      </c>
      <c r="M136" s="6">
        <f t="shared" si="44"/>
        <v>2.8113425927585922E-2</v>
      </c>
      <c r="N136" s="7">
        <f t="shared" si="32"/>
        <v>40.483333335723728</v>
      </c>
      <c r="O136" s="7"/>
      <c r="P136" s="7"/>
      <c r="Q136" s="26"/>
      <c r="R136" s="26"/>
      <c r="S136" s="41">
        <f t="shared" si="33"/>
        <v>1</v>
      </c>
      <c r="T136" s="60" t="str">
        <f t="shared" si="34"/>
        <v>Southbound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18:23:31-0600',mode:absolute,to:'2016-07-26 21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36" s="65" t="str">
        <f t="shared" si="36"/>
        <v>N</v>
      </c>
      <c r="X136" s="83">
        <f t="shared" si="37"/>
        <v>1</v>
      </c>
      <c r="Y136" s="80">
        <f t="shared" si="38"/>
        <v>23.296900000000001</v>
      </c>
      <c r="Z136" s="80">
        <f t="shared" si="39"/>
        <v>1.61E-2</v>
      </c>
      <c r="AA136" s="80">
        <f t="shared" si="40"/>
        <v>23.280799999999999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41"/>
        <v>0220-26</v>
      </c>
      <c r="AE136" s="66" t="str">
        <f t="shared" si="45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36" s="66" t="str">
        <f t="shared" si="46"/>
        <v>"C:\Program Files (x86)\AstroGrep\AstroGrep.exe" /spath="C:\Users\stu\Documents\Analysis\2016-02-23 RTDC Observations" /stypes="*4041*20160727*" /stext=" 02:.+((SYSTEM_STATE.+slice.+state.+changed )|(ment ac)|(system.+state.+changed )|(\|lc)|(penalty)|(\[timeout)|(PRM\|1\|D))" /e /r /s</v>
      </c>
      <c r="AG136" s="1" t="str">
        <f t="shared" si="42"/>
        <v>EC</v>
      </c>
    </row>
    <row r="137" spans="1:33" s="24" customFormat="1" x14ac:dyDescent="0.25">
      <c r="A137" s="25" t="s">
        <v>608</v>
      </c>
      <c r="B137" s="99">
        <v>4018</v>
      </c>
      <c r="C137" s="100" t="s">
        <v>248</v>
      </c>
      <c r="D137" s="100" t="s">
        <v>226</v>
      </c>
      <c r="E137" s="101">
        <v>42577.786111111112</v>
      </c>
      <c r="F137" s="101">
        <v>42577.787129629629</v>
      </c>
      <c r="G137" s="99">
        <v>1</v>
      </c>
      <c r="H137" s="101" t="s">
        <v>168</v>
      </c>
      <c r="I137" s="101">
        <v>42577.816331018519</v>
      </c>
      <c r="J137" s="99">
        <v>0</v>
      </c>
      <c r="K137" s="25" t="str">
        <f t="shared" si="43"/>
        <v>4017/4018</v>
      </c>
      <c r="L137" s="25" t="str">
        <f>VLOOKUP(A137,'Trips&amp;Operators'!$C$1:$E$10000,3,FALSE)</f>
        <v>LEVERE</v>
      </c>
      <c r="M137" s="6">
        <f t="shared" si="44"/>
        <v>2.920138889021473E-2</v>
      </c>
      <c r="N137" s="7">
        <f t="shared" si="32"/>
        <v>42.050000001909211</v>
      </c>
      <c r="O137" s="7"/>
      <c r="P137" s="7"/>
      <c r="Q137" s="26"/>
      <c r="R137" s="26"/>
      <c r="S137" s="41">
        <f t="shared" si="33"/>
        <v>1</v>
      </c>
      <c r="T137" s="60" t="str">
        <f t="shared" si="34"/>
        <v>NorthBound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17:52:00-0600',mode:absolute,to:'2016-07-26 20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7" s="65" t="str">
        <f t="shared" si="36"/>
        <v>N</v>
      </c>
      <c r="X137" s="83">
        <f t="shared" si="37"/>
        <v>1</v>
      </c>
      <c r="Y137" s="80">
        <f t="shared" si="38"/>
        <v>4.5499999999999999E-2</v>
      </c>
      <c r="Z137" s="80">
        <f t="shared" si="39"/>
        <v>23.329499999999999</v>
      </c>
      <c r="AA137" s="80">
        <f t="shared" si="40"/>
        <v>23.283999999999999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41"/>
        <v>0221-26</v>
      </c>
      <c r="AE137" s="66" t="str">
        <f t="shared" si="45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37" s="66" t="str">
        <f t="shared" si="46"/>
        <v>"C:\Program Files (x86)\AstroGrep\AstroGrep.exe" /spath="C:\Users\stu\Documents\Analysis\2016-02-23 RTDC Observations" /stypes="*4018*20160727*" /stext=" 01:.+((SYSTEM_STATE.+slice.+state.+changed )|(ment ac)|(system.+state.+changed )|(\|lc)|(penalty)|(\[timeout)|(PRM\|1\|D))" /e /r /s</v>
      </c>
      <c r="AG137" s="1" t="str">
        <f t="shared" si="42"/>
        <v>EC</v>
      </c>
    </row>
    <row r="138" spans="1:33" s="24" customFormat="1" x14ac:dyDescent="0.25">
      <c r="A138" s="25" t="s">
        <v>609</v>
      </c>
      <c r="B138" s="99">
        <v>4017</v>
      </c>
      <c r="C138" s="100" t="s">
        <v>248</v>
      </c>
      <c r="D138" s="100" t="s">
        <v>610</v>
      </c>
      <c r="E138" s="101">
        <v>42577.82403935185</v>
      </c>
      <c r="F138" s="101">
        <v>42577.824930555558</v>
      </c>
      <c r="G138" s="99">
        <v>1</v>
      </c>
      <c r="H138" s="101" t="s">
        <v>140</v>
      </c>
      <c r="I138" s="101">
        <v>42577.858171296299</v>
      </c>
      <c r="J138" s="99">
        <v>0</v>
      </c>
      <c r="K138" s="25" t="str">
        <f t="shared" si="43"/>
        <v>4017/4018</v>
      </c>
      <c r="L138" s="25" t="str">
        <f>VLOOKUP(A138,'Trips&amp;Operators'!$C$1:$E$10000,3,FALSE)</f>
        <v>LEVERE</v>
      </c>
      <c r="M138" s="6">
        <f t="shared" si="44"/>
        <v>3.3240740740438923E-2</v>
      </c>
      <c r="N138" s="7">
        <f t="shared" si="32"/>
        <v>47.866666666232049</v>
      </c>
      <c r="O138" s="7"/>
      <c r="P138" s="7"/>
      <c r="Q138" s="26"/>
      <c r="R138" s="26"/>
      <c r="S138" s="41">
        <f t="shared" si="33"/>
        <v>1</v>
      </c>
      <c r="T138" s="60" t="str">
        <f t="shared" si="34"/>
        <v>Southbound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18:46:37-0600',mode:absolute,to:'2016-07-26 21:35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38" s="65" t="str">
        <f t="shared" si="36"/>
        <v>N</v>
      </c>
      <c r="X138" s="83">
        <f t="shared" si="37"/>
        <v>1</v>
      </c>
      <c r="Y138" s="80">
        <f t="shared" si="38"/>
        <v>23.296700000000001</v>
      </c>
      <c r="Z138" s="80">
        <f t="shared" si="39"/>
        <v>1.4999999999999999E-2</v>
      </c>
      <c r="AA138" s="80">
        <f t="shared" si="40"/>
        <v>23.281700000000001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41"/>
        <v>0222-26</v>
      </c>
      <c r="AE138" s="66" t="str">
        <f t="shared" si="45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38" s="66" t="str">
        <f t="shared" si="46"/>
        <v>"C:\Program Files (x86)\AstroGrep\AstroGrep.exe" /spath="C:\Users\stu\Documents\Analysis\2016-02-23 RTDC Observations" /stypes="*4017*20160727*" /stext=" 02:.+((SYSTEM_STATE.+slice.+state.+changed )|(ment ac)|(system.+state.+changed )|(\|lc)|(penalty)|(\[timeout)|(PRM\|1\|D))" /e /r /s</v>
      </c>
      <c r="AG138" s="1" t="str">
        <f t="shared" si="42"/>
        <v>EC</v>
      </c>
    </row>
    <row r="139" spans="1:33" s="24" customFormat="1" x14ac:dyDescent="0.25">
      <c r="A139" s="25" t="s">
        <v>611</v>
      </c>
      <c r="B139" s="99">
        <v>4020</v>
      </c>
      <c r="C139" s="100" t="s">
        <v>248</v>
      </c>
      <c r="D139" s="100" t="s">
        <v>612</v>
      </c>
      <c r="E139" s="101">
        <v>42577.808344907404</v>
      </c>
      <c r="F139" s="101">
        <v>42577.809571759259</v>
      </c>
      <c r="G139" s="99">
        <v>1</v>
      </c>
      <c r="H139" s="101" t="s">
        <v>535</v>
      </c>
      <c r="I139" s="101">
        <v>42577.837418981479</v>
      </c>
      <c r="J139" s="99">
        <v>0</v>
      </c>
      <c r="K139" s="25" t="str">
        <f t="shared" si="43"/>
        <v>4019/4020</v>
      </c>
      <c r="L139" s="25" t="str">
        <f>VLOOKUP(A139,'Trips&amp;Operators'!$C$1:$E$10000,3,FALSE)</f>
        <v>COOLAHAN</v>
      </c>
      <c r="M139" s="6">
        <f t="shared" si="44"/>
        <v>2.7847222219861578E-2</v>
      </c>
      <c r="N139" s="7">
        <f t="shared" si="32"/>
        <v>40.099999996600673</v>
      </c>
      <c r="O139" s="7"/>
      <c r="P139" s="7"/>
      <c r="Q139" s="26"/>
      <c r="R139" s="26"/>
      <c r="S139" s="41">
        <f t="shared" si="33"/>
        <v>1</v>
      </c>
      <c r="T139" s="60" t="str">
        <f t="shared" si="34"/>
        <v>NorthBound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18:24:01-0600',mode:absolute,to:'2016-07-26 21:05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39" s="65" t="str">
        <f t="shared" si="36"/>
        <v>N</v>
      </c>
      <c r="X139" s="83">
        <f t="shared" si="37"/>
        <v>1</v>
      </c>
      <c r="Y139" s="80">
        <f t="shared" si="38"/>
        <v>4.2599999999999999E-2</v>
      </c>
      <c r="Z139" s="80">
        <f t="shared" si="39"/>
        <v>23.330500000000001</v>
      </c>
      <c r="AA139" s="80">
        <f t="shared" si="40"/>
        <v>23.2879</v>
      </c>
      <c r="AB139" s="77" t="e">
        <f>VLOOKUP(A139,Enforcements!$C$7:$J$24,8,0)</f>
        <v>#N/A</v>
      </c>
      <c r="AC139" s="73" t="e">
        <f>VLOOKUP(A139,Enforcements!$C$7:$E$24,3,0)</f>
        <v>#N/A</v>
      </c>
      <c r="AD139" s="74" t="str">
        <f t="shared" si="41"/>
        <v>0223-26</v>
      </c>
      <c r="AE139" s="66" t="str">
        <f t="shared" si="45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39" s="66" t="str">
        <f t="shared" si="46"/>
        <v>"C:\Program Files (x86)\AstroGrep\AstroGrep.exe" /spath="C:\Users\stu\Documents\Analysis\2016-02-23 RTDC Observations" /stypes="*4020*20160727*" /stext=" 02:.+((SYSTEM_STATE.+slice.+state.+changed )|(ment ac)|(system.+state.+changed )|(\|lc)|(penalty)|(\[timeout)|(PRM\|1\|D))" /e /r /s</v>
      </c>
      <c r="AG139" s="1" t="str">
        <f t="shared" si="42"/>
        <v>EC</v>
      </c>
    </row>
    <row r="140" spans="1:33" s="24" customFormat="1" x14ac:dyDescent="0.25">
      <c r="A140" s="25" t="s">
        <v>613</v>
      </c>
      <c r="B140" s="99">
        <v>4019</v>
      </c>
      <c r="C140" s="100" t="s">
        <v>248</v>
      </c>
      <c r="D140" s="100" t="s">
        <v>144</v>
      </c>
      <c r="E140" s="101">
        <v>42577.84646990741</v>
      </c>
      <c r="F140" s="101">
        <v>42577.84778935185</v>
      </c>
      <c r="G140" s="99">
        <v>1</v>
      </c>
      <c r="H140" s="101" t="s">
        <v>142</v>
      </c>
      <c r="I140" s="101">
        <v>42577.87871527778</v>
      </c>
      <c r="J140" s="99">
        <v>0</v>
      </c>
      <c r="K140" s="25" t="str">
        <f t="shared" ref="K140:K168" si="47">IF(ISEVEN(B140),(B140-1)&amp;"/"&amp;B140,B140&amp;"/"&amp;(B140+1))</f>
        <v>4019/4020</v>
      </c>
      <c r="L140" s="25" t="str">
        <f>VLOOKUP(A140,'Trips&amp;Operators'!$C$1:$E$10000,3,FALSE)</f>
        <v>COOLAHAN</v>
      </c>
      <c r="M140" s="6">
        <f t="shared" ref="M140:M168" si="48">I140-F140</f>
        <v>3.0925925930205267E-2</v>
      </c>
      <c r="N140" s="7">
        <f t="shared" si="32"/>
        <v>44.533333339495584</v>
      </c>
      <c r="O140" s="7"/>
      <c r="P140" s="7"/>
      <c r="Q140" s="26"/>
      <c r="R140" s="26"/>
      <c r="S140" s="41">
        <f t="shared" si="33"/>
        <v>1</v>
      </c>
      <c r="T140" s="60" t="str">
        <f t="shared" si="34"/>
        <v>Southbound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19:18:55-0600',mode:absolute,to:'2016-07-26 22:05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0" s="65" t="str">
        <f t="shared" si="36"/>
        <v>N</v>
      </c>
      <c r="X140" s="83">
        <f t="shared" si="37"/>
        <v>1</v>
      </c>
      <c r="Y140" s="80">
        <f t="shared" si="38"/>
        <v>23.298200000000001</v>
      </c>
      <c r="Z140" s="80">
        <f t="shared" si="39"/>
        <v>1.3899999999999999E-2</v>
      </c>
      <c r="AA140" s="80">
        <f t="shared" si="40"/>
        <v>23.284300000000002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41"/>
        <v>0224-26</v>
      </c>
      <c r="AE140" s="66" t="str">
        <f t="shared" ref="AE140:AE168" si="49">"aws s3 cp "&amp;s3_bucket&amp;"/RTDC"&amp;B140&amp;"/"&amp;TEXT(F140,"YYYY-MM-DD")&amp;"/ "&amp;search_path&amp;"\RTDC"&amp;B140&amp;"\"&amp;TEXT(F140,"YYYY-MM-DD")&amp;" --recursive &amp; """&amp;walkandungz&amp;""" "&amp;search_path&amp;"\RTDC"&amp;B140&amp;"\"&amp;TEXT(F140,"YYYY-MM-DD")
&amp;" &amp; "&amp;"aws s3 cp "&amp;s3_bucket&amp;"/RTDC"&amp;B140&amp;"/"&amp;TEXT(F140+1,"YYYY-MM-DD")&amp;"/ "&amp;search_path&amp;"\RTDC"&amp;B140&amp;"\"&amp;TEXT(F140+1,"YYYY-MM-DD")&amp;" --recursive &amp; """&amp;walkandungz&amp;""" "&amp;search_path&amp;"\RTDC"&amp;B140&amp;"\"&amp;TEXT(F140+1,"YYYY-MM-DD")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40" s="66" t="str">
        <f t="shared" ref="AF140:AF168" si="50">astrogrep_path&amp;" /spath="&amp;search_path&amp;" /stypes=""*"&amp;B140&amp;"*"&amp;TEXT(I140-utc_offset/24,"YYYYMMDD")&amp;"*"" /stext="" "&amp;TEXT(I140-utc_offset/24,"HH")&amp;search_regexp&amp;""" /e /r /s"</f>
        <v>"C:\Program Files (x86)\AstroGrep\AstroGrep.exe" /spath="C:\Users\stu\Documents\Analysis\2016-02-23 RTDC Observations" /stypes="*4019*20160727*" /stext=" 03:.+((SYSTEM_STATE.+slice.+state.+changed )|(ment ac)|(system.+state.+changed )|(\|lc)|(penalty)|(\[timeout)|(PRM\|1\|D))" /e /r /s</v>
      </c>
      <c r="AG140" s="1" t="str">
        <f t="shared" si="42"/>
        <v>EC</v>
      </c>
    </row>
    <row r="141" spans="1:33" s="24" customFormat="1" x14ac:dyDescent="0.25">
      <c r="A141" s="25" t="s">
        <v>614</v>
      </c>
      <c r="B141" s="99">
        <v>4025</v>
      </c>
      <c r="C141" s="100" t="s">
        <v>248</v>
      </c>
      <c r="D141" s="100" t="s">
        <v>302</v>
      </c>
      <c r="E141" s="101">
        <v>42577.829375000001</v>
      </c>
      <c r="F141" s="101">
        <v>42577.830439814818</v>
      </c>
      <c r="G141" s="99">
        <v>1</v>
      </c>
      <c r="H141" s="101" t="s">
        <v>264</v>
      </c>
      <c r="I141" s="101">
        <v>42577.858263888891</v>
      </c>
      <c r="J141" s="99">
        <v>0</v>
      </c>
      <c r="K141" s="25" t="str">
        <f t="shared" si="47"/>
        <v>4025/4026</v>
      </c>
      <c r="L141" s="25" t="str">
        <f>VLOOKUP(A141,'Trips&amp;Operators'!$C$1:$E$10000,3,FALSE)</f>
        <v>YANAI</v>
      </c>
      <c r="M141" s="6">
        <f t="shared" si="48"/>
        <v>2.7824074073578231E-2</v>
      </c>
      <c r="N141" s="7">
        <f t="shared" si="32"/>
        <v>40.066666665952653</v>
      </c>
      <c r="O141" s="7"/>
      <c r="P141" s="7"/>
      <c r="Q141" s="26"/>
      <c r="R141" s="26"/>
      <c r="S141" s="41">
        <f t="shared" si="33"/>
        <v>1</v>
      </c>
      <c r="T141" s="60" t="str">
        <f t="shared" si="34"/>
        <v>NorthBound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35"/>
        <v>https://search-rtdc-monitor-bjffxe2xuh6vdkpspy63sjmuny.us-east-1.es.amazonaws.com/_plugin/kibana/#/discover/Steve-Slow-Train-Analysis-(2080s-and-2083s)?_g=(refreshInterval:(display:Off,section:0,value:0),time:(from:'2016-07-26 18:54:18-0600',mode:absolute,to:'2016-07-26 21:35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1" s="65" t="str">
        <f t="shared" si="36"/>
        <v>N</v>
      </c>
      <c r="X141" s="83">
        <f t="shared" si="37"/>
        <v>1</v>
      </c>
      <c r="Y141" s="80">
        <f t="shared" si="38"/>
        <v>4.6899999999999997E-2</v>
      </c>
      <c r="Z141" s="80">
        <f t="shared" si="39"/>
        <v>23.327999999999999</v>
      </c>
      <c r="AA141" s="80">
        <f t="shared" si="40"/>
        <v>23.281099999999999</v>
      </c>
      <c r="AB141" s="77" t="e">
        <f>VLOOKUP(A141,Enforcements!$C$7:$J$24,8,0)</f>
        <v>#N/A</v>
      </c>
      <c r="AC141" s="73" t="e">
        <f>VLOOKUP(A141,Enforcements!$C$7:$E$24,3,0)</f>
        <v>#N/A</v>
      </c>
      <c r="AD141" s="74" t="str">
        <f t="shared" si="41"/>
        <v>0225-26</v>
      </c>
      <c r="AE141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41" s="66" t="str">
        <f t="shared" si="50"/>
        <v>"C:\Program Files (x86)\AstroGrep\AstroGrep.exe" /spath="C:\Users\stu\Documents\Analysis\2016-02-23 RTDC Observations" /stypes="*4025*20160727*" /stext=" 02:.+((SYSTEM_STATE.+slice.+state.+changed )|(ment ac)|(system.+state.+changed )|(\|lc)|(penalty)|(\[timeout)|(PRM\|1\|D))" /e /r /s</v>
      </c>
      <c r="AG141" s="1" t="str">
        <f t="shared" si="42"/>
        <v>EC</v>
      </c>
    </row>
    <row r="142" spans="1:33" s="24" customFormat="1" x14ac:dyDescent="0.25">
      <c r="A142" s="25" t="s">
        <v>615</v>
      </c>
      <c r="B142" s="99">
        <v>4026</v>
      </c>
      <c r="C142" s="100" t="s">
        <v>248</v>
      </c>
      <c r="D142" s="100" t="s">
        <v>610</v>
      </c>
      <c r="E142" s="101">
        <v>42577.869837962964</v>
      </c>
      <c r="F142" s="101">
        <v>42577.871203703704</v>
      </c>
      <c r="G142" s="99">
        <v>1</v>
      </c>
      <c r="H142" s="101" t="s">
        <v>259</v>
      </c>
      <c r="I142" s="101">
        <v>42577.898854166669</v>
      </c>
      <c r="J142" s="99">
        <v>0</v>
      </c>
      <c r="K142" s="25" t="str">
        <f t="shared" si="47"/>
        <v>4025/4026</v>
      </c>
      <c r="L142" s="25" t="str">
        <f>VLOOKUP(A142,'Trips&amp;Operators'!$C$1:$E$10000,3,FALSE)</f>
        <v>YANAI</v>
      </c>
      <c r="M142" s="6">
        <f t="shared" si="48"/>
        <v>2.7650462965539191E-2</v>
      </c>
      <c r="N142" s="7">
        <f t="shared" ref="N142:N204" si="51">24*60*SUM($M142:$M142)</f>
        <v>39.816666670376435</v>
      </c>
      <c r="O142" s="7"/>
      <c r="P142" s="7"/>
      <c r="Q142" s="26"/>
      <c r="R142" s="26"/>
      <c r="S142" s="41">
        <f t="shared" ref="S142:S204" si="52">SUM(U142:U142)/IF(AG142="EC",12,1)</f>
        <v>1</v>
      </c>
      <c r="T142" s="60" t="str">
        <f t="shared" ref="T142:T204" si="53">IF(ISEVEN(LEFT(A142,3)),"Southbound","NorthBound")</f>
        <v>Southbound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ref="V142:V160" si="54">"https://search-rtdc-monitor-bjffxe2xuh6vdkpspy63sjmuny.us-east-1.es.amazonaws.com/_plugin/kibana/#/discover/Steve-Slow-Train-Analysis-(2080s-and-2083s)?_g=(refreshInterval:(display:Off,section:0,value:0),time:(from:'"&amp;TEXT(E142-1/24,"yyyy-MM-DD hh:mm:ss")&amp;"-0600',mode:absolute,to:'"&amp;TEXT(I142+1/24,"yyyy-MM-DD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https://search-rtdc-monitor-bjffxe2xuh6vdkpspy63sjmuny.us-east-1.es.amazonaws.com/_plugin/kibana/#/discover/Steve-Slow-Train-Analysis-(2080s-and-2083s)?_g=(refreshInterval:(display:Off,section:0,value:0),time:(from:'2016-07-26 19:52:34-0600',mode:absolute,to:'2016-07-26 22:34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42" s="65" t="str">
        <f t="shared" ref="W142:W205" si="55">IF(AA142&lt;IF(AG142="EC",23,5.65),"Y","N")</f>
        <v>N</v>
      </c>
      <c r="X142" s="83">
        <f t="shared" ref="X142:X204" si="56">VALUE(LEFT(A142,3))-VALUE(LEFT(A141,3))</f>
        <v>1</v>
      </c>
      <c r="Y142" s="80">
        <f t="shared" ref="Y142:Y160" si="57">RIGHT(D142,LEN(D142)-4)/10000</f>
        <v>23.296700000000001</v>
      </c>
      <c r="Z142" s="80">
        <f t="shared" ref="Z142:Z160" si="58">RIGHT(H142,LEN(H142)-4)/10000</f>
        <v>1.47E-2</v>
      </c>
      <c r="AA142" s="80">
        <f t="shared" ref="AA142:AA160" si="59">ABS(Z142-Y142)</f>
        <v>23.282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ref="AD142:AD160" si="60">IF(LEN(A142)=6,"0"&amp;A142,A142)</f>
        <v>0226-26</v>
      </c>
      <c r="AE142" s="66" t="str">
        <f t="shared" si="49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42" s="66" t="str">
        <f t="shared" si="50"/>
        <v>"C:\Program Files (x86)\AstroGrep\AstroGrep.exe" /spath="C:\Users\stu\Documents\Analysis\2016-02-23 RTDC Observations" /stypes="*4026*20160727*" /stext=" 03:.+((SYSTEM_STATE.+slice.+state.+changed )|(ment ac)|(system.+state.+changed )|(\|lc)|(penalty)|(\[timeout)|(PRM\|1\|D))" /e /r /s</v>
      </c>
      <c r="AG142" s="1" t="str">
        <f t="shared" ref="AG142:AG205" si="61">IF(VALUE(LEFT(AD142,2))&lt;=2,"EC",IF(VALUE(LEFT(AD142,2))=8,"NW","GL"))</f>
        <v>EC</v>
      </c>
    </row>
    <row r="143" spans="1:33" x14ac:dyDescent="0.25">
      <c r="A143" s="25" t="s">
        <v>616</v>
      </c>
      <c r="B143" s="99">
        <v>4042</v>
      </c>
      <c r="C143" s="100" t="s">
        <v>248</v>
      </c>
      <c r="D143" s="100" t="s">
        <v>617</v>
      </c>
      <c r="E143" s="101">
        <v>42577.849409722221</v>
      </c>
      <c r="F143" s="101">
        <v>42577.850405092591</v>
      </c>
      <c r="G143" s="99">
        <v>1</v>
      </c>
      <c r="H143" s="101" t="s">
        <v>168</v>
      </c>
      <c r="I143" s="101">
        <v>42577.879444444443</v>
      </c>
      <c r="J143" s="99">
        <v>0</v>
      </c>
      <c r="K143" s="25" t="str">
        <f t="shared" si="47"/>
        <v>4041/4042</v>
      </c>
      <c r="L143" s="25" t="str">
        <f>VLOOKUP(A143,'Trips&amp;Operators'!$C$1:$E$10000,3,FALSE)</f>
        <v>CHANDLER</v>
      </c>
      <c r="M143" s="6">
        <f t="shared" si="48"/>
        <v>2.9039351851679385E-2</v>
      </c>
      <c r="N143" s="7">
        <f t="shared" si="51"/>
        <v>41.816666666418314</v>
      </c>
      <c r="O143" s="7"/>
      <c r="P143" s="7"/>
      <c r="Q143" s="26"/>
      <c r="R143" s="26"/>
      <c r="S143" s="41">
        <f t="shared" si="52"/>
        <v>1</v>
      </c>
      <c r="T143" s="60" t="str">
        <f t="shared" si="53"/>
        <v>NorthBound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19:23:09-0600',mode:absolute,to:'2016-07-26 22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43" s="65" t="str">
        <f t="shared" si="55"/>
        <v>N</v>
      </c>
      <c r="X143" s="83">
        <f t="shared" si="56"/>
        <v>1</v>
      </c>
      <c r="Y143" s="80">
        <f t="shared" si="57"/>
        <v>5.1499999999999997E-2</v>
      </c>
      <c r="Z143" s="80">
        <f t="shared" si="58"/>
        <v>23.329499999999999</v>
      </c>
      <c r="AA143" s="80">
        <f t="shared" si="59"/>
        <v>23.277999999999999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60"/>
        <v>0227-26</v>
      </c>
      <c r="AE143" s="66" t="str">
        <f t="shared" si="49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43" s="66" t="str">
        <f t="shared" si="50"/>
        <v>"C:\Program Files (x86)\AstroGrep\AstroGrep.exe" /spath="C:\Users\stu\Documents\Analysis\2016-02-23 RTDC Observations" /stypes="*4042*20160727*" /stext=" 03:.+((SYSTEM_STATE.+slice.+state.+changed )|(ment ac)|(system.+state.+changed )|(\|lc)|(penalty)|(\[timeout)|(PRM\|1\|D))" /e /r /s</v>
      </c>
      <c r="AG143" s="1" t="str">
        <f t="shared" si="61"/>
        <v>EC</v>
      </c>
    </row>
    <row r="144" spans="1:33" x14ac:dyDescent="0.25">
      <c r="A144" s="25" t="s">
        <v>450</v>
      </c>
      <c r="B144" s="99">
        <v>4041</v>
      </c>
      <c r="C144" s="100" t="s">
        <v>248</v>
      </c>
      <c r="D144" s="100" t="s">
        <v>244</v>
      </c>
      <c r="E144" s="101">
        <v>42577.88958333333</v>
      </c>
      <c r="F144" s="101">
        <v>42577.890590277777</v>
      </c>
      <c r="G144" s="99">
        <v>1</v>
      </c>
      <c r="H144" s="101" t="s">
        <v>305</v>
      </c>
      <c r="I144" s="101">
        <v>42577.922581018516</v>
      </c>
      <c r="J144" s="99">
        <v>1</v>
      </c>
      <c r="K144" s="25" t="str">
        <f t="shared" si="47"/>
        <v>4041/4042</v>
      </c>
      <c r="L144" s="25" t="str">
        <f>VLOOKUP(A144,'Trips&amp;Operators'!$C$1:$E$10000,3,FALSE)</f>
        <v>CHANDLER</v>
      </c>
      <c r="M144" s="6">
        <f t="shared" si="48"/>
        <v>3.199074073927477E-2</v>
      </c>
      <c r="N144" s="7">
        <f t="shared" si="51"/>
        <v>46.066666664555669</v>
      </c>
      <c r="O144" s="7"/>
      <c r="P144" s="7"/>
      <c r="Q144" s="26"/>
      <c r="R144" s="26"/>
      <c r="S144" s="41">
        <f t="shared" si="52"/>
        <v>1</v>
      </c>
      <c r="T144" s="60" t="str">
        <f t="shared" si="53"/>
        <v>Southbound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20:21:00-0600',mode:absolute,to:'2016-07-26 23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44" s="65" t="str">
        <f t="shared" si="55"/>
        <v>N</v>
      </c>
      <c r="X144" s="83">
        <f t="shared" si="56"/>
        <v>1</v>
      </c>
      <c r="Y144" s="80">
        <f t="shared" si="57"/>
        <v>23.297799999999999</v>
      </c>
      <c r="Z144" s="80">
        <f t="shared" si="58"/>
        <v>1.7999999999999999E-2</v>
      </c>
      <c r="AA144" s="80">
        <f t="shared" si="59"/>
        <v>23.279799999999998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60"/>
        <v>0228-26</v>
      </c>
      <c r="AE144" s="66" t="str">
        <f t="shared" si="49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44" s="66" t="str">
        <f t="shared" si="50"/>
        <v>"C:\Program Files (x86)\AstroGrep\AstroGrep.exe" /spath="C:\Users\stu\Documents\Analysis\2016-02-23 RTDC Observations" /stypes="*4041*20160727*" /stext=" 04:.+((SYSTEM_STATE.+slice.+state.+changed )|(ment ac)|(system.+state.+changed )|(\|lc)|(penalty)|(\[timeout)|(PRM\|1\|D))" /e /r /s</v>
      </c>
      <c r="AG144" s="1" t="str">
        <f t="shared" si="61"/>
        <v>EC</v>
      </c>
    </row>
    <row r="145" spans="1:33" x14ac:dyDescent="0.25">
      <c r="A145" s="25" t="s">
        <v>449</v>
      </c>
      <c r="B145" s="99">
        <v>4018</v>
      </c>
      <c r="C145" s="100" t="s">
        <v>248</v>
      </c>
      <c r="D145" s="100" t="s">
        <v>232</v>
      </c>
      <c r="E145" s="101">
        <v>42577.863425925927</v>
      </c>
      <c r="F145" s="101">
        <v>42577.864444444444</v>
      </c>
      <c r="G145" s="99">
        <v>1</v>
      </c>
      <c r="H145" s="101" t="s">
        <v>543</v>
      </c>
      <c r="I145" s="101">
        <v>42577.900057870371</v>
      </c>
      <c r="J145" s="99">
        <v>1</v>
      </c>
      <c r="K145" s="25" t="str">
        <f t="shared" si="47"/>
        <v>4017/4018</v>
      </c>
      <c r="L145" s="25" t="str">
        <f>VLOOKUP(A145,'Trips&amp;Operators'!$C$1:$E$10000,3,FALSE)</f>
        <v>LEVERE</v>
      </c>
      <c r="M145" s="6">
        <f t="shared" si="48"/>
        <v>3.5613425927294884E-2</v>
      </c>
      <c r="N145" s="7">
        <f t="shared" si="51"/>
        <v>51.283333335304633</v>
      </c>
      <c r="O145" s="7"/>
      <c r="P145" s="7"/>
      <c r="Q145" s="26"/>
      <c r="R145" s="26"/>
      <c r="S145" s="41">
        <f t="shared" si="52"/>
        <v>1</v>
      </c>
      <c r="T145" s="60" t="str">
        <f t="shared" si="53"/>
        <v>NorthBound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19:43:20-0600',mode:absolute,to:'2016-07-26 22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45" s="65" t="str">
        <f t="shared" si="55"/>
        <v>N</v>
      </c>
      <c r="X145" s="83">
        <f t="shared" si="56"/>
        <v>1</v>
      </c>
      <c r="Y145" s="80">
        <f t="shared" si="57"/>
        <v>4.7500000000000001E-2</v>
      </c>
      <c r="Z145" s="80">
        <f t="shared" si="58"/>
        <v>23.326799999999999</v>
      </c>
      <c r="AA145" s="80">
        <f t="shared" si="59"/>
        <v>23.279299999999999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60"/>
        <v>0229-26</v>
      </c>
      <c r="AE145" s="66" t="str">
        <f t="shared" si="49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45" s="66" t="str">
        <f t="shared" si="50"/>
        <v>"C:\Program Files (x86)\AstroGrep\AstroGrep.exe" /spath="C:\Users\stu\Documents\Analysis\2016-02-23 RTDC Observations" /stypes="*4018*20160727*" /stext=" 03:.+((SYSTEM_STATE.+slice.+state.+changed )|(ment ac)|(system.+state.+changed )|(\|lc)|(penalty)|(\[timeout)|(PRM\|1\|D))" /e /r /s</v>
      </c>
      <c r="AG145" s="1" t="str">
        <f t="shared" si="61"/>
        <v>EC</v>
      </c>
    </row>
    <row r="146" spans="1:33" x14ac:dyDescent="0.25">
      <c r="A146" s="25" t="s">
        <v>618</v>
      </c>
      <c r="B146" s="99">
        <v>4017</v>
      </c>
      <c r="C146" s="100" t="s">
        <v>248</v>
      </c>
      <c r="D146" s="100" t="s">
        <v>619</v>
      </c>
      <c r="E146" s="101">
        <v>42577.908750000002</v>
      </c>
      <c r="F146" s="101">
        <v>42577.909884259258</v>
      </c>
      <c r="G146" s="99">
        <v>1</v>
      </c>
      <c r="H146" s="101" t="s">
        <v>267</v>
      </c>
      <c r="I146" s="101">
        <v>42577.942488425928</v>
      </c>
      <c r="J146" s="99">
        <v>0</v>
      </c>
      <c r="K146" s="25" t="str">
        <f t="shared" si="47"/>
        <v>4017/4018</v>
      </c>
      <c r="L146" s="25" t="str">
        <f>VLOOKUP(A146,'Trips&amp;Operators'!$C$1:$E$10000,3,FALSE)</f>
        <v>LEVERE</v>
      </c>
      <c r="M146" s="6">
        <f t="shared" si="48"/>
        <v>3.2604166670353152E-2</v>
      </c>
      <c r="N146" s="7">
        <f t="shared" si="51"/>
        <v>46.950000005308539</v>
      </c>
      <c r="O146" s="7"/>
      <c r="P146" s="7"/>
      <c r="Q146" s="26"/>
      <c r="R146" s="26"/>
      <c r="S146" s="41">
        <f t="shared" si="52"/>
        <v>1</v>
      </c>
      <c r="T146" s="60" t="str">
        <f t="shared" si="53"/>
        <v>Southbound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20:48:36-0600',mode:absolute,to:'2016-07-26 23:37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6" s="65" t="str">
        <f t="shared" si="55"/>
        <v>N</v>
      </c>
      <c r="X146" s="83">
        <f t="shared" si="56"/>
        <v>1</v>
      </c>
      <c r="Y146" s="80">
        <f t="shared" si="57"/>
        <v>23.2942</v>
      </c>
      <c r="Z146" s="80">
        <f t="shared" si="58"/>
        <v>1.67E-2</v>
      </c>
      <c r="AA146" s="80">
        <f t="shared" si="59"/>
        <v>23.2775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si="60"/>
        <v>0230-26</v>
      </c>
      <c r="AE146" s="66" t="str">
        <f t="shared" si="49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46" s="66" t="str">
        <f t="shared" si="50"/>
        <v>"C:\Program Files (x86)\AstroGrep\AstroGrep.exe" /spath="C:\Users\stu\Documents\Analysis\2016-02-23 RTDC Observations" /stypes="*4017*20160727*" /stext=" 04:.+((SYSTEM_STATE.+slice.+state.+changed )|(ment ac)|(system.+state.+changed )|(\|lc)|(penalty)|(\[timeout)|(PRM\|1\|D))" /e /r /s</v>
      </c>
      <c r="AG146" s="1" t="str">
        <f t="shared" si="61"/>
        <v>EC</v>
      </c>
    </row>
    <row r="147" spans="1:33" x14ac:dyDescent="0.25">
      <c r="A147" s="25" t="s">
        <v>620</v>
      </c>
      <c r="B147" s="99">
        <v>4020</v>
      </c>
      <c r="C147" s="100" t="s">
        <v>248</v>
      </c>
      <c r="D147" s="100" t="s">
        <v>506</v>
      </c>
      <c r="E147" s="101">
        <v>42577.892789351848</v>
      </c>
      <c r="F147" s="101">
        <v>42577.893726851849</v>
      </c>
      <c r="G147" s="99">
        <v>1</v>
      </c>
      <c r="H147" s="101" t="s">
        <v>138</v>
      </c>
      <c r="I147" s="101">
        <v>42577.921423611115</v>
      </c>
      <c r="J147" s="99">
        <v>0</v>
      </c>
      <c r="K147" s="25" t="str">
        <f t="shared" si="47"/>
        <v>4019/4020</v>
      </c>
      <c r="L147" s="25" t="str">
        <f>VLOOKUP(A147,'Trips&amp;Operators'!$C$1:$E$10000,3,FALSE)</f>
        <v>COOLAHAN</v>
      </c>
      <c r="M147" s="6">
        <f t="shared" si="48"/>
        <v>2.7696759265381843E-2</v>
      </c>
      <c r="N147" s="7">
        <f t="shared" si="51"/>
        <v>39.883333342149854</v>
      </c>
      <c r="O147" s="7"/>
      <c r="P147" s="7"/>
      <c r="Q147" s="26"/>
      <c r="R147" s="26"/>
      <c r="S147" s="41">
        <f t="shared" si="52"/>
        <v>1</v>
      </c>
      <c r="T147" s="60" t="str">
        <f t="shared" si="53"/>
        <v>NorthBound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20:25:37-0600',mode:absolute,to:'2016-07-26 23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47" s="65" t="str">
        <f t="shared" si="55"/>
        <v>N</v>
      </c>
      <c r="X147" s="83">
        <f t="shared" si="56"/>
        <v>1</v>
      </c>
      <c r="Y147" s="80">
        <f t="shared" si="57"/>
        <v>4.3299999999999998E-2</v>
      </c>
      <c r="Z147" s="80">
        <f t="shared" si="58"/>
        <v>23.329899999999999</v>
      </c>
      <c r="AA147" s="80">
        <f t="shared" si="59"/>
        <v>23.2866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60"/>
        <v>0231-26</v>
      </c>
      <c r="AE147" s="66" t="str">
        <f t="shared" si="49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47" s="66" t="str">
        <f t="shared" si="50"/>
        <v>"C:\Program Files (x86)\AstroGrep\AstroGrep.exe" /spath="C:\Users\stu\Documents\Analysis\2016-02-23 RTDC Observations" /stypes="*4020*20160727*" /stext=" 04:.+((SYSTEM_STATE.+slice.+state.+changed )|(ment ac)|(system.+state.+changed )|(\|lc)|(penalty)|(\[timeout)|(PRM\|1\|D))" /e /r /s</v>
      </c>
      <c r="AG147" s="1" t="str">
        <f t="shared" si="61"/>
        <v>EC</v>
      </c>
    </row>
    <row r="148" spans="1:33" x14ac:dyDescent="0.25">
      <c r="A148" s="25" t="s">
        <v>621</v>
      </c>
      <c r="B148" s="99">
        <v>4019</v>
      </c>
      <c r="C148" s="100" t="s">
        <v>248</v>
      </c>
      <c r="D148" s="100" t="s">
        <v>461</v>
      </c>
      <c r="E148" s="101">
        <v>42577.929861111108</v>
      </c>
      <c r="F148" s="101">
        <v>42577.931215277778</v>
      </c>
      <c r="G148" s="99">
        <v>1</v>
      </c>
      <c r="H148" s="101" t="s">
        <v>140</v>
      </c>
      <c r="I148" s="101">
        <v>42577.963576388887</v>
      </c>
      <c r="J148" s="99">
        <v>0</v>
      </c>
      <c r="K148" s="25" t="str">
        <f t="shared" si="47"/>
        <v>4019/4020</v>
      </c>
      <c r="L148" s="25" t="str">
        <f>VLOOKUP(A148,'Trips&amp;Operators'!$C$1:$E$10000,3,FALSE)</f>
        <v>COOLAHAN</v>
      </c>
      <c r="M148" s="6">
        <f t="shared" si="48"/>
        <v>3.2361111108912155E-2</v>
      </c>
      <c r="N148" s="7">
        <f t="shared" si="51"/>
        <v>46.599999996833503</v>
      </c>
      <c r="O148" s="7"/>
      <c r="P148" s="7"/>
      <c r="Q148" s="26"/>
      <c r="R148" s="26"/>
      <c r="S148" s="41">
        <f t="shared" si="52"/>
        <v>1</v>
      </c>
      <c r="T148" s="60" t="str">
        <f t="shared" si="53"/>
        <v>Southbound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21:19:00-0600',mode:absolute,to:'2016-07-27 00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48" s="65" t="str">
        <f t="shared" si="55"/>
        <v>N</v>
      </c>
      <c r="X148" s="83">
        <f t="shared" si="56"/>
        <v>1</v>
      </c>
      <c r="Y148" s="80">
        <f t="shared" si="57"/>
        <v>23.2986</v>
      </c>
      <c r="Z148" s="80">
        <f t="shared" si="58"/>
        <v>1.4999999999999999E-2</v>
      </c>
      <c r="AA148" s="80">
        <f t="shared" si="59"/>
        <v>23.2836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60"/>
        <v>0232-26</v>
      </c>
      <c r="AE148" s="66" t="str">
        <f t="shared" si="49"/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AF148" s="66" t="str">
        <f t="shared" si="50"/>
        <v>"C:\Program Files (x86)\AstroGrep\AstroGrep.exe" /spath="C:\Users\stu\Documents\Analysis\2016-02-23 RTDC Observations" /stypes="*4019*20160727*" /stext=" 05:.+((SYSTEM_STATE.+slice.+state.+changed )|(ment ac)|(system.+state.+changed )|(\|lc)|(penalty)|(\[timeout)|(PRM\|1\|D))" /e /r /s</v>
      </c>
      <c r="AG148" s="1" t="str">
        <f t="shared" si="61"/>
        <v>EC</v>
      </c>
    </row>
    <row r="149" spans="1:33" x14ac:dyDescent="0.25">
      <c r="A149" s="25" t="s">
        <v>451</v>
      </c>
      <c r="B149" s="99">
        <v>4025</v>
      </c>
      <c r="C149" s="100" t="s">
        <v>248</v>
      </c>
      <c r="D149" s="100" t="s">
        <v>315</v>
      </c>
      <c r="E149" s="101">
        <v>42577.900636574072</v>
      </c>
      <c r="F149" s="101">
        <v>42577.901608796295</v>
      </c>
      <c r="G149" s="99">
        <v>1</v>
      </c>
      <c r="H149" s="101" t="s">
        <v>326</v>
      </c>
      <c r="I149" s="101">
        <v>42577.941932870373</v>
      </c>
      <c r="J149" s="99">
        <v>1</v>
      </c>
      <c r="K149" s="25" t="str">
        <f t="shared" si="47"/>
        <v>4025/4026</v>
      </c>
      <c r="L149" s="25" t="str">
        <f>VLOOKUP(A149,'Trips&amp;Operators'!$C$1:$E$10000,3,FALSE)</f>
        <v>YANAI</v>
      </c>
      <c r="M149" s="6">
        <f t="shared" si="48"/>
        <v>4.0324074077943806E-2</v>
      </c>
      <c r="N149" s="7">
        <f t="shared" si="51"/>
        <v>58.06666667223908</v>
      </c>
      <c r="O149" s="7"/>
      <c r="P149" s="7"/>
      <c r="Q149" s="26"/>
      <c r="R149" s="26"/>
      <c r="S149" s="41">
        <f t="shared" si="52"/>
        <v>1</v>
      </c>
      <c r="T149" s="60" t="str">
        <f t="shared" si="53"/>
        <v>NorthBound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20:36:55-0600',mode:absolute,to:'2016-07-26 23:36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49" s="65" t="str">
        <f t="shared" si="55"/>
        <v>N</v>
      </c>
      <c r="X149" s="83">
        <f t="shared" si="56"/>
        <v>1</v>
      </c>
      <c r="Y149" s="80">
        <f t="shared" si="57"/>
        <v>4.4200000000000003E-2</v>
      </c>
      <c r="Z149" s="80">
        <f t="shared" si="58"/>
        <v>23.325700000000001</v>
      </c>
      <c r="AA149" s="80">
        <f t="shared" si="59"/>
        <v>23.281500000000001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60"/>
        <v>0233-26</v>
      </c>
      <c r="AE149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49" s="66" t="str">
        <f t="shared" si="50"/>
        <v>"C:\Program Files (x86)\AstroGrep\AstroGrep.exe" /spath="C:\Users\stu\Documents\Analysis\2016-02-23 RTDC Observations" /stypes="*4025*20160727*" /stext=" 04:.+((SYSTEM_STATE.+slice.+state.+changed )|(ment ac)|(system.+state.+changed )|(\|lc)|(penalty)|(\[timeout)|(PRM\|1\|D))" /e /r /s</v>
      </c>
      <c r="AG149" s="1" t="str">
        <f t="shared" si="61"/>
        <v>EC</v>
      </c>
    </row>
    <row r="150" spans="1:33" x14ac:dyDescent="0.25">
      <c r="A150" s="25" t="s">
        <v>622</v>
      </c>
      <c r="B150" s="99">
        <v>4026</v>
      </c>
      <c r="C150" s="100" t="s">
        <v>248</v>
      </c>
      <c r="D150" s="100" t="s">
        <v>610</v>
      </c>
      <c r="E150" s="101">
        <v>42577.953680555554</v>
      </c>
      <c r="F150" s="101">
        <v>42577.954594907409</v>
      </c>
      <c r="G150" s="99">
        <v>1</v>
      </c>
      <c r="H150" s="101" t="s">
        <v>532</v>
      </c>
      <c r="I150" s="101">
        <v>42577.981608796297</v>
      </c>
      <c r="J150" s="99">
        <v>0</v>
      </c>
      <c r="K150" s="25" t="str">
        <f t="shared" si="47"/>
        <v>4025/4026</v>
      </c>
      <c r="L150" s="25" t="str">
        <f>VLOOKUP(A150,'Trips&amp;Operators'!$C$1:$E$10000,3,FALSE)</f>
        <v>YANAI</v>
      </c>
      <c r="M150" s="6">
        <f t="shared" si="48"/>
        <v>2.7013888888177462E-2</v>
      </c>
      <c r="N150" s="7">
        <f t="shared" si="51"/>
        <v>38.899999998975545</v>
      </c>
      <c r="O150" s="7"/>
      <c r="P150" s="7"/>
      <c r="Q150" s="26"/>
      <c r="R150" s="26"/>
      <c r="S150" s="41">
        <f t="shared" si="52"/>
        <v>1</v>
      </c>
      <c r="T150" s="60" t="str">
        <f t="shared" si="53"/>
        <v>Southbound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21:53:18-0600',mode:absolute,to:'2016-07-27 00:33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0" s="65" t="str">
        <f t="shared" si="55"/>
        <v>N</v>
      </c>
      <c r="X150" s="83">
        <f t="shared" si="56"/>
        <v>1</v>
      </c>
      <c r="Y150" s="80">
        <f t="shared" si="57"/>
        <v>23.296700000000001</v>
      </c>
      <c r="Z150" s="80">
        <f t="shared" si="58"/>
        <v>1.23E-2</v>
      </c>
      <c r="AA150" s="80">
        <f t="shared" si="59"/>
        <v>23.284400000000002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60"/>
        <v>0234-26</v>
      </c>
      <c r="AE150" s="66" t="str">
        <f t="shared" si="49"/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AF150" s="66" t="str">
        <f t="shared" si="50"/>
        <v>"C:\Program Files (x86)\AstroGrep\AstroGrep.exe" /spath="C:\Users\stu\Documents\Analysis\2016-02-23 RTDC Observations" /stypes="*4026*20160727*" /stext=" 05:.+((SYSTEM_STATE.+slice.+state.+changed )|(ment ac)|(system.+state.+changed )|(\|lc)|(penalty)|(\[timeout)|(PRM\|1\|D))" /e /r /s</v>
      </c>
      <c r="AG150" s="1" t="str">
        <f t="shared" si="61"/>
        <v>EC</v>
      </c>
    </row>
    <row r="151" spans="1:33" x14ac:dyDescent="0.25">
      <c r="A151" s="25" t="s">
        <v>623</v>
      </c>
      <c r="B151" s="99">
        <v>4042</v>
      </c>
      <c r="C151" s="100" t="s">
        <v>248</v>
      </c>
      <c r="D151" s="100" t="s">
        <v>624</v>
      </c>
      <c r="E151" s="101">
        <v>42577.934317129628</v>
      </c>
      <c r="F151" s="101">
        <v>42577.935416666667</v>
      </c>
      <c r="G151" s="99">
        <v>1</v>
      </c>
      <c r="H151" s="101" t="s">
        <v>156</v>
      </c>
      <c r="I151" s="101">
        <v>42577.962893518517</v>
      </c>
      <c r="J151" s="99">
        <v>0</v>
      </c>
      <c r="K151" s="25" t="str">
        <f t="shared" si="47"/>
        <v>4041/4042</v>
      </c>
      <c r="L151" s="25" t="str">
        <f>VLOOKUP(A151,'Trips&amp;Operators'!$C$1:$E$10000,3,FALSE)</f>
        <v>CHANDLER</v>
      </c>
      <c r="M151" s="6">
        <f t="shared" si="48"/>
        <v>2.7476851850224193E-2</v>
      </c>
      <c r="N151" s="7">
        <f t="shared" si="51"/>
        <v>39.566666664322838</v>
      </c>
      <c r="O151" s="7"/>
      <c r="P151" s="7"/>
      <c r="Q151" s="26"/>
      <c r="R151" s="26"/>
      <c r="S151" s="41">
        <f t="shared" si="52"/>
        <v>1</v>
      </c>
      <c r="T151" s="60" t="str">
        <f t="shared" si="53"/>
        <v>NorthBound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21:25:25-0600',mode:absolute,to:'2016-07-27 00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1" s="65" t="str">
        <f t="shared" si="55"/>
        <v>N</v>
      </c>
      <c r="X151" s="83">
        <f t="shared" si="56"/>
        <v>1</v>
      </c>
      <c r="Y151" s="80">
        <f t="shared" si="57"/>
        <v>5.0200000000000002E-2</v>
      </c>
      <c r="Z151" s="80">
        <f t="shared" si="58"/>
        <v>23.3293</v>
      </c>
      <c r="AA151" s="80">
        <f t="shared" si="59"/>
        <v>23.2791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60"/>
        <v>0235-26</v>
      </c>
      <c r="AE151" s="66" t="str">
        <f t="shared" si="49"/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AF151" s="66" t="str">
        <f t="shared" si="50"/>
        <v>"C:\Program Files (x86)\AstroGrep\AstroGrep.exe" /spath="C:\Users\stu\Documents\Analysis\2016-02-23 RTDC Observations" /stypes="*4042*20160727*" /stext=" 05:.+((SYSTEM_STATE.+slice.+state.+changed )|(ment ac)|(system.+state.+changed )|(\|lc)|(penalty)|(\[timeout)|(PRM\|1\|D))" /e /r /s</v>
      </c>
      <c r="AG151" s="1" t="str">
        <f t="shared" si="61"/>
        <v>EC</v>
      </c>
    </row>
    <row r="152" spans="1:33" x14ac:dyDescent="0.25">
      <c r="A152" s="25" t="s">
        <v>625</v>
      </c>
      <c r="B152" s="99">
        <v>4041</v>
      </c>
      <c r="C152" s="100" t="s">
        <v>248</v>
      </c>
      <c r="D152" s="100" t="s">
        <v>65</v>
      </c>
      <c r="E152" s="101">
        <v>42577.975092592591</v>
      </c>
      <c r="F152" s="101">
        <v>42577.976145833331</v>
      </c>
      <c r="G152" s="99">
        <v>1</v>
      </c>
      <c r="H152" s="101" t="s">
        <v>58</v>
      </c>
      <c r="I152" s="101">
        <v>42578.004328703704</v>
      </c>
      <c r="J152" s="99">
        <v>0</v>
      </c>
      <c r="K152" s="25" t="str">
        <f t="shared" si="47"/>
        <v>4041/4042</v>
      </c>
      <c r="L152" s="25" t="str">
        <f>VLOOKUP(A152,'Trips&amp;Operators'!$C$1:$E$10000,3,FALSE)</f>
        <v>CHANDLER</v>
      </c>
      <c r="M152" s="6">
        <f t="shared" si="48"/>
        <v>2.8182870373711921E-2</v>
      </c>
      <c r="N152" s="7">
        <f t="shared" si="51"/>
        <v>40.583333338145167</v>
      </c>
      <c r="O152" s="7"/>
      <c r="P152" s="7"/>
      <c r="Q152" s="26"/>
      <c r="R152" s="26"/>
      <c r="S152" s="41">
        <f t="shared" si="52"/>
        <v>1</v>
      </c>
      <c r="T152" s="60" t="str">
        <f t="shared" si="53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22:24:08-0600',mode:absolute,to:'2016-07-27 01:06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52" s="65" t="str">
        <f t="shared" si="55"/>
        <v>N</v>
      </c>
      <c r="X152" s="83">
        <f t="shared" si="56"/>
        <v>1</v>
      </c>
      <c r="Y152" s="80">
        <f t="shared" si="57"/>
        <v>23.297699999999999</v>
      </c>
      <c r="Z152" s="80">
        <f t="shared" si="58"/>
        <v>1.4500000000000001E-2</v>
      </c>
      <c r="AA152" s="80">
        <f t="shared" si="59"/>
        <v>23.283199999999997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60"/>
        <v>0236-26</v>
      </c>
      <c r="AE152" s="66" t="str">
        <f t="shared" si="49"/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AF152" s="66" t="str">
        <f t="shared" si="50"/>
        <v>"C:\Program Files (x86)\AstroGrep\AstroGrep.exe" /spath="C:\Users\stu\Documents\Analysis\2016-02-23 RTDC Observations" /stypes="*4041*20160727*" /stext=" 06:.+((SYSTEM_STATE.+slice.+state.+changed )|(ment ac)|(system.+state.+changed )|(\|lc)|(penalty)|(\[timeout)|(PRM\|1\|D))" /e /r /s</v>
      </c>
      <c r="AG152" s="1" t="str">
        <f t="shared" si="61"/>
        <v>EC</v>
      </c>
    </row>
    <row r="153" spans="1:33" x14ac:dyDescent="0.25">
      <c r="A153" s="25" t="s">
        <v>452</v>
      </c>
      <c r="B153" s="99">
        <v>4018</v>
      </c>
      <c r="C153" s="100" t="s">
        <v>248</v>
      </c>
      <c r="D153" s="100" t="s">
        <v>159</v>
      </c>
      <c r="E153" s="101">
        <v>42577.951377314814</v>
      </c>
      <c r="F153" s="101">
        <v>42577.955601851849</v>
      </c>
      <c r="G153" s="99">
        <v>6</v>
      </c>
      <c r="H153" s="101" t="s">
        <v>265</v>
      </c>
      <c r="I153" s="101">
        <v>42577.984571759262</v>
      </c>
      <c r="J153" s="99">
        <v>1</v>
      </c>
      <c r="K153" s="25" t="str">
        <f t="shared" si="47"/>
        <v>4017/4018</v>
      </c>
      <c r="L153" s="25" t="str">
        <f>VLOOKUP(A153,'Trips&amp;Operators'!$C$1:$E$10000,3,FALSE)</f>
        <v>LEVERE</v>
      </c>
      <c r="M153" s="6">
        <f t="shared" si="48"/>
        <v>2.8969907412829343E-2</v>
      </c>
      <c r="N153" s="7">
        <f t="shared" si="51"/>
        <v>41.716666674474254</v>
      </c>
      <c r="O153" s="7"/>
      <c r="P153" s="7"/>
      <c r="Q153" s="26"/>
      <c r="R153" s="26"/>
      <c r="S153" s="41">
        <f t="shared" si="52"/>
        <v>1</v>
      </c>
      <c r="T153" s="60" t="str">
        <f t="shared" si="53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21:49:59-0600',mode:absolute,to:'2016-07-27 00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53" s="65" t="str">
        <f t="shared" si="55"/>
        <v>N</v>
      </c>
      <c r="X153" s="83">
        <f t="shared" si="56"/>
        <v>1</v>
      </c>
      <c r="Y153" s="80">
        <f t="shared" si="57"/>
        <v>4.7300000000000002E-2</v>
      </c>
      <c r="Z153" s="80">
        <f t="shared" si="58"/>
        <v>23.3264</v>
      </c>
      <c r="AA153" s="80">
        <f t="shared" si="59"/>
        <v>23.2791</v>
      </c>
      <c r="AB153" s="77">
        <f>VLOOKUP(A153,Enforcements!$C$7:$J$24,8,0)</f>
        <v>50746</v>
      </c>
      <c r="AC153" s="73" t="str">
        <f>VLOOKUP(A153,Enforcements!$C$7:$E$24,3,0)</f>
        <v>SIGNAL</v>
      </c>
      <c r="AD153" s="74" t="str">
        <f t="shared" si="60"/>
        <v>0237-26</v>
      </c>
      <c r="AE153" s="66" t="str">
        <f t="shared" si="49"/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AF153" s="66" t="str">
        <f t="shared" si="50"/>
        <v>"C:\Program Files (x86)\AstroGrep\AstroGrep.exe" /spath="C:\Users\stu\Documents\Analysis\2016-02-23 RTDC Observations" /stypes="*4018*20160727*" /stext=" 05:.+((SYSTEM_STATE.+slice.+state.+changed )|(ment ac)|(system.+state.+changed )|(\|lc)|(penalty)|(\[timeout)|(PRM\|1\|D))" /e /r /s</v>
      </c>
      <c r="AG153" s="1" t="str">
        <f t="shared" si="61"/>
        <v>EC</v>
      </c>
    </row>
    <row r="154" spans="1:33" x14ac:dyDescent="0.25">
      <c r="A154" s="25" t="s">
        <v>626</v>
      </c>
      <c r="B154" s="99">
        <v>4017</v>
      </c>
      <c r="C154" s="100" t="s">
        <v>248</v>
      </c>
      <c r="D154" s="100" t="s">
        <v>291</v>
      </c>
      <c r="E154" s="101">
        <v>42577.992743055554</v>
      </c>
      <c r="F154" s="101">
        <v>42577.993715277778</v>
      </c>
      <c r="G154" s="99">
        <v>1</v>
      </c>
      <c r="H154" s="101" t="s">
        <v>301</v>
      </c>
      <c r="I154" s="101">
        <v>42578.024664351855</v>
      </c>
      <c r="J154" s="99">
        <v>0</v>
      </c>
      <c r="K154" s="25" t="str">
        <f t="shared" si="47"/>
        <v>4017/4018</v>
      </c>
      <c r="L154" s="25" t="str">
        <f>VLOOKUP(A154,'Trips&amp;Operators'!$C$1:$E$10000,3,FALSE)</f>
        <v>LEVERE</v>
      </c>
      <c r="M154" s="6">
        <f t="shared" si="48"/>
        <v>3.0949074076488614E-2</v>
      </c>
      <c r="N154" s="7">
        <f t="shared" si="51"/>
        <v>44.566666670143604</v>
      </c>
      <c r="O154" s="7"/>
      <c r="P154" s="7"/>
      <c r="Q154" s="26"/>
      <c r="R154" s="26"/>
      <c r="S154" s="41">
        <f t="shared" si="52"/>
        <v>1</v>
      </c>
      <c r="T154" s="60" t="str">
        <f t="shared" si="53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22:49:33-0600',mode:absolute,to:'2016-07-27 01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54" s="65" t="str">
        <f t="shared" si="55"/>
        <v>N</v>
      </c>
      <c r="X154" s="83">
        <f t="shared" si="56"/>
        <v>1</v>
      </c>
      <c r="Y154" s="80">
        <f t="shared" si="57"/>
        <v>23.294599999999999</v>
      </c>
      <c r="Z154" s="80">
        <f t="shared" si="58"/>
        <v>1.7399999999999999E-2</v>
      </c>
      <c r="AA154" s="80">
        <f t="shared" si="59"/>
        <v>23.277200000000001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60"/>
        <v>0238-26</v>
      </c>
      <c r="AE154" s="66" t="str">
        <f t="shared" si="49"/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AF154" s="66" t="str">
        <f t="shared" si="50"/>
        <v>"C:\Program Files (x86)\AstroGrep\AstroGrep.exe" /spath="C:\Users\stu\Documents\Analysis\2016-02-23 RTDC Observations" /stypes="*4017*20160727*" /stext=" 06:.+((SYSTEM_STATE.+slice.+state.+changed )|(ment ac)|(system.+state.+changed )|(\|lc)|(penalty)|(\[timeout)|(PRM\|1\|D))" /e /r /s</v>
      </c>
      <c r="AG154" s="1" t="str">
        <f t="shared" si="61"/>
        <v>EC</v>
      </c>
    </row>
    <row r="155" spans="1:33" x14ac:dyDescent="0.25">
      <c r="A155" s="25" t="s">
        <v>627</v>
      </c>
      <c r="B155" s="99">
        <v>4020</v>
      </c>
      <c r="C155" s="100" t="s">
        <v>248</v>
      </c>
      <c r="D155" s="100" t="s">
        <v>561</v>
      </c>
      <c r="E155" s="101">
        <v>42577.974421296298</v>
      </c>
      <c r="F155" s="101">
        <v>42577.97556712963</v>
      </c>
      <c r="G155" s="99">
        <v>1</v>
      </c>
      <c r="H155" s="101" t="s">
        <v>163</v>
      </c>
      <c r="I155" s="101">
        <v>42578.004537037035</v>
      </c>
      <c r="J155" s="99">
        <v>0</v>
      </c>
      <c r="K155" s="25" t="str">
        <f t="shared" si="47"/>
        <v>4019/4020</v>
      </c>
      <c r="L155" s="25" t="str">
        <f>VLOOKUP(A155,'Trips&amp;Operators'!$C$1:$E$10000,3,FALSE)</f>
        <v>COOLAHAN</v>
      </c>
      <c r="M155" s="6">
        <f t="shared" si="48"/>
        <v>2.8969907405553386E-2</v>
      </c>
      <c r="N155" s="7">
        <f t="shared" si="51"/>
        <v>41.716666663996875</v>
      </c>
      <c r="O155" s="7"/>
      <c r="P155" s="7"/>
      <c r="Q155" s="26"/>
      <c r="R155" s="26"/>
      <c r="S155" s="41">
        <f t="shared" si="52"/>
        <v>1</v>
      </c>
      <c r="T155" s="60" t="str">
        <f t="shared" si="53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22:23:10-0600',mode:absolute,to:'2016-07-27 01:06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55" s="65" t="str">
        <f t="shared" si="55"/>
        <v>N</v>
      </c>
      <c r="X155" s="83">
        <f t="shared" si="56"/>
        <v>1</v>
      </c>
      <c r="Y155" s="80">
        <f t="shared" si="57"/>
        <v>4.3099999999999999E-2</v>
      </c>
      <c r="Z155" s="80">
        <f t="shared" si="58"/>
        <v>23.330300000000001</v>
      </c>
      <c r="AA155" s="80">
        <f t="shared" si="59"/>
        <v>23.287200000000002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60"/>
        <v>0239-26</v>
      </c>
      <c r="AE155" s="66" t="str">
        <f t="shared" si="49"/>
        <v>aws s3 cp s3://rtdc.mdm.uploadarchive/RTDC4020/2016-07-26/ "C:\Users\stu\Documents\Analysis\2016-02-23 RTDC Observations"\RTDC4020\2016-07-26 --recursive &amp; "C:\Users\stu\Documents\GitHub\mrs-test-scripts\Headless Mode &amp; Sideloading\WalkAndUnGZ.bat" "C:\Users\stu\Documents\Analysis\2016-02-23 RTDC Observations"\RTDC4020\2016-07-26 &amp; 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</v>
      </c>
      <c r="AF155" s="66" t="str">
        <f t="shared" si="50"/>
        <v>"C:\Program Files (x86)\AstroGrep\AstroGrep.exe" /spath="C:\Users\stu\Documents\Analysis\2016-02-23 RTDC Observations" /stypes="*4020*20160727*" /stext=" 06:.+((SYSTEM_STATE.+slice.+state.+changed )|(ment ac)|(system.+state.+changed )|(\|lc)|(penalty)|(\[timeout)|(PRM\|1\|D))" /e /r /s</v>
      </c>
      <c r="AG155" s="1" t="str">
        <f t="shared" si="61"/>
        <v>EC</v>
      </c>
    </row>
    <row r="156" spans="1:33" x14ac:dyDescent="0.25">
      <c r="A156" s="25" t="s">
        <v>628</v>
      </c>
      <c r="B156" s="99">
        <v>4019</v>
      </c>
      <c r="C156" s="100" t="s">
        <v>248</v>
      </c>
      <c r="D156" s="100" t="s">
        <v>150</v>
      </c>
      <c r="E156" s="101">
        <v>42578.011319444442</v>
      </c>
      <c r="F156" s="101">
        <v>42578.012291666666</v>
      </c>
      <c r="G156" s="99">
        <v>1</v>
      </c>
      <c r="H156" s="101" t="s">
        <v>59</v>
      </c>
      <c r="I156" s="101">
        <v>42578.045289351852</v>
      </c>
      <c r="J156" s="99">
        <v>0</v>
      </c>
      <c r="K156" s="25" t="str">
        <f t="shared" si="47"/>
        <v>4019/4020</v>
      </c>
      <c r="L156" s="25" t="str">
        <f>VLOOKUP(A156,'Trips&amp;Operators'!$C$1:$E$10000,3,FALSE)</f>
        <v>COOLAHAN</v>
      </c>
      <c r="M156" s="6">
        <f t="shared" si="48"/>
        <v>3.2997685186273884E-2</v>
      </c>
      <c r="N156" s="7">
        <f t="shared" si="51"/>
        <v>47.516666668234393</v>
      </c>
      <c r="O156" s="7"/>
      <c r="P156" s="7"/>
      <c r="Q156" s="26"/>
      <c r="R156" s="26"/>
      <c r="S156" s="41">
        <f t="shared" si="52"/>
        <v>1</v>
      </c>
      <c r="T156" s="60" t="str">
        <f t="shared" si="53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23:16:18-0600',mode:absolute,to:'2016-07-27 02:05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56" s="65" t="str">
        <f t="shared" si="55"/>
        <v>N</v>
      </c>
      <c r="X156" s="83">
        <f t="shared" si="56"/>
        <v>1</v>
      </c>
      <c r="Y156" s="80">
        <f t="shared" si="57"/>
        <v>23.298400000000001</v>
      </c>
      <c r="Z156" s="80">
        <f t="shared" si="58"/>
        <v>1.52E-2</v>
      </c>
      <c r="AA156" s="80">
        <f t="shared" si="59"/>
        <v>23.283200000000001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60"/>
        <v>0240-26</v>
      </c>
      <c r="AE156" s="66" t="str">
        <f t="shared" si="49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56" s="66" t="str">
        <f t="shared" si="50"/>
        <v>"C:\Program Files (x86)\AstroGrep\AstroGrep.exe" /spath="C:\Users\stu\Documents\Analysis\2016-02-23 RTDC Observations" /stypes="*4019*20160727*" /stext=" 07:.+((SYSTEM_STATE.+slice.+state.+changed )|(ment ac)|(system.+state.+changed )|(\|lc)|(penalty)|(\[timeout)|(PRM\|1\|D))" /e /r /s</v>
      </c>
      <c r="AG156" s="1" t="str">
        <f t="shared" si="61"/>
        <v>EC</v>
      </c>
    </row>
    <row r="157" spans="1:33" x14ac:dyDescent="0.25">
      <c r="A157" s="25" t="s">
        <v>629</v>
      </c>
      <c r="B157" s="99">
        <v>4025</v>
      </c>
      <c r="C157" s="100" t="s">
        <v>248</v>
      </c>
      <c r="D157" s="100" t="s">
        <v>612</v>
      </c>
      <c r="E157" s="101">
        <v>42577.983171296299</v>
      </c>
      <c r="F157" s="101">
        <v>42577.984317129631</v>
      </c>
      <c r="G157" s="99">
        <v>1</v>
      </c>
      <c r="H157" s="101" t="s">
        <v>263</v>
      </c>
      <c r="I157" s="101">
        <v>42578.025405092594</v>
      </c>
      <c r="J157" s="99">
        <v>0</v>
      </c>
      <c r="K157" s="25" t="str">
        <f t="shared" si="47"/>
        <v>4025/4026</v>
      </c>
      <c r="L157" s="25" t="str">
        <f>VLOOKUP(A157,'Trips&amp;Operators'!$C$1:$E$10000,3,FALSE)</f>
        <v>YANAI</v>
      </c>
      <c r="M157" s="6">
        <f t="shared" si="48"/>
        <v>4.1087962963501923E-2</v>
      </c>
      <c r="N157" s="7">
        <f t="shared" si="51"/>
        <v>59.166666667442769</v>
      </c>
      <c r="O157" s="7"/>
      <c r="P157" s="7"/>
      <c r="Q157" s="26"/>
      <c r="R157" s="26"/>
      <c r="S157" s="41">
        <f t="shared" si="52"/>
        <v>1</v>
      </c>
      <c r="T157" s="60" t="str">
        <f t="shared" si="53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22:35:46-0600',mode:absolute,to:'2016-07-27 01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57" s="65" t="str">
        <f t="shared" si="55"/>
        <v>N</v>
      </c>
      <c r="X157" s="83">
        <f t="shared" si="56"/>
        <v>1</v>
      </c>
      <c r="Y157" s="80">
        <f t="shared" si="57"/>
        <v>4.2599999999999999E-2</v>
      </c>
      <c r="Z157" s="80">
        <f t="shared" si="58"/>
        <v>23.333600000000001</v>
      </c>
      <c r="AA157" s="80">
        <f t="shared" si="59"/>
        <v>23.291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60"/>
        <v>0241-26</v>
      </c>
      <c r="AE157" s="66" t="str">
        <f t="shared" si="49"/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AF157" s="66" t="str">
        <f t="shared" si="50"/>
        <v>"C:\Program Files (x86)\AstroGrep\AstroGrep.exe" /spath="C:\Users\stu\Documents\Analysis\2016-02-23 RTDC Observations" /stypes="*4025*20160727*" /stext=" 06:.+((SYSTEM_STATE.+slice.+state.+changed )|(ment ac)|(system.+state.+changed )|(\|lc)|(penalty)|(\[timeout)|(PRM\|1\|D))" /e /r /s</v>
      </c>
      <c r="AG157" s="1" t="str">
        <f t="shared" si="61"/>
        <v>EC</v>
      </c>
    </row>
    <row r="158" spans="1:33" x14ac:dyDescent="0.25">
      <c r="A158" s="25" t="s">
        <v>630</v>
      </c>
      <c r="B158" s="99">
        <v>4026</v>
      </c>
      <c r="C158" s="100" t="s">
        <v>248</v>
      </c>
      <c r="D158" s="100" t="s">
        <v>631</v>
      </c>
      <c r="E158" s="101">
        <v>42578.037222222221</v>
      </c>
      <c r="F158" s="101">
        <v>42578.038229166668</v>
      </c>
      <c r="G158" s="99">
        <v>1</v>
      </c>
      <c r="H158" s="101" t="s">
        <v>632</v>
      </c>
      <c r="I158" s="101">
        <v>42578.064976851849</v>
      </c>
      <c r="J158" s="99">
        <v>0</v>
      </c>
      <c r="K158" s="25" t="str">
        <f t="shared" si="47"/>
        <v>4025/4026</v>
      </c>
      <c r="L158" s="25" t="str">
        <f>VLOOKUP(A158,'Trips&amp;Operators'!$C$1:$E$10000,3,FALSE)</f>
        <v>YANAI</v>
      </c>
      <c r="M158" s="6">
        <f t="shared" si="48"/>
        <v>2.6747685180453118E-2</v>
      </c>
      <c r="N158" s="7">
        <f t="shared" si="51"/>
        <v>38.51666665985249</v>
      </c>
      <c r="O158" s="7"/>
      <c r="P158" s="7"/>
      <c r="Q158" s="26"/>
      <c r="R158" s="26"/>
      <c r="S158" s="41">
        <f t="shared" si="52"/>
        <v>1</v>
      </c>
      <c r="T158" s="60" t="str">
        <f t="shared" si="53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23:53:36-0600',mode:absolute,to:'2016-07-27 02:33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58" s="65" t="str">
        <f t="shared" si="55"/>
        <v>N</v>
      </c>
      <c r="X158" s="83">
        <f t="shared" si="56"/>
        <v>1</v>
      </c>
      <c r="Y158" s="80">
        <f t="shared" si="57"/>
        <v>23.3001</v>
      </c>
      <c r="Z158" s="80">
        <f t="shared" si="58"/>
        <v>1.9199999999999998E-2</v>
      </c>
      <c r="AA158" s="80">
        <f t="shared" si="59"/>
        <v>23.280899999999999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60"/>
        <v>0242-26</v>
      </c>
      <c r="AE158" s="66" t="str">
        <f t="shared" si="49"/>
        <v>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 &amp; aws s3 cp s3://rtdc.mdm.uploadarchive/RTDC4026/2016-07-28/ "C:\Users\stu\Documents\Analysis\2016-02-23 RTDC Observations"\RTDC4026\2016-07-28 --recursive &amp; "C:\Users\stu\Documents\GitHub\mrs-test-scripts\Headless Mode &amp; Sideloading\WalkAndUnGZ.bat" "C:\Users\stu\Documents\Analysis\2016-02-23 RTDC Observations"\RTDC4026\2016-07-28</v>
      </c>
      <c r="AF158" s="66" t="str">
        <f t="shared" si="50"/>
        <v>"C:\Program Files (x86)\AstroGrep\AstroGrep.exe" /spath="C:\Users\stu\Documents\Analysis\2016-02-23 RTDC Observations" /stypes="*4026*20160727*" /stext=" 07:.+((SYSTEM_STATE.+slice.+state.+changed )|(ment ac)|(system.+state.+changed )|(\|lc)|(penalty)|(\[timeout)|(PRM\|1\|D))" /e /r /s</v>
      </c>
      <c r="AG158" s="1" t="str">
        <f t="shared" si="61"/>
        <v>EC</v>
      </c>
    </row>
    <row r="159" spans="1:33" x14ac:dyDescent="0.25">
      <c r="A159" s="25" t="s">
        <v>633</v>
      </c>
      <c r="B159" s="99">
        <v>4042</v>
      </c>
      <c r="C159" s="100" t="s">
        <v>248</v>
      </c>
      <c r="D159" s="100" t="s">
        <v>118</v>
      </c>
      <c r="E159" s="101">
        <v>42578.014965277776</v>
      </c>
      <c r="F159" s="101">
        <v>42578.016099537039</v>
      </c>
      <c r="G159" s="99">
        <v>1</v>
      </c>
      <c r="H159" s="101" t="s">
        <v>535</v>
      </c>
      <c r="I159" s="101">
        <v>42578.045925925922</v>
      </c>
      <c r="J159" s="99">
        <v>0</v>
      </c>
      <c r="K159" s="25" t="str">
        <f t="shared" si="47"/>
        <v>4041/4042</v>
      </c>
      <c r="L159" s="25" t="str">
        <f>VLOOKUP(A159,'Trips&amp;Operators'!$C$1:$E$10000,3,FALSE)</f>
        <v>CHANDLER</v>
      </c>
      <c r="M159" s="6">
        <f t="shared" si="48"/>
        <v>2.9826388883520849E-2</v>
      </c>
      <c r="N159" s="7">
        <f t="shared" si="51"/>
        <v>42.949999992270023</v>
      </c>
      <c r="O159" s="7"/>
      <c r="P159" s="7"/>
      <c r="Q159" s="26"/>
      <c r="R159" s="26"/>
      <c r="S159" s="41">
        <f t="shared" si="52"/>
        <v>1</v>
      </c>
      <c r="T159" s="60" t="str">
        <f t="shared" si="53"/>
        <v>NorthBound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12</v>
      </c>
      <c r="V15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https://search-rtdc-monitor-bjffxe2xuh6vdkpspy63sjmuny.us-east-1.es.amazonaws.com/_plugin/kibana/#/discover/Steve-Slow-Train-Analysis-(2080s-and-2083s)?_g=(refreshInterval:(display:Off,section:0,value:0),time:(from:'2016-07-26 23:21:33-0600',mode:absolute,to:'2016-07-27 02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59" s="65" t="str">
        <f t="shared" si="55"/>
        <v>N</v>
      </c>
      <c r="X159" s="83">
        <f t="shared" si="56"/>
        <v>1</v>
      </c>
      <c r="Y159" s="80">
        <f t="shared" si="57"/>
        <v>4.58E-2</v>
      </c>
      <c r="Z159" s="80">
        <f t="shared" si="58"/>
        <v>23.330500000000001</v>
      </c>
      <c r="AA159" s="80">
        <f t="shared" si="59"/>
        <v>23.284700000000001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60"/>
        <v>0243-26</v>
      </c>
      <c r="AE159" s="66" t="str">
        <f t="shared" si="49"/>
        <v>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 &amp; aws s3 cp s3://rtdc.mdm.uploadarchive/RTDC4042/2016-07-28/ "C:\Users\stu\Documents\Analysis\2016-02-23 RTDC Observations"\RTDC4042\2016-07-28 --recursive &amp; "C:\Users\stu\Documents\GitHub\mrs-test-scripts\Headless Mode &amp; Sideloading\WalkAndUnGZ.bat" "C:\Users\stu\Documents\Analysis\2016-02-23 RTDC Observations"\RTDC4042\2016-07-28</v>
      </c>
      <c r="AF159" s="66" t="str">
        <f t="shared" si="50"/>
        <v>"C:\Program Files (x86)\AstroGrep\AstroGrep.exe" /spath="C:\Users\stu\Documents\Analysis\2016-02-23 RTDC Observations" /stypes="*4042*20160727*" /stext=" 07:.+((SYSTEM_STATE.+slice.+state.+changed )|(ment ac)|(system.+state.+changed )|(\|lc)|(penalty)|(\[timeout)|(PRM\|1\|D))" /e /r /s</v>
      </c>
      <c r="AG159" s="1" t="str">
        <f t="shared" si="61"/>
        <v>EC</v>
      </c>
    </row>
    <row r="160" spans="1:33" x14ac:dyDescent="0.25">
      <c r="A160" s="25" t="s">
        <v>634</v>
      </c>
      <c r="B160" s="99">
        <v>4041</v>
      </c>
      <c r="C160" s="100" t="s">
        <v>248</v>
      </c>
      <c r="D160" s="100" t="s">
        <v>559</v>
      </c>
      <c r="E160" s="101">
        <v>42578.05908564815</v>
      </c>
      <c r="F160" s="101">
        <v>42578.060277777775</v>
      </c>
      <c r="G160" s="99">
        <v>1</v>
      </c>
      <c r="H160" s="101" t="s">
        <v>267</v>
      </c>
      <c r="I160" s="101">
        <v>42578.090567129628</v>
      </c>
      <c r="J160" s="99">
        <v>0</v>
      </c>
      <c r="K160" s="25" t="str">
        <f t="shared" si="47"/>
        <v>4041/4042</v>
      </c>
      <c r="L160" s="25" t="str">
        <f>VLOOKUP(A160,'Trips&amp;Operators'!$C$1:$E$10000,3,FALSE)</f>
        <v>CHANDLER</v>
      </c>
      <c r="M160" s="6">
        <f t="shared" si="48"/>
        <v>3.0289351852843538E-2</v>
      </c>
      <c r="N160" s="7">
        <f t="shared" si="51"/>
        <v>43.616666668094695</v>
      </c>
      <c r="O160" s="7"/>
      <c r="P160" s="7"/>
      <c r="Q160" s="26"/>
      <c r="R160" s="26"/>
      <c r="S160" s="41">
        <f t="shared" si="52"/>
        <v>1</v>
      </c>
      <c r="T160" s="60" t="str">
        <f t="shared" si="53"/>
        <v>Southbound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12</v>
      </c>
      <c r="V16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00:25:05-0600',mode:absolute,to:'2016-07-27 03:10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W160" s="65" t="str">
        <f t="shared" si="55"/>
        <v>N</v>
      </c>
      <c r="X160" s="83">
        <f t="shared" si="56"/>
        <v>1</v>
      </c>
      <c r="Y160" s="80">
        <f t="shared" si="57"/>
        <v>23.2988</v>
      </c>
      <c r="Z160" s="80">
        <f t="shared" si="58"/>
        <v>1.67E-2</v>
      </c>
      <c r="AA160" s="80">
        <f t="shared" si="59"/>
        <v>23.2821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60"/>
        <v>0244-26</v>
      </c>
      <c r="AE160" s="66" t="str">
        <f t="shared" si="49"/>
        <v>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 &amp; aws s3 cp s3://rtdc.mdm.uploadarchive/RTDC4041/2016-07-28/ "C:\Users\stu\Documents\Analysis\2016-02-23 RTDC Observations"\RTDC4041\2016-07-28 --recursive &amp; "C:\Users\stu\Documents\GitHub\mrs-test-scripts\Headless Mode &amp; Sideloading\WalkAndUnGZ.bat" "C:\Users\stu\Documents\Analysis\2016-02-23 RTDC Observations"\RTDC4041\2016-07-28</v>
      </c>
      <c r="AF160" s="66" t="str">
        <f t="shared" si="50"/>
        <v>"C:\Program Files (x86)\AstroGrep\AstroGrep.exe" /spath="C:\Users\stu\Documents\Analysis\2016-02-23 RTDC Observations" /stypes="*4041*20160727*" /stext=" 08:.+((SYSTEM_STATE.+slice.+state.+changed )|(ment ac)|(system.+state.+changed )|(\|lc)|(penalty)|(\[timeout)|(PRM\|1\|D))" /e /r /s</v>
      </c>
      <c r="AG160" s="1" t="str">
        <f t="shared" si="61"/>
        <v>EC</v>
      </c>
    </row>
    <row r="161" spans="1:33" x14ac:dyDescent="0.25">
      <c r="A161" s="25" t="s">
        <v>387</v>
      </c>
      <c r="B161" s="99">
        <v>4013</v>
      </c>
      <c r="C161" s="100" t="s">
        <v>248</v>
      </c>
      <c r="D161" s="100" t="s">
        <v>638</v>
      </c>
      <c r="E161" s="101">
        <v>42577.218101851853</v>
      </c>
      <c r="F161" s="101">
        <v>42577.219386574077</v>
      </c>
      <c r="G161" s="99">
        <v>1</v>
      </c>
      <c r="H161" s="101" t="s">
        <v>639</v>
      </c>
      <c r="I161" s="101">
        <v>42577.233206018522</v>
      </c>
      <c r="J161" s="99">
        <v>2</v>
      </c>
      <c r="K161" s="25" t="str">
        <f t="shared" si="47"/>
        <v>4013/4014</v>
      </c>
      <c r="L161" s="25" t="str">
        <f>VLOOKUP(A161,'Trips&amp;Operators'!$C$1:$E$10000,3,FALSE)</f>
        <v>STARKS</v>
      </c>
      <c r="M161" s="6">
        <f t="shared" si="48"/>
        <v>1.3819444444379769E-2</v>
      </c>
      <c r="N161" s="7">
        <f t="shared" si="51"/>
        <v>19.899999999906868</v>
      </c>
      <c r="O161" s="7"/>
      <c r="P161" s="7"/>
      <c r="Q161" s="26"/>
      <c r="R161" s="26"/>
      <c r="S161" s="41">
        <f t="shared" si="52"/>
        <v>1</v>
      </c>
      <c r="T161" s="60" t="str">
        <f t="shared" si="53"/>
        <v>Southbound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ref="V161:V189" si="62">"https://search-rtdc-monitor-bjffxe2xuh6vdkpspy63sjmuny.us-east-1.es.amazonaws.com/_plugin/kibana/#/discover/Steve-Slow-Train-Analysis-(2080s-and-2083s)?_g=(refreshInterval:(display:Off,section:0,value:0),time:(from:'"&amp;TEXT(E161-1/24,"yyyy-MM-DD hh:mm:ss")&amp;"-0600',mode:absolute,to:'"&amp;TEXT(I161+1/24,"yyyy-MM-DD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161&amp;"%22')),sort:!(Time,asc))"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1" s="65" t="str">
        <f t="shared" si="55"/>
        <v>N</v>
      </c>
      <c r="X161" s="83">
        <f t="shared" si="56"/>
        <v>556</v>
      </c>
      <c r="Y161" s="80">
        <f t="shared" ref="Y161:Y189" si="63">RIGHT(D161,LEN(D161)-4)/10000</f>
        <v>5.8585000000000003</v>
      </c>
      <c r="Z161" s="80">
        <f t="shared" ref="Z161:Z189" si="64">RIGHT(H161,LEN(H161)-4)/10000</f>
        <v>7.8200000000000006E-2</v>
      </c>
      <c r="AA161" s="80">
        <f t="shared" ref="AA161:AA189" si="65">ABS(Z161-Y161)</f>
        <v>5.7803000000000004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ref="AD161:AD189" si="66">IF(LEN(A161)=6,"0"&amp;A161,A161)</f>
        <v>0800-26</v>
      </c>
      <c r="AE161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1" s="66" t="str">
        <f t="shared" si="50"/>
        <v>"C:\Program Files (x86)\AstroGrep\AstroGrep.exe" /spath="C:\Users\stu\Documents\Analysis\2016-02-23 RTDC Observations" /stypes="*4013*20160726*" /stext=" 11:.+((SYSTEM_STATE.+slice.+state.+changed )|(ment ac)|(system.+state.+changed )|(\|lc)|(penalty)|(\[timeout)|(PRM\|1\|D))" /e /r /s</v>
      </c>
      <c r="AG161" s="1" t="str">
        <f t="shared" si="61"/>
        <v>NW</v>
      </c>
    </row>
    <row r="162" spans="1:33" x14ac:dyDescent="0.25">
      <c r="A162" s="25" t="s">
        <v>383</v>
      </c>
      <c r="B162" s="99">
        <v>4014</v>
      </c>
      <c r="C162" s="100" t="s">
        <v>248</v>
      </c>
      <c r="D162" s="100" t="s">
        <v>640</v>
      </c>
      <c r="E162" s="101">
        <v>42577.240451388891</v>
      </c>
      <c r="F162" s="101">
        <v>42577.241203703707</v>
      </c>
      <c r="G162" s="99">
        <v>1</v>
      </c>
      <c r="H162" s="101" t="s">
        <v>641</v>
      </c>
      <c r="I162" s="101">
        <v>42577.258622685185</v>
      </c>
      <c r="J162" s="99">
        <v>0</v>
      </c>
      <c r="K162" s="25" t="str">
        <f t="shared" si="47"/>
        <v>4013/4014</v>
      </c>
      <c r="L162" s="25" t="str">
        <f>VLOOKUP(A162,'Trips&amp;Operators'!$C$1:$E$10000,3,FALSE)</f>
        <v>STARKS</v>
      </c>
      <c r="M162" s="6">
        <f t="shared" si="48"/>
        <v>1.7418981478840578E-2</v>
      </c>
      <c r="N162" s="7">
        <f t="shared" si="51"/>
        <v>25.083333329530433</v>
      </c>
      <c r="O162" s="7"/>
      <c r="P162" s="7"/>
      <c r="Q162" s="26"/>
      <c r="R162" s="26"/>
      <c r="S162" s="41">
        <f t="shared" si="52"/>
        <v>1</v>
      </c>
      <c r="T162" s="60" t="str">
        <f t="shared" si="53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04:46:15-0600',mode:absolute,to:'2016-07-26 07:12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2" s="65" t="str">
        <f t="shared" si="55"/>
        <v>N</v>
      </c>
      <c r="X162" s="83">
        <f t="shared" si="56"/>
        <v>1</v>
      </c>
      <c r="Y162" s="80">
        <f t="shared" si="63"/>
        <v>0.1048</v>
      </c>
      <c r="Z162" s="80">
        <f t="shared" si="64"/>
        <v>5.8916000000000004</v>
      </c>
      <c r="AA162" s="80">
        <f t="shared" si="65"/>
        <v>5.7868000000000004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66"/>
        <v>0801-26</v>
      </c>
      <c r="AE162" s="66" t="str">
        <f t="shared" si="4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62" s="66" t="str">
        <f t="shared" si="50"/>
        <v>"C:\Program Files (x86)\AstroGrep\AstroGrep.exe" /spath="C:\Users\stu\Documents\Analysis\2016-02-23 RTDC Observations" /stypes="*4014*20160726*" /stext=" 12:.+((SYSTEM_STATE.+slice.+state.+changed )|(ment ac)|(system.+state.+changed )|(\|lc)|(penalty)|(\[timeout)|(PRM\|1\|D))" /e /r /s</v>
      </c>
      <c r="AG162" s="1" t="str">
        <f t="shared" si="61"/>
        <v>NW</v>
      </c>
    </row>
    <row r="163" spans="1:33" x14ac:dyDescent="0.25">
      <c r="A163" s="25" t="s">
        <v>380</v>
      </c>
      <c r="B163" s="99">
        <v>4013</v>
      </c>
      <c r="C163" s="100" t="s">
        <v>248</v>
      </c>
      <c r="D163" s="100" t="s">
        <v>341</v>
      </c>
      <c r="E163" s="101">
        <v>42577.259398148148</v>
      </c>
      <c r="F163" s="101">
        <v>42577.260162037041</v>
      </c>
      <c r="G163" s="99">
        <v>1</v>
      </c>
      <c r="H163" s="101" t="s">
        <v>642</v>
      </c>
      <c r="I163" s="101">
        <v>42577.279340277775</v>
      </c>
      <c r="J163" s="99">
        <v>1</v>
      </c>
      <c r="K163" s="25" t="str">
        <f t="shared" si="47"/>
        <v>4013/4014</v>
      </c>
      <c r="L163" s="25" t="str">
        <f>VLOOKUP(A163,'Trips&amp;Operators'!$C$1:$E$10000,3,FALSE)</f>
        <v>STARKS</v>
      </c>
      <c r="M163" s="6">
        <f t="shared" si="48"/>
        <v>1.9178240734618157E-2</v>
      </c>
      <c r="N163" s="7">
        <f t="shared" si="51"/>
        <v>27.616666657850146</v>
      </c>
      <c r="O163" s="7"/>
      <c r="P163" s="7"/>
      <c r="Q163" s="26"/>
      <c r="R163" s="26"/>
      <c r="S163" s="41">
        <f t="shared" si="52"/>
        <v>1</v>
      </c>
      <c r="T163" s="60" t="str">
        <f t="shared" si="53"/>
        <v>Southbound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05:13:32-0600',mode:absolute,to:'2016-07-26 07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3" s="65" t="str">
        <f t="shared" si="55"/>
        <v>N</v>
      </c>
      <c r="X163" s="83">
        <f t="shared" si="56"/>
        <v>1</v>
      </c>
      <c r="Y163" s="80">
        <f t="shared" si="63"/>
        <v>5.8604000000000003</v>
      </c>
      <c r="Z163" s="80">
        <f t="shared" si="64"/>
        <v>6.5699999999999995E-2</v>
      </c>
      <c r="AA163" s="80">
        <f t="shared" si="65"/>
        <v>5.7947000000000006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66"/>
        <v>0802-26</v>
      </c>
      <c r="AE163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3" s="66" t="str">
        <f t="shared" si="50"/>
        <v>"C:\Program Files (x86)\AstroGrep\AstroGrep.exe" /spath="C:\Users\stu\Documents\Analysis\2016-02-23 RTDC Observations" /stypes="*4013*20160726*" /stext=" 12:.+((SYSTEM_STATE.+slice.+state.+changed )|(ment ac)|(system.+state.+changed )|(\|lc)|(penalty)|(\[timeout)|(PRM\|1\|D))" /e /r /s</v>
      </c>
      <c r="AG163" s="1" t="str">
        <f t="shared" si="61"/>
        <v>NW</v>
      </c>
    </row>
    <row r="164" spans="1:33" x14ac:dyDescent="0.25">
      <c r="A164" s="25" t="s">
        <v>375</v>
      </c>
      <c r="B164" s="99">
        <v>4038</v>
      </c>
      <c r="C164" s="100" t="s">
        <v>248</v>
      </c>
      <c r="D164" s="100" t="s">
        <v>643</v>
      </c>
      <c r="E164" s="101">
        <v>42577.255185185182</v>
      </c>
      <c r="F164" s="101">
        <v>42577.256504629629</v>
      </c>
      <c r="G164" s="99">
        <v>1</v>
      </c>
      <c r="H164" s="101" t="s">
        <v>644</v>
      </c>
      <c r="I164" s="101">
        <v>42577.274247685185</v>
      </c>
      <c r="J164" s="99">
        <v>1</v>
      </c>
      <c r="K164" s="25" t="str">
        <f t="shared" si="47"/>
        <v>4037/4038</v>
      </c>
      <c r="L164" s="25" t="str">
        <f>VLOOKUP(A164,'Trips&amp;Operators'!$C$1:$E$10000,3,FALSE)</f>
        <v>LEVIN</v>
      </c>
      <c r="M164" s="6">
        <f t="shared" si="48"/>
        <v>1.7743055555911269E-2</v>
      </c>
      <c r="N164" s="7">
        <f t="shared" si="51"/>
        <v>25.550000000512227</v>
      </c>
      <c r="O164" s="7"/>
      <c r="P164" s="7"/>
      <c r="Q164" s="26"/>
      <c r="R164" s="26"/>
      <c r="S164" s="41">
        <f t="shared" si="52"/>
        <v>1</v>
      </c>
      <c r="T164" s="60" t="str">
        <f t="shared" si="53"/>
        <v>NorthBound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05:07:28-0600',mode:absolute,to:'2016-07-26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4" s="65" t="str">
        <f t="shared" si="55"/>
        <v>N</v>
      </c>
      <c r="X164" s="83">
        <f t="shared" si="56"/>
        <v>1</v>
      </c>
      <c r="Y164" s="80">
        <f t="shared" si="63"/>
        <v>0.1072</v>
      </c>
      <c r="Z164" s="80">
        <f t="shared" si="64"/>
        <v>5.8914</v>
      </c>
      <c r="AA164" s="80">
        <f t="shared" si="65"/>
        <v>5.7842000000000002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66"/>
        <v>0803-26</v>
      </c>
      <c r="AE164" s="66" t="str">
        <f t="shared" si="4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64" s="66" t="str">
        <f t="shared" si="50"/>
        <v>"C:\Program Files (x86)\AstroGrep\AstroGrep.exe" /spath="C:\Users\stu\Documents\Analysis\2016-02-23 RTDC Observations" /stypes="*4038*20160726*" /stext=" 12:.+((SYSTEM_STATE.+slice.+state.+changed )|(ment ac)|(system.+state.+changed )|(\|lc)|(penalty)|(\[timeout)|(PRM\|1\|D))" /e /r /s</v>
      </c>
      <c r="AG164" s="1" t="str">
        <f t="shared" si="61"/>
        <v>NW</v>
      </c>
    </row>
    <row r="165" spans="1:33" x14ac:dyDescent="0.25">
      <c r="A165" s="25" t="s">
        <v>400</v>
      </c>
      <c r="B165" s="99">
        <v>4037</v>
      </c>
      <c r="C165" s="100" t="s">
        <v>248</v>
      </c>
      <c r="D165" s="100" t="s">
        <v>645</v>
      </c>
      <c r="E165" s="101">
        <v>42577.276122685187</v>
      </c>
      <c r="F165" s="101">
        <v>42577.277106481481</v>
      </c>
      <c r="G165" s="99">
        <v>1</v>
      </c>
      <c r="H165" s="101" t="s">
        <v>646</v>
      </c>
      <c r="I165" s="101">
        <v>42577.288645833331</v>
      </c>
      <c r="J165" s="99">
        <v>1</v>
      </c>
      <c r="K165" s="25" t="str">
        <f t="shared" si="47"/>
        <v>4037/4038</v>
      </c>
      <c r="L165" s="25" t="str">
        <f>VLOOKUP(A165,'Trips&amp;Operators'!$C$1:$E$10000,3,FALSE)</f>
        <v>LEVIN</v>
      </c>
      <c r="M165" s="6">
        <f t="shared" si="48"/>
        <v>1.1539351849933155E-2</v>
      </c>
      <c r="N165" s="7">
        <f t="shared" si="51"/>
        <v>16.616666663903743</v>
      </c>
      <c r="O165" s="7"/>
      <c r="P165" s="7"/>
      <c r="Q165" s="26"/>
      <c r="R165" s="26"/>
      <c r="S165" s="41">
        <f t="shared" si="52"/>
        <v>1</v>
      </c>
      <c r="T165" s="60" t="str">
        <f t="shared" si="53"/>
        <v>Southbound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05:37:37-0600',mode:absolute,to:'2016-07-26 07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5" s="65" t="str">
        <f t="shared" si="55"/>
        <v>N</v>
      </c>
      <c r="X165" s="83">
        <f t="shared" si="56"/>
        <v>1</v>
      </c>
      <c r="Y165" s="80">
        <f t="shared" si="63"/>
        <v>5.8586999999999998</v>
      </c>
      <c r="Z165" s="80">
        <f t="shared" si="64"/>
        <v>7.7499999999999999E-2</v>
      </c>
      <c r="AA165" s="80">
        <f t="shared" si="65"/>
        <v>5.7812000000000001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66"/>
        <v>0804-26</v>
      </c>
      <c r="AE165" s="66" t="str">
        <f t="shared" si="4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65" s="66" t="str">
        <f t="shared" si="50"/>
        <v>"C:\Program Files (x86)\AstroGrep\AstroGrep.exe" /spath="C:\Users\stu\Documents\Analysis\2016-02-23 RTDC Observations" /stypes="*4037*20160726*" /stext=" 12:.+((SYSTEM_STATE.+slice.+state.+changed )|(ment ac)|(system.+state.+changed )|(\|lc)|(penalty)|(\[timeout)|(PRM\|1\|D))" /e /r /s</v>
      </c>
      <c r="AG165" s="1" t="str">
        <f t="shared" si="61"/>
        <v>NW</v>
      </c>
    </row>
    <row r="166" spans="1:33" x14ac:dyDescent="0.25">
      <c r="A166" s="25" t="s">
        <v>376</v>
      </c>
      <c r="B166" s="99">
        <v>4014</v>
      </c>
      <c r="C166" s="100" t="s">
        <v>248</v>
      </c>
      <c r="D166" s="100" t="s">
        <v>647</v>
      </c>
      <c r="E166" s="101">
        <v>42577.281180555554</v>
      </c>
      <c r="F166" s="101">
        <v>42577.281898148147</v>
      </c>
      <c r="G166" s="99">
        <v>1</v>
      </c>
      <c r="H166" s="101" t="s">
        <v>648</v>
      </c>
      <c r="I166" s="101">
        <v>42577.298101851855</v>
      </c>
      <c r="J166" s="99">
        <v>1</v>
      </c>
      <c r="K166" s="25" t="str">
        <f t="shared" si="47"/>
        <v>4013/4014</v>
      </c>
      <c r="L166" s="25" t="str">
        <f>VLOOKUP(A166,'Trips&amp;Operators'!$C$1:$E$10000,3,FALSE)</f>
        <v>STARKS</v>
      </c>
      <c r="M166" s="6">
        <f t="shared" si="48"/>
        <v>1.6203703708015382E-2</v>
      </c>
      <c r="N166" s="7">
        <f t="shared" si="51"/>
        <v>23.33333333954215</v>
      </c>
      <c r="O166" s="7"/>
      <c r="P166" s="7"/>
      <c r="Q166" s="26"/>
      <c r="R166" s="26"/>
      <c r="S166" s="41">
        <f t="shared" si="52"/>
        <v>1</v>
      </c>
      <c r="T166" s="60" t="str">
        <f t="shared" si="53"/>
        <v>NorthBound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05:44:54-0600',mode:absolute,to:'2016-07-26 08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6" s="65" t="str">
        <f t="shared" si="55"/>
        <v>N</v>
      </c>
      <c r="X166" s="83">
        <f t="shared" si="56"/>
        <v>1</v>
      </c>
      <c r="Y166" s="80">
        <f t="shared" si="63"/>
        <v>9.6000000000000002E-2</v>
      </c>
      <c r="Z166" s="80">
        <f t="shared" si="64"/>
        <v>5.8924000000000003</v>
      </c>
      <c r="AA166" s="80">
        <f t="shared" si="65"/>
        <v>5.7964000000000002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66"/>
        <v>0805-26</v>
      </c>
      <c r="AE166" s="66" t="str">
        <f t="shared" si="4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66" s="66" t="str">
        <f t="shared" si="50"/>
        <v>"C:\Program Files (x86)\AstroGrep\AstroGrep.exe" /spath="C:\Users\stu\Documents\Analysis\2016-02-23 RTDC Observations" /stypes="*4014*20160726*" /stext=" 13:.+((SYSTEM_STATE.+slice.+state.+changed )|(ment ac)|(system.+state.+changed )|(\|lc)|(penalty)|(\[timeout)|(PRM\|1\|D))" /e /r /s</v>
      </c>
      <c r="AG166" s="1" t="str">
        <f t="shared" si="61"/>
        <v>NW</v>
      </c>
    </row>
    <row r="167" spans="1:33" x14ac:dyDescent="0.25">
      <c r="A167" s="25" t="s">
        <v>410</v>
      </c>
      <c r="B167" s="99">
        <v>4013</v>
      </c>
      <c r="C167" s="100" t="s">
        <v>248</v>
      </c>
      <c r="D167" s="100" t="s">
        <v>261</v>
      </c>
      <c r="E167" s="101">
        <v>42577.298888888887</v>
      </c>
      <c r="F167" s="101">
        <v>42577.299571759257</v>
      </c>
      <c r="G167" s="99">
        <v>0</v>
      </c>
      <c r="H167" s="101" t="s">
        <v>336</v>
      </c>
      <c r="I167" s="101">
        <v>42577.318692129629</v>
      </c>
      <c r="J167" s="99">
        <v>1</v>
      </c>
      <c r="K167" s="25" t="str">
        <f t="shared" si="47"/>
        <v>4013/4014</v>
      </c>
      <c r="L167" s="25" t="str">
        <f>VLOOKUP(A167,'Trips&amp;Operators'!$C$1:$E$10000,3,FALSE)</f>
        <v>STARKS</v>
      </c>
      <c r="M167" s="6">
        <f t="shared" si="48"/>
        <v>1.9120370372547768E-2</v>
      </c>
      <c r="N167" s="7">
        <f t="shared" si="51"/>
        <v>27.533333336468786</v>
      </c>
      <c r="O167" s="7"/>
      <c r="P167" s="7"/>
      <c r="Q167" s="26"/>
      <c r="R167" s="26"/>
      <c r="S167" s="41">
        <f t="shared" si="52"/>
        <v>1</v>
      </c>
      <c r="T167" s="60" t="str">
        <f t="shared" si="53"/>
        <v>Southbound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06:10:24-0600',mode:absolute,to:'2016-07-26 08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67" s="65" t="str">
        <f t="shared" si="55"/>
        <v>N</v>
      </c>
      <c r="X167" s="83">
        <f t="shared" si="56"/>
        <v>1</v>
      </c>
      <c r="Y167" s="80">
        <f t="shared" si="63"/>
        <v>5.86</v>
      </c>
      <c r="Z167" s="80">
        <f t="shared" si="64"/>
        <v>6.5199999999999994E-2</v>
      </c>
      <c r="AA167" s="80">
        <f t="shared" si="65"/>
        <v>5.7948000000000004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66"/>
        <v>0806-26</v>
      </c>
      <c r="AE167" s="66" t="str">
        <f t="shared" si="4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67" s="66" t="str">
        <f t="shared" si="50"/>
        <v>"C:\Program Files (x86)\AstroGrep\AstroGrep.exe" /spath="C:\Users\stu\Documents\Analysis\2016-02-23 RTDC Observations" /stypes="*4013*20160726*" /stext=" 13:.+((SYSTEM_STATE.+slice.+state.+changed )|(ment ac)|(system.+state.+changed )|(\|lc)|(penalty)|(\[timeout)|(PRM\|1\|D))" /e /r /s</v>
      </c>
      <c r="AG167" s="1" t="str">
        <f t="shared" si="61"/>
        <v>NW</v>
      </c>
    </row>
    <row r="168" spans="1:33" x14ac:dyDescent="0.25">
      <c r="A168" s="25" t="s">
        <v>649</v>
      </c>
      <c r="B168" s="99">
        <v>4038</v>
      </c>
      <c r="C168" s="100" t="s">
        <v>248</v>
      </c>
      <c r="D168" s="100" t="s">
        <v>650</v>
      </c>
      <c r="E168" s="101">
        <v>42577.301030092596</v>
      </c>
      <c r="F168" s="101">
        <v>42577.302233796298</v>
      </c>
      <c r="G168" s="99">
        <v>1</v>
      </c>
      <c r="H168" s="101" t="s">
        <v>363</v>
      </c>
      <c r="I168" s="101">
        <v>42577.315462962964</v>
      </c>
      <c r="J168" s="99">
        <v>0</v>
      </c>
      <c r="K168" s="25" t="str">
        <f t="shared" si="47"/>
        <v>4037/4038</v>
      </c>
      <c r="L168" s="25" t="str">
        <f>VLOOKUP(A168,'Trips&amp;Operators'!$C$1:$E$10000,3,FALSE)</f>
        <v>LEVIN</v>
      </c>
      <c r="M168" s="6">
        <f t="shared" si="48"/>
        <v>1.3229166666860692E-2</v>
      </c>
      <c r="N168" s="7">
        <f t="shared" si="51"/>
        <v>19.050000000279397</v>
      </c>
      <c r="O168" s="7"/>
      <c r="P168" s="7"/>
      <c r="Q168" s="26"/>
      <c r="R168" s="26"/>
      <c r="S168" s="41">
        <f t="shared" si="52"/>
        <v>1</v>
      </c>
      <c r="T168" s="60" t="str">
        <f t="shared" si="53"/>
        <v>NorthBound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06:13:29-0600',mode:absolute,to:'2016-07-26 08:34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8" s="65" t="str">
        <f t="shared" si="55"/>
        <v>N</v>
      </c>
      <c r="X168" s="83">
        <f t="shared" si="56"/>
        <v>1</v>
      </c>
      <c r="Y168" s="80">
        <f t="shared" si="63"/>
        <v>0.1062</v>
      </c>
      <c r="Z168" s="80">
        <f t="shared" si="64"/>
        <v>5.8902999999999999</v>
      </c>
      <c r="AA168" s="80">
        <f t="shared" si="65"/>
        <v>5.7840999999999996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66"/>
        <v>0807-26</v>
      </c>
      <c r="AE168" s="66" t="str">
        <f t="shared" si="4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68" s="66" t="str">
        <f t="shared" si="50"/>
        <v>"C:\Program Files (x86)\AstroGrep\AstroGrep.exe" /spath="C:\Users\stu\Documents\Analysis\2016-02-23 RTDC Observations" /stypes="*4038*20160726*" /stext=" 13:.+((SYSTEM_STATE.+slice.+state.+changed )|(ment ac)|(system.+state.+changed )|(\|lc)|(penalty)|(\[timeout)|(PRM\|1\|D))" /e /r /s</v>
      </c>
      <c r="AG168" s="1" t="str">
        <f t="shared" si="61"/>
        <v>NW</v>
      </c>
    </row>
    <row r="169" spans="1:33" x14ac:dyDescent="0.25">
      <c r="A169" s="25" t="s">
        <v>651</v>
      </c>
      <c r="B169" s="99">
        <v>4037</v>
      </c>
      <c r="C169" s="100" t="s">
        <v>248</v>
      </c>
      <c r="D169" s="100" t="s">
        <v>652</v>
      </c>
      <c r="E169" s="101">
        <v>42577.316805555558</v>
      </c>
      <c r="F169" s="101">
        <v>42577.317465277774</v>
      </c>
      <c r="G169" s="99">
        <v>0</v>
      </c>
      <c r="H169" s="101" t="s">
        <v>653</v>
      </c>
      <c r="I169" s="101">
        <v>42577.329907407409</v>
      </c>
      <c r="J169" s="99">
        <v>0</v>
      </c>
      <c r="K169" s="25" t="str">
        <f t="shared" ref="K169:K199" si="67">IF(ISEVEN(B169),(B169-1)&amp;"/"&amp;B169,B169&amp;"/"&amp;(B169+1))</f>
        <v>4037/4038</v>
      </c>
      <c r="L169" s="25" t="str">
        <f>VLOOKUP(A169,'Trips&amp;Operators'!$C$1:$E$10000,3,FALSE)</f>
        <v>LEVIN</v>
      </c>
      <c r="M169" s="6">
        <f t="shared" ref="M169:M199" si="68">I169-F169</f>
        <v>1.2442129635019228E-2</v>
      </c>
      <c r="N169" s="7">
        <f t="shared" si="51"/>
        <v>17.916666674427688</v>
      </c>
      <c r="O169" s="7"/>
      <c r="P169" s="7"/>
      <c r="Q169" s="26"/>
      <c r="R169" s="26"/>
      <c r="S169" s="41">
        <f t="shared" si="52"/>
        <v>1</v>
      </c>
      <c r="T169" s="60" t="str">
        <f t="shared" si="53"/>
        <v>Southbound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06:36:12-0600',mode:absolute,to:'2016-07-26 08:55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69" s="65" t="str">
        <f t="shared" si="55"/>
        <v>N</v>
      </c>
      <c r="X169" s="83">
        <f t="shared" si="56"/>
        <v>1</v>
      </c>
      <c r="Y169" s="80">
        <f t="shared" si="63"/>
        <v>5.8589000000000002</v>
      </c>
      <c r="Z169" s="80">
        <f t="shared" si="64"/>
        <v>7.7299999999999994E-2</v>
      </c>
      <c r="AA169" s="80">
        <f t="shared" si="65"/>
        <v>5.7816000000000001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66"/>
        <v>0808-26</v>
      </c>
      <c r="AE169" s="66" t="str">
        <f t="shared" ref="AE169:AE199" si="69">"aws s3 cp "&amp;s3_bucket&amp;"/RTDC"&amp;B169&amp;"/"&amp;TEXT(F169,"YYYY-MM-DD")&amp;"/ "&amp;search_path&amp;"\RTDC"&amp;B169&amp;"\"&amp;TEXT(F169,"YYYY-MM-DD")&amp;" --recursive &amp; """&amp;walkandungz&amp;""" "&amp;search_path&amp;"\RTDC"&amp;B169&amp;"\"&amp;TEXT(F169,"YYYY-MM-DD")
&amp;" &amp; "&amp;"aws s3 cp "&amp;s3_bucket&amp;"/RTDC"&amp;B169&amp;"/"&amp;TEXT(F169+1,"YYYY-MM-DD")&amp;"/ "&amp;search_path&amp;"\RTDC"&amp;B169&amp;"\"&amp;TEXT(F169+1,"YYYY-MM-DD")&amp;" --recursive &amp; """&amp;walkandungz&amp;""" "&amp;search_path&amp;"\RTDC"&amp;B169&amp;"\"&amp;TEXT(F169+1,"YYYY-MM-DD")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69" s="66" t="str">
        <f t="shared" ref="AF169:AF199" si="70">astrogrep_path&amp;" /spath="&amp;search_path&amp;" /stypes=""*"&amp;B169&amp;"*"&amp;TEXT(I169-utc_offset/24,"YYYYMMDD")&amp;"*"" /stext="" "&amp;TEXT(I169-utc_offset/24,"HH")&amp;search_regexp&amp;""" /e /r /s"</f>
        <v>"C:\Program Files (x86)\AstroGrep\AstroGrep.exe" /spath="C:\Users\stu\Documents\Analysis\2016-02-23 RTDC Observations" /stypes="*4037*20160726*" /stext=" 13:.+((SYSTEM_STATE.+slice.+state.+changed )|(ment ac)|(system.+state.+changed )|(\|lc)|(penalty)|(\[timeout)|(PRM\|1\|D))" /e /r /s</v>
      </c>
      <c r="AG169" s="1" t="str">
        <f t="shared" si="61"/>
        <v>NW</v>
      </c>
    </row>
    <row r="170" spans="1:33" x14ac:dyDescent="0.25">
      <c r="A170" s="25" t="s">
        <v>654</v>
      </c>
      <c r="B170" s="99">
        <v>4014</v>
      </c>
      <c r="C170" s="100" t="s">
        <v>248</v>
      </c>
      <c r="D170" s="100" t="s">
        <v>655</v>
      </c>
      <c r="E170" s="101">
        <v>42577.324363425927</v>
      </c>
      <c r="F170" s="101">
        <v>42577.325185185182</v>
      </c>
      <c r="G170" s="99">
        <v>1</v>
      </c>
      <c r="H170" s="101" t="s">
        <v>656</v>
      </c>
      <c r="I170" s="101">
        <v>42577.339606481481</v>
      </c>
      <c r="J170" s="99">
        <v>0</v>
      </c>
      <c r="K170" s="25" t="str">
        <f t="shared" si="67"/>
        <v>4013/4014</v>
      </c>
      <c r="L170" s="25" t="str">
        <f>VLOOKUP(A170,'Trips&amp;Operators'!$C$1:$E$10000,3,FALSE)</f>
        <v>STARKS</v>
      </c>
      <c r="M170" s="6">
        <f t="shared" si="68"/>
        <v>1.4421296298678499E-2</v>
      </c>
      <c r="N170" s="7">
        <f t="shared" si="51"/>
        <v>20.766666670097038</v>
      </c>
      <c r="O170" s="7"/>
      <c r="P170" s="7"/>
      <c r="Q170" s="26"/>
      <c r="R170" s="26"/>
      <c r="S170" s="41">
        <f t="shared" si="52"/>
        <v>1</v>
      </c>
      <c r="T170" s="60" t="str">
        <f t="shared" si="53"/>
        <v>NorthBound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06:47:05-0600',mode:absolute,to:'2016-07-26 09:09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70" s="65" t="str">
        <f t="shared" si="55"/>
        <v>N</v>
      </c>
      <c r="X170" s="83">
        <f t="shared" si="56"/>
        <v>1</v>
      </c>
      <c r="Y170" s="80">
        <f t="shared" si="63"/>
        <v>9.3700000000000006E-2</v>
      </c>
      <c r="Z170" s="80">
        <f t="shared" si="64"/>
        <v>5.8935000000000004</v>
      </c>
      <c r="AA170" s="80">
        <f t="shared" si="65"/>
        <v>5.7998000000000003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66"/>
        <v>0809-26</v>
      </c>
      <c r="AE170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70" s="66" t="str">
        <f t="shared" si="70"/>
        <v>"C:\Program Files (x86)\AstroGrep\AstroGrep.exe" /spath="C:\Users\stu\Documents\Analysis\2016-02-23 RTDC Observations" /stypes="*4014*20160726*" /stext=" 14:.+((SYSTEM_STATE.+slice.+state.+changed )|(ment ac)|(system.+state.+changed )|(\|lc)|(penalty)|(\[timeout)|(PRM\|1\|D))" /e /r /s</v>
      </c>
      <c r="AG170" s="1" t="str">
        <f t="shared" si="61"/>
        <v>NW</v>
      </c>
    </row>
    <row r="171" spans="1:33" x14ac:dyDescent="0.25">
      <c r="A171" s="25" t="s">
        <v>413</v>
      </c>
      <c r="B171" s="99">
        <v>4013</v>
      </c>
      <c r="C171" s="100" t="s">
        <v>248</v>
      </c>
      <c r="D171" s="100" t="s">
        <v>342</v>
      </c>
      <c r="E171" s="101">
        <v>42577.340324074074</v>
      </c>
      <c r="F171" s="101">
        <v>42577.34101851852</v>
      </c>
      <c r="G171" s="99">
        <v>0</v>
      </c>
      <c r="H171" s="101" t="s">
        <v>453</v>
      </c>
      <c r="I171" s="101">
        <v>42577.353425925925</v>
      </c>
      <c r="J171" s="99">
        <v>2</v>
      </c>
      <c r="K171" s="25" t="str">
        <f t="shared" si="67"/>
        <v>4013/4014</v>
      </c>
      <c r="L171" s="25" t="str">
        <f>VLOOKUP(A171,'Trips&amp;Operators'!$C$1:$E$10000,3,FALSE)</f>
        <v>STARKS</v>
      </c>
      <c r="M171" s="6">
        <f t="shared" si="68"/>
        <v>1.2407407404680271E-2</v>
      </c>
      <c r="N171" s="7">
        <f t="shared" si="51"/>
        <v>17.86666666273959</v>
      </c>
      <c r="O171" s="7"/>
      <c r="P171" s="7"/>
      <c r="Q171" s="26"/>
      <c r="R171" s="26"/>
      <c r="S171" s="41">
        <f t="shared" si="52"/>
        <v>1</v>
      </c>
      <c r="T171" s="60" t="str">
        <f t="shared" si="53"/>
        <v>Southbound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71" s="65" t="str">
        <f t="shared" si="55"/>
        <v>N</v>
      </c>
      <c r="X171" s="83">
        <f t="shared" si="56"/>
        <v>1</v>
      </c>
      <c r="Y171" s="80">
        <f t="shared" si="63"/>
        <v>5.8616999999999999</v>
      </c>
      <c r="Z171" s="80">
        <f t="shared" si="64"/>
        <v>7.5899999999999995E-2</v>
      </c>
      <c r="AA171" s="80">
        <f t="shared" si="65"/>
        <v>5.7858000000000001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66"/>
        <v>0810-26</v>
      </c>
      <c r="AE171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71" s="66" t="str">
        <f t="shared" si="70"/>
        <v>"C:\Program Files (x86)\AstroGrep\AstroGrep.exe" /spath="C:\Users\stu\Documents\Analysis\2016-02-23 RTDC Observations" /stypes="*4013*20160726*" /stext=" 14:.+((SYSTEM_STATE.+slice.+state.+changed )|(ment ac)|(system.+state.+changed )|(\|lc)|(penalty)|(\[timeout)|(PRM\|1\|D))" /e /r /s</v>
      </c>
      <c r="AG171" s="1" t="str">
        <f t="shared" si="61"/>
        <v>NW</v>
      </c>
    </row>
    <row r="172" spans="1:33" x14ac:dyDescent="0.25">
      <c r="A172" s="25" t="s">
        <v>415</v>
      </c>
      <c r="B172" s="99">
        <v>4038</v>
      </c>
      <c r="C172" s="100" t="s">
        <v>248</v>
      </c>
      <c r="D172" s="100" t="s">
        <v>657</v>
      </c>
      <c r="E172" s="101">
        <v>42577.342060185183</v>
      </c>
      <c r="F172" s="101">
        <v>42577.34306712963</v>
      </c>
      <c r="G172" s="99">
        <v>1</v>
      </c>
      <c r="H172" s="101" t="s">
        <v>641</v>
      </c>
      <c r="I172" s="101">
        <v>42577.357430555552</v>
      </c>
      <c r="J172" s="99">
        <v>1</v>
      </c>
      <c r="K172" s="25" t="str">
        <f t="shared" si="67"/>
        <v>4037/4038</v>
      </c>
      <c r="L172" s="25" t="str">
        <f>VLOOKUP(A172,'Trips&amp;Operators'!$C$1:$E$10000,3,FALSE)</f>
        <v>LEVIN</v>
      </c>
      <c r="M172" s="6">
        <f t="shared" si="68"/>
        <v>1.4363425922056194E-2</v>
      </c>
      <c r="N172" s="7">
        <f t="shared" si="51"/>
        <v>20.68333332776092</v>
      </c>
      <c r="O172" s="7"/>
      <c r="P172" s="7"/>
      <c r="Q172" s="26"/>
      <c r="R172" s="26"/>
      <c r="S172" s="41">
        <f t="shared" si="52"/>
        <v>1</v>
      </c>
      <c r="T172" s="60" t="str">
        <f t="shared" si="53"/>
        <v>NorthBound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07:12:34-0600',mode:absolute,to:'2016-07-26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2" s="65" t="str">
        <f t="shared" si="55"/>
        <v>N</v>
      </c>
      <c r="X172" s="83">
        <f t="shared" si="56"/>
        <v>1</v>
      </c>
      <c r="Y172" s="80">
        <f t="shared" si="63"/>
        <v>0.1065</v>
      </c>
      <c r="Z172" s="80">
        <f t="shared" si="64"/>
        <v>5.8916000000000004</v>
      </c>
      <c r="AA172" s="80">
        <f t="shared" si="65"/>
        <v>5.7851000000000008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66"/>
        <v>0811-26</v>
      </c>
      <c r="AE172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2" s="66" t="str">
        <f t="shared" si="70"/>
        <v>"C:\Program Files (x86)\AstroGrep\AstroGrep.exe" /spath="C:\Users\stu\Documents\Analysis\2016-02-23 RTDC Observations" /stypes="*4038*20160726*" /stext=" 14:.+((SYSTEM_STATE.+slice.+state.+changed )|(ment ac)|(system.+state.+changed )|(\|lc)|(penalty)|(\[timeout)|(PRM\|1\|D))" /e /r /s</v>
      </c>
      <c r="AG172" s="1" t="str">
        <f t="shared" si="61"/>
        <v>NW</v>
      </c>
    </row>
    <row r="173" spans="1:33" x14ac:dyDescent="0.25">
      <c r="A173" s="25" t="s">
        <v>417</v>
      </c>
      <c r="B173" s="99">
        <v>4037</v>
      </c>
      <c r="C173" s="100" t="s">
        <v>248</v>
      </c>
      <c r="D173" s="100" t="s">
        <v>658</v>
      </c>
      <c r="E173" s="101">
        <v>42577.358831018515</v>
      </c>
      <c r="F173" s="101">
        <v>42577.359629629631</v>
      </c>
      <c r="G173" s="99">
        <v>1</v>
      </c>
      <c r="H173" s="101" t="s">
        <v>659</v>
      </c>
      <c r="I173" s="101">
        <v>42577.371678240743</v>
      </c>
      <c r="J173" s="99">
        <v>1</v>
      </c>
      <c r="K173" s="25" t="str">
        <f t="shared" si="67"/>
        <v>4037/4038</v>
      </c>
      <c r="L173" s="25" t="str">
        <f>VLOOKUP(A173,'Trips&amp;Operators'!$C$1:$E$10000,3,FALSE)</f>
        <v>LEVIN</v>
      </c>
      <c r="M173" s="6">
        <f t="shared" si="68"/>
        <v>1.2048611111822538E-2</v>
      </c>
      <c r="N173" s="7">
        <f t="shared" si="51"/>
        <v>17.350000001024455</v>
      </c>
      <c r="O173" s="7"/>
      <c r="P173" s="7"/>
      <c r="Q173" s="26"/>
      <c r="R173" s="26"/>
      <c r="S173" s="41">
        <f t="shared" si="52"/>
        <v>1</v>
      </c>
      <c r="T173" s="60" t="str">
        <f t="shared" si="53"/>
        <v>Southbound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07:36:43-0600',mode:absolute,to:'2016-07-26 09:55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3" s="65" t="str">
        <f t="shared" si="55"/>
        <v>N</v>
      </c>
      <c r="X173" s="83">
        <f t="shared" si="56"/>
        <v>1</v>
      </c>
      <c r="Y173" s="80">
        <f t="shared" si="63"/>
        <v>5.8596000000000004</v>
      </c>
      <c r="Z173" s="80">
        <f t="shared" si="64"/>
        <v>7.9399999999999998E-2</v>
      </c>
      <c r="AA173" s="80">
        <f t="shared" si="65"/>
        <v>5.7802000000000007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66"/>
        <v>0812-26</v>
      </c>
      <c r="AE173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3" s="66" t="str">
        <f t="shared" si="70"/>
        <v>"C:\Program Files (x86)\AstroGrep\AstroGrep.exe" /spath="C:\Users\stu\Documents\Analysis\2016-02-23 RTDC Observations" /stypes="*4037*20160726*" /stext=" 14:.+((SYSTEM_STATE.+slice.+state.+changed )|(ment ac)|(system.+state.+changed )|(\|lc)|(penalty)|(\[timeout)|(PRM\|1\|D))" /e /r /s</v>
      </c>
      <c r="AG173" s="1" t="str">
        <f t="shared" si="61"/>
        <v>NW</v>
      </c>
    </row>
    <row r="174" spans="1:33" x14ac:dyDescent="0.25">
      <c r="A174" s="25" t="s">
        <v>660</v>
      </c>
      <c r="B174" s="99">
        <v>4038</v>
      </c>
      <c r="C174" s="100" t="s">
        <v>248</v>
      </c>
      <c r="D174" s="100" t="s">
        <v>661</v>
      </c>
      <c r="E174" s="101">
        <v>42577.382453703707</v>
      </c>
      <c r="F174" s="101">
        <v>42577.383576388886</v>
      </c>
      <c r="G174" s="99">
        <v>1</v>
      </c>
      <c r="H174" s="101" t="s">
        <v>644</v>
      </c>
      <c r="I174" s="101">
        <v>42577.3987037037</v>
      </c>
      <c r="J174" s="99">
        <v>0</v>
      </c>
      <c r="K174" s="25" t="str">
        <f t="shared" si="67"/>
        <v>4037/4038</v>
      </c>
      <c r="L174" s="25" t="str">
        <f>VLOOKUP(A174,'Trips&amp;Operators'!$C$1:$E$10000,3,FALSE)</f>
        <v>LEVIN</v>
      </c>
      <c r="M174" s="6">
        <f t="shared" si="68"/>
        <v>1.5127314814890269E-2</v>
      </c>
      <c r="N174" s="7">
        <f t="shared" si="51"/>
        <v>21.783333333441988</v>
      </c>
      <c r="O174" s="7"/>
      <c r="P174" s="7"/>
      <c r="Q174" s="26"/>
      <c r="R174" s="26"/>
      <c r="S174" s="41">
        <f t="shared" si="52"/>
        <v>1</v>
      </c>
      <c r="T174" s="60" t="str">
        <f t="shared" si="53"/>
        <v>NorthBound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08:10:44-0600',mode:absolute,to:'2016-07-26 10:34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4" s="65" t="str">
        <f t="shared" si="55"/>
        <v>N</v>
      </c>
      <c r="X174" s="83">
        <f t="shared" si="56"/>
        <v>1</v>
      </c>
      <c r="Y174" s="80">
        <f t="shared" si="63"/>
        <v>0.1084</v>
      </c>
      <c r="Z174" s="80">
        <f t="shared" si="64"/>
        <v>5.8914</v>
      </c>
      <c r="AA174" s="80">
        <f t="shared" si="65"/>
        <v>5.7830000000000004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66"/>
        <v>0813-26</v>
      </c>
      <c r="AE17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4" s="66" t="str">
        <f t="shared" si="70"/>
        <v>"C:\Program Files (x86)\AstroGrep\AstroGrep.exe" /spath="C:\Users\stu\Documents\Analysis\2016-02-23 RTDC Observations" /stypes="*4038*20160726*" /stext=" 15:.+((SYSTEM_STATE.+slice.+state.+changed )|(ment ac)|(system.+state.+changed )|(\|lc)|(penalty)|(\[timeout)|(PRM\|1\|D))" /e /r /s</v>
      </c>
      <c r="AG174" s="1" t="str">
        <f t="shared" si="61"/>
        <v>NW</v>
      </c>
    </row>
    <row r="175" spans="1:33" x14ac:dyDescent="0.25">
      <c r="A175" s="25" t="s">
        <v>662</v>
      </c>
      <c r="B175" s="99">
        <v>4037</v>
      </c>
      <c r="C175" s="100" t="s">
        <v>248</v>
      </c>
      <c r="D175" s="100" t="s">
        <v>663</v>
      </c>
      <c r="E175" s="101">
        <v>42577.399953703702</v>
      </c>
      <c r="F175" s="101">
        <v>42577.400856481479</v>
      </c>
      <c r="G175" s="99">
        <v>1</v>
      </c>
      <c r="H175" s="101" t="s">
        <v>338</v>
      </c>
      <c r="I175" s="101">
        <v>42577.412916666668</v>
      </c>
      <c r="J175" s="99">
        <v>0</v>
      </c>
      <c r="K175" s="25" t="str">
        <f t="shared" si="67"/>
        <v>4037/4038</v>
      </c>
      <c r="L175" s="25" t="str">
        <f>VLOOKUP(A175,'Trips&amp;Operators'!$C$1:$E$10000,3,FALSE)</f>
        <v>LEVIN</v>
      </c>
      <c r="M175" s="6">
        <f t="shared" si="68"/>
        <v>1.206018518860219E-2</v>
      </c>
      <c r="N175" s="7">
        <f t="shared" si="51"/>
        <v>17.366666671587154</v>
      </c>
      <c r="O175" s="7"/>
      <c r="P175" s="7"/>
      <c r="Q175" s="26"/>
      <c r="R175" s="26"/>
      <c r="S175" s="41">
        <f t="shared" si="52"/>
        <v>1</v>
      </c>
      <c r="T175" s="60" t="str">
        <f t="shared" si="53"/>
        <v>Southbound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08:35:56-0600',mode:absolute,to:'2016-07-26 10:54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5" s="65" t="str">
        <f t="shared" si="55"/>
        <v>N</v>
      </c>
      <c r="X175" s="83">
        <f t="shared" si="56"/>
        <v>1</v>
      </c>
      <c r="Y175" s="80">
        <f t="shared" si="63"/>
        <v>5.8597999999999999</v>
      </c>
      <c r="Z175" s="80">
        <f t="shared" si="64"/>
        <v>7.8E-2</v>
      </c>
      <c r="AA175" s="80">
        <f t="shared" si="65"/>
        <v>5.7817999999999996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66"/>
        <v>0814-26</v>
      </c>
      <c r="AE17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5" s="66" t="str">
        <f t="shared" si="70"/>
        <v>"C:\Program Files (x86)\AstroGrep\AstroGrep.exe" /spath="C:\Users\stu\Documents\Analysis\2016-02-23 RTDC Observations" /stypes="*4037*20160726*" /stext=" 15:.+((SYSTEM_STATE.+slice.+state.+changed )|(ment ac)|(system.+state.+changed )|(\|lc)|(penalty)|(\[timeout)|(PRM\|1\|D))" /e /r /s</v>
      </c>
      <c r="AG175" s="1" t="str">
        <f t="shared" si="61"/>
        <v>NW</v>
      </c>
    </row>
    <row r="176" spans="1:33" x14ac:dyDescent="0.25">
      <c r="A176" s="25" t="s">
        <v>664</v>
      </c>
      <c r="B176" s="99">
        <v>4038</v>
      </c>
      <c r="C176" s="100" t="s">
        <v>248</v>
      </c>
      <c r="D176" s="100" t="s">
        <v>650</v>
      </c>
      <c r="E176" s="101">
        <v>42577.425532407404</v>
      </c>
      <c r="F176" s="101">
        <v>42577.426423611112</v>
      </c>
      <c r="G176" s="99">
        <v>1</v>
      </c>
      <c r="H176" s="101" t="s">
        <v>363</v>
      </c>
      <c r="I176" s="101">
        <v>42577.44059027778</v>
      </c>
      <c r="J176" s="99">
        <v>0</v>
      </c>
      <c r="K176" s="25" t="str">
        <f t="shared" si="67"/>
        <v>4037/4038</v>
      </c>
      <c r="L176" s="25" t="str">
        <f>VLOOKUP(A176,'Trips&amp;Operators'!$C$1:$E$10000,3,FALSE)</f>
        <v>LEVIN</v>
      </c>
      <c r="M176" s="6">
        <f t="shared" si="68"/>
        <v>1.4166666667733807E-2</v>
      </c>
      <c r="N176" s="7">
        <f t="shared" si="51"/>
        <v>20.400000001536682</v>
      </c>
      <c r="O176" s="7"/>
      <c r="P176" s="7"/>
      <c r="Q176" s="26"/>
      <c r="R176" s="26"/>
      <c r="S176" s="41">
        <f t="shared" si="52"/>
        <v>1</v>
      </c>
      <c r="T176" s="60" t="str">
        <f t="shared" si="53"/>
        <v>NorthBound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09:12:46-0600',mode:absolute,to:'2016-07-26 11:34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6" s="65" t="str">
        <f t="shared" si="55"/>
        <v>N</v>
      </c>
      <c r="X176" s="83">
        <f t="shared" si="56"/>
        <v>1</v>
      </c>
      <c r="Y176" s="80">
        <f t="shared" si="63"/>
        <v>0.1062</v>
      </c>
      <c r="Z176" s="80">
        <f t="shared" si="64"/>
        <v>5.8902999999999999</v>
      </c>
      <c r="AA176" s="80">
        <f t="shared" si="65"/>
        <v>5.7840999999999996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66"/>
        <v>0815-26</v>
      </c>
      <c r="AE176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6" s="66" t="str">
        <f t="shared" si="70"/>
        <v>"C:\Program Files (x86)\AstroGrep\AstroGrep.exe" /spath="C:\Users\stu\Documents\Analysis\2016-02-23 RTDC Observations" /stypes="*4038*20160726*" /stext=" 16:.+((SYSTEM_STATE.+slice.+state.+changed )|(ment ac)|(system.+state.+changed )|(\|lc)|(penalty)|(\[timeout)|(PRM\|1\|D))" /e /r /s</v>
      </c>
      <c r="AG176" s="1" t="str">
        <f t="shared" si="61"/>
        <v>NW</v>
      </c>
    </row>
    <row r="177" spans="1:33" x14ac:dyDescent="0.25">
      <c r="A177" s="25" t="s">
        <v>422</v>
      </c>
      <c r="B177" s="99">
        <v>4037</v>
      </c>
      <c r="C177" s="100" t="s">
        <v>248</v>
      </c>
      <c r="D177" s="100" t="s">
        <v>334</v>
      </c>
      <c r="E177" s="101">
        <v>42577.441990740743</v>
      </c>
      <c r="F177" s="101">
        <v>42577.442731481482</v>
      </c>
      <c r="G177" s="99">
        <v>1</v>
      </c>
      <c r="H177" s="101" t="s">
        <v>665</v>
      </c>
      <c r="I177" s="101">
        <v>42577.454837962963</v>
      </c>
      <c r="J177" s="99">
        <v>1</v>
      </c>
      <c r="K177" s="25" t="str">
        <f t="shared" si="67"/>
        <v>4037/4038</v>
      </c>
      <c r="L177" s="25" t="str">
        <f>VLOOKUP(A177,'Trips&amp;Operators'!$C$1:$E$10000,3,FALSE)</f>
        <v>LEVIN</v>
      </c>
      <c r="M177" s="6">
        <f t="shared" si="68"/>
        <v>1.2106481481168885E-2</v>
      </c>
      <c r="N177" s="7">
        <f t="shared" si="51"/>
        <v>17.433333332883194</v>
      </c>
      <c r="O177" s="7"/>
      <c r="P177" s="7"/>
      <c r="Q177" s="26"/>
      <c r="R177" s="26"/>
      <c r="S177" s="41">
        <f t="shared" si="52"/>
        <v>1</v>
      </c>
      <c r="T177" s="60" t="str">
        <f t="shared" si="53"/>
        <v>Southbound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09:36:28-0600',mode:absolute,to:'2016-07-26 11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7" s="65" t="str">
        <f t="shared" si="55"/>
        <v>N</v>
      </c>
      <c r="X177" s="83">
        <f t="shared" si="56"/>
        <v>1</v>
      </c>
      <c r="Y177" s="80">
        <f t="shared" si="63"/>
        <v>5.8592000000000004</v>
      </c>
      <c r="Z177" s="80">
        <f t="shared" si="64"/>
        <v>7.6600000000000001E-2</v>
      </c>
      <c r="AA177" s="80">
        <f t="shared" si="65"/>
        <v>5.7826000000000004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66"/>
        <v>0816-26</v>
      </c>
      <c r="AE177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7" s="66" t="str">
        <f t="shared" si="70"/>
        <v>"C:\Program Files (x86)\AstroGrep\AstroGrep.exe" /spath="C:\Users\stu\Documents\Analysis\2016-02-23 RTDC Observations" /stypes="*4037*20160726*" /stext=" 16:.+((SYSTEM_STATE.+slice.+state.+changed )|(ment ac)|(system.+state.+changed )|(\|lc)|(penalty)|(\[timeout)|(PRM\|1\|D))" /e /r /s</v>
      </c>
      <c r="AG177" s="1" t="str">
        <f t="shared" si="61"/>
        <v>NW</v>
      </c>
    </row>
    <row r="178" spans="1:33" x14ac:dyDescent="0.25">
      <c r="A178" s="25" t="s">
        <v>424</v>
      </c>
      <c r="B178" s="99">
        <v>4038</v>
      </c>
      <c r="C178" s="100" t="s">
        <v>248</v>
      </c>
      <c r="D178" s="100" t="s">
        <v>666</v>
      </c>
      <c r="E178" s="101">
        <v>42577.466168981482</v>
      </c>
      <c r="F178" s="101">
        <v>42577.467164351852</v>
      </c>
      <c r="G178" s="99">
        <v>1</v>
      </c>
      <c r="H178" s="101" t="s">
        <v>667</v>
      </c>
      <c r="I178" s="101">
        <v>42577.482673611114</v>
      </c>
      <c r="J178" s="99">
        <v>1</v>
      </c>
      <c r="K178" s="25" t="str">
        <f t="shared" si="67"/>
        <v>4037/4038</v>
      </c>
      <c r="L178" s="25" t="str">
        <f>VLOOKUP(A178,'Trips&amp;Operators'!$C$1:$E$10000,3,FALSE)</f>
        <v>LEVIN</v>
      </c>
      <c r="M178" s="6">
        <f t="shared" si="68"/>
        <v>1.5509259261307307E-2</v>
      </c>
      <c r="N178" s="7">
        <f t="shared" si="51"/>
        <v>22.333333336282521</v>
      </c>
      <c r="O178" s="7"/>
      <c r="P178" s="7"/>
      <c r="Q178" s="26"/>
      <c r="R178" s="26"/>
      <c r="S178" s="41">
        <f t="shared" si="52"/>
        <v>1</v>
      </c>
      <c r="T178" s="60" t="str">
        <f t="shared" si="53"/>
        <v>NorthBound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10:11:17-0600',mode:absolute,to:'2016-07-26 12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8" s="65" t="str">
        <f t="shared" si="55"/>
        <v>N</v>
      </c>
      <c r="X178" s="83">
        <f t="shared" si="56"/>
        <v>1</v>
      </c>
      <c r="Y178" s="80">
        <f t="shared" si="63"/>
        <v>0.1055</v>
      </c>
      <c r="Z178" s="80">
        <f t="shared" si="64"/>
        <v>5.8910999999999998</v>
      </c>
      <c r="AA178" s="80">
        <f t="shared" si="65"/>
        <v>5.7855999999999996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66"/>
        <v>0817-26</v>
      </c>
      <c r="AE178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78" s="66" t="str">
        <f t="shared" si="70"/>
        <v>"C:\Program Files (x86)\AstroGrep\AstroGrep.exe" /spath="C:\Users\stu\Documents\Analysis\2016-02-23 RTDC Observations" /stypes="*4038*20160726*" /stext=" 17:.+((SYSTEM_STATE.+slice.+state.+changed )|(ment ac)|(system.+state.+changed )|(\|lc)|(penalty)|(\[timeout)|(PRM\|1\|D))" /e /r /s</v>
      </c>
      <c r="AG178" s="1" t="str">
        <f t="shared" si="61"/>
        <v>NW</v>
      </c>
    </row>
    <row r="179" spans="1:33" x14ac:dyDescent="0.25">
      <c r="A179" s="25" t="s">
        <v>668</v>
      </c>
      <c r="B179" s="99">
        <v>4037</v>
      </c>
      <c r="C179" s="100" t="s">
        <v>248</v>
      </c>
      <c r="D179" s="100" t="s">
        <v>261</v>
      </c>
      <c r="E179" s="101">
        <v>42577.484594907408</v>
      </c>
      <c r="F179" s="101">
        <v>42577.48541666667</v>
      </c>
      <c r="G179" s="99">
        <v>1</v>
      </c>
      <c r="H179" s="101" t="s">
        <v>346</v>
      </c>
      <c r="I179" s="101">
        <v>42577.496145833335</v>
      </c>
      <c r="J179" s="99">
        <v>0</v>
      </c>
      <c r="K179" s="25" t="str">
        <f t="shared" si="67"/>
        <v>4037/4038</v>
      </c>
      <c r="L179" s="25" t="str">
        <f>VLOOKUP(A179,'Trips&amp;Operators'!$C$1:$E$10000,3,FALSE)</f>
        <v>LEVIN</v>
      </c>
      <c r="M179" s="6">
        <f t="shared" si="68"/>
        <v>1.0729166664532386E-2</v>
      </c>
      <c r="N179" s="7">
        <f t="shared" si="51"/>
        <v>15.449999996926636</v>
      </c>
      <c r="O179" s="7"/>
      <c r="P179" s="7"/>
      <c r="Q179" s="26"/>
      <c r="R179" s="26"/>
      <c r="S179" s="41">
        <f t="shared" si="52"/>
        <v>1</v>
      </c>
      <c r="T179" s="60" t="str">
        <f t="shared" si="53"/>
        <v>Southbound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10:37:49-0600',mode:absolute,to:'2016-07-26 12:54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9" s="65" t="str">
        <f t="shared" si="55"/>
        <v>N</v>
      </c>
      <c r="X179" s="83">
        <f t="shared" si="56"/>
        <v>1</v>
      </c>
      <c r="Y179" s="80">
        <f t="shared" si="63"/>
        <v>5.86</v>
      </c>
      <c r="Z179" s="80">
        <f t="shared" si="64"/>
        <v>7.6100000000000001E-2</v>
      </c>
      <c r="AA179" s="80">
        <f t="shared" si="65"/>
        <v>5.7839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66"/>
        <v>0818-26</v>
      </c>
      <c r="AE179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79" s="66" t="str">
        <f t="shared" si="70"/>
        <v>"C:\Program Files (x86)\AstroGrep\AstroGrep.exe" /spath="C:\Users\stu\Documents\Analysis\2016-02-23 RTDC Observations" /stypes="*4037*20160726*" /stext=" 17:.+((SYSTEM_STATE.+slice.+state.+changed )|(ment ac)|(system.+state.+changed )|(\|lc)|(penalty)|(\[timeout)|(PRM\|1\|D))" /e /r /s</v>
      </c>
      <c r="AG179" s="1" t="str">
        <f t="shared" si="61"/>
        <v>NW</v>
      </c>
    </row>
    <row r="180" spans="1:33" x14ac:dyDescent="0.25">
      <c r="A180" s="25" t="s">
        <v>669</v>
      </c>
      <c r="B180" s="99">
        <v>4038</v>
      </c>
      <c r="C180" s="100" t="s">
        <v>248</v>
      </c>
      <c r="D180" s="100" t="s">
        <v>670</v>
      </c>
      <c r="E180" s="101">
        <v>42577.507210648146</v>
      </c>
      <c r="F180" s="101">
        <v>42577.508298611108</v>
      </c>
      <c r="G180" s="99">
        <v>1</v>
      </c>
      <c r="H180" s="101" t="s">
        <v>671</v>
      </c>
      <c r="I180" s="101">
        <v>42577.52412037037</v>
      </c>
      <c r="J180" s="99">
        <v>0</v>
      </c>
      <c r="K180" s="25" t="str">
        <f t="shared" si="67"/>
        <v>4037/4038</v>
      </c>
      <c r="L180" s="25" t="str">
        <f>VLOOKUP(A180,'Trips&amp;Operators'!$C$1:$E$10000,3,FALSE)</f>
        <v>LEVIN</v>
      </c>
      <c r="M180" s="6">
        <f t="shared" si="68"/>
        <v>1.5821759261598345E-2</v>
      </c>
      <c r="N180" s="7">
        <f t="shared" si="51"/>
        <v>22.783333336701617</v>
      </c>
      <c r="O180" s="7"/>
      <c r="P180" s="7"/>
      <c r="Q180" s="26"/>
      <c r="R180" s="26"/>
      <c r="S180" s="41">
        <f t="shared" si="52"/>
        <v>1</v>
      </c>
      <c r="T180" s="60" t="str">
        <f t="shared" si="53"/>
        <v>NorthBound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11:10:23-0600',mode:absolute,to:'2016-07-26 13:34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0" s="65" t="str">
        <f t="shared" si="55"/>
        <v>N</v>
      </c>
      <c r="X180" s="83">
        <f t="shared" si="56"/>
        <v>1</v>
      </c>
      <c r="Y180" s="80">
        <f t="shared" si="63"/>
        <v>0.10489999999999999</v>
      </c>
      <c r="Z180" s="80">
        <f t="shared" si="64"/>
        <v>5.8905000000000003</v>
      </c>
      <c r="AA180" s="80">
        <f t="shared" si="65"/>
        <v>5.7856000000000005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66"/>
        <v>0819-26</v>
      </c>
      <c r="AE180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0" s="66" t="str">
        <f t="shared" si="70"/>
        <v>"C:\Program Files (x86)\AstroGrep\AstroGrep.exe" /spath="C:\Users\stu\Documents\Analysis\2016-02-23 RTDC Observations" /stypes="*4038*20160726*" /stext=" 18:.+((SYSTEM_STATE.+slice.+state.+changed )|(ment ac)|(system.+state.+changed )|(\|lc)|(penalty)|(\[timeout)|(PRM\|1\|D))" /e /r /s</v>
      </c>
      <c r="AG180" s="1" t="str">
        <f t="shared" si="61"/>
        <v>NW</v>
      </c>
    </row>
    <row r="181" spans="1:33" x14ac:dyDescent="0.25">
      <c r="A181" s="25" t="s">
        <v>672</v>
      </c>
      <c r="B181" s="99">
        <v>4037</v>
      </c>
      <c r="C181" s="100" t="s">
        <v>248</v>
      </c>
      <c r="D181" s="100" t="s">
        <v>673</v>
      </c>
      <c r="E181" s="101">
        <v>42577.525069444448</v>
      </c>
      <c r="F181" s="101">
        <v>42577.525879629633</v>
      </c>
      <c r="G181" s="99">
        <v>1</v>
      </c>
      <c r="H181" s="101" t="s">
        <v>674</v>
      </c>
      <c r="I181" s="101">
        <v>42577.537974537037</v>
      </c>
      <c r="J181" s="99">
        <v>0</v>
      </c>
      <c r="K181" s="25" t="str">
        <f t="shared" si="67"/>
        <v>4037/4038</v>
      </c>
      <c r="L181" s="25" t="str">
        <f>VLOOKUP(A181,'Trips&amp;Operators'!$C$1:$E$10000,3,FALSE)</f>
        <v>LEVIN</v>
      </c>
      <c r="M181" s="6">
        <f t="shared" si="68"/>
        <v>1.2094907404389232E-2</v>
      </c>
      <c r="N181" s="7">
        <f t="shared" si="51"/>
        <v>17.416666662320495</v>
      </c>
      <c r="O181" s="7"/>
      <c r="P181" s="7"/>
      <c r="Q181" s="26"/>
      <c r="R181" s="26"/>
      <c r="S181" s="41">
        <f t="shared" si="52"/>
        <v>1</v>
      </c>
      <c r="T181" s="60" t="str">
        <f t="shared" si="53"/>
        <v>Southbound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11:36:06-0600',mode:absolute,to:'2016-07-26 13:54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1" s="65" t="str">
        <f t="shared" si="55"/>
        <v>N</v>
      </c>
      <c r="X181" s="83">
        <f t="shared" si="56"/>
        <v>1</v>
      </c>
      <c r="Y181" s="80">
        <f t="shared" si="63"/>
        <v>5.8581000000000003</v>
      </c>
      <c r="Z181" s="80">
        <f t="shared" si="64"/>
        <v>7.6799999999999993E-2</v>
      </c>
      <c r="AA181" s="80">
        <f t="shared" si="65"/>
        <v>5.7812999999999999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66"/>
        <v>0820-26</v>
      </c>
      <c r="AE181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1" s="66" t="str">
        <f t="shared" si="70"/>
        <v>"C:\Program Files (x86)\AstroGrep\AstroGrep.exe" /spath="C:\Users\stu\Documents\Analysis\2016-02-23 RTDC Observations" /stypes="*4037*20160726*" /stext=" 18:.+((SYSTEM_STATE.+slice.+state.+changed )|(ment ac)|(system.+state.+changed )|(\|lc)|(penalty)|(\[timeout)|(PRM\|1\|D))" /e /r /s</v>
      </c>
      <c r="AG181" s="1" t="str">
        <f t="shared" si="61"/>
        <v>NW</v>
      </c>
    </row>
    <row r="182" spans="1:33" x14ac:dyDescent="0.25">
      <c r="A182" s="25" t="s">
        <v>430</v>
      </c>
      <c r="B182" s="99">
        <v>4038</v>
      </c>
      <c r="C182" s="100" t="s">
        <v>248</v>
      </c>
      <c r="D182" s="100" t="s">
        <v>675</v>
      </c>
      <c r="E182" s="101">
        <v>42577.548634259256</v>
      </c>
      <c r="F182" s="101">
        <v>42577.549780092595</v>
      </c>
      <c r="G182" s="99">
        <v>1</v>
      </c>
      <c r="H182" s="101" t="s">
        <v>340</v>
      </c>
      <c r="I182" s="101">
        <v>42577.56722222222</v>
      </c>
      <c r="J182" s="99">
        <v>1</v>
      </c>
      <c r="K182" s="25" t="str">
        <f t="shared" si="67"/>
        <v>4037/4038</v>
      </c>
      <c r="L182" s="25" t="str">
        <f>VLOOKUP(A182,'Trips&amp;Operators'!$C$1:$E$10000,3,FALSE)</f>
        <v>BRUDER</v>
      </c>
      <c r="M182" s="6">
        <f t="shared" si="68"/>
        <v>1.7442129625123926E-2</v>
      </c>
      <c r="N182" s="7">
        <f t="shared" si="51"/>
        <v>25.116666660178453</v>
      </c>
      <c r="O182" s="7"/>
      <c r="P182" s="7"/>
      <c r="Q182" s="26"/>
      <c r="R182" s="26"/>
      <c r="S182" s="41">
        <f t="shared" si="52"/>
        <v>1</v>
      </c>
      <c r="T182" s="60" t="str">
        <f t="shared" si="53"/>
        <v>NorthBound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12:10:02-0600',mode:absolute,to:'2016-07-26 14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2" s="65" t="str">
        <f t="shared" si="55"/>
        <v>N</v>
      </c>
      <c r="X182" s="83">
        <f t="shared" si="56"/>
        <v>1</v>
      </c>
      <c r="Y182" s="80">
        <f t="shared" si="63"/>
        <v>0.107</v>
      </c>
      <c r="Z182" s="80">
        <f t="shared" si="64"/>
        <v>5.8928000000000003</v>
      </c>
      <c r="AA182" s="80">
        <f t="shared" si="65"/>
        <v>5.7858000000000001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66"/>
        <v>0821-26</v>
      </c>
      <c r="AE182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2" s="66" t="str">
        <f t="shared" si="70"/>
        <v>"C:\Program Files (x86)\AstroGrep\AstroGrep.exe" /spath="C:\Users\stu\Documents\Analysis\2016-02-23 RTDC Observations" /stypes="*4038*20160726*" /stext=" 19:.+((SYSTEM_STATE.+slice.+state.+changed )|(ment ac)|(system.+state.+changed )|(\|lc)|(penalty)|(\[timeout)|(PRM\|1\|D))" /e /r /s</v>
      </c>
      <c r="AG182" s="1" t="str">
        <f t="shared" si="61"/>
        <v>NW</v>
      </c>
    </row>
    <row r="183" spans="1:33" x14ac:dyDescent="0.25">
      <c r="A183" s="25" t="s">
        <v>433</v>
      </c>
      <c r="B183" s="99">
        <v>4037</v>
      </c>
      <c r="C183" s="100" t="s">
        <v>248</v>
      </c>
      <c r="D183" s="100" t="s">
        <v>342</v>
      </c>
      <c r="E183" s="101">
        <v>42577.568425925929</v>
      </c>
      <c r="F183" s="101">
        <v>42577.569525462961</v>
      </c>
      <c r="G183" s="99">
        <v>1</v>
      </c>
      <c r="H183" s="101" t="s">
        <v>676</v>
      </c>
      <c r="I183" s="101">
        <v>42577.580150462964</v>
      </c>
      <c r="J183" s="99">
        <v>1</v>
      </c>
      <c r="K183" s="25" t="str">
        <f t="shared" si="67"/>
        <v>4037/4038</v>
      </c>
      <c r="L183" s="25" t="str">
        <f>VLOOKUP(A183,'Trips&amp;Operators'!$C$1:$E$10000,3,FALSE)</f>
        <v>BRUDER</v>
      </c>
      <c r="M183" s="6">
        <f t="shared" si="68"/>
        <v>1.0625000002619345E-2</v>
      </c>
      <c r="N183" s="7">
        <f t="shared" si="51"/>
        <v>15.300000003771856</v>
      </c>
      <c r="O183" s="7"/>
      <c r="P183" s="7"/>
      <c r="Q183" s="26"/>
      <c r="R183" s="26"/>
      <c r="S183" s="41">
        <f t="shared" si="52"/>
        <v>1</v>
      </c>
      <c r="T183" s="60" t="str">
        <f t="shared" si="53"/>
        <v>Southbound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12:38:32-0600',mode:absolute,to:'2016-07-26 14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3" s="65" t="str">
        <f t="shared" si="55"/>
        <v>N</v>
      </c>
      <c r="X183" s="83">
        <f t="shared" si="56"/>
        <v>1</v>
      </c>
      <c r="Y183" s="80">
        <f t="shared" si="63"/>
        <v>5.8616999999999999</v>
      </c>
      <c r="Z183" s="80">
        <f t="shared" si="64"/>
        <v>6.8199999999999997E-2</v>
      </c>
      <c r="AA183" s="80">
        <f t="shared" si="65"/>
        <v>5.7934999999999999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66"/>
        <v>0822-26</v>
      </c>
      <c r="AE183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3" s="66" t="str">
        <f t="shared" si="70"/>
        <v>"C:\Program Files (x86)\AstroGrep\AstroGrep.exe" /spath="C:\Users\stu\Documents\Analysis\2016-02-23 RTDC Observations" /stypes="*4037*20160726*" /stext=" 19:.+((SYSTEM_STATE.+slice.+state.+changed )|(ment ac)|(system.+state.+changed )|(\|lc)|(penalty)|(\[timeout)|(PRM\|1\|D))" /e /r /s</v>
      </c>
      <c r="AG183" s="1" t="str">
        <f t="shared" si="61"/>
        <v>NW</v>
      </c>
    </row>
    <row r="184" spans="1:33" x14ac:dyDescent="0.25">
      <c r="A184" s="25" t="s">
        <v>434</v>
      </c>
      <c r="B184" s="99">
        <v>4038</v>
      </c>
      <c r="C184" s="100" t="s">
        <v>248</v>
      </c>
      <c r="D184" s="100" t="s">
        <v>677</v>
      </c>
      <c r="E184" s="101">
        <v>42577.591435185182</v>
      </c>
      <c r="F184" s="101">
        <v>42577.592326388891</v>
      </c>
      <c r="G184" s="99">
        <v>1</v>
      </c>
      <c r="H184" s="101" t="s">
        <v>678</v>
      </c>
      <c r="I184" s="101">
        <v>42577.608229166668</v>
      </c>
      <c r="J184" s="99">
        <v>1</v>
      </c>
      <c r="K184" s="25" t="str">
        <f t="shared" si="67"/>
        <v>4037/4038</v>
      </c>
      <c r="L184" s="25" t="str">
        <f>VLOOKUP(A184,'Trips&amp;Operators'!$C$1:$E$10000,3,FALSE)</f>
        <v>BRUDER</v>
      </c>
      <c r="M184" s="6">
        <f t="shared" si="68"/>
        <v>1.5902777777228039E-2</v>
      </c>
      <c r="N184" s="7">
        <f t="shared" si="51"/>
        <v>22.899999999208376</v>
      </c>
      <c r="O184" s="7"/>
      <c r="P184" s="7"/>
      <c r="Q184" s="26"/>
      <c r="R184" s="26"/>
      <c r="S184" s="41">
        <f t="shared" si="52"/>
        <v>1</v>
      </c>
      <c r="T184" s="60" t="str">
        <f t="shared" si="53"/>
        <v>NorthBound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13:11:40-0600',mode:absolute,to:'2016-07-26 15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4" s="65" t="str">
        <f t="shared" si="55"/>
        <v>N</v>
      </c>
      <c r="X184" s="83">
        <f t="shared" si="56"/>
        <v>1</v>
      </c>
      <c r="Y184" s="80">
        <f t="shared" si="63"/>
        <v>9.7199999999999995E-2</v>
      </c>
      <c r="Z184" s="80">
        <f t="shared" si="64"/>
        <v>5.8939000000000004</v>
      </c>
      <c r="AA184" s="80">
        <f t="shared" si="65"/>
        <v>5.7967000000000004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66"/>
        <v>0823-26</v>
      </c>
      <c r="AE18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4" s="66" t="str">
        <f t="shared" si="70"/>
        <v>"C:\Program Files (x86)\AstroGrep\AstroGrep.exe" /spath="C:\Users\stu\Documents\Analysis\2016-02-23 RTDC Observations" /stypes="*4038*20160726*" /stext=" 20:.+((SYSTEM_STATE.+slice.+state.+changed )|(ment ac)|(system.+state.+changed )|(\|lc)|(penalty)|(\[timeout)|(PRM\|1\|D))" /e /r /s</v>
      </c>
      <c r="AG184" s="1" t="str">
        <f t="shared" si="61"/>
        <v>NW</v>
      </c>
    </row>
    <row r="185" spans="1:33" x14ac:dyDescent="0.25">
      <c r="A185" s="25" t="s">
        <v>679</v>
      </c>
      <c r="B185" s="99">
        <v>4037</v>
      </c>
      <c r="C185" s="100" t="s">
        <v>248</v>
      </c>
      <c r="D185" s="100" t="s">
        <v>343</v>
      </c>
      <c r="E185" s="101">
        <v>42577.611504629633</v>
      </c>
      <c r="F185" s="101">
        <v>42577.612523148149</v>
      </c>
      <c r="G185" s="99">
        <v>1</v>
      </c>
      <c r="H185" s="101" t="s">
        <v>335</v>
      </c>
      <c r="I185" s="101">
        <v>42577.622511574074</v>
      </c>
      <c r="J185" s="99">
        <v>0</v>
      </c>
      <c r="K185" s="25" t="str">
        <f t="shared" si="67"/>
        <v>4037/4038</v>
      </c>
      <c r="L185" s="25" t="str">
        <f>VLOOKUP(A185,'Trips&amp;Operators'!$C$1:$E$10000,3,FALSE)</f>
        <v>BRUDER</v>
      </c>
      <c r="M185" s="6">
        <f t="shared" si="68"/>
        <v>9.9884259252576157E-3</v>
      </c>
      <c r="N185" s="7">
        <f t="shared" si="51"/>
        <v>14.383333332370967</v>
      </c>
      <c r="O185" s="7"/>
      <c r="P185" s="7"/>
      <c r="Q185" s="26"/>
      <c r="R185" s="26"/>
      <c r="S185" s="41">
        <f t="shared" si="52"/>
        <v>1</v>
      </c>
      <c r="T185" s="60" t="str">
        <f t="shared" si="53"/>
        <v>Southbound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13:40:34-0600',mode:absolute,to:'2016-07-26 15:56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5" s="65" t="str">
        <f t="shared" si="55"/>
        <v>N</v>
      </c>
      <c r="X185" s="83">
        <f t="shared" si="56"/>
        <v>1</v>
      </c>
      <c r="Y185" s="80">
        <f t="shared" si="63"/>
        <v>5.8611000000000004</v>
      </c>
      <c r="Z185" s="80">
        <f t="shared" si="64"/>
        <v>6.4699999999999994E-2</v>
      </c>
      <c r="AA185" s="80">
        <f t="shared" si="65"/>
        <v>5.7964000000000002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66"/>
        <v>0824-26</v>
      </c>
      <c r="AE18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5" s="66" t="str">
        <f t="shared" si="70"/>
        <v>"C:\Program Files (x86)\AstroGrep\AstroGrep.exe" /spath="C:\Users\stu\Documents\Analysis\2016-02-23 RTDC Observations" /stypes="*4037*20160726*" /stext=" 20:.+((SYSTEM_STATE.+slice.+state.+changed )|(ment ac)|(system.+state.+changed )|(\|lc)|(penalty)|(\[timeout)|(PRM\|1\|D))" /e /r /s</v>
      </c>
      <c r="AG185" s="1" t="str">
        <f t="shared" si="61"/>
        <v>NW</v>
      </c>
    </row>
    <row r="186" spans="1:33" x14ac:dyDescent="0.25">
      <c r="A186" s="25" t="s">
        <v>438</v>
      </c>
      <c r="B186" s="99">
        <v>4038</v>
      </c>
      <c r="C186" s="100" t="s">
        <v>248</v>
      </c>
      <c r="D186" s="100" t="s">
        <v>337</v>
      </c>
      <c r="E186" s="101">
        <v>42577.634502314817</v>
      </c>
      <c r="F186" s="101">
        <v>42577.635879629626</v>
      </c>
      <c r="G186" s="99">
        <v>1</v>
      </c>
      <c r="H186" s="101" t="s">
        <v>345</v>
      </c>
      <c r="I186" s="101">
        <v>42577.650405092594</v>
      </c>
      <c r="J186" s="99">
        <v>1</v>
      </c>
      <c r="K186" s="25" t="str">
        <f t="shared" si="67"/>
        <v>4037/4038</v>
      </c>
      <c r="L186" s="25" t="str">
        <f>VLOOKUP(A186,'Trips&amp;Operators'!$C$1:$E$10000,3,FALSE)</f>
        <v>BRUDER</v>
      </c>
      <c r="M186" s="6">
        <f t="shared" si="68"/>
        <v>1.4525462967867497E-2</v>
      </c>
      <c r="N186" s="7">
        <f t="shared" si="51"/>
        <v>20.916666673729196</v>
      </c>
      <c r="O186" s="7"/>
      <c r="P186" s="7"/>
      <c r="Q186" s="26"/>
      <c r="R186" s="26"/>
      <c r="S186" s="41">
        <f t="shared" si="52"/>
        <v>1</v>
      </c>
      <c r="T186" s="60" t="str">
        <f t="shared" si="53"/>
        <v>NorthBound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14:13:41-0600',mode:absolute,to:'2016-07-26 16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6" s="65" t="str">
        <f t="shared" si="55"/>
        <v>N</v>
      </c>
      <c r="X186" s="83">
        <f t="shared" si="56"/>
        <v>1</v>
      </c>
      <c r="Y186" s="80">
        <f t="shared" si="63"/>
        <v>9.3200000000000005E-2</v>
      </c>
      <c r="Z186" s="80">
        <f t="shared" si="64"/>
        <v>5.8940999999999999</v>
      </c>
      <c r="AA186" s="80">
        <f t="shared" si="65"/>
        <v>5.8008999999999995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66"/>
        <v>0825-26</v>
      </c>
      <c r="AE186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86" s="66" t="str">
        <f t="shared" si="70"/>
        <v>"C:\Program Files (x86)\AstroGrep\AstroGrep.exe" /spath="C:\Users\stu\Documents\Analysis\2016-02-23 RTDC Observations" /stypes="*4038*20160726*" /stext=" 21:.+((SYSTEM_STATE.+slice.+state.+changed )|(ment ac)|(system.+state.+changed )|(\|lc)|(penalty)|(\[timeout)|(PRM\|1\|D))" /e /r /s</v>
      </c>
      <c r="AG186" s="1" t="str">
        <f t="shared" si="61"/>
        <v>NW</v>
      </c>
    </row>
    <row r="187" spans="1:33" x14ac:dyDescent="0.25">
      <c r="A187" s="25" t="s">
        <v>680</v>
      </c>
      <c r="B187" s="99">
        <v>4037</v>
      </c>
      <c r="C187" s="100" t="s">
        <v>248</v>
      </c>
      <c r="D187" s="100" t="s">
        <v>347</v>
      </c>
      <c r="E187" s="101">
        <v>42577.651562500003</v>
      </c>
      <c r="F187" s="101">
        <v>42577.652615740742</v>
      </c>
      <c r="G187" s="99">
        <v>1</v>
      </c>
      <c r="H187" s="101" t="s">
        <v>681</v>
      </c>
      <c r="I187" s="101">
        <v>42577.663819444446</v>
      </c>
      <c r="J187" s="99">
        <v>0</v>
      </c>
      <c r="K187" s="25" t="str">
        <f t="shared" si="67"/>
        <v>4037/4038</v>
      </c>
      <c r="L187" s="25" t="str">
        <f>VLOOKUP(A187,'Trips&amp;Operators'!$C$1:$E$10000,3,FALSE)</f>
        <v>BRUDER</v>
      </c>
      <c r="M187" s="6">
        <f t="shared" si="68"/>
        <v>1.1203703703358769E-2</v>
      </c>
      <c r="N187" s="7">
        <f t="shared" si="51"/>
        <v>16.133333332836628</v>
      </c>
      <c r="O187" s="7"/>
      <c r="P187" s="7"/>
      <c r="Q187" s="26"/>
      <c r="R187" s="26"/>
      <c r="S187" s="41">
        <f t="shared" si="52"/>
        <v>1</v>
      </c>
      <c r="T187" s="60" t="str">
        <f t="shared" si="53"/>
        <v>Southbound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14:38:15-0600',mode:absolute,to:'2016-07-26 16:55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7" s="65" t="str">
        <f t="shared" si="55"/>
        <v>N</v>
      </c>
      <c r="X187" s="83">
        <f t="shared" si="56"/>
        <v>1</v>
      </c>
      <c r="Y187" s="80">
        <f t="shared" si="63"/>
        <v>5.8625999999999996</v>
      </c>
      <c r="Z187" s="80">
        <f t="shared" si="64"/>
        <v>6.6799999999999998E-2</v>
      </c>
      <c r="AA187" s="80">
        <f t="shared" si="65"/>
        <v>5.7957999999999998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66"/>
        <v>0826-26</v>
      </c>
      <c r="AE187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87" s="66" t="str">
        <f t="shared" si="70"/>
        <v>"C:\Program Files (x86)\AstroGrep\AstroGrep.exe" /spath="C:\Users\stu\Documents\Analysis\2016-02-23 RTDC Observations" /stypes="*4037*20160726*" /stext=" 21:.+((SYSTEM_STATE.+slice.+state.+changed )|(ment ac)|(system.+state.+changed )|(\|lc)|(penalty)|(\[timeout)|(PRM\|1\|D))" /e /r /s</v>
      </c>
      <c r="AG187" s="1" t="str">
        <f t="shared" si="61"/>
        <v>NW</v>
      </c>
    </row>
    <row r="188" spans="1:33" x14ac:dyDescent="0.25">
      <c r="A188" s="25" t="s">
        <v>682</v>
      </c>
      <c r="B188" s="99">
        <v>4014</v>
      </c>
      <c r="C188" s="100" t="s">
        <v>248</v>
      </c>
      <c r="D188" s="100" t="s">
        <v>683</v>
      </c>
      <c r="E188" s="101">
        <v>42577.654780092591</v>
      </c>
      <c r="F188" s="101">
        <v>42577.656018518515</v>
      </c>
      <c r="G188" s="99">
        <v>1</v>
      </c>
      <c r="H188" s="101" t="s">
        <v>684</v>
      </c>
      <c r="I188" s="101">
        <v>42577.673541666663</v>
      </c>
      <c r="J188" s="99">
        <v>0</v>
      </c>
      <c r="K188" s="25" t="str">
        <f t="shared" si="67"/>
        <v>4013/4014</v>
      </c>
      <c r="L188" s="25" t="str">
        <f>VLOOKUP(A188,'Trips&amp;Operators'!$C$1:$E$10000,3,FALSE)</f>
        <v>STURGEON</v>
      </c>
      <c r="M188" s="6">
        <f t="shared" si="68"/>
        <v>1.7523148148029577E-2</v>
      </c>
      <c r="N188" s="7">
        <f t="shared" si="51"/>
        <v>25.233333333162591</v>
      </c>
      <c r="O188" s="7"/>
      <c r="P188" s="7"/>
      <c r="Q188" s="26"/>
      <c r="R188" s="26"/>
      <c r="S188" s="41">
        <f t="shared" si="52"/>
        <v>1</v>
      </c>
      <c r="T188" s="60" t="str">
        <f t="shared" si="53"/>
        <v>NorthBound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14:42:53-0600',mode:absolute,to:'2016-07-26 17:09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88" s="65" t="str">
        <f t="shared" si="55"/>
        <v>N</v>
      </c>
      <c r="X188" s="83">
        <f t="shared" si="56"/>
        <v>1</v>
      </c>
      <c r="Y188" s="80">
        <f t="shared" si="63"/>
        <v>9.5799999999999996E-2</v>
      </c>
      <c r="Z188" s="80">
        <f t="shared" si="64"/>
        <v>5.8917999999999999</v>
      </c>
      <c r="AA188" s="80">
        <f t="shared" si="65"/>
        <v>5.7960000000000003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66"/>
        <v>0827-26</v>
      </c>
      <c r="AE188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88" s="66" t="str">
        <f t="shared" si="70"/>
        <v>"C:\Program Files (x86)\AstroGrep\AstroGrep.exe" /spath="C:\Users\stu\Documents\Analysis\2016-02-23 RTDC Observations" /stypes="*4014*20160726*" /stext=" 22:.+((SYSTEM_STATE.+slice.+state.+changed )|(ment ac)|(system.+state.+changed )|(\|lc)|(penalty)|(\[timeout)|(PRM\|1\|D))" /e /r /s</v>
      </c>
      <c r="AG188" s="1" t="str">
        <f t="shared" si="61"/>
        <v>NW</v>
      </c>
    </row>
    <row r="189" spans="1:33" x14ac:dyDescent="0.25">
      <c r="A189" s="25" t="s">
        <v>685</v>
      </c>
      <c r="B189" s="99">
        <v>4013</v>
      </c>
      <c r="C189" s="100" t="s">
        <v>248</v>
      </c>
      <c r="D189" s="100" t="s">
        <v>343</v>
      </c>
      <c r="E189" s="101">
        <v>42577.674907407411</v>
      </c>
      <c r="F189" s="101">
        <v>42577.67597222222</v>
      </c>
      <c r="G189" s="99">
        <v>1</v>
      </c>
      <c r="H189" s="101" t="s">
        <v>686</v>
      </c>
      <c r="I189" s="101">
        <v>42577.687696759262</v>
      </c>
      <c r="J189" s="99">
        <v>0</v>
      </c>
      <c r="K189" s="25" t="str">
        <f t="shared" si="67"/>
        <v>4013/4014</v>
      </c>
      <c r="L189" s="25" t="str">
        <f>VLOOKUP(A189,'Trips&amp;Operators'!$C$1:$E$10000,3,FALSE)</f>
        <v>STURGEON</v>
      </c>
      <c r="M189" s="6">
        <f t="shared" si="68"/>
        <v>1.1724537042027805E-2</v>
      </c>
      <c r="N189" s="7">
        <f t="shared" si="51"/>
        <v>16.883333340520039</v>
      </c>
      <c r="O189" s="7"/>
      <c r="P189" s="7"/>
      <c r="Q189" s="26"/>
      <c r="R189" s="26"/>
      <c r="S189" s="41">
        <f t="shared" si="52"/>
        <v>1</v>
      </c>
      <c r="T189" s="60" t="str">
        <f t="shared" si="53"/>
        <v>Southbound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62"/>
        <v>https://search-rtdc-monitor-bjffxe2xuh6vdkpspy63sjmuny.us-east-1.es.amazonaws.com/_plugin/kibana/#/discover/Steve-Slow-Train-Analysis-(2080s-and-2083s)?_g=(refreshInterval:(display:Off,section:0,value:0),time:(from:'2016-07-26 15:11:52-0600',mode:absolute,to:'2016-07-26 17:30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9" s="65" t="str">
        <f t="shared" si="55"/>
        <v>N</v>
      </c>
      <c r="X189" s="83">
        <f t="shared" si="56"/>
        <v>1</v>
      </c>
      <c r="Y189" s="80">
        <f t="shared" si="63"/>
        <v>5.8611000000000004</v>
      </c>
      <c r="Z189" s="80">
        <f t="shared" si="64"/>
        <v>7.2599999999999998E-2</v>
      </c>
      <c r="AA189" s="80">
        <f t="shared" si="65"/>
        <v>5.7885000000000009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66"/>
        <v>0828-26</v>
      </c>
      <c r="AE189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89" s="66" t="str">
        <f t="shared" si="70"/>
        <v>"C:\Program Files (x86)\AstroGrep\AstroGrep.exe" /spath="C:\Users\stu\Documents\Analysis\2016-02-23 RTDC Observations" /stypes="*4013*20160726*" /stext=" 22:.+((SYSTEM_STATE.+slice.+state.+changed )|(ment ac)|(system.+state.+changed )|(\|lc)|(penalty)|(\[timeout)|(PRM\|1\|D))" /e /r /s</v>
      </c>
      <c r="AG189" s="1" t="str">
        <f t="shared" si="61"/>
        <v>NW</v>
      </c>
    </row>
    <row r="190" spans="1:33" x14ac:dyDescent="0.25">
      <c r="A190" s="25" t="s">
        <v>687</v>
      </c>
      <c r="B190" s="99">
        <v>4038</v>
      </c>
      <c r="C190" s="100" t="s">
        <v>248</v>
      </c>
      <c r="D190" s="100" t="s">
        <v>339</v>
      </c>
      <c r="E190" s="101">
        <v>42577.674745370372</v>
      </c>
      <c r="F190" s="101">
        <v>42577.675659722219</v>
      </c>
      <c r="G190" s="99">
        <v>1</v>
      </c>
      <c r="H190" s="101" t="s">
        <v>678</v>
      </c>
      <c r="I190" s="101">
        <v>42577.691030092596</v>
      </c>
      <c r="J190" s="99">
        <v>0</v>
      </c>
      <c r="K190" s="25" t="str">
        <f t="shared" si="67"/>
        <v>4037/4038</v>
      </c>
      <c r="L190" s="25" t="str">
        <f>VLOOKUP(A190,'Trips&amp;Operators'!$C$1:$E$10000,3,FALSE)</f>
        <v>BRUDER</v>
      </c>
      <c r="M190" s="6">
        <f t="shared" si="68"/>
        <v>1.5370370376331266E-2</v>
      </c>
      <c r="N190" s="7">
        <f t="shared" si="51"/>
        <v>22.133333341917023</v>
      </c>
      <c r="O190" s="7"/>
      <c r="P190" s="7"/>
      <c r="Q190" s="26"/>
      <c r="R190" s="26"/>
      <c r="S190" s="41">
        <f t="shared" si="52"/>
        <v>1</v>
      </c>
      <c r="T190" s="60" t="str">
        <f t="shared" si="53"/>
        <v>NorthBound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ref="V190:V207" si="71">"https://search-rtdc-monitor-bjffxe2xuh6vdkpspy63sjmuny.us-east-1.es.amazonaws.com/_plugin/kibana/#/discover/Steve-Slow-Train-Analysis-(2080s-and-2083s)?_g=(refreshInterval:(display:Off,section:0,value:0),time:(from:'"&amp;TEXT(E190-1/24,"yyyy-MM-DD hh:mm:ss")&amp;"-0600',mode:absolute,to:'"&amp;TEXT(I190+1/24,"yyyy-MM-DD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190&amp;"%22')),sort:!(Time,asc))"</f>
        <v>https://search-rtdc-monitor-bjffxe2xuh6vdkpspy63sjmuny.us-east-1.es.amazonaws.com/_plugin/kibana/#/discover/Steve-Slow-Train-Analysis-(2080s-and-2083s)?_g=(refreshInterval:(display:Off,section:0,value:0),time:(from:'2016-07-26 15:11:38-0600',mode:absolute,to:'2016-07-26 17:35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0" s="65" t="str">
        <f t="shared" si="55"/>
        <v>N</v>
      </c>
      <c r="X190" s="83">
        <f t="shared" si="56"/>
        <v>1</v>
      </c>
      <c r="Y190" s="80">
        <f t="shared" ref="Y190:Y207" si="72">RIGHT(D190,LEN(D190)-4)/10000</f>
        <v>9.6500000000000002E-2</v>
      </c>
      <c r="Z190" s="80">
        <f t="shared" ref="Z190:Z207" si="73">RIGHT(H190,LEN(H190)-4)/10000</f>
        <v>5.8939000000000004</v>
      </c>
      <c r="AA190" s="80">
        <f t="shared" ref="AA190:AA207" si="74">ABS(Z190-Y190)</f>
        <v>5.7974000000000006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ref="AD190:AD207" si="75">IF(LEN(A190)=6,"0"&amp;A190,A190)</f>
        <v>0829-26</v>
      </c>
      <c r="AE190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0" s="66" t="str">
        <f t="shared" si="70"/>
        <v>"C:\Program Files (x86)\AstroGrep\AstroGrep.exe" /spath="C:\Users\stu\Documents\Analysis\2016-02-23 RTDC Observations" /stypes="*4038*20160726*" /stext=" 22:.+((SYSTEM_STATE.+slice.+state.+changed )|(ment ac)|(system.+state.+changed )|(\|lc)|(penalty)|(\[timeout)|(PRM\|1\|D))" /e /r /s</v>
      </c>
      <c r="AG190" s="1" t="str">
        <f t="shared" si="61"/>
        <v>NW</v>
      </c>
    </row>
    <row r="191" spans="1:33" x14ac:dyDescent="0.25">
      <c r="A191" s="25" t="s">
        <v>688</v>
      </c>
      <c r="B191" s="99">
        <v>4037</v>
      </c>
      <c r="C191" s="100" t="s">
        <v>248</v>
      </c>
      <c r="D191" s="100" t="s">
        <v>689</v>
      </c>
      <c r="E191" s="101">
        <v>42577.692361111112</v>
      </c>
      <c r="F191" s="101">
        <v>42577.693356481483</v>
      </c>
      <c r="G191" s="99">
        <v>1</v>
      </c>
      <c r="H191" s="101" t="s">
        <v>690</v>
      </c>
      <c r="I191" s="101">
        <v>42577.705092592594</v>
      </c>
      <c r="J191" s="99">
        <v>0</v>
      </c>
      <c r="K191" s="25" t="str">
        <f t="shared" si="67"/>
        <v>4037/4038</v>
      </c>
      <c r="L191" s="25" t="str">
        <f>VLOOKUP(A191,'Trips&amp;Operators'!$C$1:$E$10000,3,FALSE)</f>
        <v>BRUDER</v>
      </c>
      <c r="M191" s="6">
        <f t="shared" si="68"/>
        <v>1.17361111115315E-2</v>
      </c>
      <c r="N191" s="7">
        <f t="shared" si="51"/>
        <v>16.90000000060536</v>
      </c>
      <c r="O191" s="7"/>
      <c r="P191" s="7"/>
      <c r="Q191" s="26"/>
      <c r="R191" s="26"/>
      <c r="S191" s="41">
        <f t="shared" si="52"/>
        <v>1</v>
      </c>
      <c r="T191" s="60" t="str">
        <f t="shared" si="53"/>
        <v>Southbound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15:37:00-0600',mode:absolute,to:'2016-07-26 17:55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1" s="65" t="str">
        <f t="shared" si="55"/>
        <v>N</v>
      </c>
      <c r="X191" s="83">
        <f t="shared" si="56"/>
        <v>1</v>
      </c>
      <c r="Y191" s="80">
        <f t="shared" si="72"/>
        <v>5.8623000000000003</v>
      </c>
      <c r="Z191" s="80">
        <f t="shared" si="73"/>
        <v>6.4899999999999999E-2</v>
      </c>
      <c r="AA191" s="80">
        <f t="shared" si="74"/>
        <v>5.7974000000000006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75"/>
        <v>0830-26</v>
      </c>
      <c r="AE191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1" s="66" t="str">
        <f t="shared" si="70"/>
        <v>"C:\Program Files (x86)\AstroGrep\AstroGrep.exe" /spath="C:\Users\stu\Documents\Analysis\2016-02-23 RTDC Observations" /stypes="*4037*20160726*" /stext=" 22:.+((SYSTEM_STATE.+slice.+state.+changed )|(ment ac)|(system.+state.+changed )|(\|lc)|(penalty)|(\[timeout)|(PRM\|1\|D))" /e /r /s</v>
      </c>
      <c r="AG191" s="1" t="str">
        <f t="shared" si="61"/>
        <v>NW</v>
      </c>
    </row>
    <row r="192" spans="1:33" x14ac:dyDescent="0.25">
      <c r="A192" s="25" t="s">
        <v>691</v>
      </c>
      <c r="B192" s="99">
        <v>4014</v>
      </c>
      <c r="C192" s="100" t="s">
        <v>248</v>
      </c>
      <c r="D192" s="100" t="s">
        <v>692</v>
      </c>
      <c r="E192" s="101">
        <v>42577.691979166666</v>
      </c>
      <c r="F192" s="101">
        <v>42577.692835648151</v>
      </c>
      <c r="G192" s="99">
        <v>1</v>
      </c>
      <c r="H192" s="101" t="s">
        <v>684</v>
      </c>
      <c r="I192" s="101">
        <v>42577.713842592595</v>
      </c>
      <c r="J192" s="99">
        <v>0</v>
      </c>
      <c r="K192" s="25" t="str">
        <f t="shared" si="67"/>
        <v>4013/4014</v>
      </c>
      <c r="L192" s="25" t="str">
        <f>VLOOKUP(A192,'Trips&amp;Operators'!$C$1:$E$10000,3,FALSE)</f>
        <v>STURGEON</v>
      </c>
      <c r="M192" s="6">
        <f t="shared" si="68"/>
        <v>2.1006944443797693E-2</v>
      </c>
      <c r="N192" s="7">
        <f t="shared" si="51"/>
        <v>30.249999999068677</v>
      </c>
      <c r="O192" s="7"/>
      <c r="P192" s="7"/>
      <c r="Q192" s="26"/>
      <c r="R192" s="26"/>
      <c r="S192" s="41">
        <f t="shared" si="52"/>
        <v>1</v>
      </c>
      <c r="T192" s="60" t="str">
        <f t="shared" si="53"/>
        <v>NorthBound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15:36:27-0600',mode:absolute,to:'2016-07-26 18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2" s="65" t="str">
        <f t="shared" si="55"/>
        <v>N</v>
      </c>
      <c r="X192" s="83">
        <f t="shared" si="56"/>
        <v>1</v>
      </c>
      <c r="Y192" s="80">
        <f t="shared" si="72"/>
        <v>0.1009</v>
      </c>
      <c r="Z192" s="80">
        <f t="shared" si="73"/>
        <v>5.8917999999999999</v>
      </c>
      <c r="AA192" s="80">
        <f t="shared" si="74"/>
        <v>5.7908999999999997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75"/>
        <v>0831-26</v>
      </c>
      <c r="AE192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92" s="66" t="str">
        <f t="shared" si="70"/>
        <v>"C:\Program Files (x86)\AstroGrep\AstroGrep.exe" /spath="C:\Users\stu\Documents\Analysis\2016-02-23 RTDC Observations" /stypes="*4014*20160726*" /stext=" 23:.+((SYSTEM_STATE.+slice.+state.+changed )|(ment ac)|(system.+state.+changed )|(\|lc)|(penalty)|(\[timeout)|(PRM\|1\|D))" /e /r /s</v>
      </c>
      <c r="AG192" s="1" t="str">
        <f t="shared" si="61"/>
        <v>NW</v>
      </c>
    </row>
    <row r="193" spans="1:33" x14ac:dyDescent="0.25">
      <c r="A193" s="25" t="s">
        <v>693</v>
      </c>
      <c r="B193" s="99">
        <v>4013</v>
      </c>
      <c r="C193" s="100" t="s">
        <v>248</v>
      </c>
      <c r="D193" s="100" t="s">
        <v>334</v>
      </c>
      <c r="E193" s="101">
        <v>42577.714826388888</v>
      </c>
      <c r="F193" s="101">
        <v>42577.715879629628</v>
      </c>
      <c r="G193" s="99">
        <v>1</v>
      </c>
      <c r="H193" s="101" t="s">
        <v>694</v>
      </c>
      <c r="I193" s="101">
        <v>42577.726875</v>
      </c>
      <c r="J193" s="99">
        <v>0</v>
      </c>
      <c r="K193" s="25" t="str">
        <f t="shared" si="67"/>
        <v>4013/4014</v>
      </c>
      <c r="L193" s="25" t="str">
        <f>VLOOKUP(A193,'Trips&amp;Operators'!$C$1:$E$10000,3,FALSE)</f>
        <v>STURGEON</v>
      </c>
      <c r="M193" s="6">
        <f t="shared" si="68"/>
        <v>1.099537037225673E-2</v>
      </c>
      <c r="N193" s="7">
        <f t="shared" si="51"/>
        <v>15.833333336049691</v>
      </c>
      <c r="O193" s="7"/>
      <c r="P193" s="7"/>
      <c r="Q193" s="26"/>
      <c r="R193" s="26"/>
      <c r="S193" s="41">
        <f t="shared" si="52"/>
        <v>1</v>
      </c>
      <c r="T193" s="60" t="str">
        <f t="shared" si="53"/>
        <v>Southbound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16:09:21-0600',mode:absolute,to:'2016-07-26 18:26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3" s="65" t="str">
        <f t="shared" si="55"/>
        <v>N</v>
      </c>
      <c r="X193" s="83">
        <f t="shared" si="56"/>
        <v>1</v>
      </c>
      <c r="Y193" s="80">
        <f t="shared" si="72"/>
        <v>5.8592000000000004</v>
      </c>
      <c r="Z193" s="80">
        <f t="shared" si="73"/>
        <v>7.2400000000000006E-2</v>
      </c>
      <c r="AA193" s="80">
        <f t="shared" si="74"/>
        <v>5.7868000000000004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75"/>
        <v>0832-26</v>
      </c>
      <c r="AE193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93" s="66" t="str">
        <f t="shared" si="70"/>
        <v>"C:\Program Files (x86)\AstroGrep\AstroGrep.exe" /spath="C:\Users\stu\Documents\Analysis\2016-02-23 RTDC Observations" /stypes="*4013*20160726*" /stext=" 23:.+((SYSTEM_STATE.+slice.+state.+changed )|(ment ac)|(system.+state.+changed )|(\|lc)|(penalty)|(\[timeout)|(PRM\|1\|D))" /e /r /s</v>
      </c>
      <c r="AG193" s="1" t="str">
        <f t="shared" si="61"/>
        <v>NW</v>
      </c>
    </row>
    <row r="194" spans="1:33" x14ac:dyDescent="0.25">
      <c r="A194" s="25" t="s">
        <v>695</v>
      </c>
      <c r="B194" s="99">
        <v>4038</v>
      </c>
      <c r="C194" s="100" t="s">
        <v>248</v>
      </c>
      <c r="D194" s="100" t="s">
        <v>696</v>
      </c>
      <c r="E194" s="101">
        <v>42577.712812500002</v>
      </c>
      <c r="F194" s="101">
        <v>42577.71471064815</v>
      </c>
      <c r="G194" s="99">
        <v>2</v>
      </c>
      <c r="H194" s="101" t="s">
        <v>697</v>
      </c>
      <c r="I194" s="101">
        <v>42577.732905092591</v>
      </c>
      <c r="J194" s="99">
        <v>0</v>
      </c>
      <c r="K194" s="25" t="str">
        <f t="shared" si="67"/>
        <v>4037/4038</v>
      </c>
      <c r="L194" s="25" t="str">
        <f>VLOOKUP(A194,'Trips&amp;Operators'!$C$1:$E$10000,3,FALSE)</f>
        <v>BRUDER</v>
      </c>
      <c r="M194" s="6">
        <f t="shared" si="68"/>
        <v>1.8194444441178348E-2</v>
      </c>
      <c r="N194" s="7">
        <f t="shared" si="51"/>
        <v>26.199999995296821</v>
      </c>
      <c r="O194" s="7"/>
      <c r="P194" s="7"/>
      <c r="Q194" s="26"/>
      <c r="R194" s="26"/>
      <c r="S194" s="41">
        <f t="shared" si="52"/>
        <v>1</v>
      </c>
      <c r="T194" s="60" t="str">
        <f t="shared" si="53"/>
        <v>NorthBound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16:06:27-0600',mode:absolute,to:'2016-07-26 18:35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4" s="65" t="str">
        <f t="shared" si="55"/>
        <v>N</v>
      </c>
      <c r="X194" s="83">
        <f t="shared" si="56"/>
        <v>1</v>
      </c>
      <c r="Y194" s="80">
        <f t="shared" si="72"/>
        <v>9.4299999999999995E-2</v>
      </c>
      <c r="Z194" s="80">
        <f t="shared" si="73"/>
        <v>5.8944000000000001</v>
      </c>
      <c r="AA194" s="80">
        <f t="shared" si="74"/>
        <v>5.8001000000000005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75"/>
        <v>0833-26</v>
      </c>
      <c r="AE194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4" s="66" t="str">
        <f t="shared" si="70"/>
        <v>"C:\Program Files (x86)\AstroGrep\AstroGrep.exe" /spath="C:\Users\stu\Documents\Analysis\2016-02-23 RTDC Observations" /stypes="*4038*20160726*" /stext=" 23:.+((SYSTEM_STATE.+slice.+state.+changed )|(ment ac)|(system.+state.+changed )|(\|lc)|(penalty)|(\[timeout)|(PRM\|1\|D))" /e /r /s</v>
      </c>
      <c r="AG194" s="1" t="str">
        <f t="shared" si="61"/>
        <v>NW</v>
      </c>
    </row>
    <row r="195" spans="1:33" x14ac:dyDescent="0.25">
      <c r="A195" s="25" t="s">
        <v>698</v>
      </c>
      <c r="B195" s="99">
        <v>4037</v>
      </c>
      <c r="C195" s="100" t="s">
        <v>248</v>
      </c>
      <c r="D195" s="100" t="s">
        <v>699</v>
      </c>
      <c r="E195" s="101">
        <v>42577.734201388892</v>
      </c>
      <c r="F195" s="101">
        <v>42577.734976851854</v>
      </c>
      <c r="G195" s="99">
        <v>1</v>
      </c>
      <c r="H195" s="101" t="s">
        <v>336</v>
      </c>
      <c r="I195" s="101">
        <v>42577.770532407405</v>
      </c>
      <c r="J195" s="99">
        <v>0</v>
      </c>
      <c r="K195" s="25" t="str">
        <f t="shared" si="67"/>
        <v>4037/4038</v>
      </c>
      <c r="L195" s="25" t="str">
        <f>VLOOKUP(A195,'Trips&amp;Operators'!$C$1:$E$10000,3,FALSE)</f>
        <v>BRUDER</v>
      </c>
      <c r="M195" s="6">
        <f t="shared" si="68"/>
        <v>3.555555555067258E-2</v>
      </c>
      <c r="N195" s="7">
        <f t="shared" si="51"/>
        <v>51.199999992968515</v>
      </c>
      <c r="O195" s="7"/>
      <c r="P195" s="7"/>
      <c r="Q195" s="26"/>
      <c r="R195" s="26" t="s">
        <v>793</v>
      </c>
      <c r="S195" s="41">
        <f t="shared" si="52"/>
        <v>1</v>
      </c>
      <c r="T195" s="60" t="str">
        <f t="shared" si="53"/>
        <v>Southbound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16:37:15-0600',mode:absolute,to:'2016-07-26 19:29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5" s="65" t="str">
        <f t="shared" si="55"/>
        <v>N</v>
      </c>
      <c r="X195" s="83">
        <f t="shared" si="56"/>
        <v>1</v>
      </c>
      <c r="Y195" s="80">
        <f t="shared" si="72"/>
        <v>5.8628</v>
      </c>
      <c r="Z195" s="80">
        <f t="shared" si="73"/>
        <v>6.5199999999999994E-2</v>
      </c>
      <c r="AA195" s="80">
        <f t="shared" si="74"/>
        <v>5.7976000000000001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75"/>
        <v>0834-26</v>
      </c>
      <c r="AE195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5" s="66" t="str">
        <f t="shared" si="70"/>
        <v>"C:\Program Files (x86)\AstroGrep\AstroGrep.exe" /spath="C:\Users\stu\Documents\Analysis\2016-02-23 RTDC Observations" /stypes="*4037*20160727*" /stext=" 00:.+((SYSTEM_STATE.+slice.+state.+changed )|(ment ac)|(system.+state.+changed )|(\|lc)|(penalty)|(\[timeout)|(PRM\|1\|D))" /e /r /s</v>
      </c>
      <c r="AG195" s="1" t="str">
        <f t="shared" si="61"/>
        <v>NW</v>
      </c>
    </row>
    <row r="196" spans="1:33" x14ac:dyDescent="0.25">
      <c r="A196" s="25" t="s">
        <v>700</v>
      </c>
      <c r="B196" s="99">
        <v>4014</v>
      </c>
      <c r="C196" s="100" t="s">
        <v>248</v>
      </c>
      <c r="D196" s="100" t="s">
        <v>701</v>
      </c>
      <c r="E196" s="101">
        <v>42577.737303240741</v>
      </c>
      <c r="F196" s="101">
        <v>42577.762800925928</v>
      </c>
      <c r="G196" s="99">
        <v>2</v>
      </c>
      <c r="H196" s="101" t="s">
        <v>667</v>
      </c>
      <c r="I196" s="101">
        <v>42577.77484953704</v>
      </c>
      <c r="J196" s="99">
        <v>0</v>
      </c>
      <c r="K196" s="25" t="str">
        <f t="shared" si="67"/>
        <v>4013/4014</v>
      </c>
      <c r="L196" s="25" t="str">
        <f>VLOOKUP(A196,'Trips&amp;Operators'!$C$1:$E$10000,3,FALSE)</f>
        <v>STURGEON</v>
      </c>
      <c r="M196" s="6">
        <f t="shared" si="68"/>
        <v>1.2048611111822538E-2</v>
      </c>
      <c r="N196" s="7">
        <f t="shared" si="51"/>
        <v>17.350000001024455</v>
      </c>
      <c r="O196" s="7"/>
      <c r="P196" s="7"/>
      <c r="Q196" s="26"/>
      <c r="R196" s="26"/>
      <c r="S196" s="41">
        <f t="shared" si="52"/>
        <v>1</v>
      </c>
      <c r="T196" s="60" t="str">
        <f t="shared" si="53"/>
        <v>NorthBound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16:41:43-0600',mode:absolute,to:'2016-07-26 19:35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96" s="65" t="str">
        <f t="shared" si="55"/>
        <v>N</v>
      </c>
      <c r="X196" s="83">
        <f t="shared" si="56"/>
        <v>1</v>
      </c>
      <c r="Y196" s="80">
        <f t="shared" si="72"/>
        <v>0.10059999999999999</v>
      </c>
      <c r="Z196" s="80">
        <f t="shared" si="73"/>
        <v>5.8910999999999998</v>
      </c>
      <c r="AA196" s="80">
        <f t="shared" si="74"/>
        <v>5.7904999999999998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75"/>
        <v>0835-26</v>
      </c>
      <c r="AE196" s="66" t="str">
        <f t="shared" si="69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196" s="66" t="str">
        <f t="shared" si="70"/>
        <v>"C:\Program Files (x86)\AstroGrep\AstroGrep.exe" /spath="C:\Users\stu\Documents\Analysis\2016-02-23 RTDC Observations" /stypes="*4014*20160727*" /stext=" 00:.+((SYSTEM_STATE.+slice.+state.+changed )|(ment ac)|(system.+state.+changed )|(\|lc)|(penalty)|(\[timeout)|(PRM\|1\|D))" /e /r /s</v>
      </c>
      <c r="AG196" s="1" t="str">
        <f t="shared" si="61"/>
        <v>NW</v>
      </c>
    </row>
    <row r="197" spans="1:33" x14ac:dyDescent="0.25">
      <c r="A197" s="25" t="s">
        <v>702</v>
      </c>
      <c r="B197" s="99">
        <v>4013</v>
      </c>
      <c r="C197" s="100" t="s">
        <v>248</v>
      </c>
      <c r="D197" s="100" t="s">
        <v>341</v>
      </c>
      <c r="E197" s="101">
        <v>42577.776307870372</v>
      </c>
      <c r="F197" s="101">
        <v>42577.778263888889</v>
      </c>
      <c r="G197" s="99">
        <v>2</v>
      </c>
      <c r="H197" s="101" t="s">
        <v>253</v>
      </c>
      <c r="I197" s="101">
        <v>42577.790335648147</v>
      </c>
      <c r="J197" s="99">
        <v>0</v>
      </c>
      <c r="K197" s="25" t="str">
        <f t="shared" si="67"/>
        <v>4013/4014</v>
      </c>
      <c r="L197" s="25" t="str">
        <f>VLOOKUP(A197,'Trips&amp;Operators'!$C$1:$E$10000,3,FALSE)</f>
        <v>STURGEON</v>
      </c>
      <c r="M197" s="6">
        <f t="shared" si="68"/>
        <v>1.2071759258105885E-2</v>
      </c>
      <c r="N197" s="7">
        <f t="shared" si="51"/>
        <v>17.383333331672475</v>
      </c>
      <c r="O197" s="7"/>
      <c r="P197" s="7"/>
      <c r="Q197" s="26"/>
      <c r="R197" s="26"/>
      <c r="S197" s="41">
        <f t="shared" si="52"/>
        <v>1</v>
      </c>
      <c r="T197" s="60" t="str">
        <f t="shared" si="53"/>
        <v>Southbound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17:37:53-0600',mode:absolute,to:'2016-07-26 19:58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97" s="65" t="str">
        <f t="shared" si="55"/>
        <v>N</v>
      </c>
      <c r="X197" s="83">
        <f t="shared" si="56"/>
        <v>3</v>
      </c>
      <c r="Y197" s="80">
        <f t="shared" si="72"/>
        <v>5.8604000000000003</v>
      </c>
      <c r="Z197" s="80">
        <f t="shared" si="73"/>
        <v>7.1499999999999994E-2</v>
      </c>
      <c r="AA197" s="80">
        <f t="shared" si="74"/>
        <v>5.7888999999999999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75"/>
        <v>0838-26</v>
      </c>
      <c r="AE197" s="66" t="str">
        <f t="shared" si="69"/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AF197" s="66" t="str">
        <f t="shared" si="70"/>
        <v>"C:\Program Files (x86)\AstroGrep\AstroGrep.exe" /spath="C:\Users\stu\Documents\Analysis\2016-02-23 RTDC Observations" /stypes="*4013*20160727*" /stext=" 00:.+((SYSTEM_STATE.+slice.+state.+changed )|(ment ac)|(system.+state.+changed )|(\|lc)|(penalty)|(\[timeout)|(PRM\|1\|D))" /e /r /s</v>
      </c>
      <c r="AG197" s="1" t="str">
        <f t="shared" si="61"/>
        <v>NW</v>
      </c>
    </row>
    <row r="198" spans="1:33" x14ac:dyDescent="0.25">
      <c r="A198" s="25" t="s">
        <v>447</v>
      </c>
      <c r="B198" s="99">
        <v>4038</v>
      </c>
      <c r="C198" s="100" t="s">
        <v>248</v>
      </c>
      <c r="D198" s="100" t="s">
        <v>703</v>
      </c>
      <c r="E198" s="101">
        <v>42577.775462962964</v>
      </c>
      <c r="F198" s="101">
        <v>42577.776817129627</v>
      </c>
      <c r="G198" s="99">
        <v>1</v>
      </c>
      <c r="H198" s="101" t="s">
        <v>641</v>
      </c>
      <c r="I198" s="101">
        <v>42577.795810185184</v>
      </c>
      <c r="J198" s="99">
        <v>1</v>
      </c>
      <c r="K198" s="25" t="str">
        <f t="shared" si="67"/>
        <v>4037/4038</v>
      </c>
      <c r="L198" s="25" t="str">
        <f>VLOOKUP(A198,'Trips&amp;Operators'!$C$1:$E$10000,3,FALSE)</f>
        <v>BRUDER</v>
      </c>
      <c r="M198" s="6">
        <f t="shared" si="68"/>
        <v>1.8993055557075422E-2</v>
      </c>
      <c r="N198" s="7">
        <f t="shared" si="51"/>
        <v>27.350000002188608</v>
      </c>
      <c r="O198" s="7"/>
      <c r="P198" s="7"/>
      <c r="Q198" s="26"/>
      <c r="R198" s="26"/>
      <c r="S198" s="41">
        <f t="shared" si="52"/>
        <v>1</v>
      </c>
      <c r="T198" s="60" t="str">
        <f t="shared" si="53"/>
        <v>NorthBound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17:36:40-0600',mode:absolute,to:'2016-07-26 20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8" s="65" t="str">
        <f t="shared" si="55"/>
        <v>N</v>
      </c>
      <c r="X198" s="83">
        <f t="shared" si="56"/>
        <v>1</v>
      </c>
      <c r="Y198" s="80">
        <f t="shared" si="72"/>
        <v>9.5699999999999993E-2</v>
      </c>
      <c r="Z198" s="80">
        <f t="shared" si="73"/>
        <v>5.8916000000000004</v>
      </c>
      <c r="AA198" s="80">
        <f t="shared" si="74"/>
        <v>5.7959000000000005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75"/>
        <v>0839-26</v>
      </c>
      <c r="AE198" s="66" t="str">
        <f t="shared" si="69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198" s="66" t="str">
        <f t="shared" si="70"/>
        <v>"C:\Program Files (x86)\AstroGrep\AstroGrep.exe" /spath="C:\Users\stu\Documents\Analysis\2016-02-23 RTDC Observations" /stypes="*4038*20160727*" /stext=" 01:.+((SYSTEM_STATE.+slice.+state.+changed )|(ment ac)|(system.+state.+changed )|(\|lc)|(penalty)|(\[timeout)|(PRM\|1\|D))" /e /r /s</v>
      </c>
      <c r="AG198" s="1" t="str">
        <f t="shared" si="61"/>
        <v>NW</v>
      </c>
    </row>
    <row r="199" spans="1:33" x14ac:dyDescent="0.25">
      <c r="A199" s="25" t="s">
        <v>704</v>
      </c>
      <c r="B199" s="99">
        <v>4037</v>
      </c>
      <c r="C199" s="100" t="s">
        <v>248</v>
      </c>
      <c r="D199" s="100" t="s">
        <v>705</v>
      </c>
      <c r="E199" s="101">
        <v>42577.819340277776</v>
      </c>
      <c r="F199" s="101">
        <v>42577.820289351854</v>
      </c>
      <c r="G199" s="99">
        <v>1</v>
      </c>
      <c r="H199" s="101" t="s">
        <v>336</v>
      </c>
      <c r="I199" s="101">
        <v>42577.831307870372</v>
      </c>
      <c r="J199" s="99">
        <v>0</v>
      </c>
      <c r="K199" s="25" t="str">
        <f t="shared" si="67"/>
        <v>4037/4038</v>
      </c>
      <c r="L199" s="25" t="str">
        <f>VLOOKUP(A199,'Trips&amp;Operators'!$C$1:$E$10000,3,FALSE)</f>
        <v>BRUDER</v>
      </c>
      <c r="M199" s="6">
        <f t="shared" si="68"/>
        <v>1.1018518518540077E-2</v>
      </c>
      <c r="N199" s="7">
        <f t="shared" si="51"/>
        <v>15.866666666697711</v>
      </c>
      <c r="O199" s="7"/>
      <c r="P199" s="7"/>
      <c r="Q199" s="26"/>
      <c r="R199" s="26"/>
      <c r="S199" s="41">
        <f t="shared" si="52"/>
        <v>1</v>
      </c>
      <c r="T199" s="60" t="str">
        <f t="shared" si="53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18:39:51-0600',mode:absolute,to:'2016-07-26 20:57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9" s="65" t="str">
        <f t="shared" si="55"/>
        <v>N</v>
      </c>
      <c r="X199" s="83">
        <f t="shared" si="56"/>
        <v>1</v>
      </c>
      <c r="Y199" s="80">
        <f t="shared" si="72"/>
        <v>5.7331000000000003</v>
      </c>
      <c r="Z199" s="80">
        <f t="shared" si="73"/>
        <v>6.5199999999999994E-2</v>
      </c>
      <c r="AA199" s="80">
        <f t="shared" si="74"/>
        <v>5.6679000000000004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75"/>
        <v>0840-26</v>
      </c>
      <c r="AE199" s="66" t="str">
        <f t="shared" si="69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199" s="66" t="str">
        <f t="shared" si="70"/>
        <v>"C:\Program Files (x86)\AstroGrep\AstroGrep.exe" /spath="C:\Users\stu\Documents\Analysis\2016-02-23 RTDC Observations" /stypes="*4037*20160727*" /stext=" 01:.+((SYSTEM_STATE.+slice.+state.+changed )|(ment ac)|(system.+state.+changed )|(\|lc)|(penalty)|(\[timeout)|(PRM\|1\|D))" /e /r /s</v>
      </c>
      <c r="AG199" s="1" t="str">
        <f t="shared" si="61"/>
        <v>NW</v>
      </c>
    </row>
    <row r="200" spans="1:33" x14ac:dyDescent="0.25">
      <c r="A200" s="25" t="s">
        <v>706</v>
      </c>
      <c r="B200" s="99">
        <v>4037</v>
      </c>
      <c r="C200" s="100" t="s">
        <v>248</v>
      </c>
      <c r="D200" s="100" t="s">
        <v>707</v>
      </c>
      <c r="E200" s="101">
        <v>42577.859259259261</v>
      </c>
      <c r="F200" s="101">
        <v>42577.860196759262</v>
      </c>
      <c r="G200" s="99">
        <v>1</v>
      </c>
      <c r="H200" s="101" t="s">
        <v>708</v>
      </c>
      <c r="I200" s="101">
        <v>42577.871574074074</v>
      </c>
      <c r="J200" s="99">
        <v>0</v>
      </c>
      <c r="K200" s="25" t="str">
        <f t="shared" ref="K200:K207" si="76">IF(ISEVEN(B200),(B200-1)&amp;"/"&amp;B200,B200&amp;"/"&amp;(B200+1))</f>
        <v>4037/4038</v>
      </c>
      <c r="L200" s="25" t="str">
        <f>VLOOKUP(A200,'Trips&amp;Operators'!$C$1:$E$10000,3,FALSE)</f>
        <v>BRUDER</v>
      </c>
      <c r="M200" s="6">
        <f t="shared" ref="M200:M207" si="77">I200-F200</f>
        <v>1.137731481139781E-2</v>
      </c>
      <c r="N200" s="7">
        <f t="shared" si="51"/>
        <v>16.383333328412846</v>
      </c>
      <c r="O200" s="7"/>
      <c r="P200" s="7"/>
      <c r="Q200" s="26"/>
      <c r="R200" s="26"/>
      <c r="S200" s="41">
        <f t="shared" si="52"/>
        <v>1</v>
      </c>
      <c r="T200" s="60" t="str">
        <f t="shared" si="53"/>
        <v>Southbound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19:37:20-0600',mode:absolute,to:'2016-07-26 21:55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0" s="65" t="str">
        <f t="shared" si="55"/>
        <v>N</v>
      </c>
      <c r="X200" s="83">
        <f t="shared" si="56"/>
        <v>2</v>
      </c>
      <c r="Y200" s="80">
        <f t="shared" si="72"/>
        <v>5.8615000000000004</v>
      </c>
      <c r="Z200" s="80">
        <f t="shared" si="73"/>
        <v>6.59E-2</v>
      </c>
      <c r="AA200" s="80">
        <f t="shared" si="74"/>
        <v>5.7956000000000003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75"/>
        <v>0842-26</v>
      </c>
      <c r="AE200" s="66" t="str">
        <f t="shared" ref="AE200:AE207" si="78">"aws s3 cp "&amp;s3_bucket&amp;"/RTDC"&amp;B200&amp;"/"&amp;TEXT(F200,"YYYY-MM-DD")&amp;"/ "&amp;search_path&amp;"\RTDC"&amp;B200&amp;"\"&amp;TEXT(F200,"YYYY-MM-DD")&amp;" --recursive &amp; """&amp;walkandungz&amp;""" "&amp;search_path&amp;"\RTDC"&amp;B200&amp;"\"&amp;TEXT(F200,"YYYY-MM-DD")
&amp;" &amp; "&amp;"aws s3 cp "&amp;s3_bucket&amp;"/RTDC"&amp;B200&amp;"/"&amp;TEXT(F200+1,"YYYY-MM-DD")&amp;"/ "&amp;search_path&amp;"\RTDC"&amp;B200&amp;"\"&amp;TEXT(F200+1,"YYYY-MM-DD")&amp;" --recursive &amp; """&amp;walkandungz&amp;""" "&amp;search_path&amp;"\RTDC"&amp;B200&amp;"\"&amp;TEXT(F200+1,"YYYY-MM-DD")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0" s="66" t="str">
        <f t="shared" ref="AF200:AF207" si="79">astrogrep_path&amp;" /spath="&amp;search_path&amp;" /stypes=""*"&amp;B200&amp;"*"&amp;TEXT(I200-utc_offset/24,"YYYYMMDD")&amp;"*"" /stext="" "&amp;TEXT(I200-utc_offset/24,"HH")&amp;search_regexp&amp;""" /e /r /s"</f>
        <v>"C:\Program Files (x86)\AstroGrep\AstroGrep.exe" /spath="C:\Users\stu\Documents\Analysis\2016-02-23 RTDC Observations" /stypes="*4037*20160727*" /stext=" 02:.+((SYSTEM_STATE.+slice.+state.+changed )|(ment ac)|(system.+state.+changed )|(\|lc)|(penalty)|(\[timeout)|(PRM\|1\|D))" /e /r /s</v>
      </c>
      <c r="AG200" s="1" t="str">
        <f t="shared" si="61"/>
        <v>NW</v>
      </c>
    </row>
    <row r="201" spans="1:33" x14ac:dyDescent="0.25">
      <c r="A201" s="25" t="s">
        <v>709</v>
      </c>
      <c r="B201" s="99">
        <v>4038</v>
      </c>
      <c r="C201" s="100" t="s">
        <v>248</v>
      </c>
      <c r="D201" s="100" t="s">
        <v>344</v>
      </c>
      <c r="E201" s="101">
        <v>42577.843032407407</v>
      </c>
      <c r="F201" s="101">
        <v>42577.843912037039</v>
      </c>
      <c r="G201" s="99">
        <v>1</v>
      </c>
      <c r="H201" s="101" t="s">
        <v>648</v>
      </c>
      <c r="I201" s="101">
        <v>42577.85796296296</v>
      </c>
      <c r="J201" s="99">
        <v>0</v>
      </c>
      <c r="K201" s="25" t="str">
        <f t="shared" si="76"/>
        <v>4037/4038</v>
      </c>
      <c r="L201" s="25" t="str">
        <f>VLOOKUP(A201,'Trips&amp;Operators'!$C$1:$E$10000,3,FALSE)</f>
        <v>BRUDER</v>
      </c>
      <c r="M201" s="6">
        <f t="shared" si="77"/>
        <v>1.4050925921765156E-2</v>
      </c>
      <c r="N201" s="7">
        <f t="shared" si="51"/>
        <v>20.233333327341825</v>
      </c>
      <c r="O201" s="7"/>
      <c r="P201" s="7"/>
      <c r="Q201" s="26"/>
      <c r="R201" s="26"/>
      <c r="S201" s="41">
        <f t="shared" si="52"/>
        <v>1</v>
      </c>
      <c r="T201" s="60" t="str">
        <f t="shared" si="53"/>
        <v>NorthBound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19:13:58-0600',mode:absolute,to:'2016-07-26 21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1" s="65" t="str">
        <f t="shared" si="55"/>
        <v>N</v>
      </c>
      <c r="X201" s="83">
        <f t="shared" si="56"/>
        <v>1</v>
      </c>
      <c r="Y201" s="80">
        <f t="shared" si="72"/>
        <v>9.5500000000000002E-2</v>
      </c>
      <c r="Z201" s="80">
        <f t="shared" si="73"/>
        <v>5.8924000000000003</v>
      </c>
      <c r="AA201" s="80">
        <f t="shared" si="74"/>
        <v>5.7968999999999999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75"/>
        <v>0843-26</v>
      </c>
      <c r="AE201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1" s="66" t="str">
        <f t="shared" si="79"/>
        <v>"C:\Program Files (x86)\AstroGrep\AstroGrep.exe" /spath="C:\Users\stu\Documents\Analysis\2016-02-23 RTDC Observations" /stypes="*4038*20160727*" /stext=" 02:.+((SYSTEM_STATE.+slice.+state.+changed )|(ment ac)|(system.+state.+changed )|(\|lc)|(penalty)|(\[timeout)|(PRM\|1\|D))" /e /r /s</v>
      </c>
      <c r="AG201" s="1" t="str">
        <f t="shared" si="61"/>
        <v>NW</v>
      </c>
    </row>
    <row r="202" spans="1:33" x14ac:dyDescent="0.25">
      <c r="A202" s="25" t="s">
        <v>710</v>
      </c>
      <c r="B202" s="99">
        <v>4037</v>
      </c>
      <c r="C202" s="100" t="s">
        <v>248</v>
      </c>
      <c r="D202" s="100" t="s">
        <v>261</v>
      </c>
      <c r="E202" s="101">
        <v>42577.902557870373</v>
      </c>
      <c r="F202" s="101">
        <v>42577.903807870367</v>
      </c>
      <c r="G202" s="99">
        <v>1</v>
      </c>
      <c r="H202" s="101" t="s">
        <v>711</v>
      </c>
      <c r="I202" s="101">
        <v>42577.915173611109</v>
      </c>
      <c r="J202" s="99">
        <v>0</v>
      </c>
      <c r="K202" s="25" t="str">
        <f t="shared" si="76"/>
        <v>4037/4038</v>
      </c>
      <c r="L202" s="25" t="str">
        <f>VLOOKUP(A202,'Trips&amp;Operators'!$C$1:$E$10000,3,FALSE)</f>
        <v>STURGEON</v>
      </c>
      <c r="M202" s="6">
        <f t="shared" si="77"/>
        <v>1.1365740741894115E-2</v>
      </c>
      <c r="N202" s="7">
        <f t="shared" si="51"/>
        <v>16.366666668327525</v>
      </c>
      <c r="O202" s="7"/>
      <c r="P202" s="7"/>
      <c r="Q202" s="26"/>
      <c r="R202" s="26"/>
      <c r="S202" s="41">
        <f t="shared" si="52"/>
        <v>1</v>
      </c>
      <c r="T202" s="60" t="str">
        <f t="shared" si="53"/>
        <v>Southbound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20:39:41-0600',mode:absolute,to:'2016-07-26 22:57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2" s="65" t="str">
        <f t="shared" si="55"/>
        <v>N</v>
      </c>
      <c r="X202" s="83">
        <f t="shared" si="56"/>
        <v>1</v>
      </c>
      <c r="Y202" s="80">
        <f t="shared" si="72"/>
        <v>5.86</v>
      </c>
      <c r="Z202" s="80">
        <f t="shared" si="73"/>
        <v>7.3800000000000004E-2</v>
      </c>
      <c r="AA202" s="80">
        <f t="shared" si="74"/>
        <v>5.7862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75"/>
        <v>0844-26</v>
      </c>
      <c r="AE202" s="66" t="str">
        <f t="shared" si="78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2" s="66" t="str">
        <f t="shared" si="79"/>
        <v>"C:\Program Files (x86)\AstroGrep\AstroGrep.exe" /spath="C:\Users\stu\Documents\Analysis\2016-02-23 RTDC Observations" /stypes="*4037*20160727*" /stext=" 03:.+((SYSTEM_STATE.+slice.+state.+changed )|(ment ac)|(system.+state.+changed )|(\|lc)|(penalty)|(\[timeout)|(PRM\|1\|D))" /e /r /s</v>
      </c>
      <c r="AG202" s="1" t="str">
        <f t="shared" si="61"/>
        <v>NW</v>
      </c>
    </row>
    <row r="203" spans="1:33" x14ac:dyDescent="0.25">
      <c r="A203" s="25" t="s">
        <v>712</v>
      </c>
      <c r="B203" s="99">
        <v>4038</v>
      </c>
      <c r="C203" s="100" t="s">
        <v>248</v>
      </c>
      <c r="D203" s="100" t="s">
        <v>683</v>
      </c>
      <c r="E203" s="101">
        <v>42577.877581018518</v>
      </c>
      <c r="F203" s="101">
        <v>42577.878657407404</v>
      </c>
      <c r="G203" s="99">
        <v>1</v>
      </c>
      <c r="H203" s="101" t="s">
        <v>713</v>
      </c>
      <c r="I203" s="101">
        <v>42577.901678240742</v>
      </c>
      <c r="J203" s="99">
        <v>0</v>
      </c>
      <c r="K203" s="25" t="str">
        <f t="shared" si="76"/>
        <v>4037/4038</v>
      </c>
      <c r="L203" s="25" t="str">
        <f>VLOOKUP(A203,'Trips&amp;Operators'!$C$1:$E$10000,3,FALSE)</f>
        <v>STURGEON</v>
      </c>
      <c r="M203" s="6">
        <f t="shared" si="77"/>
        <v>2.3020833337795921E-2</v>
      </c>
      <c r="N203" s="7">
        <f t="shared" si="51"/>
        <v>33.150000006426126</v>
      </c>
      <c r="O203" s="7"/>
      <c r="P203" s="7"/>
      <c r="Q203" s="26"/>
      <c r="R203" s="26"/>
      <c r="S203" s="41">
        <f t="shared" si="52"/>
        <v>1</v>
      </c>
      <c r="T203" s="60" t="str">
        <f t="shared" si="53"/>
        <v>NorthBound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20:03:43-0600',mode:absolute,to:'2016-07-26 22:38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3" s="65" t="str">
        <f t="shared" si="55"/>
        <v>N</v>
      </c>
      <c r="X203" s="83">
        <f t="shared" si="56"/>
        <v>1</v>
      </c>
      <c r="Y203" s="80">
        <f t="shared" si="72"/>
        <v>9.5799999999999996E-2</v>
      </c>
      <c r="Z203" s="80">
        <f t="shared" si="73"/>
        <v>5.8912000000000004</v>
      </c>
      <c r="AA203" s="80">
        <f t="shared" si="74"/>
        <v>5.7954000000000008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75"/>
        <v>0845-26</v>
      </c>
      <c r="AE203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3" s="66" t="str">
        <f t="shared" si="79"/>
        <v>"C:\Program Files (x86)\AstroGrep\AstroGrep.exe" /spath="C:\Users\stu\Documents\Analysis\2016-02-23 RTDC Observations" /stypes="*4038*20160727*" /stext=" 03:.+((SYSTEM_STATE.+slice.+state.+changed )|(ment ac)|(system.+state.+changed )|(\|lc)|(penalty)|(\[timeout)|(PRM\|1\|D))" /e /r /s</v>
      </c>
      <c r="AG203" s="1" t="str">
        <f t="shared" si="61"/>
        <v>NW</v>
      </c>
    </row>
    <row r="204" spans="1:33" x14ac:dyDescent="0.25">
      <c r="A204" s="25" t="s">
        <v>714</v>
      </c>
      <c r="B204" s="99">
        <v>4038</v>
      </c>
      <c r="C204" s="100" t="s">
        <v>248</v>
      </c>
      <c r="D204" s="100" t="s">
        <v>715</v>
      </c>
      <c r="E204" s="101">
        <v>42577.9216087963</v>
      </c>
      <c r="F204" s="101">
        <v>42577.922384259262</v>
      </c>
      <c r="G204" s="99">
        <v>1</v>
      </c>
      <c r="H204" s="101" t="s">
        <v>641</v>
      </c>
      <c r="I204" s="101">
        <v>42577.943240740744</v>
      </c>
      <c r="J204" s="99">
        <v>0</v>
      </c>
      <c r="K204" s="25" t="str">
        <f t="shared" si="76"/>
        <v>4037/4038</v>
      </c>
      <c r="L204" s="25" t="str">
        <f>VLOOKUP(A204,'Trips&amp;Operators'!$C$1:$E$10000,3,FALSE)</f>
        <v>STURGEON</v>
      </c>
      <c r="M204" s="6">
        <f t="shared" si="77"/>
        <v>2.0856481482042E-2</v>
      </c>
      <c r="N204" s="7">
        <f t="shared" si="51"/>
        <v>30.03333333414048</v>
      </c>
      <c r="O204" s="7"/>
      <c r="P204" s="7"/>
      <c r="Q204" s="26"/>
      <c r="R204" s="26"/>
      <c r="S204" s="41">
        <f t="shared" si="52"/>
        <v>1</v>
      </c>
      <c r="T204" s="60" t="str">
        <f t="shared" si="53"/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21:07:07-0600',mode:absolute,to:'2016-07-26 23:38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4" s="65" t="str">
        <f t="shared" si="55"/>
        <v>N</v>
      </c>
      <c r="X204" s="83">
        <f t="shared" si="56"/>
        <v>2</v>
      </c>
      <c r="Y204" s="80">
        <f t="shared" si="72"/>
        <v>9.9500000000000005E-2</v>
      </c>
      <c r="Z204" s="80">
        <f t="shared" si="73"/>
        <v>5.8916000000000004</v>
      </c>
      <c r="AA204" s="80">
        <f t="shared" si="74"/>
        <v>5.7921000000000005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75"/>
        <v>0847-26</v>
      </c>
      <c r="AE204" s="66" t="str">
        <f t="shared" si="78"/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AF204" s="66" t="str">
        <f t="shared" si="79"/>
        <v>"C:\Program Files (x86)\AstroGrep\AstroGrep.exe" /spath="C:\Users\stu\Documents\Analysis\2016-02-23 RTDC Observations" /stypes="*4038*20160727*" /stext=" 04:.+((SYSTEM_STATE.+slice.+state.+changed )|(ment ac)|(system.+state.+changed )|(\|lc)|(penalty)|(\[timeout)|(PRM\|1\|D))" /e /r /s</v>
      </c>
      <c r="AG204" s="1" t="str">
        <f t="shared" si="61"/>
        <v>NW</v>
      </c>
    </row>
    <row r="205" spans="1:33" x14ac:dyDescent="0.25">
      <c r="A205" s="25" t="s">
        <v>716</v>
      </c>
      <c r="B205" s="99">
        <v>4014</v>
      </c>
      <c r="C205" s="100" t="s">
        <v>248</v>
      </c>
      <c r="D205" s="100" t="s">
        <v>640</v>
      </c>
      <c r="E205" s="101">
        <v>42577.358680555553</v>
      </c>
      <c r="F205" s="101">
        <v>42577.359652777777</v>
      </c>
      <c r="G205" s="99">
        <v>1</v>
      </c>
      <c r="H205" s="101" t="s">
        <v>717</v>
      </c>
      <c r="I205" s="101">
        <v>42577.367511574077</v>
      </c>
      <c r="J205" s="99">
        <v>0</v>
      </c>
      <c r="K205" s="25" t="str">
        <f t="shared" si="76"/>
        <v>4013/4014</v>
      </c>
      <c r="L205" s="25" t="str">
        <f>VLOOKUP(A205,'Trips&amp;Operators'!$C$1:$E$10000,3,FALSE)</f>
        <v>STARKS</v>
      </c>
      <c r="M205" s="6">
        <f t="shared" si="77"/>
        <v>7.8587962998426519E-3</v>
      </c>
      <c r="N205" s="7">
        <f t="shared" ref="N205:N207" si="80">24*60*SUM($M205:$M205)</f>
        <v>11.316666671773419</v>
      </c>
      <c r="O205" s="7"/>
      <c r="P205" s="7"/>
      <c r="Q205" s="26"/>
      <c r="R205" s="26"/>
      <c r="S205" s="41">
        <f t="shared" ref="S205:S207" si="81">SUM(U205:U205)/IF(AG205="EC",12,1)</f>
        <v>1</v>
      </c>
      <c r="T205" s="60" t="str">
        <f t="shared" ref="T205:T207" si="82">IF(ISEVEN(LEFT(A205,3)),"Southbound","NorthBound")</f>
        <v>NorthBound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07:36:30-0600',mode:absolute,to:'2016-07-26 09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5" s="65" t="str">
        <f t="shared" si="55"/>
        <v>Y</v>
      </c>
      <c r="X205" s="83">
        <f t="shared" ref="X205:X207" si="83">VALUE(LEFT(A205,3))-VALUE(LEFT(A204,3))</f>
        <v>56</v>
      </c>
      <c r="Y205" s="80">
        <f t="shared" si="72"/>
        <v>0.1048</v>
      </c>
      <c r="Z205" s="80">
        <f t="shared" si="73"/>
        <v>2.4083000000000001</v>
      </c>
      <c r="AA205" s="80">
        <f t="shared" si="74"/>
        <v>2.3035000000000001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75"/>
        <v>0903-26</v>
      </c>
      <c r="AE205" s="66" t="str">
        <f t="shared" si="78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205" s="66" t="str">
        <f t="shared" si="79"/>
        <v>"C:\Program Files (x86)\AstroGrep\AstroGrep.exe" /spath="C:\Users\stu\Documents\Analysis\2016-02-23 RTDC Observations" /stypes="*4014*20160726*" /stext=" 14:.+((SYSTEM_STATE.+slice.+state.+changed )|(ment ac)|(system.+state.+changed )|(\|lc)|(penalty)|(\[timeout)|(PRM\|1\|D))" /e /r /s</v>
      </c>
      <c r="AG205" s="1" t="str">
        <f t="shared" si="61"/>
        <v>GL</v>
      </c>
    </row>
    <row r="206" spans="1:33" x14ac:dyDescent="0.25">
      <c r="A206" s="25" t="s">
        <v>718</v>
      </c>
      <c r="B206" s="99">
        <v>4014</v>
      </c>
      <c r="C206" s="100" t="s">
        <v>248</v>
      </c>
      <c r="D206" s="100" t="s">
        <v>719</v>
      </c>
      <c r="E206" s="101">
        <v>42577.793877314813</v>
      </c>
      <c r="F206" s="101">
        <v>42577.794849537036</v>
      </c>
      <c r="G206" s="99">
        <v>1</v>
      </c>
      <c r="H206" s="101" t="s">
        <v>720</v>
      </c>
      <c r="I206" s="101">
        <v>42577.803726851853</v>
      </c>
      <c r="J206" s="99">
        <v>0</v>
      </c>
      <c r="K206" s="25" t="str">
        <f t="shared" si="76"/>
        <v>4013/4014</v>
      </c>
      <c r="L206" s="25" t="str">
        <f>VLOOKUP(A206,'Trips&amp;Operators'!$C$1:$E$10000,3,FALSE)</f>
        <v>STURGEON</v>
      </c>
      <c r="M206" s="6">
        <f t="shared" si="77"/>
        <v>8.8773148163454607E-3</v>
      </c>
      <c r="N206" s="7">
        <f t="shared" si="80"/>
        <v>12.783333335537463</v>
      </c>
      <c r="O206" s="7"/>
      <c r="P206" s="7"/>
      <c r="Q206" s="26"/>
      <c r="R206" s="26"/>
      <c r="S206" s="41">
        <f t="shared" si="81"/>
        <v>0</v>
      </c>
      <c r="T206" s="60" t="str">
        <f t="shared" si="82"/>
        <v>Southbound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0</v>
      </c>
      <c r="V206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18:03:11-0600',mode:absolute,to:'2016-07-26 20:17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06" s="65" t="str">
        <f t="shared" ref="W206:W207" si="84">IF(AA206&lt;IF(AG206="EC",23,5.65),"Y","N")</f>
        <v>Y</v>
      </c>
      <c r="X206" s="83">
        <f t="shared" si="83"/>
        <v>3</v>
      </c>
      <c r="Y206" s="80">
        <f t="shared" si="72"/>
        <v>0.1007</v>
      </c>
      <c r="Z206" s="80">
        <f t="shared" si="73"/>
        <v>2.2703000000000002</v>
      </c>
      <c r="AA206" s="80">
        <f t="shared" si="74"/>
        <v>2.1696000000000004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75"/>
        <v>0906-26</v>
      </c>
      <c r="AE206" s="66" t="str">
        <f t="shared" si="78"/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AF206" s="66" t="str">
        <f t="shared" si="79"/>
        <v>"C:\Program Files (x86)\AstroGrep\AstroGrep.exe" /spath="C:\Users\stu\Documents\Analysis\2016-02-23 RTDC Observations" /stypes="*4014*20160727*" /stext=" 01:.+((SYSTEM_STATE.+slice.+state.+changed )|(ment ac)|(system.+state.+changed )|(\|lc)|(penalty)|(\[timeout)|(PRM\|1\|D))" /e /r /s</v>
      </c>
      <c r="AG206" s="1" t="str">
        <f t="shared" ref="AG206:AG207" si="85">IF(VALUE(LEFT(AD206,2))&lt;=2,"EC",IF(VALUE(LEFT(AD206,2))=8,"NW","GL"))</f>
        <v>GL</v>
      </c>
    </row>
    <row r="207" spans="1:33" x14ac:dyDescent="0.25">
      <c r="A207" s="25" t="s">
        <v>721</v>
      </c>
      <c r="B207" s="99">
        <v>4037</v>
      </c>
      <c r="C207" s="100" t="s">
        <v>248</v>
      </c>
      <c r="D207" s="100" t="s">
        <v>261</v>
      </c>
      <c r="E207" s="101">
        <v>42577.94425925926</v>
      </c>
      <c r="F207" s="101">
        <v>42577.945069444446</v>
      </c>
      <c r="G207" s="99">
        <v>1</v>
      </c>
      <c r="H207" s="101" t="s">
        <v>722</v>
      </c>
      <c r="I207" s="101">
        <v>42577.951145833336</v>
      </c>
      <c r="J207" s="99">
        <v>0</v>
      </c>
      <c r="K207" s="25" t="str">
        <f t="shared" si="76"/>
        <v>4037/4038</v>
      </c>
      <c r="L207" s="25" t="str">
        <f>VLOOKUP(A207,'Trips&amp;Operators'!$C$1:$E$10000,3,FALSE)</f>
        <v>STURGEON</v>
      </c>
      <c r="M207" s="6">
        <f t="shared" si="77"/>
        <v>6.0763888905057684E-3</v>
      </c>
      <c r="N207" s="7">
        <f t="shared" si="80"/>
        <v>8.7500000023283064</v>
      </c>
      <c r="O207" s="7"/>
      <c r="P207" s="7"/>
      <c r="Q207" s="26"/>
      <c r="R207" s="26"/>
      <c r="S207" s="41">
        <f t="shared" si="81"/>
        <v>0</v>
      </c>
      <c r="T207" s="60" t="str">
        <f t="shared" si="82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0</v>
      </c>
      <c r="V207" s="65" t="str">
        <f t="shared" si="71"/>
        <v>https://search-rtdc-monitor-bjffxe2xuh6vdkpspy63sjmuny.us-east-1.es.amazonaws.com/_plugin/kibana/#/discover/Steve-Slow-Train-Analysis-(2080s-and-2083s)?_g=(refreshInterval:(display:Off,section:0,value:0),time:(from:'2016-07-26 21:39:44-0600',mode:absolute,to:'2016-07-26 23:49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7" s="65" t="str">
        <f t="shared" si="84"/>
        <v>Y</v>
      </c>
      <c r="X207" s="83">
        <f t="shared" si="83"/>
        <v>2</v>
      </c>
      <c r="Y207" s="80">
        <f t="shared" si="72"/>
        <v>5.86</v>
      </c>
      <c r="Z207" s="80">
        <f t="shared" si="73"/>
        <v>2.1720999999999999</v>
      </c>
      <c r="AA207" s="80">
        <f t="shared" si="74"/>
        <v>3.6879000000000004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75"/>
        <v>0908-26</v>
      </c>
      <c r="AE207" s="66" t="str">
        <f t="shared" si="78"/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AF207" s="66" t="str">
        <f t="shared" si="79"/>
        <v>"C:\Program Files (x86)\AstroGrep\AstroGrep.exe" /spath="C:\Users\stu\Documents\Analysis\2016-02-23 RTDC Observations" /stypes="*4037*20160727*" /stext=" 04:.+((SYSTEM_STATE.+slice.+state.+changed )|(ment ac)|(system.+state.+changed )|(\|lc)|(penalty)|(\[timeout)|(PRM\|1\|D))" /e /r /s</v>
      </c>
      <c r="AG207" s="1" t="str">
        <f t="shared" si="85"/>
        <v>GL</v>
      </c>
    </row>
  </sheetData>
  <autoFilter ref="A12:AG207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8" priority="76" operator="equal">
      <formula>"Y"</formula>
    </cfRule>
  </conditionalFormatting>
  <conditionalFormatting sqref="X13:X1048576">
    <cfRule type="cellIs" dxfId="7" priority="59" operator="greaterThan">
      <formula>1</formula>
    </cfRule>
  </conditionalFormatting>
  <conditionalFormatting sqref="X12:X1048576">
    <cfRule type="cellIs" dxfId="6" priority="56" operator="equal">
      <formula>0</formula>
    </cfRule>
  </conditionalFormatting>
  <conditionalFormatting sqref="A13:S207">
    <cfRule type="expression" dxfId="5" priority="52">
      <formula>$O13&gt;0</formula>
    </cfRule>
  </conditionalFormatting>
  <conditionalFormatting sqref="A13:S207">
    <cfRule type="expression" dxfId="4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A13:S207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34" workbookViewId="0">
      <selection activeCell="U13" sqref="U1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17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COUNTIF($M$7:$M$559,"=Y")</f>
        <v>2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COUNTA($M$7:$M$559)-M2</f>
        <v>58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6" t="str">
        <f>"Eagle P3 Braking Events - "&amp;TEXT(Variables!$A$2,"YYYY-mm-dd")</f>
        <v>Eagle P3 Braking Events - 2016-07-26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126</v>
      </c>
      <c r="Q6" s="95" t="s">
        <v>66</v>
      </c>
      <c r="R6" s="96" t="s">
        <v>125</v>
      </c>
      <c r="S6" s="93" t="s">
        <v>120</v>
      </c>
      <c r="T6" s="97" t="s">
        <v>121</v>
      </c>
      <c r="U6" s="60" t="s">
        <v>137</v>
      </c>
      <c r="V6" s="60" t="s">
        <v>146</v>
      </c>
    </row>
    <row r="7" spans="1:22" s="1" customFormat="1" x14ac:dyDescent="0.25">
      <c r="A7" s="44">
        <v>42577.248495370368</v>
      </c>
      <c r="B7" s="56" t="s">
        <v>152</v>
      </c>
      <c r="C7" s="37" t="s">
        <v>386</v>
      </c>
      <c r="D7" s="37" t="s">
        <v>147</v>
      </c>
      <c r="E7" s="56" t="s">
        <v>133</v>
      </c>
      <c r="F7" s="57">
        <v>0</v>
      </c>
      <c r="G7" s="57">
        <v>237</v>
      </c>
      <c r="H7" s="57">
        <v>33252</v>
      </c>
      <c r="I7" s="56" t="s">
        <v>134</v>
      </c>
      <c r="J7" s="57">
        <v>33257</v>
      </c>
      <c r="K7" s="37" t="s">
        <v>53</v>
      </c>
      <c r="L7" s="84" t="str">
        <f>VLOOKUP(C7,'Trips&amp;Operators'!$C$1:$E$9999,3,0)</f>
        <v>SPECTOR</v>
      </c>
      <c r="M7" s="9" t="s">
        <v>97</v>
      </c>
      <c r="N7" s="10" t="s">
        <v>288</v>
      </c>
      <c r="O7" s="37"/>
      <c r="P7" s="63" t="str">
        <f>VLOOKUP(C7,'Train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7" s="61" t="str">
        <f>VLOOKUP(C7,'Train Runs'!$A$13:$AE$810,22,0)</f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/stypes="*4041*201607261*" /stext=" 11:.+((SYSTEM_STATE.+slice.+state.+changed )|(ment ac)|(system.+state.+changed )|(\|lc)|(penalty)|(\[timeout)|(PRM\|1\|D))" /e /r /s</v>
      </c>
      <c r="S7" s="9" t="str">
        <f t="shared" ref="S7:S38" si="1">MID(B7,13,4)</f>
        <v>4041</v>
      </c>
      <c r="T7" s="44">
        <f t="shared" ref="T7:T38" si="2">A7+6/24</f>
        <v>42577.498495370368</v>
      </c>
      <c r="U7" s="60" t="str">
        <f>IF(VALUE(LEFT(IF(LEN(C7)=6,"0"&amp;C7,C7),2))&lt;=2,"EC",IF(VALUE(LEFT(IF(LEN(C7)=6,"0"&amp;C7,C7),2))=8,"NW","GL"))</f>
        <v>EC</v>
      </c>
      <c r="V7" s="60" t="str">
        <f t="shared" ref="V7:V38" si="3">IF(AND(E7="TRACK WARRANT AUTHORITY",G7&lt;10),"OMIT","KEEP")</f>
        <v>KEEP</v>
      </c>
    </row>
    <row r="8" spans="1:22" s="1" customFormat="1" x14ac:dyDescent="0.25">
      <c r="A8" s="44">
        <v>42577.688530092593</v>
      </c>
      <c r="B8" s="56" t="s">
        <v>152</v>
      </c>
      <c r="C8" s="37" t="s">
        <v>440</v>
      </c>
      <c r="D8" s="37" t="s">
        <v>147</v>
      </c>
      <c r="E8" s="56" t="s">
        <v>133</v>
      </c>
      <c r="F8" s="57">
        <v>0</v>
      </c>
      <c r="G8" s="57">
        <v>228</v>
      </c>
      <c r="H8" s="57">
        <v>33239</v>
      </c>
      <c r="I8" s="56" t="s">
        <v>134</v>
      </c>
      <c r="J8" s="57">
        <v>33257</v>
      </c>
      <c r="K8" s="37" t="s">
        <v>53</v>
      </c>
      <c r="L8" s="84" t="str">
        <f>VLOOKUP(C8,'Trips&amp;Operators'!$C$1:$E$9999,3,0)</f>
        <v>LOCKLEAR</v>
      </c>
      <c r="M8" s="9" t="s">
        <v>97</v>
      </c>
      <c r="N8" s="10" t="s">
        <v>288</v>
      </c>
      <c r="O8" s="37"/>
      <c r="P8" s="63" t="str">
        <f>VLOOKUP(C8,'Train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8" s="61" t="str">
        <f>VLOOKUP(C8,'Train Runs'!$A$13:$AE$810,22,0)</f>
        <v>https://search-rtdc-monitor-bjffxe2xuh6vdkpspy63sjmuny.us-east-1.es.amazonaws.com/_plugin/kibana/#/discover/Steve-Slow-Train-Analysis-(2080s-and-2083s)?_g=(refreshInterval:(display:Off,section:0,value:0),time:(from:'2016-07-26 15:14:22-0600',mode:absolute,to:'2016-07-26 17:40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8" s="62" t="str">
        <f t="shared" si="0"/>
        <v>"C:\Program Files (x86)\AstroGrep\AstroGrep.exe" /spath="C:\Users\stu\Documents\Analysis\2016-02-23 RTDC Observations" /stypes="*4041*201607262*" /stext=" 22:.+((SYSTEM_STATE.+slice.+state.+changed )|(ment ac)|(system.+state.+changed )|(\|lc)|(penalty)|(\[timeout)|(PRM\|1\|D))" /e /r /s</v>
      </c>
      <c r="S8" s="9" t="str">
        <f t="shared" si="1"/>
        <v>4041</v>
      </c>
      <c r="T8" s="44">
        <f t="shared" si="2"/>
        <v>42577.938530092593</v>
      </c>
      <c r="U8" s="60" t="str">
        <f t="shared" ref="U8:U66" si="4">IF(VALUE(LEFT(IF(LEN(C8)=6,"0"&amp;C8,C8),2))&lt;=2,"EC",IF(VALUE(LEFT(IF(LEN(C8)=6,"0"&amp;C8,C8),2))=8,"NW","GL"))</f>
        <v>EC</v>
      </c>
      <c r="V8" s="60" t="str">
        <f t="shared" si="3"/>
        <v>KEEP</v>
      </c>
    </row>
    <row r="9" spans="1:22" s="1" customFormat="1" x14ac:dyDescent="0.25">
      <c r="A9" s="44">
        <v>42577.612060185187</v>
      </c>
      <c r="B9" s="56" t="s">
        <v>152</v>
      </c>
      <c r="C9" s="37" t="s">
        <v>435</v>
      </c>
      <c r="D9" s="37" t="s">
        <v>49</v>
      </c>
      <c r="E9" s="56" t="s">
        <v>133</v>
      </c>
      <c r="F9" s="57">
        <v>0</v>
      </c>
      <c r="G9" s="57">
        <v>464</v>
      </c>
      <c r="H9" s="57">
        <v>38856</v>
      </c>
      <c r="I9" s="56" t="s">
        <v>134</v>
      </c>
      <c r="J9" s="57">
        <v>37462</v>
      </c>
      <c r="K9" s="37" t="s">
        <v>53</v>
      </c>
      <c r="L9" s="84" t="str">
        <f>VLOOKUP(C9,'Trips&amp;Operators'!$C$1:$E$9999,3,0)</f>
        <v>LOCKLEAR</v>
      </c>
      <c r="M9" s="9" t="s">
        <v>97</v>
      </c>
      <c r="N9" s="10" t="s">
        <v>288</v>
      </c>
      <c r="O9" s="37"/>
      <c r="P9" s="63" t="str">
        <f>VLOOKUP(C9,'Train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9" s="61" t="str">
        <f>VLOOKUP(C9,'Train Runs'!$A$13:$AE$810,22,0)</f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9" s="62" t="str">
        <f t="shared" si="0"/>
        <v>"C:\Program Files (x86)\AstroGrep\AstroGrep.exe" /spath="C:\Users\stu\Documents\Analysis\2016-02-23 RTDC Observations" /stypes="*4041*201607262*" /stext=" 20:.+((SYSTEM_STATE.+slice.+state.+changed )|(ment ac)|(system.+state.+changed )|(\|lc)|(penalty)|(\[timeout)|(PRM\|1\|D))" /e /r /s</v>
      </c>
      <c r="S9" s="9" t="str">
        <f t="shared" si="1"/>
        <v>4041</v>
      </c>
      <c r="T9" s="44">
        <f t="shared" si="2"/>
        <v>42577.862060185187</v>
      </c>
      <c r="U9" s="60" t="str">
        <f t="shared" si="4"/>
        <v>EC</v>
      </c>
      <c r="V9" s="60" t="str">
        <f t="shared" si="3"/>
        <v>KEEP</v>
      </c>
    </row>
    <row r="10" spans="1:22" s="1" customFormat="1" x14ac:dyDescent="0.25">
      <c r="A10" s="44">
        <v>42577.379780092589</v>
      </c>
      <c r="B10" s="56" t="s">
        <v>103</v>
      </c>
      <c r="C10" s="37" t="s">
        <v>418</v>
      </c>
      <c r="D10" s="37" t="s">
        <v>49</v>
      </c>
      <c r="E10" s="56" t="s">
        <v>133</v>
      </c>
      <c r="F10" s="57">
        <v>190</v>
      </c>
      <c r="G10" s="57">
        <v>241</v>
      </c>
      <c r="H10" s="57">
        <v>63468</v>
      </c>
      <c r="I10" s="56" t="s">
        <v>134</v>
      </c>
      <c r="J10" s="57">
        <v>63309</v>
      </c>
      <c r="K10" s="37" t="s">
        <v>53</v>
      </c>
      <c r="L10" s="84" t="str">
        <f>VLOOKUP(C10,'Trips&amp;Operators'!$C$1:$E$9999,3,0)</f>
        <v>DAVIS</v>
      </c>
      <c r="M10" s="9" t="s">
        <v>97</v>
      </c>
      <c r="N10" s="10" t="s">
        <v>288</v>
      </c>
      <c r="O10" s="37"/>
      <c r="P10" s="63" t="str">
        <f>VLOOKUP(C10,'Train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10" s="61" t="str">
        <f>VLOOKUP(C10,'Train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07:39:45-0600',mode:absolute,to:'2016-07-26 10:21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0" s="62" t="str">
        <f t="shared" si="0"/>
        <v>"C:\Program Files (x86)\AstroGrep\AstroGrep.exe" /spath="C:\Users\stu\Documents\Analysis\2016-02-23 RTDC Observations" /stypes="*4026*201607261*" /stext=" 15:.+((SYSTEM_STATE.+slice.+state.+changed )|(ment ac)|(system.+state.+changed )|(\|lc)|(penalty)|(\[timeout)|(PRM\|1\|D))" /e /r /s</v>
      </c>
      <c r="S10" s="9" t="str">
        <f t="shared" si="1"/>
        <v>4026</v>
      </c>
      <c r="T10" s="44">
        <f t="shared" si="2"/>
        <v>42577.629780092589</v>
      </c>
      <c r="U10" s="60" t="str">
        <f t="shared" si="4"/>
        <v>EC</v>
      </c>
      <c r="V10" s="60" t="str">
        <f t="shared" si="3"/>
        <v>KEEP</v>
      </c>
    </row>
    <row r="11" spans="1:22" s="1" customFormat="1" x14ac:dyDescent="0.25">
      <c r="A11" s="44">
        <v>42577.577349537038</v>
      </c>
      <c r="B11" s="56" t="s">
        <v>67</v>
      </c>
      <c r="C11" s="37" t="s">
        <v>432</v>
      </c>
      <c r="D11" s="37" t="s">
        <v>49</v>
      </c>
      <c r="E11" s="56" t="s">
        <v>133</v>
      </c>
      <c r="F11" s="57">
        <v>190</v>
      </c>
      <c r="G11" s="57">
        <v>259</v>
      </c>
      <c r="H11" s="57">
        <v>63402</v>
      </c>
      <c r="I11" s="56" t="s">
        <v>134</v>
      </c>
      <c r="J11" s="57">
        <v>63309</v>
      </c>
      <c r="K11" s="37" t="s">
        <v>53</v>
      </c>
      <c r="L11" s="84" t="str">
        <f>VLOOKUP(C11,'Trips&amp;Operators'!$C$1:$E$9999,3,0)</f>
        <v>WEBSTER</v>
      </c>
      <c r="M11" s="9" t="s">
        <v>97</v>
      </c>
      <c r="N11" s="10" t="s">
        <v>288</v>
      </c>
      <c r="O11" s="37"/>
      <c r="P11" s="63" t="str">
        <f>VLOOKUP(C11,'Train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1" s="61" t="str">
        <f>VLOOKUP(C11,'Train Runs'!$A$13:$AE$810,22,0)</f>
        <v>https://search-rtdc-monitor-bjffxe2xuh6vdkpspy63sjmuny.us-east-1.es.amazonaws.com/_plugin/kibana/#/discover/Steve-Slow-Train-Analysis-(2080s-and-2083s)?_g=(refreshInterval:(display:Off,section:0,value:0),time:(from:'2016-07-26 12:20:42-0600',mode:absolute,to:'2016-07-26 15:05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1" s="62" t="str">
        <f t="shared" si="0"/>
        <v>"C:\Program Files (x86)\AstroGrep\AstroGrep.exe" /spath="C:\Users\stu\Documents\Analysis\2016-02-23 RTDC Observations" /stypes="*4019*201607261*" /stext=" 19:.+((SYSTEM_STATE.+slice.+state.+changed )|(ment ac)|(system.+state.+changed )|(\|lc)|(penalty)|(\[timeout)|(PRM\|1\|D))" /e /r /s</v>
      </c>
      <c r="S11" s="9" t="str">
        <f t="shared" si="1"/>
        <v>4019</v>
      </c>
      <c r="T11" s="44">
        <f t="shared" si="2"/>
        <v>42577.827349537038</v>
      </c>
      <c r="U11" s="60" t="str">
        <f t="shared" si="4"/>
        <v>EC</v>
      </c>
      <c r="V11" s="60" t="str">
        <f t="shared" si="3"/>
        <v>KEEP</v>
      </c>
    </row>
    <row r="12" spans="1:22" s="1" customFormat="1" x14ac:dyDescent="0.25">
      <c r="A12" s="44">
        <v>42577.525312500002</v>
      </c>
      <c r="B12" s="56" t="s">
        <v>103</v>
      </c>
      <c r="C12" s="37" t="s">
        <v>428</v>
      </c>
      <c r="D12" s="37" t="s">
        <v>49</v>
      </c>
      <c r="E12" s="56" t="s">
        <v>133</v>
      </c>
      <c r="F12" s="57">
        <v>0</v>
      </c>
      <c r="G12" s="57">
        <v>302</v>
      </c>
      <c r="H12" s="57">
        <v>78548</v>
      </c>
      <c r="I12" s="56" t="s">
        <v>134</v>
      </c>
      <c r="J12" s="57">
        <v>78469</v>
      </c>
      <c r="K12" s="37" t="s">
        <v>53</v>
      </c>
      <c r="L12" s="84" t="str">
        <f>VLOOKUP(C12,'Trips&amp;Operators'!$C$1:$E$9999,3,0)</f>
        <v>STEWART</v>
      </c>
      <c r="M12" s="9" t="s">
        <v>97</v>
      </c>
      <c r="N12" s="10" t="s">
        <v>288</v>
      </c>
      <c r="O12" s="37"/>
      <c r="P12" s="63" t="str">
        <f>VLOOKUP(C12,'Train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12" s="61" t="str">
        <f>VLOOKUP(C12,'Train Runs'!$A$13:$AE$810,22,0)</f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12" s="62" t="str">
        <f t="shared" si="0"/>
        <v>"C:\Program Files (x86)\AstroGrep\AstroGrep.exe" /spath="C:\Users\stu\Documents\Analysis\2016-02-23 RTDC Observations" /stypes="*4026*201607261*" /stext=" 18:.+((SYSTEM_STATE.+slice.+state.+changed )|(ment ac)|(system.+state.+changed )|(\|lc)|(penalty)|(\[timeout)|(PRM\|1\|D))" /e /r /s</v>
      </c>
      <c r="S12" s="9" t="str">
        <f t="shared" si="1"/>
        <v>4026</v>
      </c>
      <c r="T12" s="44">
        <f t="shared" si="2"/>
        <v>42577.775312500002</v>
      </c>
      <c r="U12" s="60" t="str">
        <f t="shared" si="4"/>
        <v>EC</v>
      </c>
      <c r="V12" s="60" t="str">
        <f t="shared" si="3"/>
        <v>KEEP</v>
      </c>
    </row>
    <row r="13" spans="1:22" s="1" customFormat="1" x14ac:dyDescent="0.25">
      <c r="A13" s="44">
        <v>42577.648634259262</v>
      </c>
      <c r="B13" s="56" t="s">
        <v>67</v>
      </c>
      <c r="C13" s="37" t="s">
        <v>439</v>
      </c>
      <c r="D13" s="37" t="s">
        <v>49</v>
      </c>
      <c r="E13" s="56" t="s">
        <v>133</v>
      </c>
      <c r="F13" s="57">
        <v>0</v>
      </c>
      <c r="G13" s="57">
        <v>196</v>
      </c>
      <c r="H13" s="57">
        <v>78628</v>
      </c>
      <c r="I13" s="56" t="s">
        <v>134</v>
      </c>
      <c r="J13" s="57">
        <v>78469</v>
      </c>
      <c r="K13" s="37" t="s">
        <v>53</v>
      </c>
      <c r="L13" s="84" t="str">
        <f>VLOOKUP(C13,'Trips&amp;Operators'!$C$1:$E$9999,3,0)</f>
        <v>WEBSTER</v>
      </c>
      <c r="M13" s="9" t="s">
        <v>97</v>
      </c>
      <c r="N13" s="10" t="s">
        <v>288</v>
      </c>
      <c r="O13" s="37"/>
      <c r="P13" s="63" t="str">
        <f>VLOOKUP(C13,'Train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3" s="61" t="str">
        <f>VLOOKUP(C13,'Train Runs'!$A$13:$AE$810,22,0)</f>
        <v>https://search-rtdc-monitor-bjffxe2xuh6vdkpspy63sjmuny.us-east-1.es.amazonaws.com/_plugin/kibana/#/discover/Steve-Slow-Train-Analysis-(2080s-and-2083s)?_g=(refreshInterval:(display:Off,section:0,value:0),time:(from:'2016-07-26 14:07:00-0600',mode:absolute,to:'2016-07-26 16:53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3" s="62" t="str">
        <f t="shared" si="0"/>
        <v>"C:\Program Files (x86)\AstroGrep\AstroGrep.exe" /spath="C:\Users\stu\Documents\Analysis\2016-02-23 RTDC Observations" /stypes="*4019*201607262*" /stext=" 21:.+((SYSTEM_STATE.+slice.+state.+changed )|(ment ac)|(system.+state.+changed )|(\|lc)|(penalty)|(\[timeout)|(PRM\|1\|D))" /e /r /s</v>
      </c>
      <c r="S13" s="9" t="str">
        <f t="shared" si="1"/>
        <v>4019</v>
      </c>
      <c r="T13" s="44">
        <f t="shared" si="2"/>
        <v>42577.898634259262</v>
      </c>
      <c r="U13" s="60" t="str">
        <f t="shared" si="4"/>
        <v>EC</v>
      </c>
      <c r="V13" s="60" t="str">
        <f t="shared" si="3"/>
        <v>KEEP</v>
      </c>
    </row>
    <row r="14" spans="1:22" s="1" customFormat="1" x14ac:dyDescent="0.25">
      <c r="A14" s="44">
        <v>42577.435682870368</v>
      </c>
      <c r="B14" s="56" t="s">
        <v>271</v>
      </c>
      <c r="C14" s="37" t="s">
        <v>421</v>
      </c>
      <c r="D14" s="37" t="s">
        <v>49</v>
      </c>
      <c r="E14" s="56" t="s">
        <v>133</v>
      </c>
      <c r="F14" s="57">
        <v>0</v>
      </c>
      <c r="G14" s="57">
        <v>443</v>
      </c>
      <c r="H14" s="57">
        <v>126868</v>
      </c>
      <c r="I14" s="56" t="s">
        <v>134</v>
      </c>
      <c r="J14" s="57">
        <v>127562</v>
      </c>
      <c r="K14" s="37" t="s">
        <v>52</v>
      </c>
      <c r="L14" s="84" t="str">
        <f>VLOOKUP(C14,'Trips&amp;Operators'!$C$1:$E$9999,3,0)</f>
        <v>REBOLETTI</v>
      </c>
      <c r="M14" s="9" t="s">
        <v>97</v>
      </c>
      <c r="N14" s="10" t="s">
        <v>288</v>
      </c>
      <c r="O14" s="37"/>
      <c r="P14" s="63" t="str">
        <f>VLOOKUP(C14,'Train Runs'!$A$13:$AE$810,31,0)</f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Q14" s="61" t="str">
        <f>VLOOKUP(C14,'Train Runs'!$A$13:$AE$810,22,0)</f>
        <v>https://search-rtdc-monitor-bjffxe2xuh6vdkpspy63sjmuny.us-east-1.es.amazonaws.com/_plugin/kibana/#/discover/Steve-Slow-Train-Analysis-(2080s-and-2083s)?_g=(refreshInterval:(display:Off,section:0,value:0),time:(from:'2016-07-26 08:51:26-0600',mode:absolute,to:'2016-07-26 11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4" s="62" t="str">
        <f t="shared" si="0"/>
        <v>"C:\Program Files (x86)\AstroGrep\AstroGrep.exe" /spath="C:\Users\stu\Documents\Analysis\2016-02-23 RTDC Observations" /stypes="*4031*201607261*" /stext=" 16:.+((SYSTEM_STATE.+slice.+state.+changed )|(ment ac)|(system.+state.+changed )|(\|lc)|(penalty)|(\[timeout)|(PRM\|1\|D))" /e /r /s</v>
      </c>
      <c r="S14" s="9" t="str">
        <f t="shared" si="1"/>
        <v>4031</v>
      </c>
      <c r="T14" s="44">
        <f t="shared" si="2"/>
        <v>42577.685682870368</v>
      </c>
      <c r="U14" s="60" t="str">
        <f t="shared" si="4"/>
        <v>EC</v>
      </c>
      <c r="V14" s="60" t="str">
        <f t="shared" si="3"/>
        <v>KEEP</v>
      </c>
    </row>
    <row r="15" spans="1:22" s="1" customFormat="1" x14ac:dyDescent="0.25">
      <c r="A15" s="44">
        <v>42577.712777777779</v>
      </c>
      <c r="B15" s="56" t="s">
        <v>76</v>
      </c>
      <c r="C15" s="37" t="s">
        <v>442</v>
      </c>
      <c r="D15" s="37" t="s">
        <v>147</v>
      </c>
      <c r="E15" s="56" t="s">
        <v>56</v>
      </c>
      <c r="F15" s="57">
        <v>600</v>
      </c>
      <c r="G15" s="57">
        <v>650</v>
      </c>
      <c r="H15" s="57">
        <v>124009</v>
      </c>
      <c r="I15" s="56" t="s">
        <v>57</v>
      </c>
      <c r="J15" s="57">
        <v>119716</v>
      </c>
      <c r="K15" s="37" t="s">
        <v>52</v>
      </c>
      <c r="L15" s="84" t="str">
        <f>VLOOKUP(C15,'Trips&amp;Operators'!$C$1:$E$9999,3,0)</f>
        <v>LOCKLEAR</v>
      </c>
      <c r="M15" s="9" t="s">
        <v>97</v>
      </c>
      <c r="N15" s="10"/>
      <c r="O15" s="37"/>
      <c r="P15" s="63" t="str">
        <f>VLOOKUP(C15,'Train Runs'!$A$13:$AE$810,31,0)</f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Q15" s="61" t="str">
        <f>VLOOKUP(C15,'Train Runs'!$A$13:$AE$810,22,0)</f>
        <v>https://search-rtdc-monitor-bjffxe2xuh6vdkpspy63sjmuny.us-east-1.es.amazonaws.com/_plugin/kibana/#/discover/Steve-Slow-Train-Analysis-(2080s-and-2083s)?_g=(refreshInterval:(display:Off,section:0,value:0),time:(from:'2016-07-26 15:41:38-0600',mode:absolute,to:'2016-07-26 18:21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15" s="62" t="str">
        <f t="shared" si="0"/>
        <v>"C:\Program Files (x86)\AstroGrep\AstroGrep.exe" /spath="C:\Users\stu\Documents\Analysis\2016-02-23 RTDC Observations" /stypes="*4042*201607262*" /stext=" 23:.+((SYSTEM_STATE.+slice.+state.+changed )|(ment ac)|(system.+state.+changed )|(\|lc)|(penalty)|(\[timeout)|(PRM\|1\|D))" /e /r /s</v>
      </c>
      <c r="S15" s="9" t="str">
        <f t="shared" si="1"/>
        <v>4042</v>
      </c>
      <c r="T15" s="44">
        <f t="shared" si="2"/>
        <v>42577.962777777779</v>
      </c>
      <c r="U15" s="60" t="str">
        <f t="shared" si="4"/>
        <v>EC</v>
      </c>
      <c r="V15" s="60" t="str">
        <f t="shared" si="3"/>
        <v>KEEP</v>
      </c>
    </row>
    <row r="16" spans="1:22" s="1" customFormat="1" x14ac:dyDescent="0.25">
      <c r="A16" s="44">
        <v>42577.335833333331</v>
      </c>
      <c r="B16" s="56" t="s">
        <v>149</v>
      </c>
      <c r="C16" s="37" t="s">
        <v>411</v>
      </c>
      <c r="D16" s="37" t="s">
        <v>49</v>
      </c>
      <c r="E16" s="56" t="s">
        <v>56</v>
      </c>
      <c r="F16" s="57">
        <v>450</v>
      </c>
      <c r="G16" s="57">
        <v>500</v>
      </c>
      <c r="H16" s="57">
        <v>191140</v>
      </c>
      <c r="I16" s="56" t="s">
        <v>57</v>
      </c>
      <c r="J16" s="57">
        <v>191108</v>
      </c>
      <c r="K16" s="37" t="s">
        <v>53</v>
      </c>
      <c r="L16" s="84" t="str">
        <f>VLOOKUP(C16,'Trips&amp;Operators'!$C$1:$E$9999,3,0)</f>
        <v>HELVIE</v>
      </c>
      <c r="M16" s="9" t="s">
        <v>97</v>
      </c>
      <c r="N16" s="10"/>
      <c r="O16" s="37"/>
      <c r="P16" s="63" t="str">
        <f>VLOOKUP(C16,'Train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16" s="61" t="str">
        <f>VLOOKUP(C16,'Train Runs'!$A$13:$AE$810,22,0)</f>
        <v>https://search-rtdc-monitor-bjffxe2xuh6vdkpspy63sjmuny.us-east-1.es.amazonaws.com/_plugin/kibana/#/discover/Steve-Slow-Train-Analysis-(2080s-and-2083s)?_g=(refreshInterval:(display:Off,section:0,value:0),time:(from:'2016-07-26 06:50:50-0600',mode:absolute,to:'2016-07-26 09:36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16" s="62" t="str">
        <f t="shared" si="0"/>
        <v>"C:\Program Files (x86)\AstroGrep\AstroGrep.exe" /spath="C:\Users\stu\Documents\Analysis\2016-02-23 RTDC Observations" /stypes="*4010*201607261*" /stext=" 14:.+((SYSTEM_STATE.+slice.+state.+changed )|(ment ac)|(system.+state.+changed )|(\|lc)|(penalty)|(\[timeout)|(PRM\|1\|D))" /e /r /s</v>
      </c>
      <c r="S16" s="9" t="str">
        <f t="shared" si="1"/>
        <v>4010</v>
      </c>
      <c r="T16" s="44">
        <f t="shared" si="2"/>
        <v>42577.585833333331</v>
      </c>
      <c r="U16" s="60" t="str">
        <f t="shared" si="4"/>
        <v>EC</v>
      </c>
      <c r="V16" s="60" t="str">
        <f t="shared" si="3"/>
        <v>KEEP</v>
      </c>
    </row>
    <row r="17" spans="1:22" s="1" customFormat="1" x14ac:dyDescent="0.25">
      <c r="A17" s="44">
        <v>42577.706793981481</v>
      </c>
      <c r="B17" s="56" t="s">
        <v>67</v>
      </c>
      <c r="C17" s="37" t="s">
        <v>441</v>
      </c>
      <c r="D17" s="37" t="s">
        <v>49</v>
      </c>
      <c r="E17" s="56" t="s">
        <v>56</v>
      </c>
      <c r="F17" s="57">
        <v>150</v>
      </c>
      <c r="G17" s="57">
        <v>209</v>
      </c>
      <c r="H17" s="57">
        <v>229991</v>
      </c>
      <c r="I17" s="56" t="s">
        <v>57</v>
      </c>
      <c r="J17" s="57">
        <v>229055</v>
      </c>
      <c r="K17" s="37" t="s">
        <v>53</v>
      </c>
      <c r="L17" s="84" t="str">
        <f>VLOOKUP(C17,'Trips&amp;Operators'!$C$1:$E$9999,3,0)</f>
        <v>WEBSTER</v>
      </c>
      <c r="M17" s="9" t="s">
        <v>97</v>
      </c>
      <c r="N17" s="10"/>
      <c r="O17" s="37"/>
      <c r="P17" s="63" t="str">
        <f>VLOOKUP(C17,'Train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17" s="61" t="str">
        <f>VLOOKUP(C17,'Train Runs'!$A$13:$AE$810,22,0)</f>
        <v>https://search-rtdc-monitor-bjffxe2xuh6vdkpspy63sjmuny.us-east-1.es.amazonaws.com/_plugin/kibana/#/discover/Steve-Slow-Train-Analysis-(2080s-and-2083s)?_g=(refreshInterval:(display:Off,section:0,value:0),time:(from:'2016-07-26 15:49:30-0600',mode:absolute,to:'2016-07-26 18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17" s="62" t="str">
        <f t="shared" si="0"/>
        <v>"C:\Program Files (x86)\AstroGrep\AstroGrep.exe" /spath="C:\Users\stu\Documents\Analysis\2016-02-23 RTDC Observations" /stypes="*4019*201607262*" /stext=" 22:.+((SYSTEM_STATE.+slice.+state.+changed )|(ment ac)|(system.+state.+changed )|(\|lc)|(penalty)|(\[timeout)|(PRM\|1\|D))" /e /r /s</v>
      </c>
      <c r="S17" s="9" t="str">
        <f t="shared" si="1"/>
        <v>4019</v>
      </c>
      <c r="T17" s="44">
        <f t="shared" si="2"/>
        <v>42577.956793981481</v>
      </c>
      <c r="U17" s="60" t="str">
        <f t="shared" si="4"/>
        <v>EC</v>
      </c>
      <c r="V17" s="60" t="str">
        <f t="shared" si="3"/>
        <v>KEEP</v>
      </c>
    </row>
    <row r="18" spans="1:22" s="1" customFormat="1" x14ac:dyDescent="0.25">
      <c r="A18" s="44">
        <v>42577.567893518521</v>
      </c>
      <c r="B18" s="56" t="s">
        <v>271</v>
      </c>
      <c r="C18" s="37" t="s">
        <v>431</v>
      </c>
      <c r="D18" s="37" t="s">
        <v>147</v>
      </c>
      <c r="E18" s="56" t="s">
        <v>54</v>
      </c>
      <c r="F18" s="57">
        <v>200</v>
      </c>
      <c r="G18" s="57">
        <v>250</v>
      </c>
      <c r="H18" s="57">
        <v>7037</v>
      </c>
      <c r="I18" s="56" t="s">
        <v>55</v>
      </c>
      <c r="J18" s="57">
        <v>2789</v>
      </c>
      <c r="K18" s="37" t="s">
        <v>52</v>
      </c>
      <c r="L18" s="84" t="str">
        <f>VLOOKUP(C18,'Trips&amp;Operators'!$C$1:$E$9999,3,0)</f>
        <v>BONDS</v>
      </c>
      <c r="M18" s="9" t="s">
        <v>97</v>
      </c>
      <c r="N18" s="10" t="s">
        <v>234</v>
      </c>
      <c r="O18" s="37"/>
      <c r="P18" s="63" t="str">
        <f>VLOOKUP(C18,'Train Runs'!$A$13:$AE$810,31,0)</f>
        <v>aws s3 cp s3://rtdc.mdm.uploadarchive/RTDC4031/2016-07-26/ "C:\Users\stu\Documents\Analysis\2016-02-23 RTDC Observations"\RTDC4031\2016-07-26 --recursive &amp; "C:\Users\stu\Documents\GitHub\mrs-test-scripts\Headless Mode &amp; Sideloading\WalkAndUnGZ.bat" "C:\Users\stu\Documents\Analysis\2016-02-23 RTDC Observations"\RTDC4031\2016-07-26 &amp; aws s3 cp s3://rtdc.mdm.uploadarchive/RTDC4031/2016-07-27/ "C:\Users\stu\Documents\Analysis\2016-02-23 RTDC Observations"\RTDC4031\2016-07-27 --recursive &amp; "C:\Users\stu\Documents\GitHub\mrs-test-scripts\Headless Mode &amp; Sideloading\WalkAndUnGZ.bat" "C:\Users\stu\Documents\Analysis\2016-02-23 RTDC Observations"\RTDC4031\2016-07-27</v>
      </c>
      <c r="Q18" s="61" t="str">
        <f>VLOOKUP(C18,'Train Runs'!$A$13:$AE$810,22,0)</f>
        <v>https://search-rtdc-monitor-bjffxe2xuh6vdkpspy63sjmuny.us-east-1.es.amazonaws.com/_plugin/kibana/#/discover/Steve-Slow-Train-Analysis-(2080s-and-2083s)?_g=(refreshInterval:(display:Off,section:0,value:0),time:(from:'2016-07-26 12:40:50-0600',mode:absolute,to:'2016-07-26 15:17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R18" s="62" t="str">
        <f t="shared" si="0"/>
        <v>"C:\Program Files (x86)\AstroGrep\AstroGrep.exe" /spath="C:\Users\stu\Documents\Analysis\2016-02-23 RTDC Observations" /stypes="*4031*201607261*" /stext=" 19:.+((SYSTEM_STATE.+slice.+state.+changed )|(ment ac)|(system.+state.+changed )|(\|lc)|(penalty)|(\[timeout)|(PRM\|1\|D))" /e /r /s</v>
      </c>
      <c r="S18" s="9" t="str">
        <f t="shared" si="1"/>
        <v>4031</v>
      </c>
      <c r="T18" s="44">
        <f t="shared" si="2"/>
        <v>42577.817893518521</v>
      </c>
      <c r="U18" s="60" t="str">
        <f t="shared" si="4"/>
        <v>EC</v>
      </c>
      <c r="V18" s="60" t="str">
        <f t="shared" si="3"/>
        <v>KEEP</v>
      </c>
    </row>
    <row r="19" spans="1:22" s="1" customFormat="1" x14ac:dyDescent="0.25">
      <c r="A19" s="44">
        <v>42577.966793981483</v>
      </c>
      <c r="B19" s="56" t="s">
        <v>69</v>
      </c>
      <c r="C19" s="37" t="s">
        <v>452</v>
      </c>
      <c r="D19" s="37" t="s">
        <v>49</v>
      </c>
      <c r="E19" s="56" t="s">
        <v>54</v>
      </c>
      <c r="F19" s="57">
        <v>0</v>
      </c>
      <c r="G19" s="57">
        <v>573</v>
      </c>
      <c r="H19" s="57">
        <v>47409</v>
      </c>
      <c r="I19" s="56" t="s">
        <v>55</v>
      </c>
      <c r="J19" s="57">
        <v>50746</v>
      </c>
      <c r="K19" s="37" t="s">
        <v>52</v>
      </c>
      <c r="L19" s="84" t="str">
        <f>VLOOKUP(C19,'Trips&amp;Operators'!$C$1:$E$9999,3,0)</f>
        <v>LEVERE</v>
      </c>
      <c r="M19" s="9" t="s">
        <v>96</v>
      </c>
      <c r="N19" s="10" t="s">
        <v>167</v>
      </c>
      <c r="O19" s="37"/>
      <c r="P19" s="63" t="str">
        <f>VLOOKUP(C19,'Train Runs'!$A$13:$AE$810,31,0)</f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Q19" s="61" t="str">
        <f>VLOOKUP(C19,'Train Runs'!$A$13:$AE$810,22,0)</f>
        <v>https://search-rtdc-monitor-bjffxe2xuh6vdkpspy63sjmuny.us-east-1.es.amazonaws.com/_plugin/kibana/#/discover/Steve-Slow-Train-Analysis-(2080s-and-2083s)?_g=(refreshInterval:(display:Off,section:0,value:0),time:(from:'2016-07-26 21:49:59-0600',mode:absolute,to:'2016-07-27 00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9" s="62" t="str">
        <f t="shared" si="0"/>
        <v>"C:\Program Files (x86)\AstroGrep\AstroGrep.exe" /spath="C:\Users\stu\Documents\Analysis\2016-02-23 RTDC Observations" /stypes="*4018*201607270*" /stext=" 05:.+((SYSTEM_STATE.+slice.+state.+changed )|(ment ac)|(system.+state.+changed )|(\|lc)|(penalty)|(\[timeout)|(PRM\|1\|D))" /e /r /s</v>
      </c>
      <c r="S19" s="9" t="str">
        <f t="shared" si="1"/>
        <v>4018</v>
      </c>
      <c r="T19" s="44">
        <f t="shared" si="2"/>
        <v>42578.216793981483</v>
      </c>
      <c r="U19" s="60" t="str">
        <f t="shared" si="4"/>
        <v>EC</v>
      </c>
      <c r="V19" s="60" t="str">
        <f t="shared" si="3"/>
        <v>KEEP</v>
      </c>
    </row>
    <row r="20" spans="1:22" s="1" customFormat="1" x14ac:dyDescent="0.25">
      <c r="A20" s="44">
        <v>42577.495937500003</v>
      </c>
      <c r="B20" s="56" t="s">
        <v>67</v>
      </c>
      <c r="C20" s="37" t="s">
        <v>426</v>
      </c>
      <c r="D20" s="37" t="s">
        <v>49</v>
      </c>
      <c r="E20" s="56" t="s">
        <v>54</v>
      </c>
      <c r="F20" s="57">
        <v>0</v>
      </c>
      <c r="G20" s="57">
        <v>367</v>
      </c>
      <c r="H20" s="57">
        <v>128980</v>
      </c>
      <c r="I20" s="56" t="s">
        <v>55</v>
      </c>
      <c r="J20" s="57">
        <v>127587</v>
      </c>
      <c r="K20" s="37" t="s">
        <v>53</v>
      </c>
      <c r="L20" s="84" t="str">
        <f>VLOOKUP(C20,'Trips&amp;Operators'!$C$1:$E$9999,3,0)</f>
        <v>GRASTON</v>
      </c>
      <c r="M20" s="9" t="s">
        <v>97</v>
      </c>
      <c r="N20" s="10" t="s">
        <v>408</v>
      </c>
      <c r="O20" s="37"/>
      <c r="P20" s="63" t="str">
        <f>VLOOKUP(C20,'Train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20" s="61" t="str">
        <f>VLOOKUP(C20,'Train Runs'!$A$13:$AE$810,22,0)</f>
        <v>https://search-rtdc-monitor-bjffxe2xuh6vdkpspy63sjmuny.us-east-1.es.amazonaws.com/_plugin/kibana/#/discover/Steve-Slow-Train-Analysis-(2080s-and-2083s)?_g=(refreshInterval:(display:Off,section:0,value:0),time:(from:'2016-07-26 10:35:26-0600',mode:absolute,to:'2016-07-26 13:19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20" s="62" t="str">
        <f t="shared" si="0"/>
        <v>"C:\Program Files (x86)\AstroGrep\AstroGrep.exe" /spath="C:\Users\stu\Documents\Analysis\2016-02-23 RTDC Observations" /stypes="*4019*201607261*" /stext=" 17:.+((SYSTEM_STATE.+slice.+state.+changed )|(ment ac)|(system.+state.+changed )|(\|lc)|(penalty)|(\[timeout)|(PRM\|1\|D))" /e /r /s</v>
      </c>
      <c r="S20" s="9" t="str">
        <f t="shared" si="1"/>
        <v>4019</v>
      </c>
      <c r="T20" s="44">
        <f t="shared" si="2"/>
        <v>42577.745937500003</v>
      </c>
      <c r="U20" s="60" t="str">
        <f t="shared" si="4"/>
        <v>EC</v>
      </c>
      <c r="V20" s="60" t="str">
        <f t="shared" si="3"/>
        <v>KEEP</v>
      </c>
    </row>
    <row r="21" spans="1:22" s="1" customFormat="1" x14ac:dyDescent="0.25">
      <c r="A21" s="44">
        <v>42577.735960648148</v>
      </c>
      <c r="B21" s="56" t="s">
        <v>103</v>
      </c>
      <c r="C21" s="37" t="s">
        <v>444</v>
      </c>
      <c r="D21" s="37" t="s">
        <v>49</v>
      </c>
      <c r="E21" s="56" t="s">
        <v>54</v>
      </c>
      <c r="F21" s="57">
        <v>0</v>
      </c>
      <c r="G21" s="57">
        <v>378</v>
      </c>
      <c r="H21" s="57">
        <v>130139</v>
      </c>
      <c r="I21" s="56" t="s">
        <v>55</v>
      </c>
      <c r="J21" s="57">
        <v>127587</v>
      </c>
      <c r="K21" s="37" t="s">
        <v>53</v>
      </c>
      <c r="L21" s="84" t="str">
        <f>VLOOKUP(C21,'Trips&amp;Operators'!$C$1:$E$9999,3,0)</f>
        <v>STEWART</v>
      </c>
      <c r="M21" s="9" t="s">
        <v>97</v>
      </c>
      <c r="N21" s="10" t="s">
        <v>408</v>
      </c>
      <c r="O21" s="37"/>
      <c r="P21" s="63" t="str">
        <f>VLOOKUP(C21,'Train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21" s="61" t="str">
        <f>VLOOKUP(C21,'Train Runs'!$A$13:$AE$810,22,0)</f>
        <v>https://search-rtdc-monitor-bjffxe2xuh6vdkpspy63sjmuny.us-east-1.es.amazonaws.com/_plugin/kibana/#/discover/Steve-Slow-Train-Analysis-(2080s-and-2083s)?_g=(refreshInterval:(display:Off,section:0,value:0),time:(from:'2016-07-26 16:22:58-0600',mode:absolute,to:'2016-07-26 19:07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21" s="62" t="str">
        <f t="shared" si="0"/>
        <v>"C:\Program Files (x86)\AstroGrep\AstroGrep.exe" /spath="C:\Users\stu\Documents\Analysis\2016-02-23 RTDC Observations" /stypes="*4026*201607262*" /stext=" 23:.+((SYSTEM_STATE.+slice.+state.+changed )|(ment ac)|(system.+state.+changed )|(\|lc)|(penalty)|(\[timeout)|(PRM\|1\|D))" /e /r /s</v>
      </c>
      <c r="S21" s="9" t="str">
        <f t="shared" si="1"/>
        <v>4026</v>
      </c>
      <c r="T21" s="44">
        <f t="shared" si="2"/>
        <v>42577.985960648148</v>
      </c>
      <c r="U21" s="60" t="str">
        <f t="shared" si="4"/>
        <v>EC</v>
      </c>
      <c r="V21" s="60" t="str">
        <f t="shared" si="3"/>
        <v>KEEP</v>
      </c>
    </row>
    <row r="22" spans="1:22" s="1" customFormat="1" x14ac:dyDescent="0.25">
      <c r="A22" s="44">
        <v>42577.747384259259</v>
      </c>
      <c r="B22" s="56" t="s">
        <v>152</v>
      </c>
      <c r="C22" s="37" t="s">
        <v>445</v>
      </c>
      <c r="D22" s="37" t="s">
        <v>49</v>
      </c>
      <c r="E22" s="56" t="s">
        <v>54</v>
      </c>
      <c r="F22" s="57">
        <v>0</v>
      </c>
      <c r="G22" s="57">
        <v>516</v>
      </c>
      <c r="H22" s="57">
        <v>130324</v>
      </c>
      <c r="I22" s="56" t="s">
        <v>55</v>
      </c>
      <c r="J22" s="57">
        <v>127587</v>
      </c>
      <c r="K22" s="37" t="s">
        <v>53</v>
      </c>
      <c r="L22" s="84" t="str">
        <f>VLOOKUP(C22,'Trips&amp;Operators'!$C$1:$E$9999,3,0)</f>
        <v>LOCKLEAR</v>
      </c>
      <c r="M22" s="9" t="s">
        <v>97</v>
      </c>
      <c r="N22" s="10" t="s">
        <v>408</v>
      </c>
      <c r="O22" s="37"/>
      <c r="P22" s="63" t="str">
        <f>VLOOKUP(C22,'Train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22" s="61" t="str">
        <f>VLOOKUP(C22,'Train Runs'!$A$13:$AE$810,22,0)</f>
        <v>https://search-rtdc-monitor-bjffxe2xuh6vdkpspy63sjmuny.us-east-1.es.amazonaws.com/_plugin/kibana/#/discover/Steve-Slow-Train-Analysis-(2080s-and-2083s)?_g=(refreshInterval:(display:Off,section:0,value:0),time:(from:'2016-07-26 16:38:10-0600',mode:absolute,to:'2016-07-26 19:21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22" s="62" t="str">
        <f t="shared" si="0"/>
        <v>"C:\Program Files (x86)\AstroGrep\AstroGrep.exe" /spath="C:\Users\stu\Documents\Analysis\2016-02-23 RTDC Observations" /stypes="*4041*201607262*" /stext=" 23:.+((SYSTEM_STATE.+slice.+state.+changed )|(ment ac)|(system.+state.+changed )|(\|lc)|(penalty)|(\[timeout)|(PRM\|1\|D))" /e /r /s</v>
      </c>
      <c r="S22" s="9" t="str">
        <f t="shared" si="1"/>
        <v>4041</v>
      </c>
      <c r="T22" s="44">
        <f t="shared" si="2"/>
        <v>42577.997384259259</v>
      </c>
      <c r="U22" s="60" t="str">
        <f t="shared" si="4"/>
        <v>EC</v>
      </c>
      <c r="V22" s="60" t="str">
        <f t="shared" si="3"/>
        <v>KEEP</v>
      </c>
    </row>
    <row r="23" spans="1:22" x14ac:dyDescent="0.25">
      <c r="A23" s="44">
        <v>42577.361817129633</v>
      </c>
      <c r="B23" s="37" t="s">
        <v>108</v>
      </c>
      <c r="C23" s="37" t="s">
        <v>416</v>
      </c>
      <c r="D23" s="37" t="s">
        <v>147</v>
      </c>
      <c r="E23" s="37" t="s">
        <v>54</v>
      </c>
      <c r="F23" s="57">
        <v>200</v>
      </c>
      <c r="G23" s="57">
        <v>258</v>
      </c>
      <c r="H23" s="57">
        <v>151290</v>
      </c>
      <c r="I23" s="37" t="s">
        <v>55</v>
      </c>
      <c r="J23" s="57">
        <v>157300</v>
      </c>
      <c r="K23" s="37" t="s">
        <v>53</v>
      </c>
      <c r="L23" s="84" t="str">
        <f>VLOOKUP(C23,'Trips&amp;Operators'!$C$1:$E$9999,3,0)</f>
        <v>ACKERMAN</v>
      </c>
      <c r="M23" s="9" t="s">
        <v>97</v>
      </c>
      <c r="N23" s="10" t="s">
        <v>234</v>
      </c>
      <c r="O23" s="37"/>
      <c r="P23" s="63" t="str">
        <f>VLOOKUP(C23,'Train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23" s="61" t="str">
        <f>VLOOKUP(C23,'Train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07:38:34-0600',mode:absolute,to:'2016-07-26 10:10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3" s="62" t="str">
        <f t="shared" si="0"/>
        <v>"C:\Program Files (x86)\AstroGrep\AstroGrep.exe" /spath="C:\Users\stu\Documents\Analysis\2016-02-23 RTDC Observations" /stypes="*4030*201607261*" /stext=" 14:.+((SYSTEM_STATE.+slice.+state.+changed )|(ment ac)|(system.+state.+changed )|(\|lc)|(penalty)|(\[timeout)|(PRM\|1\|D))" /e /r /s</v>
      </c>
      <c r="S23" s="9" t="str">
        <f t="shared" si="1"/>
        <v>4030</v>
      </c>
      <c r="T23" s="44">
        <f t="shared" si="2"/>
        <v>42577.611817129633</v>
      </c>
      <c r="U23" s="60" t="str">
        <f t="shared" si="4"/>
        <v>EC</v>
      </c>
      <c r="V23" s="60" t="str">
        <f t="shared" si="3"/>
        <v>KEEP</v>
      </c>
    </row>
    <row r="24" spans="1:22" s="1" customFormat="1" x14ac:dyDescent="0.25">
      <c r="A24" s="44">
        <v>42577.261284722219</v>
      </c>
      <c r="B24" s="37" t="s">
        <v>149</v>
      </c>
      <c r="C24" s="37" t="s">
        <v>381</v>
      </c>
      <c r="D24" s="37" t="s">
        <v>49</v>
      </c>
      <c r="E24" s="37" t="s">
        <v>54</v>
      </c>
      <c r="F24" s="57">
        <v>0</v>
      </c>
      <c r="G24" s="57">
        <v>385</v>
      </c>
      <c r="H24" s="57">
        <v>194235</v>
      </c>
      <c r="I24" s="37" t="s">
        <v>55</v>
      </c>
      <c r="J24" s="57">
        <v>191723</v>
      </c>
      <c r="K24" s="37" t="s">
        <v>53</v>
      </c>
      <c r="L24" s="84" t="str">
        <f>VLOOKUP(C24,'Trips&amp;Operators'!$C$1:$E$9999,3,0)</f>
        <v>HELVIE</v>
      </c>
      <c r="M24" s="9" t="s">
        <v>97</v>
      </c>
      <c r="N24" s="10" t="s">
        <v>409</v>
      </c>
      <c r="O24" s="37"/>
      <c r="P24" s="63" t="str">
        <f>VLOOKUP(C24,'Train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4" s="61" t="str">
        <f>VLOOKUP(C24,'Train Runs'!$A$13:$AE$810,22,0)</f>
        <v>https://search-rtdc-monitor-bjffxe2xuh6vdkpspy63sjmuny.us-east-1.es.amazonaws.com/_plugin/kibana/#/discover/Steve-Slow-Train-Analysis-(2080s-and-2083s)?_g=(refreshInterval:(display:Off,section:0,value:0),time:(from:'2016-07-26 05:02:35-0600',mode:absolute,to:'2016-07-26 07:50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4" s="62" t="str">
        <f t="shared" si="0"/>
        <v>"C:\Program Files (x86)\AstroGrep\AstroGrep.exe" /spath="C:\Users\stu\Documents\Analysis\2016-02-23 RTDC Observations" /stypes="*4010*201607261*" /stext=" 12:.+((SYSTEM_STATE.+slice.+state.+changed )|(ment ac)|(system.+state.+changed )|(\|lc)|(penalty)|(\[timeout)|(PRM\|1\|D))" /e /r /s</v>
      </c>
      <c r="S24" s="9" t="str">
        <f t="shared" si="1"/>
        <v>4010</v>
      </c>
      <c r="T24" s="44">
        <f t="shared" si="2"/>
        <v>42577.511284722219</v>
      </c>
      <c r="U24" s="60" t="str">
        <f t="shared" si="4"/>
        <v>EC</v>
      </c>
      <c r="V24" s="60" t="str">
        <f t="shared" si="3"/>
        <v>KEEP</v>
      </c>
    </row>
    <row r="25" spans="1:22" x14ac:dyDescent="0.25">
      <c r="A25" s="44">
        <v>42577.553113425929</v>
      </c>
      <c r="B25" s="56" t="s">
        <v>149</v>
      </c>
      <c r="C25" s="37" t="s">
        <v>429</v>
      </c>
      <c r="D25" s="37" t="s">
        <v>49</v>
      </c>
      <c r="E25" s="56" t="s">
        <v>54</v>
      </c>
      <c r="F25" s="57">
        <v>0</v>
      </c>
      <c r="G25" s="57">
        <v>519</v>
      </c>
      <c r="H25" s="57">
        <v>194693</v>
      </c>
      <c r="I25" s="56" t="s">
        <v>55</v>
      </c>
      <c r="J25" s="57">
        <v>191723</v>
      </c>
      <c r="K25" s="37" t="s">
        <v>53</v>
      </c>
      <c r="L25" s="84" t="str">
        <f>VLOOKUP(C25,'Trips&amp;Operators'!$C$1:$E$9999,3,0)</f>
        <v>MAYBERRY</v>
      </c>
      <c r="M25" s="9" t="s">
        <v>97</v>
      </c>
      <c r="N25" s="10" t="s">
        <v>409</v>
      </c>
      <c r="O25" s="37"/>
      <c r="P25" s="63" t="str">
        <f>VLOOKUP(C25,'Train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5" s="61" t="str">
        <f>VLOOKUP(C25,'Train Runs'!$A$13:$AE$810,22,0)</f>
        <v>https://search-rtdc-monitor-bjffxe2xuh6vdkpspy63sjmuny.us-east-1.es.amazonaws.com/_plugin/kibana/#/discover/Steve-Slow-Train-Analysis-(2080s-and-2083s)?_g=(refreshInterval:(display:Off,section:0,value:0),time:(from:'2016-07-26 11:56:12-0600',mode:absolute,to:'2016-07-26 14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5" s="62" t="str">
        <f t="shared" si="0"/>
        <v>"C:\Program Files (x86)\AstroGrep\AstroGrep.exe" /spath="C:\Users\stu\Documents\Analysis\2016-02-23 RTDC Observations" /stypes="*4010*201607261*" /stext=" 19:.+((SYSTEM_STATE.+slice.+state.+changed )|(ment ac)|(system.+state.+changed )|(\|lc)|(penalty)|(\[timeout)|(PRM\|1\|D))" /e /r /s</v>
      </c>
      <c r="S25" s="9" t="str">
        <f t="shared" si="1"/>
        <v>4010</v>
      </c>
      <c r="T25" s="44">
        <f t="shared" si="2"/>
        <v>42577.803113425929</v>
      </c>
      <c r="U25" s="60" t="str">
        <f t="shared" si="4"/>
        <v>EC</v>
      </c>
      <c r="V25" s="60" t="str">
        <f t="shared" si="3"/>
        <v>KEEP</v>
      </c>
    </row>
    <row r="26" spans="1:22" x14ac:dyDescent="0.25">
      <c r="A26" s="44">
        <v>42577.751504629632</v>
      </c>
      <c r="B26" s="56" t="s">
        <v>272</v>
      </c>
      <c r="C26" s="37" t="s">
        <v>446</v>
      </c>
      <c r="D26" s="37" t="s">
        <v>49</v>
      </c>
      <c r="E26" s="56" t="s">
        <v>54</v>
      </c>
      <c r="F26" s="57">
        <v>0</v>
      </c>
      <c r="G26" s="57">
        <v>354</v>
      </c>
      <c r="H26" s="57">
        <v>193618</v>
      </c>
      <c r="I26" s="56" t="s">
        <v>55</v>
      </c>
      <c r="J26" s="57">
        <v>191723</v>
      </c>
      <c r="K26" s="37" t="s">
        <v>53</v>
      </c>
      <c r="L26" s="84" t="str">
        <f>VLOOKUP(C26,'Trips&amp;Operators'!$C$1:$E$9999,3,0)</f>
        <v>BONDS</v>
      </c>
      <c r="M26" s="9" t="s">
        <v>97</v>
      </c>
      <c r="N26" s="10" t="s">
        <v>409</v>
      </c>
      <c r="O26" s="37"/>
      <c r="P26" s="63" t="str">
        <f>VLOOKUP(C26,'Train Runs'!$A$13:$AE$810,31,0)</f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Q26" s="61" t="str">
        <f>VLOOKUP(C26,'Train Runs'!$A$13:$AE$810,22,0)</f>
        <v>https://search-rtdc-monitor-bjffxe2xuh6vdkpspy63sjmuny.us-east-1.es.amazonaws.com/_plugin/kibana/#/discover/Steve-Slow-Train-Analysis-(2080s-and-2083s)?_g=(refreshInterval:(display:Off,section:0,value:0),time:(from:'2016-07-26 16:45:06-0600',mode:absolute,to:'2016-07-26 19:39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6" s="62" t="str">
        <f t="shared" si="0"/>
        <v>"C:\Program Files (x86)\AstroGrep\AstroGrep.exe" /spath="C:\Users\stu\Documents\Analysis\2016-02-23 RTDC Observations" /stypes="*4032*201607270*" /stext=" 00:.+((SYSTEM_STATE.+slice.+state.+changed )|(ment ac)|(system.+state.+changed )|(\|lc)|(penalty)|(\[timeout)|(PRM\|1\|D))" /e /r /s</v>
      </c>
      <c r="S26" s="9" t="str">
        <f t="shared" si="1"/>
        <v>4032</v>
      </c>
      <c r="T26" s="44">
        <f t="shared" si="2"/>
        <v>42578.001504629632</v>
      </c>
      <c r="U26" s="60" t="str">
        <f t="shared" si="4"/>
        <v>EC</v>
      </c>
      <c r="V26" s="60" t="str">
        <f t="shared" si="3"/>
        <v>KEEP</v>
      </c>
    </row>
    <row r="27" spans="1:22" x14ac:dyDescent="0.25">
      <c r="A27" s="44">
        <v>42577.292986111112</v>
      </c>
      <c r="B27" s="56" t="s">
        <v>67</v>
      </c>
      <c r="C27" s="37" t="s">
        <v>379</v>
      </c>
      <c r="D27" s="37" t="s">
        <v>49</v>
      </c>
      <c r="E27" s="56" t="s">
        <v>366</v>
      </c>
      <c r="F27" s="57">
        <v>0</v>
      </c>
      <c r="G27" s="57">
        <v>424</v>
      </c>
      <c r="H27" s="57">
        <v>17115</v>
      </c>
      <c r="I27" s="56" t="s">
        <v>367</v>
      </c>
      <c r="J27" s="57">
        <v>17100</v>
      </c>
      <c r="K27" s="37" t="s">
        <v>53</v>
      </c>
      <c r="L27" s="84" t="str">
        <f>VLOOKUP(C27,'Trips&amp;Operators'!$C$1:$E$9999,3,0)</f>
        <v>GRASTON</v>
      </c>
      <c r="M27" s="9" t="s">
        <v>96</v>
      </c>
      <c r="N27" s="10" t="s">
        <v>167</v>
      </c>
      <c r="O27" s="37"/>
      <c r="P27" s="63" t="str">
        <f>VLOOKUP(C27,'Train Runs'!$A$13:$AE$810,31,0)</f>
        <v>aws s3 cp s3://rtdc.mdm.uploadarchive/RTDC4019/2016-07-26/ "C:\Users\stu\Documents\Analysis\2016-02-23 RTDC Observations"\RTDC4019\2016-07-26 --recursive &amp; "C:\Users\stu\Documents\GitHub\mrs-test-scripts\Headless Mode &amp; Sideloading\WalkAndUnGZ.bat" "C:\Users\stu\Documents\Analysis\2016-02-23 RTDC Observations"\RTDC4019\2016-07-26 &amp; 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</v>
      </c>
      <c r="Q27" s="61" t="str">
        <f>VLOOKUP(C27,'Train Runs'!$A$13:$AE$810,22,0)</f>
        <v>https://search-rtdc-monitor-bjffxe2xuh6vdkpspy63sjmuny.us-east-1.es.amazonaws.com/_plugin/kibana/#/discover/Steve-Slow-Train-Analysis-(2080s-and-2083s)?_g=(refreshInterval:(display:Off,section:0,value:0),time:(from:'2016-07-26 05:18:57-0600',mode:absolute,to:'2016-07-26 08:02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27" s="62" t="str">
        <f t="shared" si="0"/>
        <v>"C:\Program Files (x86)\AstroGrep\AstroGrep.exe" /spath="C:\Users\stu\Documents\Analysis\2016-02-23 RTDC Observations" /stypes="*4019*201607261*" /stext=" 13:.+((SYSTEM_STATE.+slice.+state.+changed )|(ment ac)|(system.+state.+changed )|(\|lc)|(penalty)|(\[timeout)|(PRM\|1\|D))" /e /r /s</v>
      </c>
      <c r="S27" s="9" t="str">
        <f t="shared" si="1"/>
        <v>4019</v>
      </c>
      <c r="T27" s="44">
        <f t="shared" si="2"/>
        <v>42577.542986111112</v>
      </c>
      <c r="U27" s="60" t="str">
        <f t="shared" si="4"/>
        <v>EC</v>
      </c>
      <c r="V27" s="60" t="str">
        <f t="shared" si="3"/>
        <v>KEEP</v>
      </c>
    </row>
    <row r="28" spans="1:22" x14ac:dyDescent="0.25">
      <c r="A28" s="44">
        <v>42577.201828703706</v>
      </c>
      <c r="B28" s="56" t="s">
        <v>149</v>
      </c>
      <c r="C28" s="37" t="s">
        <v>372</v>
      </c>
      <c r="D28" s="37" t="s">
        <v>49</v>
      </c>
      <c r="E28" s="56" t="s">
        <v>50</v>
      </c>
      <c r="F28" s="57">
        <v>0</v>
      </c>
      <c r="G28" s="57">
        <v>45</v>
      </c>
      <c r="H28" s="57">
        <v>130</v>
      </c>
      <c r="I28" s="56" t="s">
        <v>51</v>
      </c>
      <c r="J28" s="57">
        <v>1</v>
      </c>
      <c r="K28" s="37" t="s">
        <v>53</v>
      </c>
      <c r="L28" s="84" t="str">
        <f>VLOOKUP(C28,'Trips&amp;Operators'!$C$1:$E$9999,3,0)</f>
        <v>HELVIE</v>
      </c>
      <c r="M28" s="9" t="s">
        <v>97</v>
      </c>
      <c r="N28" s="10"/>
      <c r="O28" s="37"/>
      <c r="P28" s="63" t="str">
        <f>VLOOKUP(C28,'Train Runs'!$A$13:$AE$810,31,0)</f>
        <v>aws s3 cp s3://rtdc.mdm.uploadarchive/RTDC4010/2016-07-26/ "C:\Users\stu\Documents\Analysis\2016-02-23 RTDC Observations"\RTDC4010\2016-07-26 --recursive &amp; "C:\Users\stu\Documents\GitHub\mrs-test-scripts\Headless Mode &amp; Sideloading\WalkAndUnGZ.bat" "C:\Users\stu\Documents\Analysis\2016-02-23 RTDC Observations"\RTDC4010\2016-07-26 &amp; 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</v>
      </c>
      <c r="Q28" s="61" t="str">
        <f>VLOOKUP(C28,'Train Runs'!$A$13:$AE$810,22,0)</f>
        <v>https://search-rtdc-monitor-bjffxe2xuh6vdkpspy63sjmuny.us-east-1.es.amazonaws.com/_plugin/kibana/#/discover/Steve-Slow-Train-Analysis-(2080s-and-2083s)?_g=(refreshInterval:(display:Off,section:0,value:0),time:(from:'2016-07-26 03:04:59-0600',mode:absolute,to:'2016-07-26 05:51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28" s="62" t="str">
        <f t="shared" si="0"/>
        <v>"C:\Program Files (x86)\AstroGrep\AstroGrep.exe" /spath="C:\Users\stu\Documents\Analysis\2016-02-23 RTDC Observations" /stypes="*4010*201607261*" /stext=" 10:.+((SYSTEM_STATE.+slice.+state.+changed )|(ment ac)|(system.+state.+changed )|(\|lc)|(penalty)|(\[timeout)|(PRM\|1\|D))" /e /r /s</v>
      </c>
      <c r="S28" s="9" t="str">
        <f t="shared" si="1"/>
        <v>4010</v>
      </c>
      <c r="T28" s="44">
        <f t="shared" si="2"/>
        <v>42577.451828703706</v>
      </c>
      <c r="U28" s="60" t="str">
        <f t="shared" si="4"/>
        <v>EC</v>
      </c>
      <c r="V28" s="60" t="str">
        <f t="shared" si="3"/>
        <v>KEEP</v>
      </c>
    </row>
    <row r="29" spans="1:22" x14ac:dyDescent="0.25">
      <c r="A29" s="44">
        <v>42577.22184027778</v>
      </c>
      <c r="B29" s="56" t="s">
        <v>108</v>
      </c>
      <c r="C29" s="37" t="s">
        <v>388</v>
      </c>
      <c r="D29" s="37" t="s">
        <v>49</v>
      </c>
      <c r="E29" s="56" t="s">
        <v>50</v>
      </c>
      <c r="F29" s="57">
        <v>0</v>
      </c>
      <c r="G29" s="57">
        <v>51</v>
      </c>
      <c r="H29" s="57">
        <v>172</v>
      </c>
      <c r="I29" s="56" t="s">
        <v>51</v>
      </c>
      <c r="J29" s="57">
        <v>1</v>
      </c>
      <c r="K29" s="37" t="s">
        <v>53</v>
      </c>
      <c r="L29" s="84" t="str">
        <f>VLOOKUP(C29,'Trips&amp;Operators'!$C$1:$E$9999,3,0)</f>
        <v>ACKERMAN</v>
      </c>
      <c r="M29" s="9" t="s">
        <v>97</v>
      </c>
      <c r="N29" s="10"/>
      <c r="O29" s="37"/>
      <c r="P29" s="63" t="str">
        <f>VLOOKUP(C29,'Train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29" s="61" t="str">
        <f>VLOOKUP(C29,'Train Runs'!$A$13:$AE$810,22,0)</f>
        <v>https://search-rtdc-monitor-bjffxe2xuh6vdkpspy63sjmuny.us-east-1.es.amazonaws.com/_plugin/kibana/#/discover/Steve-Slow-Train-Analysis-(2080s-and-2083s)?_g=(refreshInterval:(display:Off,section:0,value:0),time:(from:'2016-07-26 03:33:31-0600',mode:absolute,to:'2016-07-26 06:20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9" s="62" t="str">
        <f t="shared" si="0"/>
        <v>"C:\Program Files (x86)\AstroGrep\AstroGrep.exe" /spath="C:\Users\stu\Documents\Analysis\2016-02-23 RTDC Observations" /stypes="*4030*201607261*" /stext=" 11:.+((SYSTEM_STATE.+slice.+state.+changed )|(ment ac)|(system.+state.+changed )|(\|lc)|(penalty)|(\[timeout)|(PRM\|1\|D))" /e /r /s</v>
      </c>
      <c r="S29" s="9" t="str">
        <f t="shared" si="1"/>
        <v>4030</v>
      </c>
      <c r="T29" s="44">
        <f t="shared" si="2"/>
        <v>42577.47184027778</v>
      </c>
      <c r="U29" s="60" t="str">
        <f t="shared" si="4"/>
        <v>EC</v>
      </c>
      <c r="V29" s="60" t="str">
        <f t="shared" si="3"/>
        <v>KEEP</v>
      </c>
    </row>
    <row r="30" spans="1:22" x14ac:dyDescent="0.25">
      <c r="A30" s="44">
        <v>42577.256030092591</v>
      </c>
      <c r="B30" s="56" t="s">
        <v>152</v>
      </c>
      <c r="C30" s="37" t="s">
        <v>386</v>
      </c>
      <c r="D30" s="37" t="s">
        <v>49</v>
      </c>
      <c r="E30" s="56" t="s">
        <v>50</v>
      </c>
      <c r="F30" s="57">
        <v>0</v>
      </c>
      <c r="G30" s="57">
        <v>104</v>
      </c>
      <c r="H30" s="57">
        <v>362</v>
      </c>
      <c r="I30" s="56" t="s">
        <v>51</v>
      </c>
      <c r="J30" s="57">
        <v>1</v>
      </c>
      <c r="K30" s="37" t="s">
        <v>53</v>
      </c>
      <c r="L30" s="84" t="str">
        <f>VLOOKUP(C30,'Trips&amp;Operators'!$C$1:$E$9999,3,0)</f>
        <v>SPECTOR</v>
      </c>
      <c r="M30" s="9" t="s">
        <v>97</v>
      </c>
      <c r="N30" s="10"/>
      <c r="O30" s="37"/>
      <c r="P30" s="63" t="str">
        <f>VLOOKUP(C30,'Train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0" s="61" t="str">
        <f>VLOOKUP(C30,'Train Runs'!$A$13:$AE$810,22,0)</f>
        <v>https://search-rtdc-monitor-bjffxe2xuh6vdkpspy63sjmuny.us-east-1.es.amazonaws.com/_plugin/kibana/#/discover/Steve-Slow-Train-Analysis-(2080s-and-2083s)?_g=(refreshInterval:(display:Off,section:0,value:0),time:(from:'2016-07-26 04:25:23-0600',mode:absolute,to:'2016-07-26 07:09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0" s="62" t="str">
        <f t="shared" si="0"/>
        <v>"C:\Program Files (x86)\AstroGrep\AstroGrep.exe" /spath="C:\Users\stu\Documents\Analysis\2016-02-23 RTDC Observations" /stypes="*4041*201607261*" /stext=" 12:.+((SYSTEM_STATE.+slice.+state.+changed )|(ment ac)|(system.+state.+changed )|(\|lc)|(penalty)|(\[timeout)|(PRM\|1\|D))" /e /r /s</v>
      </c>
      <c r="S30" s="9" t="str">
        <f t="shared" si="1"/>
        <v>4041</v>
      </c>
      <c r="T30" s="44">
        <f t="shared" si="2"/>
        <v>42577.506030092591</v>
      </c>
      <c r="U30" s="60" t="str">
        <f t="shared" si="4"/>
        <v>EC</v>
      </c>
      <c r="V30" s="60" t="str">
        <f t="shared" si="3"/>
        <v>KEEP</v>
      </c>
    </row>
    <row r="31" spans="1:22" x14ac:dyDescent="0.25">
      <c r="A31" s="44">
        <v>42577.305752314816</v>
      </c>
      <c r="B31" s="56" t="s">
        <v>108</v>
      </c>
      <c r="C31" s="37" t="s">
        <v>377</v>
      </c>
      <c r="D31" s="37" t="s">
        <v>49</v>
      </c>
      <c r="E31" s="56" t="s">
        <v>50</v>
      </c>
      <c r="F31" s="57">
        <v>0</v>
      </c>
      <c r="G31" s="57">
        <v>26</v>
      </c>
      <c r="H31" s="57">
        <v>79</v>
      </c>
      <c r="I31" s="56" t="s">
        <v>51</v>
      </c>
      <c r="J31" s="57">
        <v>1</v>
      </c>
      <c r="K31" s="37" t="s">
        <v>53</v>
      </c>
      <c r="L31" s="84" t="str">
        <f>VLOOKUP(C31,'Trips&amp;Operators'!$C$1:$E$9999,3,0)</f>
        <v>ACKERMAN</v>
      </c>
      <c r="M31" s="9" t="s">
        <v>97</v>
      </c>
      <c r="N31" s="10"/>
      <c r="O31" s="37"/>
      <c r="P31" s="63" t="str">
        <f>VLOOKUP(C31,'Train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1" s="61" t="str">
        <f>VLOOKUP(C31,'Train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1" s="62" t="str">
        <f t="shared" si="0"/>
        <v>"C:\Program Files (x86)\AstroGrep\AstroGrep.exe" /spath="C:\Users\stu\Documents\Analysis\2016-02-23 RTDC Observations" /stypes="*4030*201607261*" /stext=" 13:.+((SYSTEM_STATE.+slice.+state.+changed )|(ment ac)|(system.+state.+changed )|(\|lc)|(penalty)|(\[timeout)|(PRM\|1\|D))" /e /r /s</v>
      </c>
      <c r="S31" s="9" t="str">
        <f t="shared" si="1"/>
        <v>4030</v>
      </c>
      <c r="T31" s="44">
        <f t="shared" si="2"/>
        <v>42577.555752314816</v>
      </c>
      <c r="U31" s="60" t="str">
        <f t="shared" si="4"/>
        <v>EC</v>
      </c>
      <c r="V31" s="60" t="str">
        <f t="shared" si="3"/>
        <v>KEEP</v>
      </c>
    </row>
    <row r="32" spans="1:22" x14ac:dyDescent="0.25">
      <c r="A32" s="44">
        <v>42577.306111111109</v>
      </c>
      <c r="B32" s="56" t="s">
        <v>108</v>
      </c>
      <c r="C32" s="37" t="s">
        <v>377</v>
      </c>
      <c r="D32" s="37" t="s">
        <v>49</v>
      </c>
      <c r="E32" s="56" t="s">
        <v>50</v>
      </c>
      <c r="F32" s="57">
        <v>0</v>
      </c>
      <c r="G32" s="57">
        <v>15</v>
      </c>
      <c r="H32" s="57">
        <v>32</v>
      </c>
      <c r="I32" s="56" t="s">
        <v>51</v>
      </c>
      <c r="J32" s="57">
        <v>1</v>
      </c>
      <c r="K32" s="37" t="s">
        <v>53</v>
      </c>
      <c r="L32" s="84" t="str">
        <f>VLOOKUP(C32,'Trips&amp;Operators'!$C$1:$E$9999,3,0)</f>
        <v>ACKERMAN</v>
      </c>
      <c r="M32" s="9" t="s">
        <v>97</v>
      </c>
      <c r="N32" s="10"/>
      <c r="O32" s="37"/>
      <c r="P32" s="63" t="str">
        <f>VLOOKUP(C32,'Train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2" s="61" t="str">
        <f>VLOOKUP(C32,'Train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05:33:48-0600',mode:absolute,to:'2016-07-26 08:20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2" s="62" t="str">
        <f t="shared" si="0"/>
        <v>"C:\Program Files (x86)\AstroGrep\AstroGrep.exe" /spath="C:\Users\stu\Documents\Analysis\2016-02-23 RTDC Observations" /stypes="*4030*201607261*" /stext=" 13:.+((SYSTEM_STATE.+slice.+state.+changed )|(ment ac)|(system.+state.+changed )|(\|lc)|(penalty)|(\[timeout)|(PRM\|1\|D))" /e /r /s</v>
      </c>
      <c r="S32" s="9" t="str">
        <f t="shared" si="1"/>
        <v>4030</v>
      </c>
      <c r="T32" s="44">
        <f t="shared" si="2"/>
        <v>42577.556111111109</v>
      </c>
      <c r="U32" s="60" t="str">
        <f t="shared" si="4"/>
        <v>EC</v>
      </c>
      <c r="V32" s="60" t="str">
        <f t="shared" si="3"/>
        <v>KEEP</v>
      </c>
    </row>
    <row r="33" spans="1:22" x14ac:dyDescent="0.25">
      <c r="A33" s="44">
        <v>42577.34716435185</v>
      </c>
      <c r="B33" s="56" t="s">
        <v>106</v>
      </c>
      <c r="C33" s="37" t="s">
        <v>414</v>
      </c>
      <c r="D33" s="37" t="s">
        <v>49</v>
      </c>
      <c r="E33" s="56" t="s">
        <v>50</v>
      </c>
      <c r="F33" s="57">
        <v>0</v>
      </c>
      <c r="G33" s="57">
        <v>75</v>
      </c>
      <c r="H33" s="57">
        <v>273</v>
      </c>
      <c r="I33" s="56" t="s">
        <v>51</v>
      </c>
      <c r="J33" s="57">
        <v>1</v>
      </c>
      <c r="K33" s="37" t="s">
        <v>53</v>
      </c>
      <c r="L33" s="84" t="str">
        <f>VLOOKUP(C33,'Trips&amp;Operators'!$C$1:$E$9999,3,0)</f>
        <v>GEBRETEKLE</v>
      </c>
      <c r="M33" s="9" t="s">
        <v>97</v>
      </c>
      <c r="N33" s="10"/>
      <c r="O33" s="37"/>
      <c r="P33" s="63" t="str">
        <f>VLOOKUP(C33,'Train Runs'!$A$13:$AE$810,31,0)</f>
        <v>aws s3 cp s3://rtdc.mdm.uploadarchive/RTDC4028/2016-07-26/ "C:\Users\stu\Documents\Analysis\2016-02-23 RTDC Observations"\RTDC4028\2016-07-26 --recursive &amp; "C:\Users\stu\Documents\GitHub\mrs-test-scripts\Headless Mode &amp; Sideloading\WalkAndUnGZ.bat" "C:\Users\stu\Documents\Analysis\2016-02-23 RTDC Observations"\RTDC4028\2016-07-26 &amp; 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</v>
      </c>
      <c r="Q33" s="61" t="str">
        <f>VLOOKUP(C33,'Train Runs'!$A$13:$AE$810,22,0)</f>
        <v>https://search-rtdc-monitor-bjffxe2xuh6vdkpspy63sjmuny.us-east-1.es.amazonaws.com/_plugin/kibana/#/discover/Steve-Slow-Train-Analysis-(2080s-and-2083s)?_g=(refreshInterval:(display:Off,section:0,value:0),time:(from:'2016-07-26 06:30:20-0600',mode:absolute,to:'2016-07-26 09:20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3" s="62" t="str">
        <f t="shared" si="0"/>
        <v>"C:\Program Files (x86)\AstroGrep\AstroGrep.exe" /spath="C:\Users\stu\Documents\Analysis\2016-02-23 RTDC Observations" /stypes="*4028*201607261*" /stext=" 14:.+((SYSTEM_STATE.+slice.+state.+changed )|(ment ac)|(system.+state.+changed )|(\|lc)|(penalty)|(\[timeout)|(PRM\|1\|D))" /e /r /s</v>
      </c>
      <c r="S33" s="9" t="str">
        <f t="shared" si="1"/>
        <v>4028</v>
      </c>
      <c r="T33" s="44">
        <f t="shared" si="2"/>
        <v>42577.59716435185</v>
      </c>
      <c r="U33" s="60" t="str">
        <f t="shared" si="4"/>
        <v>EC</v>
      </c>
      <c r="V33" s="60" t="str">
        <f t="shared" si="3"/>
        <v>KEEP</v>
      </c>
    </row>
    <row r="34" spans="1:22" x14ac:dyDescent="0.25">
      <c r="A34" s="44">
        <v>42577.399351851855</v>
      </c>
      <c r="B34" s="56" t="s">
        <v>152</v>
      </c>
      <c r="C34" s="37" t="s">
        <v>419</v>
      </c>
      <c r="D34" s="37" t="s">
        <v>49</v>
      </c>
      <c r="E34" s="56" t="s">
        <v>50</v>
      </c>
      <c r="F34" s="57">
        <v>0</v>
      </c>
      <c r="G34" s="57">
        <v>41</v>
      </c>
      <c r="H34" s="57">
        <v>129</v>
      </c>
      <c r="I34" s="56" t="s">
        <v>51</v>
      </c>
      <c r="J34" s="57">
        <v>1</v>
      </c>
      <c r="K34" s="37" t="s">
        <v>53</v>
      </c>
      <c r="L34" s="84" t="str">
        <f>VLOOKUP(C34,'Trips&amp;Operators'!$C$1:$E$9999,3,0)</f>
        <v>SPECTOR</v>
      </c>
      <c r="M34" s="9" t="s">
        <v>97</v>
      </c>
      <c r="N34" s="10"/>
      <c r="O34" s="37"/>
      <c r="P34" s="63" t="str">
        <f>VLOOKUP(C34,'Train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4" s="61" t="str">
        <f>VLOOKUP(C34,'Train Runs'!$A$13:$AE$810,22,0)</f>
        <v>https://search-rtdc-monitor-bjffxe2xuh6vdkpspy63sjmuny.us-east-1.es.amazonaws.com/_plugin/kibana/#/discover/Steve-Slow-Train-Analysis-(2080s-and-2083s)?_g=(refreshInterval:(display:Off,section:0,value:0),time:(from:'2016-07-26 07:52:03-0600',mode:absolute,to:'2016-07-26 10:35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4" s="62" t="str">
        <f t="shared" si="0"/>
        <v>"C:\Program Files (x86)\AstroGrep\AstroGrep.exe" /spath="C:\Users\stu\Documents\Analysis\2016-02-23 RTDC Observations" /stypes="*4041*201607261*" /stext=" 15:.+((SYSTEM_STATE.+slice.+state.+changed )|(ment ac)|(system.+state.+changed )|(\|lc)|(penalty)|(\[timeout)|(PRM\|1\|D))" /e /r /s</v>
      </c>
      <c r="S34" s="9" t="str">
        <f t="shared" si="1"/>
        <v>4041</v>
      </c>
      <c r="T34" s="44">
        <f t="shared" si="2"/>
        <v>42577.649351851855</v>
      </c>
      <c r="U34" s="60" t="str">
        <f t="shared" si="4"/>
        <v>EC</v>
      </c>
      <c r="V34" s="60" t="str">
        <f t="shared" si="3"/>
        <v>KEEP</v>
      </c>
    </row>
    <row r="35" spans="1:22" x14ac:dyDescent="0.25">
      <c r="A35" s="44">
        <v>42577.456597222219</v>
      </c>
      <c r="B35" s="56" t="s">
        <v>108</v>
      </c>
      <c r="C35" s="37" t="s">
        <v>423</v>
      </c>
      <c r="D35" s="37" t="s">
        <v>49</v>
      </c>
      <c r="E35" s="56" t="s">
        <v>50</v>
      </c>
      <c r="F35" s="57">
        <v>0</v>
      </c>
      <c r="G35" s="57">
        <v>59</v>
      </c>
      <c r="H35" s="57">
        <v>187</v>
      </c>
      <c r="I35" s="56" t="s">
        <v>51</v>
      </c>
      <c r="J35" s="57">
        <v>1</v>
      </c>
      <c r="K35" s="37" t="s">
        <v>53</v>
      </c>
      <c r="L35" s="84" t="str">
        <f>VLOOKUP(C35,'Trips&amp;Operators'!$C$1:$E$9999,3,0)</f>
        <v>ACKERMAN</v>
      </c>
      <c r="M35" s="9" t="s">
        <v>97</v>
      </c>
      <c r="N35" s="10"/>
      <c r="O35" s="37"/>
      <c r="P35" s="63" t="str">
        <f>VLOOKUP(C35,'Train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5" s="61" t="str">
        <f>VLOOKUP(C35,'Train Runs'!$A$13:$AE$810,22,0)</f>
        <v>https://search-rtdc-monitor-bjffxe2xuh6vdkpspy63sjmuny.us-east-1.es.amazonaws.com/_plugin/kibana/#/discover/Steve-Slow-Train-Analysis-(2080s-and-2083s)?_g=(refreshInterval:(display:Off,section:0,value:0),time:(from:'2016-07-26 09:03:49-0600',mode:absolute,to:'2016-07-26 11:58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5" s="62" t="str">
        <f t="shared" si="0"/>
        <v>"C:\Program Files (x86)\AstroGrep\AstroGrep.exe" /spath="C:\Users\stu\Documents\Analysis\2016-02-23 RTDC Observations" /stypes="*4030*201607261*" /stext=" 16:.+((SYSTEM_STATE.+slice.+state.+changed )|(ment ac)|(system.+state.+changed )|(\|lc)|(penalty)|(\[timeout)|(PRM\|1\|D))" /e /r /s</v>
      </c>
      <c r="S35" s="9" t="str">
        <f t="shared" si="1"/>
        <v>4030</v>
      </c>
      <c r="T35" s="44">
        <f t="shared" si="2"/>
        <v>42577.706597222219</v>
      </c>
      <c r="U35" s="60" t="str">
        <f t="shared" si="4"/>
        <v>EC</v>
      </c>
      <c r="V35" s="60" t="str">
        <f t="shared" si="3"/>
        <v>KEEP</v>
      </c>
    </row>
    <row r="36" spans="1:22" x14ac:dyDescent="0.25">
      <c r="A36" s="44">
        <v>42577.493449074071</v>
      </c>
      <c r="B36" s="56" t="s">
        <v>70</v>
      </c>
      <c r="C36" s="37" t="s">
        <v>425</v>
      </c>
      <c r="D36" s="37" t="s">
        <v>49</v>
      </c>
      <c r="E36" s="56" t="s">
        <v>50</v>
      </c>
      <c r="F36" s="57">
        <v>0</v>
      </c>
      <c r="G36" s="57">
        <v>58</v>
      </c>
      <c r="H36" s="57">
        <v>136</v>
      </c>
      <c r="I36" s="56" t="s">
        <v>51</v>
      </c>
      <c r="J36" s="57">
        <v>1</v>
      </c>
      <c r="K36" s="37" t="s">
        <v>53</v>
      </c>
      <c r="L36" s="84" t="str">
        <f>VLOOKUP(C36,'Trips&amp;Operators'!$C$1:$E$9999,3,0)</f>
        <v>GEBRETEKLE</v>
      </c>
      <c r="M36" s="9" t="s">
        <v>97</v>
      </c>
      <c r="N36" s="10"/>
      <c r="O36" s="37"/>
      <c r="P36" s="63" t="str">
        <f>VLOOKUP(C36,'Train Runs'!$A$13:$AE$810,31,0)</f>
        <v>aws s3 cp s3://rtdc.mdm.uploadarchive/RTDC4017/2016-07-26/ "C:\Users\stu\Documents\Analysis\2016-02-23 RTDC Observations"\RTDC4017\2016-07-26 --recursive &amp; "C:\Users\stu\Documents\GitHub\mrs-test-scripts\Headless Mode &amp; Sideloading\WalkAndUnGZ.bat" "C:\Users\stu\Documents\Analysis\2016-02-23 RTDC Observations"\RTDC4017\2016-07-26 &amp; 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</v>
      </c>
      <c r="Q36" s="61" t="str">
        <f>VLOOKUP(C36,'Train Runs'!$A$13:$AE$810,22,0)</f>
        <v>https://search-rtdc-monitor-bjffxe2xuh6vdkpspy63sjmuny.us-east-1.es.amazonaws.com/_plugin/kibana/#/discover/Steve-Slow-Train-Analysis-(2080s-and-2083s)?_g=(refreshInterval:(display:Off,section:0,value:0),time:(from:'2016-07-26 10:07:03-0600',mode:absolute,to:'2016-07-26 12:50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36" s="62" t="str">
        <f t="shared" si="0"/>
        <v>"C:\Program Files (x86)\AstroGrep\AstroGrep.exe" /spath="C:\Users\stu\Documents\Analysis\2016-02-23 RTDC Observations" /stypes="*4017*201607261*" /stext=" 17:.+((SYSTEM_STATE.+slice.+state.+changed )|(ment ac)|(system.+state.+changed )|(\|lc)|(penalty)|(\[timeout)|(PRM\|1\|D))" /e /r /s</v>
      </c>
      <c r="S36" s="9" t="str">
        <f t="shared" si="1"/>
        <v>4017</v>
      </c>
      <c r="T36" s="44">
        <f t="shared" si="2"/>
        <v>42577.743449074071</v>
      </c>
      <c r="U36" s="60" t="str">
        <f t="shared" si="4"/>
        <v>EC</v>
      </c>
      <c r="V36" s="60" t="str">
        <f t="shared" si="3"/>
        <v>KEEP</v>
      </c>
    </row>
    <row r="37" spans="1:22" x14ac:dyDescent="0.25">
      <c r="A37" s="44">
        <v>42577.524664351855</v>
      </c>
      <c r="B37" s="56" t="s">
        <v>108</v>
      </c>
      <c r="C37" s="37" t="s">
        <v>427</v>
      </c>
      <c r="D37" s="37" t="s">
        <v>49</v>
      </c>
      <c r="E37" s="56" t="s">
        <v>50</v>
      </c>
      <c r="F37" s="57">
        <v>0</v>
      </c>
      <c r="G37" s="57">
        <v>29</v>
      </c>
      <c r="H37" s="57">
        <v>78</v>
      </c>
      <c r="I37" s="56" t="s">
        <v>51</v>
      </c>
      <c r="J37" s="57">
        <v>1</v>
      </c>
      <c r="K37" s="37" t="s">
        <v>53</v>
      </c>
      <c r="L37" s="84" t="str">
        <f>VLOOKUP(C37,'Trips&amp;Operators'!$C$1:$E$9999,3,0)</f>
        <v>BARTLETT</v>
      </c>
      <c r="M37" s="9" t="s">
        <v>97</v>
      </c>
      <c r="N37" s="10"/>
      <c r="O37" s="37"/>
      <c r="P37" s="63" t="str">
        <f>VLOOKUP(C37,'Train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37" s="61" t="str">
        <f>VLOOKUP(C37,'Train Runs'!$A$13:$AE$810,22,0)</f>
        <v>https://search-rtdc-monitor-bjffxe2xuh6vdkpspy63sjmuny.us-east-1.es.amazonaws.com/_plugin/kibana/#/discover/Steve-Slow-Train-Analysis-(2080s-and-2083s)?_g=(refreshInterval:(display:Off,section:0,value:0),time:(from:'2016-07-26 10:51:13-0600',mode:absolute,to:'2016-07-26 13:36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7" s="62" t="str">
        <f t="shared" si="0"/>
        <v>"C:\Program Files (x86)\AstroGrep\AstroGrep.exe" /spath="C:\Users\stu\Documents\Analysis\2016-02-23 RTDC Observations" /stypes="*4030*201607261*" /stext=" 18:.+((SYSTEM_STATE.+slice.+state.+changed )|(ment ac)|(system.+state.+changed )|(\|lc)|(penalty)|(\[timeout)|(PRM\|1\|D))" /e /r /s</v>
      </c>
      <c r="S37" s="9" t="str">
        <f t="shared" si="1"/>
        <v>4030</v>
      </c>
      <c r="T37" s="44">
        <f t="shared" si="2"/>
        <v>42577.774664351855</v>
      </c>
      <c r="U37" s="60" t="str">
        <f t="shared" si="4"/>
        <v>EC</v>
      </c>
      <c r="V37" s="60" t="str">
        <f t="shared" si="3"/>
        <v>KEEP</v>
      </c>
    </row>
    <row r="38" spans="1:22" ht="15" customHeight="1" x14ac:dyDescent="0.25">
      <c r="A38" s="44">
        <v>42577.538217592592</v>
      </c>
      <c r="B38" s="56" t="s">
        <v>103</v>
      </c>
      <c r="C38" s="37" t="s">
        <v>428</v>
      </c>
      <c r="D38" s="37" t="s">
        <v>49</v>
      </c>
      <c r="E38" s="56" t="s">
        <v>50</v>
      </c>
      <c r="F38" s="57">
        <v>0</v>
      </c>
      <c r="G38" s="57">
        <v>60</v>
      </c>
      <c r="H38" s="57">
        <v>212</v>
      </c>
      <c r="I38" s="56" t="s">
        <v>51</v>
      </c>
      <c r="J38" s="57">
        <v>1</v>
      </c>
      <c r="K38" s="37" t="s">
        <v>53</v>
      </c>
      <c r="L38" s="84" t="str">
        <f>VLOOKUP(C38,'Trips&amp;Operators'!$C$1:$E$9999,3,0)</f>
        <v>STEWART</v>
      </c>
      <c r="M38" s="9" t="s">
        <v>97</v>
      </c>
      <c r="N38" s="10"/>
      <c r="O38" s="37"/>
      <c r="P38" s="63" t="str">
        <f>VLOOKUP(C38,'Train Runs'!$A$13:$AE$810,31,0)</f>
        <v>aws s3 cp s3://rtdc.mdm.uploadarchive/RTDC4026/2016-07-26/ "C:\Users\stu\Documents\Analysis\2016-02-23 RTDC Observations"\RTDC4026\2016-07-26 --recursive &amp; "C:\Users\stu\Documents\GitHub\mrs-test-scripts\Headless Mode &amp; Sideloading\WalkAndUnGZ.bat" "C:\Users\stu\Documents\Analysis\2016-02-23 RTDC Observations"\RTDC4026\2016-07-26 &amp; aws s3 cp s3://rtdc.mdm.uploadarchive/RTDC4026/2016-07-27/ "C:\Users\stu\Documents\Analysis\2016-02-23 RTDC Observations"\RTDC4026\2016-07-27 --recursive &amp; "C:\Users\stu\Documents\GitHub\mrs-test-scripts\Headless Mode &amp; Sideloading\WalkAndUnGZ.bat" "C:\Users\stu\Documents\Analysis\2016-02-23 RTDC Observations"\RTDC4026\2016-07-27</v>
      </c>
      <c r="Q38" s="61" t="str">
        <f>VLOOKUP(C38,'Train Runs'!$A$13:$AE$810,22,0)</f>
        <v>https://search-rtdc-monitor-bjffxe2xuh6vdkpspy63sjmuny.us-east-1.es.amazonaws.com/_plugin/kibana/#/discover/Steve-Slow-Train-Analysis-(2080s-and-2083s)?_g=(refreshInterval:(display:Off,section:0,value:0),time:(from:'2016-07-26 11:07:29-0600',mode:absolute,to:'2016-07-26 13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38" s="62" t="str">
        <f t="shared" si="0"/>
        <v>"C:\Program Files (x86)\AstroGrep\AstroGrep.exe" /spath="C:\Users\stu\Documents\Analysis\2016-02-23 RTDC Observations" /stypes="*4026*201607261*" /stext=" 18:.+((SYSTEM_STATE.+slice.+state.+changed )|(ment ac)|(system.+state.+changed )|(\|lc)|(penalty)|(\[timeout)|(PRM\|1\|D))" /e /r /s</v>
      </c>
      <c r="S38" s="9" t="str">
        <f t="shared" si="1"/>
        <v>4026</v>
      </c>
      <c r="T38" s="44">
        <f t="shared" si="2"/>
        <v>42577.788217592592</v>
      </c>
      <c r="U38" s="60" t="str">
        <f t="shared" si="4"/>
        <v>EC</v>
      </c>
      <c r="V38" s="60" t="str">
        <f t="shared" si="3"/>
        <v>KEEP</v>
      </c>
    </row>
    <row r="39" spans="1:22" ht="15" customHeight="1" x14ac:dyDescent="0.25">
      <c r="A39" s="44">
        <v>42577.620335648149</v>
      </c>
      <c r="B39" s="56" t="s">
        <v>152</v>
      </c>
      <c r="C39" s="37" t="s">
        <v>435</v>
      </c>
      <c r="D39" s="37" t="s">
        <v>49</v>
      </c>
      <c r="E39" s="56" t="s">
        <v>50</v>
      </c>
      <c r="F39" s="57">
        <v>0</v>
      </c>
      <c r="G39" s="57">
        <v>44</v>
      </c>
      <c r="H39" s="57">
        <v>161</v>
      </c>
      <c r="I39" s="56" t="s">
        <v>51</v>
      </c>
      <c r="J39" s="57">
        <v>1</v>
      </c>
      <c r="K39" s="37" t="s">
        <v>53</v>
      </c>
      <c r="L39" s="84" t="str">
        <f>VLOOKUP(C39,'Trips&amp;Operators'!$C$1:$E$9999,3,0)</f>
        <v>LOCKLEAR</v>
      </c>
      <c r="M39" s="9" t="s">
        <v>97</v>
      </c>
      <c r="N39" s="10"/>
      <c r="O39" s="37"/>
      <c r="P39" s="63" t="str">
        <f>VLOOKUP(C39,'Train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39" s="61" t="str">
        <f>VLOOKUP(C39,'Train Runs'!$A$13:$AE$810,22,0)</f>
        <v>https://search-rtdc-monitor-bjffxe2xuh6vdkpspy63sjmuny.us-east-1.es.amazonaws.com/_plugin/kibana/#/discover/Steve-Slow-Train-Analysis-(2080s-and-2083s)?_g=(refreshInterval:(display:Off,section:0,value:0),time:(from:'2016-07-26 13:06:16-0600',mode:absolute,to:'2016-07-26 15:53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39" s="62" t="str">
        <f t="shared" ref="R39:R66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/stypes="*4041*201607262*" /stext=" 20:.+((SYSTEM_STATE.+slice.+state.+changed )|(ment ac)|(system.+state.+changed )|(\|lc)|(penalty)|(\[timeout)|(PRM\|1\|D))" /e /r /s</v>
      </c>
      <c r="S39" s="9" t="str">
        <f t="shared" ref="S39:S66" si="6">MID(B39,13,4)</f>
        <v>4041</v>
      </c>
      <c r="T39" s="44">
        <f t="shared" ref="T39:T66" si="7">A39+6/24</f>
        <v>42577.870335648149</v>
      </c>
      <c r="U39" s="60" t="str">
        <f t="shared" si="4"/>
        <v>EC</v>
      </c>
      <c r="V39" s="60" t="str">
        <f t="shared" ref="V39:V66" si="8">IF(AND(E39="TRACK WARRANT AUTHORITY",G39&lt;10),"OMIT","KEEP")</f>
        <v>KEEP</v>
      </c>
    </row>
    <row r="40" spans="1:22" x14ac:dyDescent="0.25">
      <c r="A40" s="44">
        <v>42577.629976851851</v>
      </c>
      <c r="B40" s="56" t="s">
        <v>272</v>
      </c>
      <c r="C40" s="37" t="s">
        <v>436</v>
      </c>
      <c r="D40" s="37" t="s">
        <v>49</v>
      </c>
      <c r="E40" s="56" t="s">
        <v>50</v>
      </c>
      <c r="F40" s="57">
        <v>0</v>
      </c>
      <c r="G40" s="57">
        <v>39</v>
      </c>
      <c r="H40" s="57">
        <v>130</v>
      </c>
      <c r="I40" s="56" t="s">
        <v>51</v>
      </c>
      <c r="J40" s="57">
        <v>1</v>
      </c>
      <c r="K40" s="37" t="s">
        <v>53</v>
      </c>
      <c r="L40" s="84" t="str">
        <f>VLOOKUP(C40,'Trips&amp;Operators'!$C$1:$E$9999,3,0)</f>
        <v>BONDS</v>
      </c>
      <c r="M40" s="9" t="s">
        <v>97</v>
      </c>
      <c r="N40" s="10"/>
      <c r="O40" s="37"/>
      <c r="P40" s="63" t="str">
        <f>VLOOKUP(C40,'Train Runs'!$A$13:$AE$810,31,0)</f>
        <v>aws s3 cp s3://rtdc.mdm.uploadarchive/RTDC4032/2016-07-26/ "C:\Users\stu\Documents\Analysis\2016-02-23 RTDC Observations"\RTDC4032\2016-07-26 --recursive &amp; "C:\Users\stu\Documents\GitHub\mrs-test-scripts\Headless Mode &amp; Sideloading\WalkAndUnGZ.bat" "C:\Users\stu\Documents\Analysis\2016-02-23 RTDC Observations"\RTDC4032\2016-07-26 &amp; 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</v>
      </c>
      <c r="Q40" s="61" t="str">
        <f>VLOOKUP(C40,'Train Runs'!$A$13:$AE$810,22,0)</f>
        <v>https://search-rtdc-monitor-bjffxe2xuh6vdkpspy63sjmuny.us-east-1.es.amazonaws.com/_plugin/kibana/#/discover/Steve-Slow-Train-Analysis-(2080s-and-2083s)?_g=(refreshInterval:(display:Off,section:0,value:0),time:(from:'2016-07-26 13:22:25-0600',mode:absolute,to:'2016-07-26 16:07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0" s="62" t="str">
        <f t="shared" si="5"/>
        <v>"C:\Program Files (x86)\AstroGrep\AstroGrep.exe" /spath="C:\Users\stu\Documents\Analysis\2016-02-23 RTDC Observations" /stypes="*4032*201607262*" /stext=" 21:.+((SYSTEM_STATE.+slice.+state.+changed )|(ment ac)|(system.+state.+changed )|(\|lc)|(penalty)|(\[timeout)|(PRM\|1\|D))" /e /r /s</v>
      </c>
      <c r="S40" s="9" t="str">
        <f t="shared" si="6"/>
        <v>4032</v>
      </c>
      <c r="T40" s="44">
        <f t="shared" si="7"/>
        <v>42577.879976851851</v>
      </c>
      <c r="U40" s="60" t="str">
        <f t="shared" si="4"/>
        <v>EC</v>
      </c>
      <c r="V40" s="60" t="str">
        <f t="shared" si="8"/>
        <v>KEEP</v>
      </c>
    </row>
    <row r="41" spans="1:22" ht="15" customHeight="1" x14ac:dyDescent="0.25">
      <c r="A41" s="44">
        <v>42577.817071759258</v>
      </c>
      <c r="B41" s="56" t="s">
        <v>108</v>
      </c>
      <c r="C41" s="37" t="s">
        <v>448</v>
      </c>
      <c r="D41" s="37" t="s">
        <v>49</v>
      </c>
      <c r="E41" s="56" t="s">
        <v>50</v>
      </c>
      <c r="F41" s="57">
        <v>0</v>
      </c>
      <c r="G41" s="57">
        <v>39</v>
      </c>
      <c r="H41" s="57">
        <v>118</v>
      </c>
      <c r="I41" s="56" t="s">
        <v>51</v>
      </c>
      <c r="J41" s="57">
        <v>1</v>
      </c>
      <c r="K41" s="37" t="s">
        <v>53</v>
      </c>
      <c r="L41" s="84" t="str">
        <f>VLOOKUP(C41,'Trips&amp;Operators'!$C$1:$E$9999,3,0)</f>
        <v>WEBSTER</v>
      </c>
      <c r="M41" s="9" t="s">
        <v>97</v>
      </c>
      <c r="N41" s="10"/>
      <c r="O41" s="37"/>
      <c r="P41" s="63" t="str">
        <f>VLOOKUP(C41,'Train Runs'!$A$13:$AE$810,31,0)</f>
        <v>aws s3 cp s3://rtdc.mdm.uploadarchive/RTDC4030/2016-07-26/ "C:\Users\stu\Documents\Analysis\2016-02-23 RTDC Observations"\RTDC4030\2016-07-26 --recursive &amp; "C:\Users\stu\Documents\GitHub\mrs-test-scripts\Headless Mode &amp; Sideloading\WalkAndUnGZ.bat" "C:\Users\stu\Documents\Analysis\2016-02-23 RTDC Observations"\RTDC4030\2016-07-26 &amp; 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</v>
      </c>
      <c r="Q41" s="61" t="str">
        <f>VLOOKUP(C41,'Train Runs'!$A$13:$AE$810,22,0)</f>
        <v>https://search-rtdc-monitor-bjffxe2xuh6vdkpspy63sjmuny.us-east-1.es.amazonaws.com/_plugin/kibana/#/discover/Steve-Slow-Train-Analysis-(2080s-and-2083s)?_g=(refreshInterval:(display:Off,section:0,value:0),time:(from:'2016-07-26 17:49:11-0600',mode:absolute,to:'2016-07-26 20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41" s="62" t="str">
        <f t="shared" si="5"/>
        <v>"C:\Program Files (x86)\AstroGrep\AstroGrep.exe" /spath="C:\Users\stu\Documents\Analysis\2016-02-23 RTDC Observations" /stypes="*4030*201607270*" /stext=" 01:.+((SYSTEM_STATE.+slice.+state.+changed )|(ment ac)|(system.+state.+changed )|(\|lc)|(penalty)|(\[timeout)|(PRM\|1\|D))" /e /r /s</v>
      </c>
      <c r="S41" s="9" t="str">
        <f t="shared" si="6"/>
        <v>4030</v>
      </c>
      <c r="T41" s="44">
        <f t="shared" si="7"/>
        <v>42578.067071759258</v>
      </c>
      <c r="U41" s="60" t="str">
        <f t="shared" si="4"/>
        <v>EC</v>
      </c>
      <c r="V41" s="60" t="str">
        <f t="shared" si="8"/>
        <v>KEEP</v>
      </c>
    </row>
    <row r="42" spans="1:22" x14ac:dyDescent="0.25">
      <c r="A42" s="44">
        <v>42577.922465277778</v>
      </c>
      <c r="B42" s="37" t="s">
        <v>152</v>
      </c>
      <c r="C42" s="37" t="s">
        <v>450</v>
      </c>
      <c r="D42" s="37" t="s">
        <v>49</v>
      </c>
      <c r="E42" s="37" t="s">
        <v>50</v>
      </c>
      <c r="F42" s="57">
        <v>0</v>
      </c>
      <c r="G42" s="57">
        <v>72</v>
      </c>
      <c r="H42" s="57">
        <v>223</v>
      </c>
      <c r="I42" s="37" t="s">
        <v>51</v>
      </c>
      <c r="J42" s="57">
        <v>1</v>
      </c>
      <c r="K42" s="37" t="s">
        <v>53</v>
      </c>
      <c r="L42" s="84" t="str">
        <f>VLOOKUP(C42,'Trips&amp;Operators'!$C$1:$E$9999,3,0)</f>
        <v>CHANDLER</v>
      </c>
      <c r="M42" s="9" t="s">
        <v>97</v>
      </c>
      <c r="N42" s="10"/>
      <c r="O42" s="37"/>
      <c r="P42" s="63" t="str">
        <f>VLOOKUP(C42,'Train Runs'!$A$13:$AE$810,31,0)</f>
        <v>aws s3 cp s3://rtdc.mdm.uploadarchive/RTDC4041/2016-07-26/ "C:\Users\stu\Documents\Analysis\2016-02-23 RTDC Observations"\RTDC4041\2016-07-26 --recursive &amp; "C:\Users\stu\Documents\GitHub\mrs-test-scripts\Headless Mode &amp; Sideloading\WalkAndUnGZ.bat" "C:\Users\stu\Documents\Analysis\2016-02-23 RTDC Observations"\RTDC4041\2016-07-26 &amp; aws s3 cp s3://rtdc.mdm.uploadarchive/RTDC4041/2016-07-27/ "C:\Users\stu\Documents\Analysis\2016-02-23 RTDC Observations"\RTDC4041\2016-07-27 --recursive &amp; "C:\Users\stu\Documents\GitHub\mrs-test-scripts\Headless Mode &amp; Sideloading\WalkAndUnGZ.bat" "C:\Users\stu\Documents\Analysis\2016-02-23 RTDC Observations"\RTDC4041\2016-07-27</v>
      </c>
      <c r="Q42" s="61" t="str">
        <f>VLOOKUP(C42,'Train Runs'!$A$13:$AE$810,22,0)</f>
        <v>https://search-rtdc-monitor-bjffxe2xuh6vdkpspy63sjmuny.us-east-1.es.amazonaws.com/_plugin/kibana/#/discover/Steve-Slow-Train-Analysis-(2080s-and-2083s)?_g=(refreshInterval:(display:Off,section:0,value:0),time:(from:'2016-07-26 20:21:00-0600',mode:absolute,to:'2016-07-26 23:08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4041%22')),sort:!(Time,asc))</v>
      </c>
      <c r="R42" s="62" t="str">
        <f t="shared" si="5"/>
        <v>"C:\Program Files (x86)\AstroGrep\AstroGrep.exe" /spath="C:\Users\stu\Documents\Analysis\2016-02-23 RTDC Observations" /stypes="*4041*201607270*" /stext=" 04:.+((SYSTEM_STATE.+slice.+state.+changed )|(ment ac)|(system.+state.+changed )|(\|lc)|(penalty)|(\[timeout)|(PRM\|1\|D))" /e /r /s</v>
      </c>
      <c r="S42" s="9" t="str">
        <f t="shared" si="6"/>
        <v>4041</v>
      </c>
      <c r="T42" s="44">
        <f t="shared" si="7"/>
        <v>42578.172465277778</v>
      </c>
      <c r="U42" s="60" t="str">
        <f t="shared" si="4"/>
        <v>EC</v>
      </c>
      <c r="V42" s="60" t="str">
        <f t="shared" si="8"/>
        <v>KEEP</v>
      </c>
    </row>
    <row r="43" spans="1:22" ht="15" customHeight="1" x14ac:dyDescent="0.25">
      <c r="A43" s="44">
        <v>42577.338541666664</v>
      </c>
      <c r="B43" s="56" t="s">
        <v>107</v>
      </c>
      <c r="C43" s="37" t="s">
        <v>412</v>
      </c>
      <c r="D43" s="37" t="s">
        <v>49</v>
      </c>
      <c r="E43" s="56" t="s">
        <v>50</v>
      </c>
      <c r="F43" s="57">
        <v>0</v>
      </c>
      <c r="G43" s="57">
        <v>66</v>
      </c>
      <c r="H43" s="57">
        <v>233243</v>
      </c>
      <c r="I43" s="56" t="s">
        <v>51</v>
      </c>
      <c r="J43" s="57">
        <v>233491</v>
      </c>
      <c r="K43" s="37" t="s">
        <v>52</v>
      </c>
      <c r="L43" s="84" t="str">
        <f>VLOOKUP(C43,'Trips&amp;Operators'!$C$1:$E$9999,3,0)</f>
        <v>ACKERMAN</v>
      </c>
      <c r="M43" s="9" t="s">
        <v>97</v>
      </c>
      <c r="N43" s="10"/>
      <c r="O43" s="37"/>
      <c r="P43" s="63" t="str">
        <f>VLOOKUP(C43,'Train Runs'!$A$13:$AE$810,31,0)</f>
        <v>aws s3 cp s3://rtdc.mdm.uploadarchive/RTDC4029/2016-07-26/ "C:\Users\stu\Documents\Analysis\2016-02-23 RTDC Observations"\RTDC4029\2016-07-26 --recursive &amp; "C:\Users\stu\Documents\GitHub\mrs-test-scripts\Headless Mode &amp; Sideloading\WalkAndUnGZ.bat" "C:\Users\stu\Documents\Analysis\2016-02-23 RTDC Observations"\RTDC4029\2016-07-26 &amp; 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</v>
      </c>
      <c r="Q43" s="61" t="str">
        <f>VLOOKUP(C43,'Train Runs'!$A$13:$AE$810,22,0)</f>
        <v>https://search-rtdc-monitor-bjffxe2xuh6vdkpspy63sjmuny.us-east-1.es.amazonaws.com/_plugin/kibana/#/discover/Steve-Slow-Train-Analysis-(2080s-and-2083s)?_g=(refreshInterval:(display:Off,section:0,value:0),time:(from:'2016-07-26 06:24:03-0600',mode:absolute,to:'2016-07-26 09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43" s="62" t="str">
        <f t="shared" si="5"/>
        <v>"C:\Program Files (x86)\AstroGrep\AstroGrep.exe" /spath="C:\Users\stu\Documents\Analysis\2016-02-23 RTDC Observations" /stypes="*4029*201607261*" /stext=" 14:.+((SYSTEM_STATE.+slice.+state.+changed )|(ment ac)|(system.+state.+changed )|(\|lc)|(penalty)|(\[timeout)|(PRM\|1\|D))" /e /r /s</v>
      </c>
      <c r="S43" s="9" t="str">
        <f t="shared" si="6"/>
        <v>4029</v>
      </c>
      <c r="T43" s="44">
        <f t="shared" si="7"/>
        <v>42577.588541666664</v>
      </c>
      <c r="U43" s="60" t="str">
        <f t="shared" si="4"/>
        <v>EC</v>
      </c>
      <c r="V43" s="60" t="str">
        <f t="shared" si="8"/>
        <v>KEEP</v>
      </c>
    </row>
    <row r="44" spans="1:22" x14ac:dyDescent="0.25">
      <c r="A44" s="44">
        <v>42577.431458333333</v>
      </c>
      <c r="B44" s="56" t="s">
        <v>76</v>
      </c>
      <c r="C44" s="37" t="s">
        <v>420</v>
      </c>
      <c r="D44" s="37" t="s">
        <v>49</v>
      </c>
      <c r="E44" s="56" t="s">
        <v>50</v>
      </c>
      <c r="F44" s="57">
        <v>0</v>
      </c>
      <c r="G44" s="57">
        <v>52</v>
      </c>
      <c r="H44" s="57">
        <v>233276</v>
      </c>
      <c r="I44" s="56" t="s">
        <v>51</v>
      </c>
      <c r="J44" s="57">
        <v>233491</v>
      </c>
      <c r="K44" s="37" t="s">
        <v>52</v>
      </c>
      <c r="L44" s="84" t="str">
        <f>VLOOKUP(C44,'Trips&amp;Operators'!$C$1:$E$9999,3,0)</f>
        <v>SPECTOR</v>
      </c>
      <c r="M44" s="9" t="s">
        <v>97</v>
      </c>
      <c r="N44" s="10"/>
      <c r="O44" s="37"/>
      <c r="P44" s="63" t="str">
        <f>VLOOKUP(C44,'Train Runs'!$A$13:$AE$810,31,0)</f>
        <v>aws s3 cp s3://rtdc.mdm.uploadarchive/RTDC4042/2016-07-26/ "C:\Users\stu\Documents\Analysis\2016-02-23 RTDC Observations"\RTDC4042\2016-07-26 --recursive &amp; "C:\Users\stu\Documents\GitHub\mrs-test-scripts\Headless Mode &amp; Sideloading\WalkAndUnGZ.bat" "C:\Users\stu\Documents\Analysis\2016-02-23 RTDC Observations"\RTDC4042\2016-07-26 &amp; 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</v>
      </c>
      <c r="Q44" s="61" t="str">
        <f>VLOOKUP(C44,'Train Runs'!$A$13:$AE$810,22,0)</f>
        <v>https://search-rtdc-monitor-bjffxe2xuh6vdkpspy63sjmuny.us-east-1.es.amazonaws.com/_plugin/kibana/#/discover/Steve-Slow-Train-Analysis-(2080s-and-2083s)?_g=(refreshInterval:(display:Off,section:0,value:0),time:(from:'2016-07-26 08:38:29-0600',mode:absolute,to:'2016-07-26 11:21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R44" s="62" t="str">
        <f t="shared" si="5"/>
        <v>"C:\Program Files (x86)\AstroGrep\AstroGrep.exe" /spath="C:\Users\stu\Documents\Analysis\2016-02-23 RTDC Observations" /stypes="*4042*201607261*" /stext=" 16:.+((SYSTEM_STATE.+slice.+state.+changed )|(ment ac)|(system.+state.+changed )|(\|lc)|(penalty)|(\[timeout)|(PRM\|1\|D))" /e /r /s</v>
      </c>
      <c r="S44" s="9" t="str">
        <f t="shared" si="6"/>
        <v>4042</v>
      </c>
      <c r="T44" s="44">
        <f t="shared" si="7"/>
        <v>42577.681458333333</v>
      </c>
      <c r="U44" s="60" t="str">
        <f t="shared" si="4"/>
        <v>EC</v>
      </c>
      <c r="V44" s="60" t="str">
        <f t="shared" si="8"/>
        <v>KEEP</v>
      </c>
    </row>
    <row r="45" spans="1:22" ht="15" customHeight="1" x14ac:dyDescent="0.25">
      <c r="A45" s="44">
        <v>42577.639699074076</v>
      </c>
      <c r="B45" s="56" t="s">
        <v>105</v>
      </c>
      <c r="C45" s="37" t="s">
        <v>437</v>
      </c>
      <c r="D45" s="37" t="s">
        <v>49</v>
      </c>
      <c r="E45" s="56" t="s">
        <v>50</v>
      </c>
      <c r="F45" s="57">
        <v>0</v>
      </c>
      <c r="G45" s="57">
        <v>78</v>
      </c>
      <c r="H45" s="57">
        <v>233230</v>
      </c>
      <c r="I45" s="56" t="s">
        <v>51</v>
      </c>
      <c r="J45" s="57">
        <v>233491</v>
      </c>
      <c r="K45" s="37" t="s">
        <v>52</v>
      </c>
      <c r="L45" s="84" t="str">
        <f>VLOOKUP(C45,'Trips&amp;Operators'!$C$1:$E$9999,3,0)</f>
        <v>STEWART</v>
      </c>
      <c r="M45" s="9" t="s">
        <v>97</v>
      </c>
      <c r="N45" s="10"/>
      <c r="O45" s="37"/>
      <c r="P45" s="63" t="str">
        <f>VLOOKUP(C45,'Train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5" s="61" t="str">
        <f>VLOOKUP(C45,'Train Runs'!$A$13:$AE$810,22,0)</f>
        <v>https://search-rtdc-monitor-bjffxe2xuh6vdkpspy63sjmuny.us-east-1.es.amazonaws.com/_plugin/kibana/#/discover/Steve-Slow-Train-Analysis-(2080s-and-2083s)?_g=(refreshInterval:(display:Off,section:0,value:0),time:(from:'2016-07-26 13:41:09-0600',mode:absolute,to:'2016-07-26 16:21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5" s="62" t="str">
        <f t="shared" si="5"/>
        <v>"C:\Program Files (x86)\AstroGrep\AstroGrep.exe" /spath="C:\Users\stu\Documents\Analysis\2016-02-23 RTDC Observations" /stypes="*4025*201607262*" /stext=" 21:.+((SYSTEM_STATE.+slice.+state.+changed )|(ment ac)|(system.+state.+changed )|(\|lc)|(penalty)|(\[timeout)|(PRM\|1\|D))" /e /r /s</v>
      </c>
      <c r="S45" s="9" t="str">
        <f t="shared" si="6"/>
        <v>4025</v>
      </c>
      <c r="T45" s="44">
        <f t="shared" si="7"/>
        <v>42577.889699074076</v>
      </c>
      <c r="U45" s="60" t="str">
        <f t="shared" si="4"/>
        <v>EC</v>
      </c>
      <c r="V45" s="60" t="str">
        <f t="shared" si="8"/>
        <v>KEEP</v>
      </c>
    </row>
    <row r="46" spans="1:22" x14ac:dyDescent="0.25">
      <c r="A46" s="44">
        <v>42577.713252314818</v>
      </c>
      <c r="B46" s="56" t="s">
        <v>105</v>
      </c>
      <c r="C46" s="37" t="s">
        <v>443</v>
      </c>
      <c r="D46" s="37" t="s">
        <v>49</v>
      </c>
      <c r="E46" s="56" t="s">
        <v>50</v>
      </c>
      <c r="F46" s="57">
        <v>0</v>
      </c>
      <c r="G46" s="57">
        <v>79</v>
      </c>
      <c r="H46" s="57">
        <v>233174</v>
      </c>
      <c r="I46" s="56" t="s">
        <v>51</v>
      </c>
      <c r="J46" s="57">
        <v>233491</v>
      </c>
      <c r="K46" s="37" t="s">
        <v>52</v>
      </c>
      <c r="L46" s="84" t="str">
        <f>VLOOKUP(C46,'Trips&amp;Operators'!$C$1:$E$9999,3,0)</f>
        <v>STEWART</v>
      </c>
      <c r="M46" s="9" t="s">
        <v>97</v>
      </c>
      <c r="N46" s="10"/>
      <c r="O46" s="37"/>
      <c r="P46" s="63" t="str">
        <f>VLOOKUP(C46,'Train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6" s="61" t="str">
        <f>VLOOKUP(C46,'Train Runs'!$A$13:$AE$810,22,0)</f>
        <v>https://search-rtdc-monitor-bjffxe2xuh6vdkpspy63sjmuny.us-east-1.es.amazonaws.com/_plugin/kibana/#/discover/Steve-Slow-Train-Analysis-(2080s-and-2083s)?_g=(refreshInterval:(display:Off,section:0,value:0),time:(from:'2016-07-26 15:25:49-0600',mode:absolute,to:'2016-07-26 18:07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6" s="62" t="str">
        <f t="shared" si="5"/>
        <v>"C:\Program Files (x86)\AstroGrep\AstroGrep.exe" /spath="C:\Users\stu\Documents\Analysis\2016-02-23 RTDC Observations" /stypes="*4025*201607262*" /stext=" 23:.+((SYSTEM_STATE.+slice.+state.+changed )|(ment ac)|(system.+state.+changed )|(\|lc)|(penalty)|(\[timeout)|(PRM\|1\|D))" /e /r /s</v>
      </c>
      <c r="S46" s="9" t="str">
        <f t="shared" si="6"/>
        <v>4025</v>
      </c>
      <c r="T46" s="44">
        <f t="shared" si="7"/>
        <v>42577.963252314818</v>
      </c>
      <c r="U46" s="60" t="str">
        <f t="shared" si="4"/>
        <v>EC</v>
      </c>
      <c r="V46" s="60" t="str">
        <f t="shared" si="8"/>
        <v>KEEP</v>
      </c>
    </row>
    <row r="47" spans="1:22" ht="15" customHeight="1" x14ac:dyDescent="0.25">
      <c r="A47" s="44">
        <v>42577.899965277778</v>
      </c>
      <c r="B47" s="37" t="s">
        <v>69</v>
      </c>
      <c r="C47" s="37" t="s">
        <v>449</v>
      </c>
      <c r="D47" s="37" t="s">
        <v>49</v>
      </c>
      <c r="E47" s="37" t="s">
        <v>50</v>
      </c>
      <c r="F47" s="57">
        <v>0</v>
      </c>
      <c r="G47" s="57">
        <v>53</v>
      </c>
      <c r="H47" s="57">
        <v>233276</v>
      </c>
      <c r="I47" s="37" t="s">
        <v>51</v>
      </c>
      <c r="J47" s="57">
        <v>233491</v>
      </c>
      <c r="K47" s="37" t="s">
        <v>52</v>
      </c>
      <c r="L47" s="84" t="str">
        <f>VLOOKUP(C47,'Trips&amp;Operators'!$C$1:$E$9999,3,0)</f>
        <v>LEVERE</v>
      </c>
      <c r="M47" s="9" t="s">
        <v>97</v>
      </c>
      <c r="N47" s="10"/>
      <c r="O47" s="37"/>
      <c r="P47" s="63" t="str">
        <f>VLOOKUP(C47,'Train Runs'!$A$13:$AE$810,31,0)</f>
        <v>aws s3 cp s3://rtdc.mdm.uploadarchive/RTDC4018/2016-07-26/ "C:\Users\stu\Documents\Analysis\2016-02-23 RTDC Observations"\RTDC4018\2016-07-26 --recursive &amp; "C:\Users\stu\Documents\GitHub\mrs-test-scripts\Headless Mode &amp; Sideloading\WalkAndUnGZ.bat" "C:\Users\stu\Documents\Analysis\2016-02-23 RTDC Observations"\RTDC4018\2016-07-26 &amp; 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</v>
      </c>
      <c r="Q47" s="61" t="str">
        <f>VLOOKUP(C47,'Train Runs'!$A$13:$AE$810,22,0)</f>
        <v>https://search-rtdc-monitor-bjffxe2xuh6vdkpspy63sjmuny.us-east-1.es.amazonaws.com/_plugin/kibana/#/discover/Steve-Slow-Train-Analysis-(2080s-and-2083s)?_g=(refreshInterval:(display:Off,section:0,value:0),time:(from:'2016-07-26 19:43:20-0600',mode:absolute,to:'2016-07-26 22:36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7" s="62" t="str">
        <f t="shared" si="5"/>
        <v>"C:\Program Files (x86)\AstroGrep\AstroGrep.exe" /spath="C:\Users\stu\Documents\Analysis\2016-02-23 RTDC Observations" /stypes="*4018*201607270*" /stext=" 03:.+((SYSTEM_STATE.+slice.+state.+changed )|(ment ac)|(system.+state.+changed )|(\|lc)|(penalty)|(\[timeout)|(PRM\|1\|D))" /e /r /s</v>
      </c>
      <c r="S47" s="9" t="str">
        <f t="shared" si="6"/>
        <v>4018</v>
      </c>
      <c r="T47" s="44">
        <f t="shared" si="7"/>
        <v>42578.149965277778</v>
      </c>
      <c r="U47" s="60" t="str">
        <f t="shared" si="4"/>
        <v>EC</v>
      </c>
      <c r="V47" s="60" t="str">
        <f t="shared" si="8"/>
        <v>KEEP</v>
      </c>
    </row>
    <row r="48" spans="1:22" x14ac:dyDescent="0.25">
      <c r="A48" s="44">
        <v>42577.941053240742</v>
      </c>
      <c r="B48" s="37" t="s">
        <v>105</v>
      </c>
      <c r="C48" s="37" t="s">
        <v>451</v>
      </c>
      <c r="D48" s="37" t="s">
        <v>49</v>
      </c>
      <c r="E48" s="37" t="s">
        <v>50</v>
      </c>
      <c r="F48" s="57">
        <v>0</v>
      </c>
      <c r="G48" s="57">
        <v>98</v>
      </c>
      <c r="H48" s="57">
        <v>233069</v>
      </c>
      <c r="I48" s="37" t="s">
        <v>51</v>
      </c>
      <c r="J48" s="57">
        <v>233491</v>
      </c>
      <c r="K48" s="37" t="s">
        <v>52</v>
      </c>
      <c r="L48" s="84" t="str">
        <f>VLOOKUP(C48,'Trips&amp;Operators'!$C$1:$E$9999,3,0)</f>
        <v>YANAI</v>
      </c>
      <c r="M48" s="9" t="s">
        <v>97</v>
      </c>
      <c r="N48" s="10"/>
      <c r="O48" s="37"/>
      <c r="P48" s="63" t="str">
        <f>VLOOKUP(C48,'Train Runs'!$A$13:$AE$810,31,0)</f>
        <v>aws s3 cp s3://rtdc.mdm.uploadarchive/RTDC4025/2016-07-26/ "C:\Users\stu\Documents\Analysis\2016-02-23 RTDC Observations"\RTDC4025\2016-07-26 --recursive &amp; "C:\Users\stu\Documents\GitHub\mrs-test-scripts\Headless Mode &amp; Sideloading\WalkAndUnGZ.bat" "C:\Users\stu\Documents\Analysis\2016-02-23 RTDC Observations"\RTDC4025\2016-07-26 &amp; aws s3 cp s3://rtdc.mdm.uploadarchive/RTDC4025/2016-07-27/ "C:\Users\stu\Documents\Analysis\2016-02-23 RTDC Observations"\RTDC4025\2016-07-27 --recursive &amp; "C:\Users\stu\Documents\GitHub\mrs-test-scripts\Headless Mode &amp; Sideloading\WalkAndUnGZ.bat" "C:\Users\stu\Documents\Analysis\2016-02-23 RTDC Observations"\RTDC4025\2016-07-27</v>
      </c>
      <c r="Q48" s="61" t="str">
        <f>VLOOKUP(C48,'Train Runs'!$A$13:$AE$810,22,0)</f>
        <v>https://search-rtdc-monitor-bjffxe2xuh6vdkpspy63sjmuny.us-east-1.es.amazonaws.com/_plugin/kibana/#/discover/Steve-Slow-Train-Analysis-(2080s-and-2083s)?_g=(refreshInterval:(display:Off,section:0,value:0),time:(from:'2016-07-26 20:36:55-0600',mode:absolute,to:'2016-07-26 23:36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8" s="62" t="str">
        <f t="shared" si="5"/>
        <v>"C:\Program Files (x86)\AstroGrep\AstroGrep.exe" /spath="C:\Users\stu\Documents\Analysis\2016-02-23 RTDC Observations" /stypes="*4025*201607270*" /stext=" 04:.+((SYSTEM_STATE.+slice.+state.+changed )|(ment ac)|(system.+state.+changed )|(\|lc)|(penalty)|(\[timeout)|(PRM\|1\|D))" /e /r /s</v>
      </c>
      <c r="S48" s="9" t="str">
        <f t="shared" si="6"/>
        <v>4025</v>
      </c>
      <c r="T48" s="44">
        <f t="shared" si="7"/>
        <v>42578.191053240742</v>
      </c>
      <c r="U48" s="60" t="str">
        <f t="shared" si="4"/>
        <v>EC</v>
      </c>
      <c r="V48" s="60" t="str">
        <f t="shared" si="8"/>
        <v>KEEP</v>
      </c>
    </row>
    <row r="49" spans="1:22" x14ac:dyDescent="0.25">
      <c r="A49" s="44">
        <v>42577.281782407408</v>
      </c>
      <c r="B49" s="56" t="s">
        <v>365</v>
      </c>
      <c r="C49" s="37" t="s">
        <v>400</v>
      </c>
      <c r="D49" s="37" t="s">
        <v>49</v>
      </c>
      <c r="E49" s="56" t="s">
        <v>56</v>
      </c>
      <c r="F49" s="57">
        <v>300</v>
      </c>
      <c r="G49" s="57">
        <v>425</v>
      </c>
      <c r="H49" s="57">
        <v>43508</v>
      </c>
      <c r="I49" s="56" t="s">
        <v>57</v>
      </c>
      <c r="J49" s="57">
        <v>41797</v>
      </c>
      <c r="K49" s="37" t="s">
        <v>53</v>
      </c>
      <c r="L49" s="84" t="str">
        <f>VLOOKUP(C49,'Trips&amp;Operators'!$C$1:$E$9999,3,0)</f>
        <v>LEVIN</v>
      </c>
      <c r="M49" s="9" t="s">
        <v>97</v>
      </c>
      <c r="N49" s="10"/>
      <c r="O49" s="37"/>
      <c r="P49" s="63" t="str">
        <f>VLOOKUP(C49,'Train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49" s="61" t="str">
        <f>VLOOKUP(C49,'Train Runs'!$A$13:$AE$810,22,0)</f>
        <v>https://search-rtdc-monitor-bjffxe2xuh6vdkpspy63sjmuny.us-east-1.es.amazonaws.com/_plugin/kibana/#/discover/Steve-Slow-Train-Analysis-(2080s-and-2083s)?_g=(refreshInterval:(display:Off,section:0,value:0),time:(from:'2016-07-26 05:37:37-0600',mode:absolute,to:'2016-07-26 07:55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49" s="62" t="str">
        <f t="shared" si="5"/>
        <v>"C:\Program Files (x86)\AstroGrep\AstroGrep.exe" /spath="C:\Users\stu\Documents\Analysis\2016-02-23 RTDC Observations" /stypes="*4037*201607261*" /stext=" 12:.+((SYSTEM_STATE.+slice.+state.+changed )|(ment ac)|(system.+state.+changed )|(\|lc)|(penalty)|(\[timeout)|(PRM\|1\|D))" /e /r /s</v>
      </c>
      <c r="S49" s="9" t="str">
        <f t="shared" si="6"/>
        <v>4037</v>
      </c>
      <c r="T49" s="44">
        <f t="shared" si="7"/>
        <v>42577.531782407408</v>
      </c>
      <c r="U49" s="60" t="str">
        <f t="shared" si="4"/>
        <v>NW</v>
      </c>
      <c r="V49" s="60" t="str">
        <f t="shared" si="8"/>
        <v>KEEP</v>
      </c>
    </row>
    <row r="50" spans="1:22" ht="15" customHeight="1" x14ac:dyDescent="0.25">
      <c r="A50" s="44">
        <v>42577.479143518518</v>
      </c>
      <c r="B50" s="56" t="s">
        <v>101</v>
      </c>
      <c r="C50" s="37" t="s">
        <v>424</v>
      </c>
      <c r="D50" s="37" t="s">
        <v>147</v>
      </c>
      <c r="E50" s="56" t="s">
        <v>56</v>
      </c>
      <c r="F50" s="57">
        <v>400</v>
      </c>
      <c r="G50" s="57">
        <v>450</v>
      </c>
      <c r="H50" s="57">
        <v>43731</v>
      </c>
      <c r="I50" s="56" t="s">
        <v>57</v>
      </c>
      <c r="J50" s="57">
        <v>41797</v>
      </c>
      <c r="K50" s="37" t="s">
        <v>52</v>
      </c>
      <c r="L50" s="84" t="str">
        <f>VLOOKUP(C50,'Trips&amp;Operators'!$C$1:$E$9999,3,0)</f>
        <v>LEVIN</v>
      </c>
      <c r="M50" s="9" t="s">
        <v>97</v>
      </c>
      <c r="N50" s="10"/>
      <c r="O50" s="37"/>
      <c r="P50" s="63" t="str">
        <f>VLOOKUP(C50,'Train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0" s="61" t="str">
        <f>VLOOKUP(C50,'Train Runs'!$A$13:$AE$810,22,0)</f>
        <v>https://search-rtdc-monitor-bjffxe2xuh6vdkpspy63sjmuny.us-east-1.es.amazonaws.com/_plugin/kibana/#/discover/Steve-Slow-Train-Analysis-(2080s-and-2083s)?_g=(refreshInterval:(display:Off,section:0,value:0),time:(from:'2016-07-26 10:11:17-0600',mode:absolute,to:'2016-07-26 12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0" s="62" t="str">
        <f t="shared" si="5"/>
        <v>"C:\Program Files (x86)\AstroGrep\AstroGrep.exe" /spath="C:\Users\stu\Documents\Analysis\2016-02-23 RTDC Observations" /stypes="*4038*201607261*" /stext=" 17:.+((SYSTEM_STATE.+slice.+state.+changed )|(ment ac)|(system.+state.+changed )|(\|lc)|(penalty)|(\[timeout)|(PRM\|1\|D))" /e /r /s</v>
      </c>
      <c r="S50" s="9" t="str">
        <f t="shared" si="6"/>
        <v>4038</v>
      </c>
      <c r="T50" s="44">
        <f t="shared" si="7"/>
        <v>42577.729143518518</v>
      </c>
      <c r="U50" s="60" t="str">
        <f t="shared" si="4"/>
        <v>NW</v>
      </c>
      <c r="V50" s="60" t="str">
        <f t="shared" si="8"/>
        <v>KEEP</v>
      </c>
    </row>
    <row r="51" spans="1:22" ht="15" customHeight="1" x14ac:dyDescent="0.25">
      <c r="A51" s="44">
        <v>42577.272280092591</v>
      </c>
      <c r="B51" s="56" t="s">
        <v>101</v>
      </c>
      <c r="C51" s="37" t="s">
        <v>375</v>
      </c>
      <c r="D51" s="37" t="s">
        <v>49</v>
      </c>
      <c r="E51" s="56" t="s">
        <v>56</v>
      </c>
      <c r="F51" s="57">
        <v>150</v>
      </c>
      <c r="G51" s="57">
        <v>243</v>
      </c>
      <c r="H51" s="57">
        <v>56414</v>
      </c>
      <c r="I51" s="56" t="s">
        <v>57</v>
      </c>
      <c r="J51" s="57">
        <v>57008</v>
      </c>
      <c r="K51" s="37" t="s">
        <v>52</v>
      </c>
      <c r="L51" s="84" t="str">
        <f>VLOOKUP(C51,'Trips&amp;Operators'!$C$1:$E$9999,3,0)</f>
        <v>LEVIN</v>
      </c>
      <c r="M51" s="9" t="s">
        <v>97</v>
      </c>
      <c r="N51" s="10"/>
      <c r="O51" s="37"/>
      <c r="P51" s="63" t="str">
        <f>VLOOKUP(C51,'Train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1" s="61" t="str">
        <f>VLOOKUP(C51,'Train Runs'!$A$13:$AE$810,22,0)</f>
        <v>https://search-rtdc-monitor-bjffxe2xuh6vdkpspy63sjmuny.us-east-1.es.amazonaws.com/_plugin/kibana/#/discover/Steve-Slow-Train-Analysis-(2080s-and-2083s)?_g=(refreshInterval:(display:Off,section:0,value:0),time:(from:'2016-07-26 05:07:28-0600',mode:absolute,to:'2016-07-26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1" s="62" t="str">
        <f t="shared" si="5"/>
        <v>"C:\Program Files (x86)\AstroGrep\AstroGrep.exe" /spath="C:\Users\stu\Documents\Analysis\2016-02-23 RTDC Observations" /stypes="*4038*201607261*" /stext=" 12:.+((SYSTEM_STATE.+slice.+state.+changed )|(ment ac)|(system.+state.+changed )|(\|lc)|(penalty)|(\[timeout)|(PRM\|1\|D))" /e /r /s</v>
      </c>
      <c r="S51" s="9" t="str">
        <f t="shared" si="6"/>
        <v>4038</v>
      </c>
      <c r="T51" s="44">
        <f t="shared" si="7"/>
        <v>42577.522280092591</v>
      </c>
      <c r="U51" s="60" t="str">
        <f t="shared" si="4"/>
        <v>NW</v>
      </c>
      <c r="V51" s="60" t="str">
        <f t="shared" si="8"/>
        <v>KEEP</v>
      </c>
    </row>
    <row r="52" spans="1:22" ht="15" customHeight="1" x14ac:dyDescent="0.25">
      <c r="A52" s="44">
        <v>42577.355486111112</v>
      </c>
      <c r="B52" s="37" t="s">
        <v>101</v>
      </c>
      <c r="C52" s="37" t="s">
        <v>415</v>
      </c>
      <c r="D52" s="37" t="s">
        <v>49</v>
      </c>
      <c r="E52" s="37" t="s">
        <v>56</v>
      </c>
      <c r="F52" s="57">
        <v>150</v>
      </c>
      <c r="G52" s="57">
        <v>426</v>
      </c>
      <c r="H52" s="57">
        <v>55137</v>
      </c>
      <c r="I52" s="37" t="s">
        <v>57</v>
      </c>
      <c r="J52" s="57">
        <v>57008</v>
      </c>
      <c r="K52" s="37" t="s">
        <v>52</v>
      </c>
      <c r="L52" s="84" t="str">
        <f>VLOOKUP(C52,'Trips&amp;Operators'!$C$1:$E$9999,3,0)</f>
        <v>LEVIN</v>
      </c>
      <c r="M52" s="9" t="s">
        <v>97</v>
      </c>
      <c r="N52" s="10"/>
      <c r="O52" s="37"/>
      <c r="P52" s="63" t="str">
        <f>VLOOKUP(C52,'Train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2" s="61" t="str">
        <f>VLOOKUP(C52,'Train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07:12:34-0600',mode:absolute,to:'2016-07-26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2" s="62" t="str">
        <f t="shared" si="5"/>
        <v>"C:\Program Files (x86)\AstroGrep\AstroGrep.exe" /spath="C:\Users\stu\Documents\Analysis\2016-02-23 RTDC Observations" /stypes="*4038*201607261*" /stext=" 14:.+((SYSTEM_STATE.+slice.+state.+changed )|(ment ac)|(system.+state.+changed )|(\|lc)|(penalty)|(\[timeout)|(PRM\|1\|D))" /e /r /s</v>
      </c>
      <c r="S52" s="9" t="str">
        <f t="shared" si="6"/>
        <v>4038</v>
      </c>
      <c r="T52" s="44">
        <f t="shared" si="7"/>
        <v>42577.605486111112</v>
      </c>
      <c r="U52" s="60" t="str">
        <f t="shared" si="4"/>
        <v>NW</v>
      </c>
      <c r="V52" s="60" t="str">
        <f t="shared" si="8"/>
        <v>KEEP</v>
      </c>
    </row>
    <row r="53" spans="1:22" ht="15" customHeight="1" x14ac:dyDescent="0.25">
      <c r="A53" s="44">
        <v>42577.647986111115</v>
      </c>
      <c r="B53" s="56" t="s">
        <v>101</v>
      </c>
      <c r="C53" s="37" t="s">
        <v>438</v>
      </c>
      <c r="D53" s="37" t="s">
        <v>49</v>
      </c>
      <c r="E53" s="56" t="s">
        <v>56</v>
      </c>
      <c r="F53" s="57">
        <v>150</v>
      </c>
      <c r="G53" s="57">
        <v>338</v>
      </c>
      <c r="H53" s="57">
        <v>56099</v>
      </c>
      <c r="I53" s="56" t="s">
        <v>57</v>
      </c>
      <c r="J53" s="57">
        <v>57008</v>
      </c>
      <c r="K53" s="37" t="s">
        <v>52</v>
      </c>
      <c r="L53" s="84" t="str">
        <f>VLOOKUP(C53,'Trips&amp;Operators'!$C$1:$E$9999,3,0)</f>
        <v>BRUDER</v>
      </c>
      <c r="M53" s="9" t="s">
        <v>97</v>
      </c>
      <c r="N53" s="10"/>
      <c r="O53" s="37"/>
      <c r="P53" s="63" t="str">
        <f>VLOOKUP(C53,'Train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53" s="61" t="str">
        <f>VLOOKUP(C53,'Train Runs'!$A$13:$AE$810,22,0)</f>
        <v>https://search-rtdc-monitor-bjffxe2xuh6vdkpspy63sjmuny.us-east-1.es.amazonaws.com/_plugin/kibana/#/discover/Steve-Slow-Train-Analysis-(2080s-and-2083s)?_g=(refreshInterval:(display:Off,section:0,value:0),time:(from:'2016-07-26 14:13:41-0600',mode:absolute,to:'2016-07-26 16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3" s="62" t="str">
        <f t="shared" si="5"/>
        <v>"C:\Program Files (x86)\AstroGrep\AstroGrep.exe" /spath="C:\Users\stu\Documents\Analysis\2016-02-23 RTDC Observations" /stypes="*4038*201607262*" /stext=" 21:.+((SYSTEM_STATE.+slice.+state.+changed )|(ment ac)|(system.+state.+changed )|(\|lc)|(penalty)|(\[timeout)|(PRM\|1\|D))" /e /r /s</v>
      </c>
      <c r="S53" s="9" t="str">
        <f t="shared" si="6"/>
        <v>4038</v>
      </c>
      <c r="T53" s="44">
        <f t="shared" si="7"/>
        <v>42577.897986111115</v>
      </c>
      <c r="U53" s="60" t="str">
        <f t="shared" si="4"/>
        <v>NW</v>
      </c>
      <c r="V53" s="60" t="str">
        <f t="shared" si="8"/>
        <v>KEEP</v>
      </c>
    </row>
    <row r="54" spans="1:22" x14ac:dyDescent="0.25">
      <c r="A54" s="44">
        <v>42577.342731481483</v>
      </c>
      <c r="B54" s="56" t="s">
        <v>104</v>
      </c>
      <c r="C54" s="37" t="s">
        <v>413</v>
      </c>
      <c r="D54" s="37" t="s">
        <v>147</v>
      </c>
      <c r="E54" s="56" t="s">
        <v>56</v>
      </c>
      <c r="F54" s="57">
        <v>150</v>
      </c>
      <c r="G54" s="57">
        <v>203</v>
      </c>
      <c r="H54" s="57">
        <v>56889</v>
      </c>
      <c r="I54" s="56" t="s">
        <v>57</v>
      </c>
      <c r="J54" s="57">
        <v>59050</v>
      </c>
      <c r="K54" s="37" t="s">
        <v>53</v>
      </c>
      <c r="L54" s="84" t="str">
        <f>VLOOKUP(C54,'Trips&amp;Operators'!$C$1:$E$9999,3,0)</f>
        <v>STARKS</v>
      </c>
      <c r="M54" s="9" t="s">
        <v>97</v>
      </c>
      <c r="N54" s="10"/>
      <c r="O54" s="37"/>
      <c r="P54" s="63" t="str">
        <f>VLOOKUP(C54,'Train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4" s="61" t="str">
        <f>VLOOKUP(C54,'Train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4" s="62" t="str">
        <f t="shared" si="5"/>
        <v>"C:\Program Files (x86)\AstroGrep\AstroGrep.exe" /spath="C:\Users\stu\Documents\Analysis\2016-02-23 RTDC Observations" /stypes="*4013*201607261*" /stext=" 14:.+((SYSTEM_STATE.+slice.+state.+changed )|(ment ac)|(system.+state.+changed )|(\|lc)|(penalty)|(\[timeout)|(PRM\|1\|D))" /e /r /s</v>
      </c>
      <c r="S54" s="9" t="str">
        <f t="shared" si="6"/>
        <v>4013</v>
      </c>
      <c r="T54" s="44">
        <f t="shared" si="7"/>
        <v>42577.592731481483</v>
      </c>
      <c r="U54" s="60" t="str">
        <f t="shared" si="4"/>
        <v>NW</v>
      </c>
      <c r="V54" s="60" t="str">
        <f t="shared" si="8"/>
        <v>KEEP</v>
      </c>
    </row>
    <row r="55" spans="1:22" x14ac:dyDescent="0.25">
      <c r="A55" s="44">
        <v>42577.229375000003</v>
      </c>
      <c r="B55" s="56" t="s">
        <v>104</v>
      </c>
      <c r="C55" s="37" t="s">
        <v>387</v>
      </c>
      <c r="D55" s="37" t="s">
        <v>147</v>
      </c>
      <c r="E55" s="56" t="s">
        <v>270</v>
      </c>
      <c r="F55" s="57">
        <v>100</v>
      </c>
      <c r="G55" s="57">
        <v>152</v>
      </c>
      <c r="H55" s="57">
        <v>10319</v>
      </c>
      <c r="I55" s="56" t="s">
        <v>134</v>
      </c>
      <c r="J55" s="57">
        <v>11000</v>
      </c>
      <c r="K55" s="37" t="s">
        <v>53</v>
      </c>
      <c r="L55" s="84" t="str">
        <f>VLOOKUP(C55,'Trips&amp;Operators'!$C$1:$E$9999,3,0)</f>
        <v>STARKS</v>
      </c>
      <c r="M55" s="9" t="s">
        <v>97</v>
      </c>
      <c r="N55" s="10"/>
      <c r="O55" s="37"/>
      <c r="P55" s="63" t="str">
        <f>VLOOKUP(C55,'Train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5" s="61" t="str">
        <f>VLOOKUP(C55,'Train Runs'!$A$13:$AE$810,22,0)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5" s="62" t="str">
        <f t="shared" si="5"/>
        <v>"C:\Program Files (x86)\AstroGrep\AstroGrep.exe" /spath="C:\Users\stu\Documents\Analysis\2016-02-23 RTDC Observations" /stypes="*4013*201607261*" /stext=" 11:.+((SYSTEM_STATE.+slice.+state.+changed )|(ment ac)|(system.+state.+changed )|(\|lc)|(penalty)|(\[timeout)|(PRM\|1\|D))" /e /r /s</v>
      </c>
      <c r="S55" s="9" t="str">
        <f t="shared" si="6"/>
        <v>4013</v>
      </c>
      <c r="T55" s="44">
        <f t="shared" si="7"/>
        <v>42577.479375000003</v>
      </c>
      <c r="U55" s="60" t="str">
        <f t="shared" si="4"/>
        <v>NW</v>
      </c>
      <c r="V55" s="60" t="str">
        <f t="shared" si="8"/>
        <v>KEEP</v>
      </c>
    </row>
    <row r="56" spans="1:22" x14ac:dyDescent="0.25">
      <c r="A56" s="44">
        <v>42577.307928240742</v>
      </c>
      <c r="B56" s="56" t="s">
        <v>104</v>
      </c>
      <c r="C56" s="37" t="s">
        <v>410</v>
      </c>
      <c r="D56" s="37" t="s">
        <v>147</v>
      </c>
      <c r="E56" s="56" t="s">
        <v>270</v>
      </c>
      <c r="F56" s="57">
        <v>100</v>
      </c>
      <c r="G56" s="57">
        <v>152</v>
      </c>
      <c r="H56" s="57">
        <v>10417</v>
      </c>
      <c r="I56" s="56" t="s">
        <v>134</v>
      </c>
      <c r="J56" s="57">
        <v>11000</v>
      </c>
      <c r="K56" s="37" t="s">
        <v>53</v>
      </c>
      <c r="L56" s="84" t="str">
        <f>VLOOKUP(C56,'Trips&amp;Operators'!$C$1:$E$9999,3,0)</f>
        <v>STARKS</v>
      </c>
      <c r="M56" s="9" t="s">
        <v>97</v>
      </c>
      <c r="N56" s="10"/>
      <c r="O56" s="37"/>
      <c r="P56" s="63" t="str">
        <f>VLOOKUP(C56,'Train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6" s="61" t="str">
        <f>VLOOKUP(C56,'Train Runs'!$A$13:$AE$810,22,0)</f>
        <v>https://search-rtdc-monitor-bjffxe2xuh6vdkpspy63sjmuny.us-east-1.es.amazonaws.com/_plugin/kibana/#/discover/Steve-Slow-Train-Analysis-(2080s-and-2083s)?_g=(refreshInterval:(display:Off,section:0,value:0),time:(from:'2016-07-26 06:10:24-0600',mode:absolute,to:'2016-07-26 08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6" s="62" t="str">
        <f t="shared" si="5"/>
        <v>"C:\Program Files (x86)\AstroGrep\AstroGrep.exe" /spath="C:\Users\stu\Documents\Analysis\2016-02-23 RTDC Observations" /stypes="*4013*201607261*" /stext=" 13:.+((SYSTEM_STATE.+slice.+state.+changed )|(ment ac)|(system.+state.+changed )|(\|lc)|(penalty)|(\[timeout)|(PRM\|1\|D))" /e /r /s</v>
      </c>
      <c r="S56" s="9" t="str">
        <f t="shared" si="6"/>
        <v>4013</v>
      </c>
      <c r="T56" s="44">
        <f t="shared" si="7"/>
        <v>42577.557928240742</v>
      </c>
      <c r="U56" s="60" t="str">
        <f t="shared" si="4"/>
        <v>NW</v>
      </c>
      <c r="V56" s="60" t="str">
        <f t="shared" si="8"/>
        <v>KEEP</v>
      </c>
    </row>
    <row r="57" spans="1:22" x14ac:dyDescent="0.25">
      <c r="A57" s="44">
        <v>42577.368530092594</v>
      </c>
      <c r="B57" s="56" t="s">
        <v>365</v>
      </c>
      <c r="C57" s="37" t="s">
        <v>417</v>
      </c>
      <c r="D57" s="37" t="s">
        <v>49</v>
      </c>
      <c r="E57" s="56" t="s">
        <v>270</v>
      </c>
      <c r="F57" s="57">
        <v>100</v>
      </c>
      <c r="G57" s="57">
        <v>207</v>
      </c>
      <c r="H57" s="57">
        <v>11462</v>
      </c>
      <c r="I57" s="56" t="s">
        <v>134</v>
      </c>
      <c r="J57" s="57">
        <v>11000</v>
      </c>
      <c r="K57" s="37" t="s">
        <v>53</v>
      </c>
      <c r="L57" s="84" t="str">
        <f>VLOOKUP(C57,'Trips&amp;Operators'!$C$1:$E$9999,3,0)</f>
        <v>LEVIN</v>
      </c>
      <c r="M57" s="9" t="s">
        <v>97</v>
      </c>
      <c r="N57" s="10"/>
      <c r="O57" s="37"/>
      <c r="P57" s="63" t="str">
        <f>VLOOKUP(C57,'Train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57" s="61" t="str">
        <f>VLOOKUP(C57,'Train Runs'!$A$13:$AE$810,22,0)</f>
        <v>https://search-rtdc-monitor-bjffxe2xuh6vdkpspy63sjmuny.us-east-1.es.amazonaws.com/_plugin/kibana/#/discover/Steve-Slow-Train-Analysis-(2080s-and-2083s)?_g=(refreshInterval:(display:Off,section:0,value:0),time:(from:'2016-07-26 07:36:43-0600',mode:absolute,to:'2016-07-26 09:55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62" t="str">
        <f t="shared" si="5"/>
        <v>"C:\Program Files (x86)\AstroGrep\AstroGrep.exe" /spath="C:\Users\stu\Documents\Analysis\2016-02-23 RTDC Observations" /stypes="*4037*201607261*" /stext=" 14:.+((SYSTEM_STATE.+slice.+state.+changed )|(ment ac)|(system.+state.+changed )|(\|lc)|(penalty)|(\[timeout)|(PRM\|1\|D))" /e /r /s</v>
      </c>
      <c r="S57" s="9" t="str">
        <f t="shared" si="6"/>
        <v>4037</v>
      </c>
      <c r="T57" s="44">
        <f t="shared" si="7"/>
        <v>42577.618530092594</v>
      </c>
      <c r="U57" s="60" t="str">
        <f t="shared" si="4"/>
        <v>NW</v>
      </c>
      <c r="V57" s="60" t="str">
        <f t="shared" si="8"/>
        <v>KEEP</v>
      </c>
    </row>
    <row r="58" spans="1:22" x14ac:dyDescent="0.25">
      <c r="A58" s="44">
        <v>42577.451354166667</v>
      </c>
      <c r="B58" s="56" t="s">
        <v>365</v>
      </c>
      <c r="C58" s="37" t="s">
        <v>422</v>
      </c>
      <c r="D58" s="37" t="s">
        <v>49</v>
      </c>
      <c r="E58" s="56" t="s">
        <v>270</v>
      </c>
      <c r="F58" s="57">
        <v>100</v>
      </c>
      <c r="G58" s="57">
        <v>491</v>
      </c>
      <c r="H58" s="57">
        <v>14509</v>
      </c>
      <c r="I58" s="56" t="s">
        <v>134</v>
      </c>
      <c r="J58" s="57">
        <v>11000</v>
      </c>
      <c r="K58" s="37" t="s">
        <v>53</v>
      </c>
      <c r="L58" s="84" t="str">
        <f>VLOOKUP(C58,'Trips&amp;Operators'!$C$1:$E$9999,3,0)</f>
        <v>LEVIN</v>
      </c>
      <c r="M58" s="9" t="s">
        <v>97</v>
      </c>
      <c r="N58" s="10"/>
      <c r="O58" s="37"/>
      <c r="P58" s="63" t="str">
        <f>VLOOKUP(C58,'Train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58" s="61" t="str">
        <f>VLOOKUP(C58,'Train Runs'!$A$13:$AE$810,22,0)</f>
        <v>https://search-rtdc-monitor-bjffxe2xuh6vdkpspy63sjmuny.us-east-1.es.amazonaws.com/_plugin/kibana/#/discover/Steve-Slow-Train-Analysis-(2080s-and-2083s)?_g=(refreshInterval:(display:Off,section:0,value:0),time:(from:'2016-07-26 09:36:28-0600',mode:absolute,to:'2016-07-26 11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8" s="62" t="str">
        <f t="shared" si="5"/>
        <v>"C:\Program Files (x86)\AstroGrep\AstroGrep.exe" /spath="C:\Users\stu\Documents\Analysis\2016-02-23 RTDC Observations" /stypes="*4037*201607261*" /stext=" 16:.+((SYSTEM_STATE.+slice.+state.+changed )|(ment ac)|(system.+state.+changed )|(\|lc)|(penalty)|(\[timeout)|(PRM\|1\|D))" /e /r /s</v>
      </c>
      <c r="S58" s="9" t="str">
        <f t="shared" si="6"/>
        <v>4037</v>
      </c>
      <c r="T58" s="44">
        <f t="shared" si="7"/>
        <v>42577.701354166667</v>
      </c>
      <c r="U58" s="60" t="str">
        <f t="shared" si="4"/>
        <v>NW</v>
      </c>
      <c r="V58" s="60" t="str">
        <f t="shared" si="8"/>
        <v>KEEP</v>
      </c>
    </row>
    <row r="59" spans="1:22" x14ac:dyDescent="0.25">
      <c r="A59" s="44">
        <v>42577.233032407406</v>
      </c>
      <c r="B59" s="56" t="s">
        <v>104</v>
      </c>
      <c r="C59" s="37" t="s">
        <v>387</v>
      </c>
      <c r="D59" s="37" t="s">
        <v>49</v>
      </c>
      <c r="E59" s="56" t="s">
        <v>50</v>
      </c>
      <c r="F59" s="57">
        <v>0</v>
      </c>
      <c r="G59" s="57">
        <v>61</v>
      </c>
      <c r="H59" s="57">
        <v>773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STARKS</v>
      </c>
      <c r="M59" s="9" t="s">
        <v>97</v>
      </c>
      <c r="N59" s="10"/>
      <c r="O59" s="37"/>
      <c r="P59" s="63" t="str">
        <f>VLOOKUP(C59,'Train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59" s="61" t="str">
        <f>VLOOKUP(C59,'Train Runs'!$A$13:$AE$810,22,0)</f>
        <v>https://search-rtdc-monitor-bjffxe2xuh6vdkpspy63sjmuny.us-east-1.es.amazonaws.com/_plugin/kibana/#/discover/Steve-Slow-Train-Analysis-(2080s-and-2083s)?_g=(refreshInterval:(display:Off,section:0,value:0),time:(from:'2016-07-26 04:14:04-0600',mode:absolute,to:'2016-07-26 06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59" s="62" t="str">
        <f t="shared" si="5"/>
        <v>"C:\Program Files (x86)\AstroGrep\AstroGrep.exe" /spath="C:\Users\stu\Documents\Analysis\2016-02-23 RTDC Observations" /stypes="*4013*201607261*" /stext=" 11:.+((SYSTEM_STATE.+slice.+state.+changed )|(ment ac)|(system.+state.+changed )|(\|lc)|(penalty)|(\[timeout)|(PRM\|1\|D))" /e /r /s</v>
      </c>
      <c r="S59" s="9" t="str">
        <f t="shared" si="6"/>
        <v>4013</v>
      </c>
      <c r="T59" s="44">
        <f t="shared" si="7"/>
        <v>42577.483032407406</v>
      </c>
      <c r="U59" s="60" t="str">
        <f t="shared" si="4"/>
        <v>NW</v>
      </c>
      <c r="V59" s="60" t="str">
        <f t="shared" si="8"/>
        <v>KEEP</v>
      </c>
    </row>
    <row r="60" spans="1:22" x14ac:dyDescent="0.25">
      <c r="A60" s="44">
        <v>42577.272361111114</v>
      </c>
      <c r="B60" s="37" t="s">
        <v>104</v>
      </c>
      <c r="C60" s="37" t="s">
        <v>380</v>
      </c>
      <c r="D60" s="37" t="s">
        <v>49</v>
      </c>
      <c r="E60" s="37" t="s">
        <v>50</v>
      </c>
      <c r="F60" s="57">
        <v>0</v>
      </c>
      <c r="G60" s="57">
        <v>39</v>
      </c>
      <c r="H60" s="57">
        <v>677</v>
      </c>
      <c r="I60" s="37" t="s">
        <v>51</v>
      </c>
      <c r="J60" s="57">
        <v>575</v>
      </c>
      <c r="K60" s="37" t="s">
        <v>53</v>
      </c>
      <c r="L60" s="84" t="str">
        <f>VLOOKUP(C60,'Trips&amp;Operators'!$C$1:$E$9999,3,0)</f>
        <v>STARKS</v>
      </c>
      <c r="M60" s="9" t="s">
        <v>97</v>
      </c>
      <c r="N60" s="10"/>
      <c r="O60" s="37"/>
      <c r="P60" s="63" t="str">
        <f>VLOOKUP(C60,'Train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60" s="61" t="str">
        <f>VLOOKUP(C60,'Train Runs'!$A$13:$AE$810,22,0)</f>
        <v>https://search-rtdc-monitor-bjffxe2xuh6vdkpspy63sjmuny.us-east-1.es.amazonaws.com/_plugin/kibana/#/discover/Steve-Slow-Train-Analysis-(2080s-and-2083s)?_g=(refreshInterval:(display:Off,section:0,value:0),time:(from:'2016-07-26 05:13:32-0600',mode:absolute,to:'2016-07-26 07:42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0" s="62" t="str">
        <f t="shared" si="5"/>
        <v>"C:\Program Files (x86)\AstroGrep\AstroGrep.exe" /spath="C:\Users\stu\Documents\Analysis\2016-02-23 RTDC Observations" /stypes="*4013*201607261*" /stext=" 12:.+((SYSTEM_STATE.+slice.+state.+changed )|(ment ac)|(system.+state.+changed )|(\|lc)|(penalty)|(\[timeout)|(PRM\|1\|D))" /e /r /s</v>
      </c>
      <c r="S60" s="9" t="str">
        <f t="shared" si="6"/>
        <v>4013</v>
      </c>
      <c r="T60" s="44">
        <f t="shared" si="7"/>
        <v>42577.522361111114</v>
      </c>
      <c r="U60" s="60" t="str">
        <f t="shared" si="4"/>
        <v>NW</v>
      </c>
      <c r="V60" s="60" t="str">
        <f t="shared" si="8"/>
        <v>KEEP</v>
      </c>
    </row>
    <row r="61" spans="1:22" x14ac:dyDescent="0.25">
      <c r="A61" s="44">
        <v>42577.353333333333</v>
      </c>
      <c r="B61" s="56" t="s">
        <v>104</v>
      </c>
      <c r="C61" s="37" t="s">
        <v>413</v>
      </c>
      <c r="D61" s="37" t="s">
        <v>49</v>
      </c>
      <c r="E61" s="56" t="s">
        <v>50</v>
      </c>
      <c r="F61" s="57">
        <v>0</v>
      </c>
      <c r="G61" s="57">
        <v>71</v>
      </c>
      <c r="H61" s="57">
        <v>796</v>
      </c>
      <c r="I61" s="56" t="s">
        <v>51</v>
      </c>
      <c r="J61" s="57">
        <v>575</v>
      </c>
      <c r="K61" s="37" t="s">
        <v>53</v>
      </c>
      <c r="L61" s="84" t="str">
        <f>VLOOKUP(C61,'Trips&amp;Operators'!$C$1:$E$9999,3,0)</f>
        <v>STARKS</v>
      </c>
      <c r="M61" s="9" t="s">
        <v>97</v>
      </c>
      <c r="N61" s="10"/>
      <c r="O61" s="37"/>
      <c r="P61" s="63" t="str">
        <f>VLOOKUP(C61,'Train Runs'!$A$13:$AE$810,31,0)</f>
        <v>aws s3 cp s3://rtdc.mdm.uploadarchive/RTDC4013/2016-07-26/ "C:\Users\stu\Documents\Analysis\2016-02-23 RTDC Observations"\RTDC4013\2016-07-26 --recursive &amp; "C:\Users\stu\Documents\GitHub\mrs-test-scripts\Headless Mode &amp; Sideloading\WalkAndUnGZ.bat" "C:\Users\stu\Documents\Analysis\2016-02-23 RTDC Observations"\RTDC4013\2016-07-26 &amp; 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</v>
      </c>
      <c r="Q61" s="61" t="str">
        <f>VLOOKUP(C61,'Train Runs'!$A$13:$AE$810,22,0)</f>
        <v>https://search-rtdc-monitor-bjffxe2xuh6vdkpspy63sjmuny.us-east-1.es.amazonaws.com/_plugin/kibana/#/discover/Steve-Slow-Train-Analysis-(2080s-and-2083s)?_g=(refreshInterval:(display:Off,section:0,value:0),time:(from:'2016-07-26 07:10:04-0600',mode:absolute,to:'2016-07-26 09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R61" s="62" t="str">
        <f t="shared" si="5"/>
        <v>"C:\Program Files (x86)\AstroGrep\AstroGrep.exe" /spath="C:\Users\stu\Documents\Analysis\2016-02-23 RTDC Observations" /stypes="*4013*201607261*" /stext=" 14:.+((SYSTEM_STATE.+slice.+state.+changed )|(ment ac)|(system.+state.+changed )|(\|lc)|(penalty)|(\[timeout)|(PRM\|1\|D))" /e /r /s</v>
      </c>
      <c r="S61" s="9" t="str">
        <f t="shared" si="6"/>
        <v>4013</v>
      </c>
      <c r="T61" s="44">
        <f t="shared" si="7"/>
        <v>42577.603333333333</v>
      </c>
      <c r="U61" s="60" t="str">
        <f t="shared" si="4"/>
        <v>NW</v>
      </c>
      <c r="V61" s="60" t="str">
        <f t="shared" si="8"/>
        <v>KEEP</v>
      </c>
    </row>
    <row r="62" spans="1:22" x14ac:dyDescent="0.25">
      <c r="A62" s="44">
        <v>42577.580034722225</v>
      </c>
      <c r="B62" s="56" t="s">
        <v>365</v>
      </c>
      <c r="C62" s="37" t="s">
        <v>433</v>
      </c>
      <c r="D62" s="37" t="s">
        <v>49</v>
      </c>
      <c r="E62" s="56" t="s">
        <v>50</v>
      </c>
      <c r="F62" s="57">
        <v>0</v>
      </c>
      <c r="G62" s="57">
        <v>34</v>
      </c>
      <c r="H62" s="57">
        <v>675</v>
      </c>
      <c r="I62" s="56" t="s">
        <v>51</v>
      </c>
      <c r="J62" s="57">
        <v>575</v>
      </c>
      <c r="K62" s="37" t="s">
        <v>53</v>
      </c>
      <c r="L62" s="84" t="str">
        <f>VLOOKUP(C62,'Trips&amp;Operators'!$C$1:$E$9999,3,0)</f>
        <v>BRUDER</v>
      </c>
      <c r="M62" s="9" t="s">
        <v>97</v>
      </c>
      <c r="N62" s="10"/>
      <c r="O62" s="37"/>
      <c r="P62" s="63" t="str">
        <f>VLOOKUP(C62,'Train Runs'!$A$13:$AE$810,31,0)</f>
        <v>aws s3 cp s3://rtdc.mdm.uploadarchive/RTDC4037/2016-07-26/ "C:\Users\stu\Documents\Analysis\2016-02-23 RTDC Observations"\RTDC4037\2016-07-26 --recursive &amp; "C:\Users\stu\Documents\GitHub\mrs-test-scripts\Headless Mode &amp; Sideloading\WalkAndUnGZ.bat" "C:\Users\stu\Documents\Analysis\2016-02-23 RTDC Observations"\RTDC4037\2016-07-26 &amp; 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</v>
      </c>
      <c r="Q62" s="61" t="str">
        <f>VLOOKUP(C62,'Train Runs'!$A$13:$AE$810,22,0)</f>
        <v>https://search-rtdc-monitor-bjffxe2xuh6vdkpspy63sjmuny.us-east-1.es.amazonaws.com/_plugin/kibana/#/discover/Steve-Slow-Train-Analysis-(2080s-and-2083s)?_g=(refreshInterval:(display:Off,section:0,value:0),time:(from:'2016-07-26 12:38:32-0600',mode:absolute,to:'2016-07-26 14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62" s="62" t="str">
        <f t="shared" si="5"/>
        <v>"C:\Program Files (x86)\AstroGrep\AstroGrep.exe" /spath="C:\Users\stu\Documents\Analysis\2016-02-23 RTDC Observations" /stypes="*4037*201607261*" /stext=" 19:.+((SYSTEM_STATE.+slice.+state.+changed )|(ment ac)|(system.+state.+changed )|(\|lc)|(penalty)|(\[timeout)|(PRM\|1\|D))" /e /r /s</v>
      </c>
      <c r="S62" s="9" t="str">
        <f t="shared" si="6"/>
        <v>4037</v>
      </c>
      <c r="T62" s="44">
        <f t="shared" si="7"/>
        <v>42577.830034722225</v>
      </c>
      <c r="U62" s="60" t="str">
        <f t="shared" si="4"/>
        <v>NW</v>
      </c>
      <c r="V62" s="60" t="str">
        <f t="shared" si="8"/>
        <v>KEEP</v>
      </c>
    </row>
    <row r="63" spans="1:22" x14ac:dyDescent="0.25">
      <c r="A63" s="44">
        <v>42577.297511574077</v>
      </c>
      <c r="B63" s="37" t="s">
        <v>247</v>
      </c>
      <c r="C63" s="37" t="s">
        <v>376</v>
      </c>
      <c r="D63" s="37" t="s">
        <v>49</v>
      </c>
      <c r="E63" s="37" t="s">
        <v>50</v>
      </c>
      <c r="F63" s="57">
        <v>0</v>
      </c>
      <c r="G63" s="57">
        <v>58</v>
      </c>
      <c r="H63" s="57">
        <v>58845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STARKS</v>
      </c>
      <c r="M63" s="9" t="s">
        <v>97</v>
      </c>
      <c r="N63" s="10"/>
      <c r="O63" s="37"/>
      <c r="P63" s="63" t="str">
        <f>VLOOKUP(C63,'Train Runs'!$A$13:$AE$810,31,0)</f>
        <v>aws s3 cp s3://rtdc.mdm.uploadarchive/RTDC4014/2016-07-26/ "C:\Users\stu\Documents\Analysis\2016-02-23 RTDC Observations"\RTDC4014\2016-07-26 --recursive &amp; "C:\Users\stu\Documents\GitHub\mrs-test-scripts\Headless Mode &amp; Sideloading\WalkAndUnGZ.bat" "C:\Users\stu\Documents\Analysis\2016-02-23 RTDC Observations"\RTDC4014\2016-07-26 &amp; 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</v>
      </c>
      <c r="Q63" s="61" t="str">
        <f>VLOOKUP(C63,'Train Runs'!$A$13:$AE$810,22,0)</f>
        <v>https://search-rtdc-monitor-bjffxe2xuh6vdkpspy63sjmuny.us-east-1.es.amazonaws.com/_plugin/kibana/#/discover/Steve-Slow-Train-Analysis-(2080s-and-2083s)?_g=(refreshInterval:(display:Off,section:0,value:0),time:(from:'2016-07-26 05:44:54-0600',mode:absolute,to:'2016-07-26 08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63" s="62" t="str">
        <f t="shared" si="5"/>
        <v>"C:\Program Files (x86)\AstroGrep\AstroGrep.exe" /spath="C:\Users\stu\Documents\Analysis\2016-02-23 RTDC Observations" /stypes="*4014*201607261*" /stext=" 13:.+((SYSTEM_STATE.+slice.+state.+changed )|(ment ac)|(system.+state.+changed )|(\|lc)|(penalty)|(\[timeout)|(PRM\|1\|D))" /e /r /s</v>
      </c>
      <c r="S63" s="9" t="str">
        <f t="shared" si="6"/>
        <v>4014</v>
      </c>
      <c r="T63" s="44">
        <f t="shared" si="7"/>
        <v>42577.547511574077</v>
      </c>
      <c r="U63" s="60" t="str">
        <f t="shared" si="4"/>
        <v>NW</v>
      </c>
      <c r="V63" s="60" t="str">
        <f t="shared" si="8"/>
        <v>KEEP</v>
      </c>
    </row>
    <row r="64" spans="1:22" x14ac:dyDescent="0.25">
      <c r="A64" s="44">
        <v>42577.566655092596</v>
      </c>
      <c r="B64" s="56" t="s">
        <v>101</v>
      </c>
      <c r="C64" s="37" t="s">
        <v>430</v>
      </c>
      <c r="D64" s="37" t="s">
        <v>49</v>
      </c>
      <c r="E64" s="56" t="s">
        <v>50</v>
      </c>
      <c r="F64" s="57">
        <v>0</v>
      </c>
      <c r="G64" s="57">
        <v>95</v>
      </c>
      <c r="H64" s="57">
        <v>58694</v>
      </c>
      <c r="I64" s="56" t="s">
        <v>51</v>
      </c>
      <c r="J64" s="57">
        <v>59048</v>
      </c>
      <c r="K64" s="37" t="s">
        <v>52</v>
      </c>
      <c r="L64" s="84" t="str">
        <f>VLOOKUP(C64,'Trips&amp;Operators'!$C$1:$E$9999,3,0)</f>
        <v>BRUDER</v>
      </c>
      <c r="M64" s="9" t="s">
        <v>97</v>
      </c>
      <c r="N64" s="10"/>
      <c r="O64" s="37"/>
      <c r="P64" s="63" t="str">
        <f>VLOOKUP(C64,'Train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4" s="61" t="str">
        <f>VLOOKUP(C64,'Train Runs'!$A$13:$AE$810,22,0)</f>
        <v>https://search-rtdc-monitor-bjffxe2xuh6vdkpspy63sjmuny.us-east-1.es.amazonaws.com/_plugin/kibana/#/discover/Steve-Slow-Train-Analysis-(2080s-and-2083s)?_g=(refreshInterval:(display:Off,section:0,value:0),time:(from:'2016-07-26 12:10:02-0600',mode:absolute,to:'2016-07-26 14:36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4" s="62" t="str">
        <f t="shared" si="5"/>
        <v>"C:\Program Files (x86)\AstroGrep\AstroGrep.exe" /spath="C:\Users\stu\Documents\Analysis\2016-02-23 RTDC Observations" /stypes="*4038*201607261*" /stext=" 19:.+((SYSTEM_STATE.+slice.+state.+changed )|(ment ac)|(system.+state.+changed )|(\|lc)|(penalty)|(\[timeout)|(PRM\|1\|D))" /e /r /s</v>
      </c>
      <c r="S64" s="9" t="str">
        <f t="shared" si="6"/>
        <v>4038</v>
      </c>
      <c r="T64" s="44">
        <f t="shared" si="7"/>
        <v>42577.816655092596</v>
      </c>
      <c r="U64" s="60" t="str">
        <f t="shared" si="4"/>
        <v>NW</v>
      </c>
      <c r="V64" s="60" t="str">
        <f t="shared" si="8"/>
        <v>KEEP</v>
      </c>
    </row>
    <row r="65" spans="1:22" x14ac:dyDescent="0.25">
      <c r="A65" s="44">
        <v>42577.608136574076</v>
      </c>
      <c r="B65" s="56" t="s">
        <v>101</v>
      </c>
      <c r="C65" s="37" t="s">
        <v>434</v>
      </c>
      <c r="D65" s="37" t="s">
        <v>49</v>
      </c>
      <c r="E65" s="56" t="s">
        <v>50</v>
      </c>
      <c r="F65" s="57">
        <v>0</v>
      </c>
      <c r="G65" s="57">
        <v>51</v>
      </c>
      <c r="H65" s="57">
        <v>58928</v>
      </c>
      <c r="I65" s="56" t="s">
        <v>51</v>
      </c>
      <c r="J65" s="57">
        <v>59048</v>
      </c>
      <c r="K65" s="37" t="s">
        <v>52</v>
      </c>
      <c r="L65" s="84" t="str">
        <f>VLOOKUP(C65,'Trips&amp;Operators'!$C$1:$E$9999,3,0)</f>
        <v>BRUDER</v>
      </c>
      <c r="M65" s="9" t="s">
        <v>97</v>
      </c>
      <c r="N65" s="10"/>
      <c r="O65" s="37"/>
      <c r="P65" s="63" t="str">
        <f>VLOOKUP(C65,'Train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5" s="61" t="str">
        <f>VLOOKUP(C65,'Train Runs'!$A$13:$AE$810,22,0)</f>
        <v>https://search-rtdc-monitor-bjffxe2xuh6vdkpspy63sjmuny.us-east-1.es.amazonaws.com/_plugin/kibana/#/discover/Steve-Slow-Train-Analysis-(2080s-and-2083s)?_g=(refreshInterval:(display:Off,section:0,value:0),time:(from:'2016-07-26 13:11:40-0600',mode:absolute,to:'2016-07-26 15:35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5" s="62" t="str">
        <f t="shared" si="5"/>
        <v>"C:\Program Files (x86)\AstroGrep\AstroGrep.exe" /spath="C:\Users\stu\Documents\Analysis\2016-02-23 RTDC Observations" /stypes="*4038*201607262*" /stext=" 20:.+((SYSTEM_STATE.+slice.+state.+changed )|(ment ac)|(system.+state.+changed )|(\|lc)|(penalty)|(\[timeout)|(PRM\|1\|D))" /e /r /s</v>
      </c>
      <c r="S65" s="9" t="str">
        <f t="shared" si="6"/>
        <v>4038</v>
      </c>
      <c r="T65" s="44">
        <f t="shared" si="7"/>
        <v>42577.858136574076</v>
      </c>
      <c r="U65" s="60" t="str">
        <f t="shared" si="4"/>
        <v>NW</v>
      </c>
      <c r="V65" s="60" t="str">
        <f t="shared" si="8"/>
        <v>KEEP</v>
      </c>
    </row>
    <row r="66" spans="1:22" x14ac:dyDescent="0.25">
      <c r="A66" s="44">
        <v>42577.795138888891</v>
      </c>
      <c r="B66" s="56" t="s">
        <v>101</v>
      </c>
      <c r="C66" s="37" t="s">
        <v>447</v>
      </c>
      <c r="D66" s="37" t="s">
        <v>49</v>
      </c>
      <c r="E66" s="56" t="s">
        <v>50</v>
      </c>
      <c r="F66" s="57">
        <v>0</v>
      </c>
      <c r="G66" s="57">
        <v>48</v>
      </c>
      <c r="H66" s="57">
        <v>58903</v>
      </c>
      <c r="I66" s="56" t="s">
        <v>51</v>
      </c>
      <c r="J66" s="57">
        <v>59048</v>
      </c>
      <c r="K66" s="37" t="s">
        <v>52</v>
      </c>
      <c r="L66" s="84" t="str">
        <f>VLOOKUP(C66,'Trips&amp;Operators'!$C$1:$E$9999,3,0)</f>
        <v>BRUDER</v>
      </c>
      <c r="M66" s="9" t="s">
        <v>97</v>
      </c>
      <c r="N66" s="10"/>
      <c r="O66" s="37"/>
      <c r="P66" s="63" t="str">
        <f>VLOOKUP(C66,'Train Runs'!$A$13:$AE$810,31,0)</f>
        <v>aws s3 cp s3://rtdc.mdm.uploadarchive/RTDC4038/2016-07-26/ "C:\Users\stu\Documents\Analysis\2016-02-23 RTDC Observations"\RTDC4038\2016-07-26 --recursive &amp; "C:\Users\stu\Documents\GitHub\mrs-test-scripts\Headless Mode &amp; Sideloading\WalkAndUnGZ.bat" "C:\Users\stu\Documents\Analysis\2016-02-23 RTDC Observations"\RTDC4038\2016-07-26 &amp; 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</v>
      </c>
      <c r="Q66" s="61" t="str">
        <f>VLOOKUP(C66,'Train Runs'!$A$13:$AE$810,22,0)</f>
        <v>https://search-rtdc-monitor-bjffxe2xuh6vdkpspy63sjmuny.us-east-1.es.amazonaws.com/_plugin/kibana/#/discover/Steve-Slow-Train-Analysis-(2080s-and-2083s)?_g=(refreshInterval:(display:Off,section:0,value:0),time:(from:'2016-07-26 17:36:40-0600',mode:absolute,to:'2016-07-26 20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6" s="62" t="str">
        <f t="shared" si="5"/>
        <v>"C:\Program Files (x86)\AstroGrep\AstroGrep.exe" /spath="C:\Users\stu\Documents\Analysis\2016-02-23 RTDC Observations" /stypes="*4038*201607270*" /stext=" 01:.+((SYSTEM_STATE.+slice.+state.+changed )|(ment ac)|(system.+state.+changed )|(\|lc)|(penalty)|(\[timeout)|(PRM\|1\|D))" /e /r /s</v>
      </c>
      <c r="S66" s="9" t="str">
        <f t="shared" si="6"/>
        <v>4038</v>
      </c>
      <c r="T66" s="44">
        <f t="shared" si="7"/>
        <v>42578.045138888891</v>
      </c>
      <c r="U66" s="60" t="str">
        <f t="shared" si="4"/>
        <v>NW</v>
      </c>
      <c r="V66" s="60" t="str">
        <f t="shared" si="8"/>
        <v>KEEP</v>
      </c>
    </row>
  </sheetData>
  <autoFilter ref="A6:V66"/>
  <sortState ref="A7:V75">
    <sortCondition ref="U7:U75"/>
    <sortCondition ref="E7:E75"/>
    <sortCondition ref="J7:J75"/>
    <sortCondition ref="C7:C75"/>
    <sortCondition ref="F7:F75"/>
  </sortState>
  <mergeCells count="1">
    <mergeCell ref="A5:M5"/>
  </mergeCells>
  <conditionalFormatting sqref="M6:N6 P6 M7:M1048576">
    <cfRule type="cellIs" dxfId="2" priority="14" operator="equal">
      <formula>"Y"</formula>
    </cfRule>
  </conditionalFormatting>
  <conditionalFormatting sqref="A7:N66">
    <cfRule type="expression" dxfId="1" priority="7">
      <formula>$M7="Y"</formula>
    </cfRule>
  </conditionalFormatting>
  <conditionalFormatting sqref="M2:M3">
    <cfRule type="cellIs" dxfId="0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H3" sqref="H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0.7109375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2016-07-26</v>
      </c>
      <c r="B1" s="127"/>
      <c r="C1" s="127"/>
      <c r="D1" s="127"/>
      <c r="E1" s="127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786</v>
      </c>
    </row>
    <row r="3" spans="1:10" x14ac:dyDescent="0.25">
      <c r="A3" s="37" t="s">
        <v>780</v>
      </c>
      <c r="B3" s="103">
        <v>4</v>
      </c>
      <c r="C3" s="103" t="s">
        <v>784</v>
      </c>
      <c r="D3" s="37" t="s">
        <v>785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22836-26%22)),sort:!(Time,asc))</v>
      </c>
      <c r="I3" s="24"/>
      <c r="J3" s="24"/>
    </row>
    <row r="4" spans="1:10" x14ac:dyDescent="0.25">
      <c r="A4" s="60" t="s">
        <v>781</v>
      </c>
      <c r="B4" s="103">
        <v>2</v>
      </c>
      <c r="C4" s="103" t="s">
        <v>787</v>
      </c>
      <c r="D4" s="37" t="s">
        <v>785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6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22837-26%22)),sort:!(Time,asc))</v>
      </c>
      <c r="I4" s="24"/>
      <c r="J4" s="24"/>
    </row>
    <row r="5" spans="1:10" x14ac:dyDescent="0.25">
      <c r="A5" s="60" t="s">
        <v>782</v>
      </c>
      <c r="B5" s="103">
        <v>2</v>
      </c>
      <c r="C5" s="103" t="s">
        <v>787</v>
      </c>
      <c r="D5" s="37" t="s">
        <v>785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22841-26%22)),sort:!(Time,asc))</v>
      </c>
      <c r="I5" s="24"/>
      <c r="J5" s="24"/>
    </row>
    <row r="6" spans="1:10" x14ac:dyDescent="0.25">
      <c r="A6" s="60" t="s">
        <v>783</v>
      </c>
      <c r="B6" s="103">
        <v>0</v>
      </c>
      <c r="C6" s="103" t="s">
        <v>788</v>
      </c>
      <c r="D6" s="37" t="s">
        <v>789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-26%22)),sort:!(Time,asc))</v>
      </c>
      <c r="I6" s="24"/>
      <c r="J6" s="24"/>
    </row>
    <row r="7" spans="1:10" x14ac:dyDescent="0.25">
      <c r="A7" s="37"/>
      <c r="B7" s="103"/>
      <c r="C7" s="103"/>
      <c r="D7" s="37"/>
      <c r="E7" s="25"/>
      <c r="F7" s="25"/>
      <c r="G7" s="36"/>
      <c r="H7" s="24"/>
      <c r="I7" s="24"/>
      <c r="J7" s="24"/>
    </row>
    <row r="8" spans="1:10" x14ac:dyDescent="0.25">
      <c r="A8" s="37"/>
      <c r="B8" s="103"/>
      <c r="C8" s="103"/>
      <c r="D8" s="37"/>
      <c r="E8" s="25"/>
      <c r="F8" s="25"/>
      <c r="G8" s="36"/>
      <c r="H8" s="24"/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A13" s="37"/>
      <c r="B13" s="103"/>
      <c r="C13" s="103"/>
      <c r="D13" s="37"/>
      <c r="E13" s="25"/>
      <c r="F13" s="25"/>
      <c r="G13" s="36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B123" s="85"/>
      <c r="C123" s="85"/>
      <c r="H123" s="24"/>
      <c r="I123" s="24"/>
      <c r="J123" s="24"/>
    </row>
    <row r="124" spans="2:10" x14ac:dyDescent="0.25">
      <c r="H124" s="24"/>
      <c r="I124" s="24"/>
      <c r="J124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/>
      <c r="F1" s="24">
        <f>B1</f>
        <v>0</v>
      </c>
      <c r="G1" s="8">
        <f>A1</f>
        <v>0</v>
      </c>
    </row>
    <row r="2" spans="1:7" x14ac:dyDescent="0.25">
      <c r="A2" s="8" t="s">
        <v>170</v>
      </c>
      <c r="B2" s="24"/>
      <c r="C2" s="24"/>
      <c r="D2" s="24"/>
      <c r="E2" s="24"/>
      <c r="F2" s="24">
        <f t="shared" ref="F2:F65" si="0">B2</f>
        <v>0</v>
      </c>
      <c r="G2" s="8" t="str">
        <f t="shared" ref="G2:G65" si="1">A2</f>
        <v>Discover</v>
      </c>
    </row>
    <row r="3" spans="1:7" x14ac:dyDescent="0.25">
      <c r="A3" s="8" t="s">
        <v>171</v>
      </c>
      <c r="B3" s="24"/>
      <c r="C3" s="24"/>
      <c r="D3" s="24"/>
      <c r="E3" s="24"/>
      <c r="F3" s="24">
        <f t="shared" si="0"/>
        <v>0</v>
      </c>
      <c r="G3" s="8" t="str">
        <f t="shared" si="1"/>
        <v>Visualize</v>
      </c>
    </row>
    <row r="4" spans="1:7" x14ac:dyDescent="0.25">
      <c r="A4" s="8" t="s">
        <v>172</v>
      </c>
      <c r="B4" s="24"/>
      <c r="C4" s="24"/>
      <c r="D4" s="24"/>
      <c r="E4" s="24"/>
      <c r="F4" s="24">
        <f t="shared" si="0"/>
        <v>0</v>
      </c>
      <c r="G4" s="8" t="str">
        <f t="shared" si="1"/>
        <v>Dashboard</v>
      </c>
    </row>
    <row r="5" spans="1:7" x14ac:dyDescent="0.25">
      <c r="A5" s="8" t="s">
        <v>173</v>
      </c>
      <c r="B5" s="24"/>
      <c r="C5" s="24"/>
      <c r="D5" s="24"/>
      <c r="E5" s="24"/>
      <c r="F5" s="24">
        <f t="shared" si="0"/>
        <v>0</v>
      </c>
      <c r="G5" s="8" t="str">
        <f t="shared" si="1"/>
        <v>Settings</v>
      </c>
    </row>
    <row r="6" spans="1:7" x14ac:dyDescent="0.25">
      <c r="A6" s="8" t="s">
        <v>174</v>
      </c>
      <c r="B6" s="24"/>
      <c r="C6" s="24"/>
      <c r="D6" s="24"/>
      <c r="E6" s="24"/>
      <c r="F6" s="24">
        <f t="shared" si="0"/>
        <v>0</v>
      </c>
      <c r="G6" s="8" t="str">
        <f t="shared" si="1"/>
        <v xml:space="preserve">Last 36h </v>
      </c>
    </row>
    <row r="7" spans="1:7" x14ac:dyDescent="0.25">
      <c r="B7" s="24"/>
      <c r="C7" s="24"/>
      <c r="D7" s="24"/>
      <c r="E7" s="24"/>
      <c r="F7" s="24">
        <f t="shared" si="0"/>
        <v>0</v>
      </c>
      <c r="G7" s="8">
        <f t="shared" si="1"/>
        <v>0</v>
      </c>
    </row>
    <row r="8" spans="1:7" x14ac:dyDescent="0.25">
      <c r="A8" s="8" t="s">
        <v>175</v>
      </c>
      <c r="B8" s="24"/>
      <c r="C8" s="24"/>
      <c r="D8" s="24"/>
      <c r="E8" s="24"/>
      <c r="F8" s="24">
        <f t="shared" si="0"/>
        <v>0</v>
      </c>
      <c r="G8" s="8" t="str">
        <f t="shared" si="1"/>
        <v>Message\ ID:2003</v>
      </c>
    </row>
    <row r="9" spans="1:7" ht="15.75" thickBot="1" x14ac:dyDescent="0.3">
      <c r="A9" s="31"/>
      <c r="B9" s="24"/>
      <c r="C9" s="24"/>
      <c r="D9" s="24"/>
      <c r="E9" s="24"/>
      <c r="F9" s="24">
        <f t="shared" si="0"/>
        <v>0</v>
      </c>
      <c r="G9" s="8">
        <f t="shared" si="1"/>
        <v>0</v>
      </c>
    </row>
    <row r="10" spans="1:7" x14ac:dyDescent="0.25">
      <c r="B10" s="24"/>
      <c r="C10" s="24"/>
      <c r="D10" s="24"/>
      <c r="E10" s="24"/>
      <c r="F10" s="24">
        <f t="shared" si="0"/>
        <v>0</v>
      </c>
      <c r="G10" s="8">
        <f t="shared" si="1"/>
        <v>0</v>
      </c>
    </row>
    <row r="11" spans="1:7" x14ac:dyDescent="0.25">
      <c r="B11" s="24"/>
      <c r="C11" s="24"/>
      <c r="D11" s="24"/>
      <c r="E11" s="24"/>
      <c r="F11" s="24">
        <f t="shared" si="0"/>
        <v>0</v>
      </c>
      <c r="G11" s="8">
        <f t="shared" si="1"/>
        <v>0</v>
      </c>
    </row>
    <row r="12" spans="1:7" x14ac:dyDescent="0.25">
      <c r="B12" s="24"/>
      <c r="C12" s="24"/>
      <c r="D12" s="24"/>
      <c r="E12" s="24"/>
      <c r="F12" s="24">
        <f t="shared" si="0"/>
        <v>0</v>
      </c>
      <c r="G12" s="8">
        <f t="shared" si="1"/>
        <v>0</v>
      </c>
    </row>
    <row r="13" spans="1:7" x14ac:dyDescent="0.25">
      <c r="B13" s="24"/>
      <c r="C13" s="24"/>
      <c r="D13" s="24"/>
      <c r="E13" s="24"/>
      <c r="F13" s="24">
        <f t="shared" si="0"/>
        <v>0</v>
      </c>
      <c r="G13" s="8">
        <f t="shared" si="1"/>
        <v>0</v>
      </c>
    </row>
    <row r="14" spans="1:7" x14ac:dyDescent="0.25">
      <c r="A14" s="8" t="s">
        <v>176</v>
      </c>
      <c r="B14" s="24"/>
      <c r="C14" s="24"/>
      <c r="D14" s="24"/>
      <c r="E14" s="24"/>
      <c r="F14" s="24">
        <f t="shared" si="0"/>
        <v>0</v>
      </c>
      <c r="G14" s="8" t="str">
        <f t="shared" si="1"/>
        <v>emp_*</v>
      </c>
    </row>
    <row r="15" spans="1:7" x14ac:dyDescent="0.25">
      <c r="A15" s="8" t="s">
        <v>177</v>
      </c>
      <c r="B15" s="24"/>
      <c r="C15" s="24"/>
      <c r="D15" s="24"/>
      <c r="E15" s="24"/>
      <c r="F15" s="24">
        <f t="shared" si="0"/>
        <v>0</v>
      </c>
      <c r="G15" s="8" t="str">
        <f t="shared" si="1"/>
        <v>Selected Fields</v>
      </c>
    </row>
    <row r="16" spans="1:7" x14ac:dyDescent="0.25">
      <c r="B16" s="24"/>
      <c r="C16" s="24"/>
      <c r="D16" s="24"/>
      <c r="E16" s="24"/>
      <c r="F16" s="24">
        <f t="shared" si="0"/>
        <v>0</v>
      </c>
      <c r="G16" s="8">
        <f t="shared" si="1"/>
        <v>0</v>
      </c>
    </row>
    <row r="17" spans="1:7" x14ac:dyDescent="0.25">
      <c r="A17" s="8" t="s">
        <v>178</v>
      </c>
      <c r="B17" s="24"/>
      <c r="C17" s="24"/>
      <c r="D17" s="24"/>
      <c r="E17" s="24"/>
      <c r="F17" s="24">
        <f t="shared" si="0"/>
        <v>0</v>
      </c>
      <c r="G17" s="8" t="str">
        <f t="shared" si="1"/>
        <v>tData.Employee Identifier</v>
      </c>
    </row>
    <row r="18" spans="1:7" x14ac:dyDescent="0.25">
      <c r="A18" s="8" t="s">
        <v>179</v>
      </c>
      <c r="B18" s="24"/>
      <c r="C18" s="24"/>
      <c r="D18" s="24"/>
      <c r="E18" s="24"/>
      <c r="F18" s="24">
        <f t="shared" si="0"/>
        <v>0</v>
      </c>
      <c r="G18" s="8" t="str">
        <f t="shared" si="1"/>
        <v>tData.Employee Last Name</v>
      </c>
    </row>
    <row r="19" spans="1:7" x14ac:dyDescent="0.25">
      <c r="A19" s="8" t="s">
        <v>180</v>
      </c>
      <c r="B19" s="24"/>
      <c r="C19" s="24"/>
      <c r="D19" s="24"/>
      <c r="E19" s="24"/>
      <c r="F19" s="24">
        <f t="shared" si="0"/>
        <v>0</v>
      </c>
      <c r="G19" s="8" t="str">
        <f t="shared" si="1"/>
        <v>tData.Train ID</v>
      </c>
    </row>
    <row r="20" spans="1:7" x14ac:dyDescent="0.25">
      <c r="A20" s="8" t="s">
        <v>181</v>
      </c>
      <c r="B20" s="24"/>
      <c r="C20" s="24"/>
      <c r="D20" s="24"/>
      <c r="E20" s="24"/>
      <c r="F20" s="24">
        <f t="shared" si="0"/>
        <v>0</v>
      </c>
      <c r="G20" s="8" t="str">
        <f t="shared" si="1"/>
        <v>tSource</v>
      </c>
    </row>
    <row r="21" spans="1:7" x14ac:dyDescent="0.25">
      <c r="A21" s="8" t="s">
        <v>182</v>
      </c>
      <c r="B21" s="24"/>
      <c r="C21" s="24"/>
      <c r="D21" s="24"/>
      <c r="E21" s="24"/>
      <c r="F21" s="24">
        <f t="shared" si="0"/>
        <v>0</v>
      </c>
      <c r="G21" s="8" t="str">
        <f t="shared" si="1"/>
        <v xml:space="preserve">Fields </v>
      </c>
    </row>
    <row r="22" spans="1:7" x14ac:dyDescent="0.25">
      <c r="A22" s="33"/>
      <c r="B22" s="24"/>
      <c r="C22" s="24"/>
      <c r="D22" s="24"/>
      <c r="E22" s="24"/>
      <c r="F22" s="24">
        <f t="shared" si="0"/>
        <v>0</v>
      </c>
      <c r="G22" s="8">
        <f t="shared" si="1"/>
        <v>0</v>
      </c>
    </row>
    <row r="23" spans="1:7" x14ac:dyDescent="0.25">
      <c r="A23" s="8" t="s">
        <v>183</v>
      </c>
      <c r="B23" s="24"/>
      <c r="C23" s="24"/>
      <c r="D23" s="24"/>
      <c r="E23" s="24"/>
      <c r="F23" s="24">
        <f t="shared" si="0"/>
        <v>0</v>
      </c>
      <c r="G23" s="8" t="str">
        <f t="shared" si="1"/>
        <v>Popular fields</v>
      </c>
    </row>
    <row r="24" spans="1:7" x14ac:dyDescent="0.25">
      <c r="B24" s="24"/>
      <c r="C24" s="24"/>
      <c r="D24" s="24"/>
      <c r="E24" s="24"/>
      <c r="F24" s="24">
        <f t="shared" si="0"/>
        <v>0</v>
      </c>
      <c r="G24" s="8">
        <f t="shared" si="1"/>
        <v>0</v>
      </c>
    </row>
    <row r="25" spans="1:7" x14ac:dyDescent="0.25">
      <c r="A25" s="8" t="s">
        <v>184</v>
      </c>
      <c r="B25" s="24"/>
      <c r="C25" s="24"/>
      <c r="D25" s="24"/>
      <c r="E25" s="24"/>
      <c r="F25" s="24">
        <f t="shared" si="0"/>
        <v>0</v>
      </c>
      <c r="G25" s="8" t="str">
        <f t="shared" si="1"/>
        <v>tData.Reason for Sending</v>
      </c>
    </row>
    <row r="26" spans="1:7" x14ac:dyDescent="0.25">
      <c r="A26" s="8" t="s">
        <v>185</v>
      </c>
      <c r="B26" s="24"/>
      <c r="C26" s="24"/>
      <c r="D26" s="24"/>
      <c r="E26" s="24"/>
      <c r="F26" s="24">
        <f t="shared" si="0"/>
        <v>0</v>
      </c>
      <c r="G26" s="8" t="str">
        <f t="shared" si="1"/>
        <v>tDestination</v>
      </c>
    </row>
    <row r="27" spans="1:7" x14ac:dyDescent="0.25">
      <c r="A27" s="8" t="s">
        <v>186</v>
      </c>
      <c r="B27" s="24"/>
      <c r="C27" s="24"/>
      <c r="D27" s="24"/>
      <c r="E27" s="24"/>
      <c r="F27" s="24">
        <f t="shared" si="0"/>
        <v>0</v>
      </c>
      <c r="G27" s="8" t="str">
        <f t="shared" si="1"/>
        <v>tMessage ID</v>
      </c>
    </row>
    <row r="28" spans="1:7" x14ac:dyDescent="0.25">
      <c r="A28" s="8" t="s">
        <v>187</v>
      </c>
      <c r="B28" s="24"/>
      <c r="C28" s="24"/>
      <c r="D28" s="24"/>
      <c r="E28" s="24"/>
      <c r="F28" s="24">
        <f t="shared" si="0"/>
        <v>0</v>
      </c>
      <c r="G28" s="8" t="str">
        <f t="shared" si="1"/>
        <v>t_id</v>
      </c>
    </row>
    <row r="29" spans="1:7" x14ac:dyDescent="0.25">
      <c r="A29" s="8" t="s">
        <v>188</v>
      </c>
      <c r="B29" s="24"/>
      <c r="C29" s="24"/>
      <c r="D29" s="24"/>
      <c r="E29" s="24"/>
      <c r="F29" s="24">
        <f t="shared" si="0"/>
        <v>0</v>
      </c>
      <c r="G29" s="8" t="str">
        <f t="shared" si="1"/>
        <v>tData Integrity</v>
      </c>
    </row>
    <row r="30" spans="1:7" x14ac:dyDescent="0.25">
      <c r="A30" s="8" t="s">
        <v>189</v>
      </c>
      <c r="B30" s="24"/>
      <c r="C30" s="24"/>
      <c r="D30" s="24"/>
      <c r="E30" s="24"/>
      <c r="F30" s="24">
        <f t="shared" si="0"/>
        <v>0</v>
      </c>
      <c r="G30" s="8" t="str">
        <f t="shared" si="1"/>
        <v>tData Size</v>
      </c>
    </row>
    <row r="31" spans="1:7" x14ac:dyDescent="0.25">
      <c r="A31" s="8" t="s">
        <v>190</v>
      </c>
      <c r="B31" s="24"/>
      <c r="C31" s="24"/>
      <c r="D31" s="24"/>
      <c r="E31" s="24"/>
      <c r="F31" s="24">
        <f t="shared" si="0"/>
        <v>0</v>
      </c>
      <c r="G31" s="8" t="str">
        <f t="shared" si="1"/>
        <v>tData.Clearance Number</v>
      </c>
    </row>
    <row r="32" spans="1:7" x14ac:dyDescent="0.25">
      <c r="A32" s="8" t="s">
        <v>191</v>
      </c>
      <c r="B32" s="24"/>
      <c r="C32" s="24"/>
      <c r="D32" s="24"/>
      <c r="E32" s="24"/>
      <c r="F32" s="24">
        <f t="shared" si="0"/>
        <v>0</v>
      </c>
      <c r="G32" s="8" t="str">
        <f t="shared" si="1"/>
        <v>tData.Clearance Number Length</v>
      </c>
    </row>
    <row r="33" spans="1:7" x14ac:dyDescent="0.25">
      <c r="A33" s="8" t="s">
        <v>192</v>
      </c>
      <c r="B33" s="24"/>
      <c r="C33" s="24"/>
      <c r="D33" s="24"/>
      <c r="E33" s="24"/>
      <c r="F33" s="24">
        <f t="shared" si="0"/>
        <v>0</v>
      </c>
      <c r="G33" s="8" t="str">
        <f t="shared" si="1"/>
        <v>tData.Common Configuration Fileset Version</v>
      </c>
    </row>
    <row r="34" spans="1:7" x14ac:dyDescent="0.25">
      <c r="A34" s="8" t="s">
        <v>193</v>
      </c>
      <c r="B34" s="24"/>
      <c r="C34" s="24"/>
      <c r="D34" s="24"/>
      <c r="E34" s="24"/>
      <c r="F34" s="24">
        <f t="shared" si="0"/>
        <v>0</v>
      </c>
      <c r="G34" s="8" t="str">
        <f t="shared" si="1"/>
        <v>tData.Common Configuration Fileset Version Length</v>
      </c>
    </row>
    <row r="35" spans="1:7" x14ac:dyDescent="0.25">
      <c r="A35" s="8" t="s">
        <v>194</v>
      </c>
      <c r="B35" s="24"/>
      <c r="C35" s="24"/>
      <c r="D35" s="24"/>
      <c r="E35" s="24"/>
      <c r="F35" s="24">
        <f t="shared" si="0"/>
        <v>0</v>
      </c>
      <c r="G35" s="8" t="str">
        <f t="shared" si="1"/>
        <v>tData.Employee First Name</v>
      </c>
    </row>
    <row r="36" spans="1:7" x14ac:dyDescent="0.25">
      <c r="A36" s="8" t="s">
        <v>195</v>
      </c>
      <c r="B36" s="24"/>
      <c r="C36" s="24"/>
      <c r="D36" s="24"/>
      <c r="E36" s="24"/>
      <c r="F36" s="24">
        <f t="shared" si="0"/>
        <v>0</v>
      </c>
      <c r="G36" s="8" t="str">
        <f t="shared" si="1"/>
        <v>tData.Employee First Name Size</v>
      </c>
    </row>
    <row r="37" spans="1:7" x14ac:dyDescent="0.25">
      <c r="A37" s="8" t="s">
        <v>196</v>
      </c>
      <c r="B37" s="24"/>
      <c r="C37" s="24"/>
      <c r="D37" s="24"/>
      <c r="E37" s="24"/>
      <c r="F37" s="24">
        <f t="shared" si="0"/>
        <v>0</v>
      </c>
      <c r="G37" s="8" t="str">
        <f t="shared" si="1"/>
        <v>tData.Employee Identifier Length</v>
      </c>
    </row>
    <row r="38" spans="1:7" x14ac:dyDescent="0.25">
      <c r="A38" s="8" t="s">
        <v>197</v>
      </c>
      <c r="B38" s="24"/>
      <c r="C38" s="24"/>
      <c r="D38" s="24"/>
      <c r="E38" s="24"/>
      <c r="F38" s="24">
        <f t="shared" si="0"/>
        <v>0</v>
      </c>
      <c r="G38" s="8" t="str">
        <f t="shared" si="1"/>
        <v>tData.Employee Last Name Size</v>
      </c>
    </row>
    <row r="39" spans="1:7" x14ac:dyDescent="0.25">
      <c r="A39" s="8" t="s">
        <v>198</v>
      </c>
      <c r="B39" s="24"/>
      <c r="C39" s="24"/>
      <c r="D39" s="24"/>
      <c r="E39" s="24"/>
      <c r="F39" s="24">
        <f t="shared" si="0"/>
        <v>0</v>
      </c>
      <c r="G39" s="8" t="str">
        <f t="shared" si="1"/>
        <v>tData.Employee Middle Initial</v>
      </c>
    </row>
    <row r="40" spans="1:7" x14ac:dyDescent="0.25">
      <c r="A40" s="8" t="s">
        <v>199</v>
      </c>
      <c r="B40" s="32"/>
      <c r="C40" s="24"/>
      <c r="D40" s="24"/>
      <c r="E40" s="24"/>
      <c r="F40" s="24">
        <f t="shared" si="0"/>
        <v>0</v>
      </c>
      <c r="G40" s="8" t="str">
        <f t="shared" si="1"/>
        <v>tData.Employee Middle Initial Size</v>
      </c>
    </row>
    <row r="41" spans="1:7" x14ac:dyDescent="0.25">
      <c r="A41" s="8" t="s">
        <v>200</v>
      </c>
      <c r="B41" s="24"/>
      <c r="C41" s="24"/>
      <c r="D41" s="24"/>
      <c r="E41" s="24"/>
      <c r="F41" s="24">
        <f t="shared" si="0"/>
        <v>0</v>
      </c>
      <c r="G41" s="8" t="str">
        <f t="shared" si="1"/>
        <v>tData.Onboard Software Version</v>
      </c>
    </row>
    <row r="42" spans="1:7" x14ac:dyDescent="0.25">
      <c r="A42" s="8" t="s">
        <v>201</v>
      </c>
      <c r="B42" s="24"/>
      <c r="C42" s="24"/>
      <c r="D42" s="24"/>
      <c r="E42" s="24"/>
      <c r="F42" s="24">
        <f t="shared" si="0"/>
        <v>0</v>
      </c>
      <c r="G42" s="8" t="str">
        <f t="shared" si="1"/>
        <v>tData.Onboard Software Version Length</v>
      </c>
    </row>
    <row r="43" spans="1:7" x14ac:dyDescent="0.25">
      <c r="A43" s="8" t="s">
        <v>202</v>
      </c>
      <c r="B43" s="24"/>
      <c r="C43" s="24"/>
      <c r="D43" s="24"/>
      <c r="E43" s="24"/>
      <c r="F43" s="24">
        <f t="shared" si="0"/>
        <v>0</v>
      </c>
      <c r="G43" s="8" t="str">
        <f t="shared" si="1"/>
        <v>tData.Railroad SCAC</v>
      </c>
    </row>
    <row r="44" spans="1:7" x14ac:dyDescent="0.25">
      <c r="A44" s="8" t="s">
        <v>203</v>
      </c>
      <c r="B44" s="24"/>
      <c r="C44" s="24"/>
      <c r="D44" s="24"/>
      <c r="E44" s="24"/>
      <c r="F44" s="24">
        <f t="shared" si="0"/>
        <v>0</v>
      </c>
      <c r="G44" s="8" t="str">
        <f t="shared" si="1"/>
        <v>tData.Railroad Specific Configuration Fileset Version</v>
      </c>
    </row>
    <row r="45" spans="1:7" x14ac:dyDescent="0.25">
      <c r="A45" s="8" t="s">
        <v>204</v>
      </c>
      <c r="B45" s="24"/>
      <c r="C45" s="24"/>
      <c r="D45" s="24"/>
      <c r="E45" s="24"/>
      <c r="F45" s="24">
        <f t="shared" si="0"/>
        <v>0</v>
      </c>
      <c r="G45" s="8" t="str">
        <f t="shared" si="1"/>
        <v>tData.Railroad Specific Configuration Fileset Version Length</v>
      </c>
    </row>
    <row r="46" spans="1:7" x14ac:dyDescent="0.25">
      <c r="A46" s="8" t="s">
        <v>205</v>
      </c>
      <c r="B46" s="24"/>
      <c r="C46" s="24"/>
      <c r="D46" s="24"/>
      <c r="E46" s="24"/>
      <c r="F46" s="24">
        <f t="shared" si="0"/>
        <v>0</v>
      </c>
      <c r="G46" s="8" t="str">
        <f t="shared" si="1"/>
        <v>tData.Train ID Length</v>
      </c>
    </row>
    <row r="47" spans="1:7" x14ac:dyDescent="0.25">
      <c r="A47" s="8" t="s">
        <v>206</v>
      </c>
      <c r="B47" s="24"/>
      <c r="C47" s="24"/>
      <c r="D47" s="24"/>
      <c r="E47" s="24"/>
      <c r="F47" s="24">
        <f t="shared" si="0"/>
        <v>0</v>
      </c>
      <c r="G47" s="8" t="str">
        <f t="shared" si="1"/>
        <v>tFlags</v>
      </c>
    </row>
    <row r="48" spans="1:7" x14ac:dyDescent="0.25">
      <c r="A48" s="8" t="s">
        <v>207</v>
      </c>
      <c r="B48" s="24"/>
      <c r="C48" s="24"/>
      <c r="D48" s="24"/>
      <c r="E48" s="24"/>
      <c r="F48" s="24">
        <f t="shared" si="0"/>
        <v>0</v>
      </c>
      <c r="G48" s="8" t="str">
        <f t="shared" si="1"/>
        <v>tMessage Number</v>
      </c>
    </row>
    <row r="49" spans="1:7" x14ac:dyDescent="0.25">
      <c r="A49" s="8" t="s">
        <v>208</v>
      </c>
      <c r="B49" s="24"/>
      <c r="C49" s="24"/>
      <c r="D49" s="24"/>
      <c r="E49" s="24"/>
      <c r="F49" s="24">
        <f t="shared" si="0"/>
        <v>0</v>
      </c>
      <c r="G49" s="8" t="str">
        <f t="shared" si="1"/>
        <v>tProtocol Version</v>
      </c>
    </row>
    <row r="50" spans="1:7" x14ac:dyDescent="0.25">
      <c r="A50" s="8" t="s">
        <v>209</v>
      </c>
      <c r="B50" s="24"/>
      <c r="C50" s="24"/>
      <c r="D50" s="24"/>
      <c r="E50" s="24"/>
      <c r="F50" s="24">
        <f t="shared" si="0"/>
        <v>0</v>
      </c>
      <c r="G50" s="8" t="str">
        <f t="shared" si="1"/>
        <v>tRouting QoS</v>
      </c>
    </row>
    <row r="51" spans="1:7" x14ac:dyDescent="0.25">
      <c r="A51" s="8" t="s">
        <v>210</v>
      </c>
      <c r="B51" s="24"/>
      <c r="C51" s="24"/>
      <c r="D51" s="24"/>
      <c r="E51" s="24"/>
      <c r="F51" s="24">
        <f t="shared" si="0"/>
        <v>0</v>
      </c>
      <c r="G51" s="8" t="str">
        <f t="shared" si="1"/>
        <v>Time</v>
      </c>
    </row>
    <row r="52" spans="1:7" x14ac:dyDescent="0.25">
      <c r="A52" s="8" t="s">
        <v>211</v>
      </c>
      <c r="B52" s="24"/>
      <c r="C52" s="24"/>
      <c r="D52" s="24"/>
      <c r="E52" s="24"/>
      <c r="F52" s="24">
        <f t="shared" si="0"/>
        <v>0</v>
      </c>
      <c r="G52" s="8" t="str">
        <f t="shared" si="1"/>
        <v>tTime to Live</v>
      </c>
    </row>
    <row r="53" spans="1:7" x14ac:dyDescent="0.25">
      <c r="A53" s="8" t="s">
        <v>212</v>
      </c>
      <c r="B53" s="24"/>
      <c r="C53" s="24"/>
      <c r="D53" s="24"/>
      <c r="E53" s="24"/>
      <c r="F53" s="24">
        <f t="shared" si="0"/>
        <v>0</v>
      </c>
      <c r="G53" s="8" t="str">
        <f t="shared" si="1"/>
        <v>tVariable Header Size</v>
      </c>
    </row>
    <row r="54" spans="1:7" x14ac:dyDescent="0.25">
      <c r="A54" s="8" t="s">
        <v>213</v>
      </c>
      <c r="B54" s="24"/>
      <c r="C54" s="24"/>
      <c r="D54" s="24"/>
      <c r="E54" s="24"/>
      <c r="F54" s="24">
        <f t="shared" si="0"/>
        <v>0</v>
      </c>
      <c r="G54" s="8" t="str">
        <f t="shared" si="1"/>
        <v>tVersion</v>
      </c>
    </row>
    <row r="55" spans="1:7" x14ac:dyDescent="0.25">
      <c r="A55" s="8" t="s">
        <v>214</v>
      </c>
      <c r="B55" s="24"/>
      <c r="C55" s="24"/>
      <c r="D55" s="24"/>
      <c r="E55" s="24"/>
      <c r="F55" s="24">
        <f t="shared" si="0"/>
        <v>0</v>
      </c>
      <c r="G55" s="8" t="str">
        <f t="shared" si="1"/>
        <v>t_index</v>
      </c>
    </row>
    <row r="56" spans="1:7" x14ac:dyDescent="0.25">
      <c r="A56" s="8" t="s">
        <v>215</v>
      </c>
      <c r="B56" s="24"/>
      <c r="C56" s="24"/>
      <c r="D56" s="24"/>
      <c r="E56" s="24"/>
      <c r="F56" s="24">
        <f t="shared" si="0"/>
        <v>0</v>
      </c>
      <c r="G56" s="8" t="str">
        <f t="shared" si="1"/>
        <v>t_source</v>
      </c>
    </row>
    <row r="57" spans="1:7" x14ac:dyDescent="0.25">
      <c r="A57" s="8" t="s">
        <v>216</v>
      </c>
      <c r="B57" s="24"/>
      <c r="C57" s="24"/>
      <c r="D57" s="24"/>
      <c r="E57" s="24"/>
      <c r="F57" s="24">
        <f t="shared" si="0"/>
        <v>0</v>
      </c>
      <c r="G57" s="8" t="str">
        <f t="shared" si="1"/>
        <v>t_type</v>
      </c>
    </row>
    <row r="58" spans="1:7" x14ac:dyDescent="0.25">
      <c r="A58" s="8" t="s">
        <v>723</v>
      </c>
      <c r="B58" s="24"/>
      <c r="C58" s="24"/>
      <c r="D58" s="24"/>
      <c r="E58" s="24"/>
      <c r="F58" s="24">
        <f t="shared" si="0"/>
        <v>0</v>
      </c>
      <c r="G58" s="8" t="str">
        <f t="shared" si="1"/>
        <v>Trip IDs  323 hits</v>
      </c>
    </row>
    <row r="59" spans="1:7" x14ac:dyDescent="0.25">
      <c r="A59" s="8" t="s">
        <v>724</v>
      </c>
      <c r="B59" s="24"/>
      <c r="C59" s="24"/>
      <c r="D59" s="24"/>
      <c r="E59" s="24"/>
      <c r="F59" s="24">
        <f t="shared" si="0"/>
        <v>0</v>
      </c>
      <c r="G59" s="8" t="str">
        <f t="shared" si="1"/>
        <v>2016-07-25 19:47:23.872 - 2016-07-27 07:47:23.872</v>
      </c>
    </row>
    <row r="60" spans="1:7" x14ac:dyDescent="0.25">
      <c r="A60" s="8" t="s">
        <v>217</v>
      </c>
      <c r="B60" s="24"/>
      <c r="C60" s="24"/>
      <c r="D60" s="24"/>
      <c r="E60" s="24"/>
      <c r="F60" s="24">
        <f t="shared" si="0"/>
        <v>0</v>
      </c>
      <c r="G60" s="8" t="str">
        <f t="shared" si="1"/>
        <v>Count</v>
      </c>
    </row>
    <row r="61" spans="1:7" x14ac:dyDescent="0.25">
      <c r="A61" s="8">
        <v>0</v>
      </c>
      <c r="B61" s="24"/>
      <c r="C61" s="24"/>
      <c r="D61" s="24"/>
      <c r="E61" s="24"/>
      <c r="F61" s="24">
        <f t="shared" si="0"/>
        <v>0</v>
      </c>
      <c r="G61" s="8">
        <f t="shared" si="1"/>
        <v>0</v>
      </c>
    </row>
    <row r="62" spans="1:7" x14ac:dyDescent="0.25">
      <c r="A62" s="8">
        <v>2</v>
      </c>
      <c r="B62" s="24"/>
      <c r="C62" s="24"/>
      <c r="D62" s="24"/>
      <c r="E62" s="24"/>
      <c r="F62" s="24">
        <f t="shared" si="0"/>
        <v>0</v>
      </c>
      <c r="G62" s="8">
        <f t="shared" si="1"/>
        <v>2</v>
      </c>
    </row>
    <row r="63" spans="1:7" x14ac:dyDescent="0.25">
      <c r="A63" s="8">
        <v>4</v>
      </c>
      <c r="B63" s="24"/>
      <c r="C63" s="24"/>
      <c r="D63" s="24"/>
      <c r="E63" s="24"/>
      <c r="F63" s="24">
        <f t="shared" si="0"/>
        <v>0</v>
      </c>
      <c r="G63" s="8">
        <f t="shared" si="1"/>
        <v>4</v>
      </c>
    </row>
    <row r="64" spans="1:7" x14ac:dyDescent="0.25">
      <c r="A64" s="33">
        <v>6</v>
      </c>
      <c r="B64" s="24"/>
      <c r="C64" s="24"/>
      <c r="D64" s="24"/>
      <c r="E64" s="24"/>
      <c r="F64" s="24">
        <f t="shared" si="0"/>
        <v>0</v>
      </c>
      <c r="G64" s="8">
        <f t="shared" si="1"/>
        <v>6</v>
      </c>
    </row>
    <row r="65" spans="1:7" x14ac:dyDescent="0.25">
      <c r="A65" s="8">
        <v>8</v>
      </c>
      <c r="B65" s="24"/>
      <c r="C65" s="24"/>
      <c r="D65" s="24"/>
      <c r="E65" s="24"/>
      <c r="F65" s="24">
        <f t="shared" si="0"/>
        <v>0</v>
      </c>
      <c r="G65" s="8">
        <f t="shared" si="1"/>
        <v>8</v>
      </c>
    </row>
    <row r="66" spans="1:7" x14ac:dyDescent="0.25">
      <c r="A66" s="8">
        <v>10</v>
      </c>
      <c r="B66" s="24"/>
      <c r="C66" s="24"/>
      <c r="D66" s="24"/>
      <c r="E66" s="24"/>
      <c r="F66" s="24">
        <f t="shared" ref="F66:F129" si="2">B66</f>
        <v>0</v>
      </c>
      <c r="G66" s="8">
        <f t="shared" ref="G66:G129" si="3">A66</f>
        <v>10</v>
      </c>
    </row>
    <row r="67" spans="1:7" x14ac:dyDescent="0.25">
      <c r="A67" s="8">
        <v>0.875</v>
      </c>
      <c r="B67" s="24"/>
      <c r="C67" s="24"/>
      <c r="D67" s="24"/>
      <c r="E67" s="24"/>
      <c r="F67" s="24">
        <f t="shared" si="2"/>
        <v>0</v>
      </c>
      <c r="G67" s="8">
        <f t="shared" si="3"/>
        <v>0.875</v>
      </c>
    </row>
    <row r="68" spans="1:7" x14ac:dyDescent="0.25">
      <c r="A68" s="8">
        <v>0</v>
      </c>
      <c r="B68" s="24"/>
      <c r="C68" s="24"/>
      <c r="D68" s="24"/>
      <c r="E68" s="24"/>
      <c r="F68" s="24">
        <f t="shared" si="2"/>
        <v>0</v>
      </c>
      <c r="G68" s="8">
        <f t="shared" si="3"/>
        <v>0</v>
      </c>
    </row>
    <row r="69" spans="1:7" x14ac:dyDescent="0.25">
      <c r="A69" s="8">
        <v>0.125</v>
      </c>
      <c r="B69" s="24"/>
      <c r="C69" s="24"/>
      <c r="D69" s="24"/>
      <c r="E69" s="24"/>
      <c r="F69" s="24">
        <f t="shared" si="2"/>
        <v>0</v>
      </c>
      <c r="G69" s="8">
        <f t="shared" si="3"/>
        <v>0.125</v>
      </c>
    </row>
    <row r="70" spans="1:7" x14ac:dyDescent="0.25">
      <c r="A70" s="8">
        <v>0.25</v>
      </c>
      <c r="B70" s="24"/>
      <c r="C70" s="24"/>
      <c r="D70" s="24"/>
      <c r="E70" s="24"/>
      <c r="F70" s="24">
        <f t="shared" si="2"/>
        <v>0</v>
      </c>
      <c r="G70" s="8">
        <f t="shared" si="3"/>
        <v>0.25</v>
      </c>
    </row>
    <row r="71" spans="1:7" x14ac:dyDescent="0.25">
      <c r="A71" s="8">
        <v>0.375</v>
      </c>
      <c r="B71" s="24"/>
      <c r="C71" s="24"/>
      <c r="D71" s="24"/>
      <c r="E71" s="24"/>
      <c r="F71" s="24">
        <f t="shared" si="2"/>
        <v>0</v>
      </c>
      <c r="G71" s="8">
        <f t="shared" si="3"/>
        <v>0.375</v>
      </c>
    </row>
    <row r="72" spans="1:7" x14ac:dyDescent="0.25">
      <c r="A72" s="8">
        <v>0.5</v>
      </c>
      <c r="B72" s="24"/>
      <c r="C72" s="24"/>
      <c r="D72" s="24"/>
      <c r="E72" s="24"/>
      <c r="F72" s="24">
        <f t="shared" si="2"/>
        <v>0</v>
      </c>
      <c r="G72" s="8">
        <f t="shared" si="3"/>
        <v>0.5</v>
      </c>
    </row>
    <row r="73" spans="1:7" x14ac:dyDescent="0.25">
      <c r="A73" s="8">
        <v>0.625</v>
      </c>
      <c r="B73" s="24"/>
      <c r="C73" s="24"/>
      <c r="D73" s="24"/>
      <c r="E73" s="24"/>
      <c r="F73" s="24">
        <f t="shared" si="2"/>
        <v>0</v>
      </c>
      <c r="G73" s="8">
        <f t="shared" si="3"/>
        <v>0.625</v>
      </c>
    </row>
    <row r="74" spans="1:7" x14ac:dyDescent="0.25">
      <c r="A74" s="8">
        <v>0.75</v>
      </c>
      <c r="B74" s="24"/>
      <c r="C74" s="24"/>
      <c r="D74" s="24"/>
      <c r="E74" s="24"/>
      <c r="F74" s="24">
        <f t="shared" si="2"/>
        <v>0</v>
      </c>
      <c r="G74" s="8">
        <f t="shared" si="3"/>
        <v>0.75</v>
      </c>
    </row>
    <row r="75" spans="1:7" x14ac:dyDescent="0.25">
      <c r="A75" s="8">
        <v>0.875</v>
      </c>
      <c r="B75" s="24"/>
      <c r="C75" s="24"/>
      <c r="D75" s="24"/>
      <c r="E75" s="24"/>
      <c r="F75" s="24">
        <f t="shared" si="2"/>
        <v>0</v>
      </c>
      <c r="G75" s="8">
        <f t="shared" si="3"/>
        <v>0.875</v>
      </c>
    </row>
    <row r="76" spans="1:7" x14ac:dyDescent="0.25">
      <c r="A76" s="8">
        <v>0</v>
      </c>
      <c r="B76" s="24"/>
      <c r="C76" s="24"/>
      <c r="D76" s="24"/>
      <c r="E76" s="24"/>
      <c r="F76" s="24">
        <f t="shared" si="2"/>
        <v>0</v>
      </c>
      <c r="G76" s="8">
        <f t="shared" si="3"/>
        <v>0</v>
      </c>
    </row>
    <row r="77" spans="1:7" x14ac:dyDescent="0.25">
      <c r="A77" s="8">
        <v>0.125</v>
      </c>
      <c r="B77" s="24"/>
      <c r="C77" s="24"/>
      <c r="D77" s="24"/>
      <c r="E77" s="24"/>
      <c r="F77" s="24">
        <f t="shared" si="2"/>
        <v>0</v>
      </c>
      <c r="G77" s="8">
        <f t="shared" si="3"/>
        <v>0.125</v>
      </c>
    </row>
    <row r="78" spans="1:7" x14ac:dyDescent="0.25">
      <c r="A78" s="8">
        <v>0.25</v>
      </c>
      <c r="B78" s="24"/>
      <c r="C78" s="24"/>
      <c r="D78" s="24"/>
      <c r="E78" s="24"/>
      <c r="F78" s="24">
        <f t="shared" si="2"/>
        <v>0</v>
      </c>
      <c r="G78" s="8">
        <f t="shared" si="3"/>
        <v>0.25</v>
      </c>
    </row>
    <row r="79" spans="1:7" x14ac:dyDescent="0.25">
      <c r="A79" s="8" t="s">
        <v>218</v>
      </c>
      <c r="B79" s="24"/>
      <c r="C79" s="24"/>
      <c r="D79" s="24"/>
      <c r="E79" s="24"/>
      <c r="F79" s="24">
        <f t="shared" si="2"/>
        <v>0</v>
      </c>
      <c r="G79" s="8" t="str">
        <f t="shared" si="3"/>
        <v>Time per 30 minutes</v>
      </c>
    </row>
    <row r="80" spans="1:7" x14ac:dyDescent="0.25">
      <c r="A80" s="8" t="s">
        <v>38</v>
      </c>
      <c r="B80" s="24" t="s">
        <v>219</v>
      </c>
      <c r="C80" s="24" t="s">
        <v>220</v>
      </c>
      <c r="D80" s="24" t="s">
        <v>221</v>
      </c>
      <c r="E80" s="24" t="s">
        <v>222</v>
      </c>
      <c r="F80" s="24" t="str">
        <f t="shared" si="2"/>
        <v xml:space="preserve">Source  </v>
      </c>
      <c r="G80" s="8" t="str">
        <f t="shared" si="3"/>
        <v xml:space="preserve">Time </v>
      </c>
    </row>
    <row r="81" spans="1:7" x14ac:dyDescent="0.25">
      <c r="A81" s="8">
        <v>42576.838576388887</v>
      </c>
      <c r="B81" s="24" t="s">
        <v>114</v>
      </c>
      <c r="C81" s="24" t="s">
        <v>314</v>
      </c>
      <c r="D81" s="24">
        <v>1230000</v>
      </c>
      <c r="E81" s="24" t="s">
        <v>165</v>
      </c>
      <c r="F81" s="24" t="str">
        <f t="shared" si="2"/>
        <v>rtdc.l.rtdc.4007:itc</v>
      </c>
      <c r="G81" s="8">
        <f t="shared" si="3"/>
        <v>42576.838576388887</v>
      </c>
    </row>
    <row r="82" spans="1:7" x14ac:dyDescent="0.25">
      <c r="A82" s="8">
        <v>42577.308935185189</v>
      </c>
      <c r="B82" s="24" t="s">
        <v>107</v>
      </c>
      <c r="C82" s="24" t="s">
        <v>412</v>
      </c>
      <c r="D82" s="24">
        <v>1260000</v>
      </c>
      <c r="E82" s="24" t="s">
        <v>281</v>
      </c>
      <c r="F82" s="24" t="str">
        <f t="shared" si="2"/>
        <v>rtdc.l.rtdc.4029:itc</v>
      </c>
      <c r="G82" s="8">
        <f t="shared" si="3"/>
        <v>42577.308935185189</v>
      </c>
    </row>
    <row r="83" spans="1:7" x14ac:dyDescent="0.25">
      <c r="A83" s="8">
        <v>42577.39640046296</v>
      </c>
      <c r="B83" s="24" t="s">
        <v>149</v>
      </c>
      <c r="C83" s="24" t="s">
        <v>494</v>
      </c>
      <c r="D83" s="24">
        <v>1540000</v>
      </c>
      <c r="E83" s="24" t="s">
        <v>283</v>
      </c>
      <c r="F83" s="24" t="str">
        <f t="shared" si="2"/>
        <v>rtdc.l.rtdc.4010:itc</v>
      </c>
      <c r="G83" s="8">
        <f t="shared" si="3"/>
        <v>42577.39640046296</v>
      </c>
    </row>
    <row r="84" spans="1:7" x14ac:dyDescent="0.25">
      <c r="A84" s="8">
        <v>42577.474456018521</v>
      </c>
      <c r="B84" s="24" t="s">
        <v>149</v>
      </c>
      <c r="C84" s="24" t="s">
        <v>509</v>
      </c>
      <c r="D84" s="24">
        <v>1110000</v>
      </c>
      <c r="E84" s="24" t="s">
        <v>119</v>
      </c>
      <c r="F84" s="24" t="str">
        <f t="shared" si="2"/>
        <v>rtdc.l.rtdc.4010:itc</v>
      </c>
      <c r="G84" s="8">
        <f t="shared" si="3"/>
        <v>42577.474456018521</v>
      </c>
    </row>
    <row r="85" spans="1:7" x14ac:dyDescent="0.25">
      <c r="A85" s="8">
        <v>42577.273854166669</v>
      </c>
      <c r="B85" s="24" t="s">
        <v>108</v>
      </c>
      <c r="C85" s="24" t="s">
        <v>377</v>
      </c>
      <c r="D85" s="24">
        <v>1260000</v>
      </c>
      <c r="E85" s="24" t="s">
        <v>281</v>
      </c>
      <c r="F85" s="24" t="str">
        <f t="shared" si="2"/>
        <v>rtdc.l.rtdc.4030:itc</v>
      </c>
      <c r="G85" s="8">
        <f t="shared" si="3"/>
        <v>42577.273854166669</v>
      </c>
    </row>
    <row r="86" spans="1:7" x14ac:dyDescent="0.25">
      <c r="A86" s="8">
        <v>42577.51357638889</v>
      </c>
      <c r="B86" s="24" t="s">
        <v>152</v>
      </c>
      <c r="C86" s="24" t="s">
        <v>521</v>
      </c>
      <c r="D86" s="24">
        <v>1120000</v>
      </c>
      <c r="E86" s="24" t="s">
        <v>369</v>
      </c>
      <c r="F86" s="24" t="str">
        <f t="shared" si="2"/>
        <v>rtdc.l.rtdc.4041:itc</v>
      </c>
      <c r="G86" s="8">
        <f t="shared" si="3"/>
        <v>42577.51357638889</v>
      </c>
    </row>
    <row r="87" spans="1:7" x14ac:dyDescent="0.25">
      <c r="A87" s="8">
        <v>42577.522083333337</v>
      </c>
      <c r="B87" s="24" t="s">
        <v>272</v>
      </c>
      <c r="C87" s="24" t="s">
        <v>524</v>
      </c>
      <c r="D87" s="24">
        <v>940000</v>
      </c>
      <c r="E87" s="24" t="s">
        <v>390</v>
      </c>
      <c r="F87" s="24" t="str">
        <f t="shared" si="2"/>
        <v>rtdc.l.rtdc.4032:itc</v>
      </c>
      <c r="G87" s="8">
        <f t="shared" si="3"/>
        <v>42577.522083333337</v>
      </c>
    </row>
    <row r="88" spans="1:7" x14ac:dyDescent="0.25">
      <c r="A88" s="8">
        <v>42577.58971064815</v>
      </c>
      <c r="B88" s="24" t="s">
        <v>68</v>
      </c>
      <c r="C88" s="24" t="s">
        <v>560</v>
      </c>
      <c r="D88" s="24">
        <v>950000</v>
      </c>
      <c r="E88" s="24" t="s">
        <v>725</v>
      </c>
      <c r="F88" s="24" t="str">
        <f t="shared" si="2"/>
        <v>rtdc.l.rtdc.4020:itc</v>
      </c>
      <c r="G88" s="8">
        <f t="shared" si="3"/>
        <v>42577.58971064815</v>
      </c>
    </row>
    <row r="89" spans="1:7" x14ac:dyDescent="0.25">
      <c r="A89" s="8">
        <v>42577.612337962964</v>
      </c>
      <c r="B89" s="24" t="s">
        <v>105</v>
      </c>
      <c r="C89" s="24" t="s">
        <v>437</v>
      </c>
      <c r="D89" s="24">
        <v>880000</v>
      </c>
      <c r="E89" s="24" t="s">
        <v>278</v>
      </c>
      <c r="F89" s="24" t="str">
        <f t="shared" si="2"/>
        <v>rtdc.l.rtdc.4025:itc</v>
      </c>
      <c r="G89" s="8">
        <f t="shared" si="3"/>
        <v>42577.612337962964</v>
      </c>
    </row>
    <row r="90" spans="1:7" x14ac:dyDescent="0.25">
      <c r="A90" s="8">
        <v>42577.617280092592</v>
      </c>
      <c r="B90" s="24" t="s">
        <v>149</v>
      </c>
      <c r="C90" s="24" t="s">
        <v>558</v>
      </c>
      <c r="D90" s="24">
        <v>1520000</v>
      </c>
      <c r="E90" s="24" t="s">
        <v>273</v>
      </c>
      <c r="F90" s="24" t="str">
        <f t="shared" si="2"/>
        <v>rtdc.l.rtdc.4010:itc</v>
      </c>
      <c r="G90" s="8">
        <f t="shared" si="3"/>
        <v>42577.617280092592</v>
      </c>
    </row>
    <row r="91" spans="1:7" x14ac:dyDescent="0.25">
      <c r="A91" s="8">
        <v>42577.25582175926</v>
      </c>
      <c r="B91" s="24" t="s">
        <v>101</v>
      </c>
      <c r="C91" s="24" t="s">
        <v>375</v>
      </c>
      <c r="D91" s="24">
        <v>1300000</v>
      </c>
      <c r="E91" s="24" t="s">
        <v>155</v>
      </c>
      <c r="F91" s="24" t="str">
        <f t="shared" si="2"/>
        <v>rtdc.l.rtdc.4038:itc</v>
      </c>
      <c r="G91" s="8">
        <f t="shared" si="3"/>
        <v>42577.25582175926</v>
      </c>
    </row>
    <row r="92" spans="1:7" x14ac:dyDescent="0.25">
      <c r="A92" s="8">
        <v>42577.63181712963</v>
      </c>
      <c r="B92" s="24" t="s">
        <v>271</v>
      </c>
      <c r="C92" s="24" t="s">
        <v>574</v>
      </c>
      <c r="D92" s="24">
        <v>940000</v>
      </c>
      <c r="E92" s="24" t="s">
        <v>390</v>
      </c>
      <c r="F92" s="24" t="str">
        <f t="shared" si="2"/>
        <v>rtdc.l.rtdc.4031:itc</v>
      </c>
      <c r="G92" s="8">
        <f t="shared" si="3"/>
        <v>42577.63181712963</v>
      </c>
    </row>
    <row r="93" spans="1:7" x14ac:dyDescent="0.25">
      <c r="A93" s="8">
        <v>42577.170787037037</v>
      </c>
      <c r="B93" s="24" t="s">
        <v>149</v>
      </c>
      <c r="C93" s="24" t="s">
        <v>372</v>
      </c>
      <c r="D93" s="24">
        <v>1540000</v>
      </c>
      <c r="E93" s="24" t="s">
        <v>283</v>
      </c>
      <c r="F93" s="24" t="str">
        <f t="shared" si="2"/>
        <v>rtdc.l.rtdc.4010:itc</v>
      </c>
      <c r="G93" s="8">
        <f t="shared" si="3"/>
        <v>42577.170787037037</v>
      </c>
    </row>
    <row r="94" spans="1:7" x14ac:dyDescent="0.25">
      <c r="A94" s="8">
        <v>42577.724768518521</v>
      </c>
      <c r="B94" s="24" t="s">
        <v>103</v>
      </c>
      <c r="C94" s="24" t="s">
        <v>444</v>
      </c>
      <c r="D94" s="24">
        <v>880000</v>
      </c>
      <c r="E94" s="24" t="s">
        <v>278</v>
      </c>
      <c r="F94" s="24" t="str">
        <f t="shared" si="2"/>
        <v>rtdc.l.rtdc.4026:itc</v>
      </c>
      <c r="G94" s="8">
        <f t="shared" si="3"/>
        <v>42577.724768518521</v>
      </c>
    </row>
    <row r="95" spans="1:7" x14ac:dyDescent="0.25">
      <c r="A95" s="8">
        <v>42577.130289351851</v>
      </c>
      <c r="B95" s="24" t="s">
        <v>109</v>
      </c>
      <c r="C95" s="24" t="s">
        <v>371</v>
      </c>
      <c r="D95" s="24">
        <v>1540000</v>
      </c>
      <c r="E95" s="24" t="s">
        <v>283</v>
      </c>
      <c r="F95" s="24" t="str">
        <f t="shared" si="2"/>
        <v>rtdc.l.rtdc.4027:itc</v>
      </c>
      <c r="G95" s="8">
        <f t="shared" si="3"/>
        <v>42577.130289351851</v>
      </c>
    </row>
    <row r="96" spans="1:7" x14ac:dyDescent="0.25">
      <c r="A96" s="8">
        <v>42577.78670138889</v>
      </c>
      <c r="B96" s="24" t="s">
        <v>69</v>
      </c>
      <c r="C96" s="24" t="s">
        <v>608</v>
      </c>
      <c r="D96" s="24">
        <v>1180000</v>
      </c>
      <c r="E96" s="24" t="s">
        <v>370</v>
      </c>
      <c r="F96" s="24" t="str">
        <f t="shared" si="2"/>
        <v>rtdc.l.rtdc.4018:itc</v>
      </c>
      <c r="G96" s="8">
        <f t="shared" si="3"/>
        <v>42577.78670138889</v>
      </c>
    </row>
    <row r="97" spans="1:7" x14ac:dyDescent="0.25">
      <c r="A97" s="8">
        <v>42577.015115740738</v>
      </c>
      <c r="B97" s="24" t="s">
        <v>104</v>
      </c>
      <c r="C97" s="24" t="s">
        <v>329</v>
      </c>
      <c r="D97" s="24">
        <v>1810000</v>
      </c>
      <c r="E97" s="24" t="s">
        <v>277</v>
      </c>
      <c r="F97" s="24" t="str">
        <f t="shared" si="2"/>
        <v>rtdc.l.rtdc.4013:itc</v>
      </c>
      <c r="G97" s="8">
        <f t="shared" si="3"/>
        <v>42577.015115740738</v>
      </c>
    </row>
    <row r="98" spans="1:7" x14ac:dyDescent="0.25">
      <c r="A98" s="8">
        <v>42577.340648148151</v>
      </c>
      <c r="B98" s="24" t="s">
        <v>104</v>
      </c>
      <c r="C98" s="24" t="s">
        <v>413</v>
      </c>
      <c r="D98" s="24">
        <v>1110000</v>
      </c>
      <c r="E98" s="24" t="s">
        <v>119</v>
      </c>
      <c r="F98" s="24" t="str">
        <f t="shared" si="2"/>
        <v>rtdc.l.rtdc.4013:itc</v>
      </c>
      <c r="G98" s="8">
        <f t="shared" si="3"/>
        <v>42577.340648148151</v>
      </c>
    </row>
    <row r="99" spans="1:7" x14ac:dyDescent="0.25">
      <c r="A99" s="8">
        <v>42576.991168981483</v>
      </c>
      <c r="B99" s="24" t="s">
        <v>365</v>
      </c>
      <c r="C99" s="24" t="s">
        <v>327</v>
      </c>
      <c r="D99" s="24">
        <v>1180000</v>
      </c>
      <c r="E99" s="24" t="s">
        <v>370</v>
      </c>
      <c r="F99" s="24" t="str">
        <f t="shared" si="2"/>
        <v>rtdc.l.rtdc.4037:itc</v>
      </c>
      <c r="G99" s="8">
        <f t="shared" si="3"/>
        <v>42576.991168981483</v>
      </c>
    </row>
    <row r="100" spans="1:7" x14ac:dyDescent="0.25">
      <c r="A100" s="8">
        <v>42577.393148148149</v>
      </c>
      <c r="B100" s="24" t="s">
        <v>105</v>
      </c>
      <c r="C100" s="24" t="s">
        <v>499</v>
      </c>
      <c r="D100" s="24">
        <v>1990000</v>
      </c>
      <c r="E100" s="24" t="s">
        <v>374</v>
      </c>
      <c r="F100" s="24" t="str">
        <f t="shared" si="2"/>
        <v>rtdc.l.rtdc.4025:itc</v>
      </c>
      <c r="G100" s="8">
        <f t="shared" si="3"/>
        <v>42577.393148148149</v>
      </c>
    </row>
    <row r="101" spans="1:7" x14ac:dyDescent="0.25">
      <c r="A101" s="8">
        <v>42576.975138888891</v>
      </c>
      <c r="B101" s="24" t="s">
        <v>247</v>
      </c>
      <c r="C101" s="24" t="s">
        <v>328</v>
      </c>
      <c r="D101" s="24">
        <v>1810000</v>
      </c>
      <c r="E101" s="24" t="s">
        <v>277</v>
      </c>
      <c r="F101" s="24" t="str">
        <f t="shared" si="2"/>
        <v>rtdc.l.rtdc.4014:itc</v>
      </c>
      <c r="G101" s="8">
        <f t="shared" si="3"/>
        <v>42576.975138888891</v>
      </c>
    </row>
    <row r="102" spans="1:7" x14ac:dyDescent="0.25">
      <c r="A102" s="8">
        <v>42577.429085648146</v>
      </c>
      <c r="B102" s="24" t="s">
        <v>103</v>
      </c>
      <c r="C102" s="24" t="s">
        <v>500</v>
      </c>
      <c r="D102" s="24">
        <v>1990000</v>
      </c>
      <c r="E102" s="24" t="s">
        <v>374</v>
      </c>
      <c r="F102" s="24" t="str">
        <f t="shared" si="2"/>
        <v>rtdc.l.rtdc.4026:itc</v>
      </c>
      <c r="G102" s="8">
        <f t="shared" si="3"/>
        <v>42577.429085648146</v>
      </c>
    </row>
    <row r="103" spans="1:7" x14ac:dyDescent="0.25">
      <c r="A103" s="8">
        <v>42576.954722222225</v>
      </c>
      <c r="B103" s="24" t="s">
        <v>101</v>
      </c>
      <c r="C103" s="24" t="s">
        <v>325</v>
      </c>
      <c r="D103" s="24">
        <v>1180000</v>
      </c>
      <c r="E103" s="24" t="s">
        <v>370</v>
      </c>
      <c r="F103" s="24" t="str">
        <f t="shared" si="2"/>
        <v>rtdc.l.rtdc.4038:itc</v>
      </c>
      <c r="G103" s="8">
        <f t="shared" si="3"/>
        <v>42576.954722222225</v>
      </c>
    </row>
    <row r="104" spans="1:7" x14ac:dyDescent="0.25">
      <c r="A104" s="8">
        <v>42577.466747685183</v>
      </c>
      <c r="B104" s="24" t="s">
        <v>101</v>
      </c>
      <c r="C104" s="24" t="s">
        <v>424</v>
      </c>
      <c r="D104" s="24">
        <v>1300000</v>
      </c>
      <c r="E104" s="24" t="s">
        <v>155</v>
      </c>
      <c r="F104" s="24" t="str">
        <f t="shared" si="2"/>
        <v>rtdc.l.rtdc.4038:itc</v>
      </c>
      <c r="G104" s="8">
        <f t="shared" si="3"/>
        <v>42577.466747685183</v>
      </c>
    </row>
    <row r="105" spans="1:7" x14ac:dyDescent="0.25">
      <c r="A105" s="8">
        <v>42576.928206018521</v>
      </c>
      <c r="B105" s="24" t="s">
        <v>105</v>
      </c>
      <c r="C105" s="24" t="s">
        <v>362</v>
      </c>
      <c r="D105" s="24">
        <v>1740000</v>
      </c>
      <c r="E105" s="24" t="s">
        <v>275</v>
      </c>
      <c r="F105" s="24" t="str">
        <f t="shared" si="2"/>
        <v>rtdc.l.rtdc.4025:itc</v>
      </c>
      <c r="G105" s="8">
        <f t="shared" si="3"/>
        <v>42576.928206018521</v>
      </c>
    </row>
    <row r="106" spans="1:7" x14ac:dyDescent="0.25">
      <c r="A106" s="8">
        <v>42577.470439814817</v>
      </c>
      <c r="B106" s="24" t="s">
        <v>105</v>
      </c>
      <c r="C106" s="24" t="s">
        <v>516</v>
      </c>
      <c r="D106" s="24">
        <v>880000</v>
      </c>
      <c r="E106" s="24" t="s">
        <v>278</v>
      </c>
      <c r="F106" s="24" t="str">
        <f t="shared" si="2"/>
        <v>rtdc.l.rtdc.4025:itc</v>
      </c>
      <c r="G106" s="8">
        <f t="shared" si="3"/>
        <v>42577.470439814817</v>
      </c>
    </row>
    <row r="107" spans="1:7" x14ac:dyDescent="0.25">
      <c r="A107" s="8">
        <v>42576.923344907409</v>
      </c>
      <c r="B107" s="24" t="s">
        <v>114</v>
      </c>
      <c r="C107" s="24" t="s">
        <v>323</v>
      </c>
      <c r="D107" s="24">
        <v>1230000</v>
      </c>
      <c r="E107" s="24" t="s">
        <v>165</v>
      </c>
      <c r="F107" s="24" t="str">
        <f t="shared" si="2"/>
        <v>rtdc.l.rtdc.4007:itc</v>
      </c>
      <c r="G107" s="8">
        <f t="shared" si="3"/>
        <v>42576.923344907409</v>
      </c>
    </row>
    <row r="108" spans="1:7" x14ac:dyDescent="0.25">
      <c r="A108" s="8">
        <v>42577.498333333337</v>
      </c>
      <c r="B108" s="24" t="s">
        <v>69</v>
      </c>
      <c r="C108" s="24" t="s">
        <v>526</v>
      </c>
      <c r="D108" s="24">
        <v>1140000</v>
      </c>
      <c r="E108" s="24" t="s">
        <v>274</v>
      </c>
      <c r="F108" s="24" t="str">
        <f t="shared" si="2"/>
        <v>rtdc.l.rtdc.4018:itc</v>
      </c>
      <c r="G108" s="8">
        <f t="shared" si="3"/>
        <v>42577.498333333337</v>
      </c>
    </row>
    <row r="109" spans="1:7" x14ac:dyDescent="0.25">
      <c r="A109" s="8">
        <v>42576.900763888887</v>
      </c>
      <c r="B109" s="24" t="s">
        <v>76</v>
      </c>
      <c r="C109" s="24" t="s">
        <v>358</v>
      </c>
      <c r="D109" s="24">
        <v>1290000</v>
      </c>
      <c r="E109" s="24" t="s">
        <v>161</v>
      </c>
      <c r="F109" s="24" t="str">
        <f t="shared" si="2"/>
        <v>rtdc.l.rtdc.4042:itc</v>
      </c>
      <c r="G109" s="8">
        <f t="shared" si="3"/>
        <v>42576.900763888887</v>
      </c>
    </row>
    <row r="110" spans="1:7" x14ac:dyDescent="0.25">
      <c r="A110" s="8">
        <v>42577.591944444444</v>
      </c>
      <c r="B110" s="24" t="s">
        <v>101</v>
      </c>
      <c r="C110" s="24" t="s">
        <v>434</v>
      </c>
      <c r="D110" s="24">
        <v>1770000</v>
      </c>
      <c r="E110" s="24" t="s">
        <v>276</v>
      </c>
      <c r="F110" s="24" t="str">
        <f t="shared" si="2"/>
        <v>rtdc.l.rtdc.4038:itc</v>
      </c>
      <c r="G110" s="8">
        <f t="shared" si="3"/>
        <v>42577.591944444444</v>
      </c>
    </row>
    <row r="111" spans="1:7" x14ac:dyDescent="0.25">
      <c r="A111" s="8">
        <v>42576.891273148147</v>
      </c>
      <c r="B111" s="24" t="s">
        <v>247</v>
      </c>
      <c r="C111" s="24" t="s">
        <v>319</v>
      </c>
      <c r="D111" s="24">
        <v>1810000</v>
      </c>
      <c r="E111" s="24" t="s">
        <v>277</v>
      </c>
      <c r="F111" s="24" t="str">
        <f t="shared" si="2"/>
        <v>rtdc.l.rtdc.4014:itc</v>
      </c>
      <c r="G111" s="8">
        <f t="shared" si="3"/>
        <v>42576.891273148147</v>
      </c>
    </row>
    <row r="112" spans="1:7" x14ac:dyDescent="0.25">
      <c r="A112" s="8">
        <v>42577.736793981479</v>
      </c>
      <c r="B112" s="24" t="s">
        <v>247</v>
      </c>
      <c r="C112" s="24" t="s">
        <v>700</v>
      </c>
      <c r="D112" s="24">
        <v>1480000</v>
      </c>
      <c r="E112" s="24" t="s">
        <v>102</v>
      </c>
      <c r="F112" s="24" t="str">
        <f t="shared" si="2"/>
        <v>rtdc.l.rtdc.4014:itc</v>
      </c>
      <c r="G112" s="8">
        <f t="shared" si="3"/>
        <v>42577.736793981479</v>
      </c>
    </row>
    <row r="113" spans="1:7" x14ac:dyDescent="0.25">
      <c r="A113" s="8">
        <v>42576.890775462962</v>
      </c>
      <c r="B113" s="24" t="s">
        <v>112</v>
      </c>
      <c r="C113" s="24" t="s">
        <v>316</v>
      </c>
      <c r="D113" s="24">
        <v>1230000</v>
      </c>
      <c r="E113" s="24" t="s">
        <v>165</v>
      </c>
      <c r="F113" s="24" t="str">
        <f t="shared" si="2"/>
        <v>rtdc.l.rtdc.4008:itc</v>
      </c>
      <c r="G113" s="8">
        <f t="shared" si="3"/>
        <v>42576.890775462962</v>
      </c>
    </row>
    <row r="114" spans="1:7" x14ac:dyDescent="0.25">
      <c r="A114" s="8">
        <v>42577.736620370371</v>
      </c>
      <c r="B114" s="24" t="s">
        <v>68</v>
      </c>
      <c r="C114" s="24" t="s">
        <v>599</v>
      </c>
      <c r="D114" s="24">
        <v>1290000</v>
      </c>
      <c r="E114" s="24" t="s">
        <v>161</v>
      </c>
      <c r="F114" s="24" t="str">
        <f t="shared" si="2"/>
        <v>rtdc.l.rtdc.4020:itc</v>
      </c>
      <c r="G114" s="8">
        <f t="shared" si="3"/>
        <v>42577.736620370371</v>
      </c>
    </row>
    <row r="115" spans="1:7" x14ac:dyDescent="0.25">
      <c r="A115" s="8">
        <v>42576.873101851852</v>
      </c>
      <c r="B115" s="24" t="s">
        <v>271</v>
      </c>
      <c r="C115" s="24" t="s">
        <v>354</v>
      </c>
      <c r="D115" s="24">
        <v>1770000</v>
      </c>
      <c r="E115" s="24" t="s">
        <v>276</v>
      </c>
      <c r="F115" s="24" t="str">
        <f t="shared" si="2"/>
        <v>rtdc.l.rtdc.4031:itc</v>
      </c>
      <c r="G115" s="8">
        <f t="shared" si="3"/>
        <v>42576.873101851852</v>
      </c>
    </row>
    <row r="116" spans="1:7" x14ac:dyDescent="0.25">
      <c r="A116" s="8">
        <v>42577.79315972222</v>
      </c>
      <c r="B116" s="24" t="s">
        <v>247</v>
      </c>
      <c r="C116" s="24" t="s">
        <v>718</v>
      </c>
      <c r="D116" s="24">
        <v>1480000</v>
      </c>
      <c r="E116" s="24" t="s">
        <v>102</v>
      </c>
      <c r="F116" s="24" t="str">
        <f t="shared" si="2"/>
        <v>rtdc.l.rtdc.4014:itc</v>
      </c>
      <c r="G116" s="8">
        <f t="shared" si="3"/>
        <v>42577.79315972222</v>
      </c>
    </row>
    <row r="117" spans="1:7" x14ac:dyDescent="0.25">
      <c r="A117" s="8">
        <v>42576.860949074071</v>
      </c>
      <c r="B117" s="24" t="s">
        <v>103</v>
      </c>
      <c r="C117" s="24" t="s">
        <v>353</v>
      </c>
      <c r="D117" s="24">
        <v>1740000</v>
      </c>
      <c r="E117" s="24" t="s">
        <v>275</v>
      </c>
      <c r="F117" s="24" t="str">
        <f t="shared" si="2"/>
        <v>rtdc.l.rtdc.4026:itc</v>
      </c>
      <c r="G117" s="8">
        <f t="shared" si="3"/>
        <v>42576.860949074071</v>
      </c>
    </row>
    <row r="118" spans="1:7" x14ac:dyDescent="0.25">
      <c r="A118" s="8">
        <v>42577.823263888888</v>
      </c>
      <c r="B118" s="24" t="s">
        <v>70</v>
      </c>
      <c r="C118" s="24" t="s">
        <v>609</v>
      </c>
      <c r="D118" s="24">
        <v>1180000</v>
      </c>
      <c r="E118" s="24" t="s">
        <v>370</v>
      </c>
      <c r="F118" s="24" t="str">
        <f t="shared" si="2"/>
        <v>rtdc.l.rtdc.4017:itc</v>
      </c>
      <c r="G118" s="8">
        <f t="shared" si="3"/>
        <v>42577.823263888888</v>
      </c>
    </row>
    <row r="119" spans="1:7" x14ac:dyDescent="0.25">
      <c r="A119" s="8">
        <v>42578.311979166669</v>
      </c>
      <c r="B119" s="24" t="s">
        <v>245</v>
      </c>
      <c r="C119" s="24" t="s">
        <v>726</v>
      </c>
      <c r="D119" s="24">
        <v>1260000</v>
      </c>
      <c r="E119" s="24" t="s">
        <v>281</v>
      </c>
      <c r="F119" s="24" t="str">
        <f t="shared" si="2"/>
        <v>rtdc.l.rtdc.4040:itc</v>
      </c>
      <c r="G119" s="8">
        <f t="shared" si="3"/>
        <v>42578.311979166669</v>
      </c>
    </row>
    <row r="120" spans="1:7" x14ac:dyDescent="0.25">
      <c r="A120" s="8">
        <v>42577.824340277781</v>
      </c>
      <c r="B120" s="24" t="s">
        <v>70</v>
      </c>
      <c r="C120" s="24" t="s">
        <v>609</v>
      </c>
      <c r="D120" s="24">
        <v>1180000</v>
      </c>
      <c r="E120" s="24" t="s">
        <v>370</v>
      </c>
      <c r="F120" s="24" t="str">
        <f t="shared" si="2"/>
        <v>rtdc.l.rtdc.4017:itc</v>
      </c>
      <c r="G120" s="8">
        <f t="shared" si="3"/>
        <v>42577.824340277781</v>
      </c>
    </row>
    <row r="121" spans="1:7" x14ac:dyDescent="0.25">
      <c r="A121" s="8">
        <v>42578.302731481483</v>
      </c>
      <c r="B121" s="24" t="s">
        <v>68</v>
      </c>
      <c r="C121" s="24" t="s">
        <v>727</v>
      </c>
      <c r="D121" s="24">
        <v>1100000</v>
      </c>
      <c r="E121" s="24" t="s">
        <v>246</v>
      </c>
      <c r="F121" s="24" t="str">
        <f t="shared" si="2"/>
        <v>rtdc.l.rtdc.4020:itc</v>
      </c>
      <c r="G121" s="8">
        <f t="shared" si="3"/>
        <v>42578.302731481483</v>
      </c>
    </row>
    <row r="122" spans="1:7" x14ac:dyDescent="0.25">
      <c r="A122" s="8">
        <v>42577.849756944444</v>
      </c>
      <c r="B122" s="32" t="s">
        <v>76</v>
      </c>
      <c r="C122" s="24" t="s">
        <v>616</v>
      </c>
      <c r="D122" s="24">
        <v>1800000</v>
      </c>
      <c r="E122" s="24" t="s">
        <v>279</v>
      </c>
      <c r="F122" s="24" t="str">
        <f t="shared" si="2"/>
        <v>rtdc.l.rtdc.4042:itc</v>
      </c>
      <c r="G122" s="8">
        <f t="shared" si="3"/>
        <v>42577.849756944444</v>
      </c>
    </row>
    <row r="123" spans="1:7" x14ac:dyDescent="0.25">
      <c r="A123" s="8">
        <v>42578.284548611111</v>
      </c>
      <c r="B123" s="24" t="s">
        <v>69</v>
      </c>
      <c r="C123" s="24" t="s">
        <v>728</v>
      </c>
      <c r="D123" s="24">
        <v>1110000</v>
      </c>
      <c r="E123" s="24" t="s">
        <v>119</v>
      </c>
      <c r="F123" s="24" t="str">
        <f t="shared" si="2"/>
        <v>rtdc.l.rtdc.4018:itc</v>
      </c>
      <c r="G123" s="8">
        <f t="shared" si="3"/>
        <v>42578.284548611111</v>
      </c>
    </row>
    <row r="124" spans="1:7" x14ac:dyDescent="0.25">
      <c r="A124" s="8">
        <v>42577.890081018515</v>
      </c>
      <c r="B124" s="24" t="s">
        <v>152</v>
      </c>
      <c r="C124" s="24" t="s">
        <v>450</v>
      </c>
      <c r="D124" s="24">
        <v>1800000</v>
      </c>
      <c r="E124" s="24" t="s">
        <v>279</v>
      </c>
      <c r="F124" s="24" t="str">
        <f t="shared" si="2"/>
        <v>rtdc.l.rtdc.4041:itc</v>
      </c>
      <c r="G124" s="8">
        <f t="shared" si="3"/>
        <v>42577.890081018515</v>
      </c>
    </row>
    <row r="125" spans="1:7" x14ac:dyDescent="0.25">
      <c r="A125" s="8">
        <v>42578.255856481483</v>
      </c>
      <c r="B125" s="24" t="s">
        <v>109</v>
      </c>
      <c r="C125" s="24" t="s">
        <v>729</v>
      </c>
      <c r="D125" s="24">
        <v>1360000</v>
      </c>
      <c r="E125" s="24" t="s">
        <v>730</v>
      </c>
      <c r="F125" s="24" t="str">
        <f t="shared" si="2"/>
        <v>rtdc.l.rtdc.4027:itc</v>
      </c>
      <c r="G125" s="8">
        <f t="shared" si="3"/>
        <v>42578.255856481483</v>
      </c>
    </row>
    <row r="126" spans="1:7" x14ac:dyDescent="0.25">
      <c r="A126" s="8">
        <v>42577.893148148149</v>
      </c>
      <c r="B126" s="24" t="s">
        <v>68</v>
      </c>
      <c r="C126" s="24" t="s">
        <v>620</v>
      </c>
      <c r="D126" s="24">
        <v>1290000</v>
      </c>
      <c r="E126" s="24" t="s">
        <v>161</v>
      </c>
      <c r="F126" s="24" t="str">
        <f t="shared" si="2"/>
        <v>rtdc.l.rtdc.4020:itc</v>
      </c>
      <c r="G126" s="8">
        <f t="shared" si="3"/>
        <v>42577.893148148149</v>
      </c>
    </row>
    <row r="127" spans="1:7" x14ac:dyDescent="0.25">
      <c r="A127" s="8">
        <v>42578.047962962963</v>
      </c>
      <c r="B127" s="24" t="s">
        <v>68</v>
      </c>
      <c r="C127" s="24" t="s">
        <v>731</v>
      </c>
      <c r="D127" s="24">
        <v>1290000</v>
      </c>
      <c r="E127" s="24" t="s">
        <v>161</v>
      </c>
      <c r="F127" s="24" t="str">
        <f t="shared" si="2"/>
        <v>rtdc.l.rtdc.4020:itc</v>
      </c>
      <c r="G127" s="8">
        <f t="shared" si="3"/>
        <v>42578.047962962963</v>
      </c>
    </row>
    <row r="128" spans="1:7" x14ac:dyDescent="0.25">
      <c r="A128" s="8">
        <v>42577.901030092595</v>
      </c>
      <c r="B128" s="24" t="s">
        <v>105</v>
      </c>
      <c r="C128" s="24" t="s">
        <v>451</v>
      </c>
      <c r="D128" s="24">
        <v>1230000</v>
      </c>
      <c r="E128" s="24" t="s">
        <v>165</v>
      </c>
      <c r="F128" s="24" t="str">
        <f t="shared" si="2"/>
        <v>rtdc.l.rtdc.4025:itc</v>
      </c>
      <c r="G128" s="8">
        <f t="shared" si="3"/>
        <v>42577.901030092595</v>
      </c>
    </row>
    <row r="129" spans="1:7" x14ac:dyDescent="0.25">
      <c r="A129" s="8">
        <v>42578.037534722222</v>
      </c>
      <c r="B129" s="24" t="s">
        <v>103</v>
      </c>
      <c r="C129" s="24" t="s">
        <v>630</v>
      </c>
      <c r="D129" s="24">
        <v>1230000</v>
      </c>
      <c r="E129" s="24" t="s">
        <v>165</v>
      </c>
      <c r="F129" s="24" t="str">
        <f t="shared" si="2"/>
        <v>rtdc.l.rtdc.4026:itc</v>
      </c>
      <c r="G129" s="8">
        <f t="shared" si="3"/>
        <v>42578.037534722222</v>
      </c>
    </row>
    <row r="130" spans="1:7" x14ac:dyDescent="0.25">
      <c r="A130" s="8">
        <v>42577.922002314815</v>
      </c>
      <c r="B130" s="24" t="s">
        <v>101</v>
      </c>
      <c r="C130" s="24" t="s">
        <v>714</v>
      </c>
      <c r="D130" s="24">
        <v>1480000</v>
      </c>
      <c r="E130" s="24" t="s">
        <v>102</v>
      </c>
      <c r="F130" s="24" t="str">
        <f t="shared" ref="F130:F193" si="4">B130</f>
        <v>rtdc.l.rtdc.4038:itc</v>
      </c>
      <c r="G130" s="8">
        <f t="shared" ref="G130:G193" si="5">A130</f>
        <v>42577.922002314815</v>
      </c>
    </row>
    <row r="131" spans="1:7" x14ac:dyDescent="0.25">
      <c r="A131" s="8">
        <v>42578.059664351851</v>
      </c>
      <c r="B131" s="24" t="s">
        <v>152</v>
      </c>
      <c r="C131" s="24" t="s">
        <v>634</v>
      </c>
      <c r="D131" s="24">
        <v>1800000</v>
      </c>
      <c r="E131" s="24" t="s">
        <v>279</v>
      </c>
      <c r="F131" s="24" t="str">
        <f t="shared" si="4"/>
        <v>rtdc.l.rtdc.4041:itc</v>
      </c>
      <c r="G131" s="8">
        <f t="shared" si="5"/>
        <v>42578.059664351851</v>
      </c>
    </row>
    <row r="132" spans="1:7" x14ac:dyDescent="0.25">
      <c r="A132" s="8">
        <v>42577.930590277778</v>
      </c>
      <c r="B132" s="24" t="s">
        <v>67</v>
      </c>
      <c r="C132" s="24" t="s">
        <v>621</v>
      </c>
      <c r="D132" s="24">
        <v>1290000</v>
      </c>
      <c r="E132" s="24" t="s">
        <v>161</v>
      </c>
      <c r="F132" s="24" t="str">
        <f t="shared" si="4"/>
        <v>rtdc.l.rtdc.4019:itc</v>
      </c>
      <c r="G132" s="8">
        <f t="shared" si="5"/>
        <v>42577.930590277778</v>
      </c>
    </row>
    <row r="133" spans="1:7" x14ac:dyDescent="0.25">
      <c r="A133" s="8">
        <v>42578.262939814813</v>
      </c>
      <c r="B133" s="24" t="s">
        <v>68</v>
      </c>
      <c r="C133" s="24" t="s">
        <v>732</v>
      </c>
      <c r="D133" s="24">
        <v>1100000</v>
      </c>
      <c r="E133" s="24" t="s">
        <v>246</v>
      </c>
      <c r="F133" s="24" t="str">
        <f t="shared" si="4"/>
        <v>rtdc.l.rtdc.4020:itc</v>
      </c>
      <c r="G133" s="8">
        <f t="shared" si="5"/>
        <v>42578.262939814813</v>
      </c>
    </row>
    <row r="134" spans="1:7" x14ac:dyDescent="0.25">
      <c r="A134" s="8">
        <v>42577.954027777778</v>
      </c>
      <c r="B134" s="24" t="s">
        <v>103</v>
      </c>
      <c r="C134" s="24" t="s">
        <v>622</v>
      </c>
      <c r="D134" s="24">
        <v>1230000</v>
      </c>
      <c r="E134" s="24" t="s">
        <v>165</v>
      </c>
      <c r="F134" s="24" t="str">
        <f t="shared" si="4"/>
        <v>rtdc.l.rtdc.4026:itc</v>
      </c>
      <c r="G134" s="8">
        <f t="shared" si="5"/>
        <v>42577.954027777778</v>
      </c>
    </row>
    <row r="135" spans="1:7" x14ac:dyDescent="0.25">
      <c r="A135" s="8">
        <v>42578.257615740738</v>
      </c>
      <c r="B135" s="24" t="s">
        <v>70</v>
      </c>
      <c r="C135" s="24" t="s">
        <v>733</v>
      </c>
      <c r="D135" s="24">
        <v>1110000</v>
      </c>
      <c r="E135" s="24" t="s">
        <v>119</v>
      </c>
      <c r="F135" s="24" t="str">
        <f t="shared" si="4"/>
        <v>rtdc.l.rtdc.4017:itc</v>
      </c>
      <c r="G135" s="8">
        <f t="shared" si="5"/>
        <v>42578.257615740738</v>
      </c>
    </row>
    <row r="136" spans="1:7" x14ac:dyDescent="0.25">
      <c r="A136" s="8">
        <v>42577.975462962961</v>
      </c>
      <c r="B136" s="24" t="s">
        <v>152</v>
      </c>
      <c r="C136" s="24" t="s">
        <v>625</v>
      </c>
      <c r="D136" s="24">
        <v>1800000</v>
      </c>
      <c r="E136" s="24" t="s">
        <v>279</v>
      </c>
      <c r="F136" s="24" t="str">
        <f t="shared" si="4"/>
        <v>rtdc.l.rtdc.4041:itc</v>
      </c>
      <c r="G136" s="8">
        <f t="shared" si="5"/>
        <v>42577.975462962961</v>
      </c>
    </row>
    <row r="137" spans="1:7" x14ac:dyDescent="0.25">
      <c r="A137" s="8">
        <v>42578.195428240739</v>
      </c>
      <c r="B137" s="24" t="s">
        <v>149</v>
      </c>
      <c r="C137" s="24" t="s">
        <v>734</v>
      </c>
      <c r="D137" s="24">
        <v>1260000</v>
      </c>
      <c r="E137" s="24" t="s">
        <v>281</v>
      </c>
      <c r="F137" s="24" t="str">
        <f t="shared" si="4"/>
        <v>rtdc.l.rtdc.4010:itc</v>
      </c>
      <c r="G137" s="8">
        <f t="shared" si="5"/>
        <v>42578.195428240739</v>
      </c>
    </row>
    <row r="138" spans="1:7" x14ac:dyDescent="0.25">
      <c r="A138" s="8">
        <v>42578.011956018519</v>
      </c>
      <c r="B138" s="24" t="s">
        <v>67</v>
      </c>
      <c r="C138" s="24" t="s">
        <v>628</v>
      </c>
      <c r="D138" s="24">
        <v>1290000</v>
      </c>
      <c r="E138" s="24" t="s">
        <v>161</v>
      </c>
      <c r="F138" s="24" t="str">
        <f t="shared" si="4"/>
        <v>rtdc.l.rtdc.4019:itc</v>
      </c>
      <c r="G138" s="8">
        <f t="shared" si="5"/>
        <v>42578.011956018519</v>
      </c>
    </row>
    <row r="139" spans="1:7" x14ac:dyDescent="0.25">
      <c r="A139" s="8">
        <v>42578.121863425928</v>
      </c>
      <c r="B139" s="24" t="s">
        <v>272</v>
      </c>
      <c r="C139" s="24" t="s">
        <v>735</v>
      </c>
      <c r="D139" s="24">
        <v>2010000</v>
      </c>
      <c r="E139" s="24" t="s">
        <v>736</v>
      </c>
      <c r="F139" s="24" t="str">
        <f t="shared" si="4"/>
        <v>rtdc.l.rtdc.4032:itc</v>
      </c>
      <c r="G139" s="8">
        <f t="shared" si="5"/>
        <v>42578.121863425928</v>
      </c>
    </row>
    <row r="140" spans="1:7" x14ac:dyDescent="0.25">
      <c r="A140" s="8">
        <v>42578.015370370369</v>
      </c>
      <c r="B140" s="24" t="s">
        <v>76</v>
      </c>
      <c r="C140" s="24" t="s">
        <v>633</v>
      </c>
      <c r="D140" s="24">
        <v>1800000</v>
      </c>
      <c r="E140" s="24" t="s">
        <v>279</v>
      </c>
      <c r="F140" s="24" t="str">
        <f t="shared" si="4"/>
        <v>rtdc.l.rtdc.4042:itc</v>
      </c>
      <c r="G140" s="8">
        <f t="shared" si="5"/>
        <v>42578.015370370369</v>
      </c>
    </row>
    <row r="141" spans="1:7" x14ac:dyDescent="0.25">
      <c r="A141" s="8">
        <v>42578.066874999997</v>
      </c>
      <c r="B141" s="24" t="s">
        <v>105</v>
      </c>
      <c r="C141" s="24" t="s">
        <v>737</v>
      </c>
      <c r="D141" s="24">
        <v>1230000</v>
      </c>
      <c r="E141" s="24" t="s">
        <v>165</v>
      </c>
      <c r="F141" s="24" t="str">
        <f t="shared" si="4"/>
        <v>rtdc.l.rtdc.4025:itc</v>
      </c>
      <c r="G141" s="8">
        <f t="shared" si="5"/>
        <v>42578.066874999997</v>
      </c>
    </row>
    <row r="142" spans="1:7" x14ac:dyDescent="0.25">
      <c r="A142" s="8">
        <v>42578.027766203704</v>
      </c>
      <c r="B142" s="24" t="s">
        <v>69</v>
      </c>
      <c r="C142" s="24" t="s">
        <v>636</v>
      </c>
      <c r="D142" s="24">
        <v>1180000</v>
      </c>
      <c r="E142" s="24" t="s">
        <v>370</v>
      </c>
      <c r="F142" s="24" t="str">
        <f t="shared" si="4"/>
        <v>rtdc.l.rtdc.4018:itc</v>
      </c>
      <c r="G142" s="8">
        <f t="shared" si="5"/>
        <v>42578.027766203704</v>
      </c>
    </row>
    <row r="143" spans="1:7" x14ac:dyDescent="0.25">
      <c r="A143" s="8">
        <v>42578.305810185186</v>
      </c>
      <c r="B143" s="24" t="s">
        <v>107</v>
      </c>
      <c r="C143" s="24" t="s">
        <v>738</v>
      </c>
      <c r="D143" s="24">
        <v>1190000</v>
      </c>
      <c r="E143" s="24" t="s">
        <v>151</v>
      </c>
      <c r="F143" s="24" t="str">
        <f t="shared" si="4"/>
        <v>rtdc.l.rtdc.4029:itc</v>
      </c>
      <c r="G143" s="8">
        <f t="shared" si="5"/>
        <v>42578.305810185186</v>
      </c>
    </row>
    <row r="144" spans="1:7" x14ac:dyDescent="0.25">
      <c r="A144" s="8">
        <v>42578.139745370368</v>
      </c>
      <c r="B144" s="24" t="s">
        <v>149</v>
      </c>
      <c r="C144" s="24" t="s">
        <v>739</v>
      </c>
      <c r="D144" s="24">
        <v>1260000</v>
      </c>
      <c r="E144" s="24" t="s">
        <v>281</v>
      </c>
      <c r="F144" s="24" t="str">
        <f t="shared" si="4"/>
        <v>rtdc.l.rtdc.4010:itc</v>
      </c>
      <c r="G144" s="8">
        <f t="shared" si="5"/>
        <v>42578.139745370368</v>
      </c>
    </row>
    <row r="145" spans="1:7" x14ac:dyDescent="0.25">
      <c r="A145" s="8">
        <v>42578.299756944441</v>
      </c>
      <c r="B145" s="24" t="s">
        <v>107</v>
      </c>
      <c r="C145" s="24" t="s">
        <v>738</v>
      </c>
      <c r="D145" s="24">
        <v>1190000</v>
      </c>
      <c r="E145" s="24" t="s">
        <v>151</v>
      </c>
      <c r="F145" s="24" t="str">
        <f t="shared" si="4"/>
        <v>rtdc.l.rtdc.4029:itc</v>
      </c>
      <c r="G145" s="8">
        <f t="shared" si="5"/>
        <v>42578.299756944441</v>
      </c>
    </row>
    <row r="146" spans="1:7" x14ac:dyDescent="0.25">
      <c r="A146" s="8">
        <v>42578.156759259262</v>
      </c>
      <c r="B146" s="24" t="s">
        <v>245</v>
      </c>
      <c r="C146" s="24" t="s">
        <v>740</v>
      </c>
      <c r="D146" s="24">
        <v>1260000</v>
      </c>
      <c r="E146" s="24" t="s">
        <v>281</v>
      </c>
      <c r="F146" s="24" t="str">
        <f t="shared" si="4"/>
        <v>rtdc.l.rtdc.4040:itc</v>
      </c>
      <c r="G146" s="8">
        <f t="shared" si="5"/>
        <v>42578.156759259262</v>
      </c>
    </row>
    <row r="147" spans="1:7" x14ac:dyDescent="0.25">
      <c r="A147" s="8">
        <v>42578.287673611114</v>
      </c>
      <c r="B147" s="24" t="s">
        <v>106</v>
      </c>
      <c r="C147" s="24" t="s">
        <v>741</v>
      </c>
      <c r="D147" s="24">
        <v>1360000</v>
      </c>
      <c r="E147" s="24" t="s">
        <v>730</v>
      </c>
      <c r="F147" s="24" t="str">
        <f t="shared" si="4"/>
        <v>rtdc.l.rtdc.4028:itc</v>
      </c>
      <c r="G147" s="8">
        <f t="shared" si="5"/>
        <v>42578.287673611114</v>
      </c>
    </row>
    <row r="148" spans="1:7" x14ac:dyDescent="0.25">
      <c r="A148" s="8">
        <v>42578.176053240742</v>
      </c>
      <c r="B148" s="24" t="s">
        <v>109</v>
      </c>
      <c r="C148" s="24" t="s">
        <v>742</v>
      </c>
      <c r="D148" s="24">
        <v>1360000</v>
      </c>
      <c r="E148" s="24" t="s">
        <v>730</v>
      </c>
      <c r="F148" s="24" t="str">
        <f t="shared" si="4"/>
        <v>rtdc.l.rtdc.4027:itc</v>
      </c>
      <c r="G148" s="8">
        <f t="shared" si="5"/>
        <v>42578.176053240742</v>
      </c>
    </row>
    <row r="149" spans="1:7" x14ac:dyDescent="0.25">
      <c r="A149" s="8">
        <v>42578.260150462964</v>
      </c>
      <c r="B149" s="24" t="s">
        <v>136</v>
      </c>
      <c r="C149" s="24" t="s">
        <v>743</v>
      </c>
      <c r="D149" s="24">
        <v>1090000</v>
      </c>
      <c r="E149" s="24" t="s">
        <v>111</v>
      </c>
      <c r="F149" s="24" t="str">
        <f t="shared" si="4"/>
        <v>rtdc.l.rtdc.4016:itc</v>
      </c>
      <c r="G149" s="8">
        <f t="shared" si="5"/>
        <v>42578.260150462964</v>
      </c>
    </row>
    <row r="150" spans="1:7" x14ac:dyDescent="0.25">
      <c r="A150" s="8">
        <v>42578.209594907406</v>
      </c>
      <c r="B150" s="24" t="s">
        <v>114</v>
      </c>
      <c r="C150" s="24" t="s">
        <v>744</v>
      </c>
      <c r="D150" s="24">
        <v>900000</v>
      </c>
      <c r="E150" s="24" t="s">
        <v>368</v>
      </c>
      <c r="F150" s="24" t="str">
        <f t="shared" si="4"/>
        <v>rtdc.l.rtdc.4007:itc</v>
      </c>
      <c r="G150" s="8">
        <f t="shared" si="5"/>
        <v>42578.209594907406</v>
      </c>
    </row>
    <row r="151" spans="1:7" x14ac:dyDescent="0.25">
      <c r="A151" s="8">
        <v>42578.22923611111</v>
      </c>
      <c r="B151" s="24" t="s">
        <v>107</v>
      </c>
      <c r="C151" s="24" t="s">
        <v>745</v>
      </c>
      <c r="D151" s="24">
        <v>1190000</v>
      </c>
      <c r="E151" s="24" t="s">
        <v>151</v>
      </c>
      <c r="F151" s="24" t="str">
        <f t="shared" si="4"/>
        <v>rtdc.l.rtdc.4029:itc</v>
      </c>
      <c r="G151" s="8">
        <f t="shared" si="5"/>
        <v>42578.22923611111</v>
      </c>
    </row>
    <row r="152" spans="1:7" x14ac:dyDescent="0.25">
      <c r="A152" s="8">
        <v>42578.262002314812</v>
      </c>
      <c r="B152" s="24" t="s">
        <v>108</v>
      </c>
      <c r="C152" s="24" t="s">
        <v>746</v>
      </c>
      <c r="D152" s="24">
        <v>1190000</v>
      </c>
      <c r="E152" s="24" t="s">
        <v>151</v>
      </c>
      <c r="F152" s="24" t="str">
        <f t="shared" si="4"/>
        <v>rtdc.l.rtdc.4030:itc</v>
      </c>
      <c r="G152" s="8">
        <f t="shared" si="5"/>
        <v>42578.262002314812</v>
      </c>
    </row>
    <row r="153" spans="1:7" x14ac:dyDescent="0.25">
      <c r="A153" s="8">
        <v>42577.951863425929</v>
      </c>
      <c r="B153" s="24" t="s">
        <v>69</v>
      </c>
      <c r="C153" s="24" t="s">
        <v>452</v>
      </c>
      <c r="D153" s="24">
        <v>1180000</v>
      </c>
      <c r="E153" s="24" t="s">
        <v>370</v>
      </c>
      <c r="F153" s="24" t="str">
        <f t="shared" si="4"/>
        <v>rtdc.l.rtdc.4018:itc</v>
      </c>
      <c r="G153" s="8">
        <f t="shared" si="5"/>
        <v>42577.951863425929</v>
      </c>
    </row>
    <row r="154" spans="1:7" x14ac:dyDescent="0.25">
      <c r="A154" s="8">
        <v>42578.2734375</v>
      </c>
      <c r="B154" s="24" t="s">
        <v>101</v>
      </c>
      <c r="C154" s="24" t="s">
        <v>747</v>
      </c>
      <c r="D154" s="24">
        <v>1460000</v>
      </c>
      <c r="E154" s="24" t="s">
        <v>748</v>
      </c>
      <c r="F154" s="24" t="str">
        <f t="shared" si="4"/>
        <v>rtdc.l.rtdc.4038:itc</v>
      </c>
      <c r="G154" s="8">
        <f t="shared" si="5"/>
        <v>42578.2734375</v>
      </c>
    </row>
    <row r="155" spans="1:7" x14ac:dyDescent="0.25">
      <c r="A155" s="8">
        <v>42577.934675925928</v>
      </c>
      <c r="B155" s="24" t="s">
        <v>76</v>
      </c>
      <c r="C155" s="24" t="s">
        <v>623</v>
      </c>
      <c r="D155" s="24">
        <v>1800000</v>
      </c>
      <c r="E155" s="24" t="s">
        <v>279</v>
      </c>
      <c r="F155" s="24" t="str">
        <f t="shared" si="4"/>
        <v>rtdc.l.rtdc.4042:itc</v>
      </c>
      <c r="G155" s="8">
        <f t="shared" si="5"/>
        <v>42577.934675925928</v>
      </c>
    </row>
    <row r="156" spans="1:7" x14ac:dyDescent="0.25">
      <c r="A156" s="8">
        <v>42578.311018518521</v>
      </c>
      <c r="B156" s="24" t="s">
        <v>245</v>
      </c>
      <c r="C156" s="24" t="s">
        <v>726</v>
      </c>
      <c r="D156" s="24">
        <v>1260000</v>
      </c>
      <c r="E156" s="24" t="s">
        <v>281</v>
      </c>
      <c r="F156" s="24" t="str">
        <f t="shared" si="4"/>
        <v>rtdc.l.rtdc.4040:itc</v>
      </c>
      <c r="G156" s="8">
        <f t="shared" si="5"/>
        <v>42578.311018518521</v>
      </c>
    </row>
    <row r="157" spans="1:7" x14ac:dyDescent="0.25">
      <c r="A157" s="8">
        <v>42577.870474537034</v>
      </c>
      <c r="B157" s="24" t="s">
        <v>103</v>
      </c>
      <c r="C157" s="24" t="s">
        <v>615</v>
      </c>
      <c r="D157" s="24">
        <v>1230000</v>
      </c>
      <c r="E157" s="24" t="s">
        <v>165</v>
      </c>
      <c r="F157" s="24" t="str">
        <f t="shared" si="4"/>
        <v>rtdc.l.rtdc.4026:itc</v>
      </c>
      <c r="G157" s="8">
        <f t="shared" si="5"/>
        <v>42577.870474537034</v>
      </c>
    </row>
    <row r="158" spans="1:7" x14ac:dyDescent="0.25">
      <c r="A158" s="8">
        <v>42578.324016203704</v>
      </c>
      <c r="B158" s="24" t="s">
        <v>69</v>
      </c>
      <c r="C158" s="24" t="s">
        <v>749</v>
      </c>
      <c r="D158" s="24">
        <v>1110000</v>
      </c>
      <c r="E158" s="24" t="s">
        <v>119</v>
      </c>
      <c r="F158" s="24" t="str">
        <f t="shared" si="4"/>
        <v>rtdc.l.rtdc.4018:itc</v>
      </c>
      <c r="G158" s="8">
        <f t="shared" si="5"/>
        <v>42578.324016203704</v>
      </c>
    </row>
    <row r="159" spans="1:7" x14ac:dyDescent="0.25">
      <c r="A159" s="8">
        <v>42577.847071759257</v>
      </c>
      <c r="B159" s="24" t="s">
        <v>67</v>
      </c>
      <c r="C159" s="24" t="s">
        <v>613</v>
      </c>
      <c r="D159" s="24">
        <v>1290000</v>
      </c>
      <c r="E159" s="24" t="s">
        <v>161</v>
      </c>
      <c r="F159" s="24" t="str">
        <f t="shared" si="4"/>
        <v>rtdc.l.rtdc.4019:itc</v>
      </c>
      <c r="G159" s="8">
        <f t="shared" si="5"/>
        <v>42577.847071759257</v>
      </c>
    </row>
    <row r="160" spans="1:7" x14ac:dyDescent="0.25">
      <c r="A160" s="8">
        <v>42576.830590277779</v>
      </c>
      <c r="B160" s="24" t="s">
        <v>136</v>
      </c>
      <c r="C160" s="24" t="s">
        <v>312</v>
      </c>
      <c r="D160" s="24">
        <v>1800000</v>
      </c>
      <c r="E160" s="24" t="s">
        <v>279</v>
      </c>
      <c r="F160" s="24" t="str">
        <f t="shared" si="4"/>
        <v>rtdc.l.rtdc.4016:itc</v>
      </c>
      <c r="G160" s="8">
        <f t="shared" si="5"/>
        <v>42576.830590277779</v>
      </c>
    </row>
    <row r="161" spans="1:7" x14ac:dyDescent="0.25">
      <c r="A161" s="8">
        <v>42577.83</v>
      </c>
      <c r="B161" s="24" t="s">
        <v>105</v>
      </c>
      <c r="C161" s="24" t="s">
        <v>614</v>
      </c>
      <c r="D161" s="24">
        <v>1230000</v>
      </c>
      <c r="E161" s="24" t="s">
        <v>165</v>
      </c>
      <c r="F161" s="24" t="str">
        <f t="shared" si="4"/>
        <v>rtdc.l.rtdc.4025:itc</v>
      </c>
      <c r="G161" s="8">
        <f t="shared" si="5"/>
        <v>42577.83</v>
      </c>
    </row>
    <row r="162" spans="1:7" x14ac:dyDescent="0.25">
      <c r="A162" s="8">
        <v>42576.831261574072</v>
      </c>
      <c r="B162" s="24" t="s">
        <v>271</v>
      </c>
      <c r="C162" s="24" t="s">
        <v>348</v>
      </c>
      <c r="D162" s="24">
        <v>1770000</v>
      </c>
      <c r="E162" s="24" t="s">
        <v>276</v>
      </c>
      <c r="F162" s="24" t="str">
        <f t="shared" si="4"/>
        <v>rtdc.l.rtdc.4031:itc</v>
      </c>
      <c r="G162" s="8">
        <f t="shared" si="5"/>
        <v>42576.831261574072</v>
      </c>
    </row>
    <row r="163" spans="1:7" x14ac:dyDescent="0.25">
      <c r="A163" s="8">
        <v>42577.808645833335</v>
      </c>
      <c r="B163" s="24" t="s">
        <v>152</v>
      </c>
      <c r="C163" s="24" t="s">
        <v>607</v>
      </c>
      <c r="D163" s="24">
        <v>1800000</v>
      </c>
      <c r="E163" s="24" t="s">
        <v>279</v>
      </c>
      <c r="F163" s="24" t="str">
        <f t="shared" si="4"/>
        <v>rtdc.l.rtdc.4041:itc</v>
      </c>
      <c r="G163" s="8">
        <f t="shared" si="5"/>
        <v>42577.808645833335</v>
      </c>
    </row>
    <row r="164" spans="1:7" x14ac:dyDescent="0.25">
      <c r="A164" s="8">
        <v>42576.841400462959</v>
      </c>
      <c r="B164" s="24" t="s">
        <v>152</v>
      </c>
      <c r="C164" s="24" t="s">
        <v>349</v>
      </c>
      <c r="D164" s="24">
        <v>1290000</v>
      </c>
      <c r="E164" s="24" t="s">
        <v>161</v>
      </c>
      <c r="F164" s="24" t="str">
        <f t="shared" si="4"/>
        <v>rtdc.l.rtdc.4041:itc</v>
      </c>
      <c r="G164" s="8">
        <f t="shared" si="5"/>
        <v>42576.841400462959</v>
      </c>
    </row>
    <row r="165" spans="1:7" x14ac:dyDescent="0.25">
      <c r="A165" s="8">
        <v>42577.808935185189</v>
      </c>
      <c r="B165" s="24" t="s">
        <v>68</v>
      </c>
      <c r="C165" s="24" t="s">
        <v>611</v>
      </c>
      <c r="D165" s="24">
        <v>1290000</v>
      </c>
      <c r="E165" s="24" t="s">
        <v>161</v>
      </c>
      <c r="F165" s="24" t="str">
        <f t="shared" si="4"/>
        <v>rtdc.l.rtdc.4020:itc</v>
      </c>
      <c r="G165" s="8">
        <f t="shared" si="5"/>
        <v>42577.808935185189</v>
      </c>
    </row>
    <row r="166" spans="1:7" x14ac:dyDescent="0.25">
      <c r="A166" s="8">
        <v>42576.84511574074</v>
      </c>
      <c r="B166" s="24" t="s">
        <v>105</v>
      </c>
      <c r="C166" s="24" t="s">
        <v>350</v>
      </c>
      <c r="D166" s="24">
        <v>1740000</v>
      </c>
      <c r="E166" s="24" t="s">
        <v>275</v>
      </c>
      <c r="F166" s="24" t="str">
        <f t="shared" si="4"/>
        <v>rtdc.l.rtdc.4025:itc</v>
      </c>
      <c r="G166" s="8">
        <f t="shared" si="5"/>
        <v>42576.84511574074</v>
      </c>
    </row>
    <row r="167" spans="1:7" x14ac:dyDescent="0.25">
      <c r="A167" s="8">
        <v>42577.794791666667</v>
      </c>
      <c r="B167" s="24" t="s">
        <v>103</v>
      </c>
      <c r="C167" s="24" t="s">
        <v>605</v>
      </c>
      <c r="D167" s="24">
        <v>1780000</v>
      </c>
      <c r="E167" s="24" t="s">
        <v>750</v>
      </c>
      <c r="F167" s="24" t="str">
        <f t="shared" si="4"/>
        <v>rtdc.l.rtdc.4026:itc</v>
      </c>
      <c r="G167" s="8">
        <f t="shared" si="5"/>
        <v>42577.794791666667</v>
      </c>
    </row>
    <row r="168" spans="1:7" x14ac:dyDescent="0.25">
      <c r="A168" s="8">
        <v>42576.849016203705</v>
      </c>
      <c r="B168" s="24" t="s">
        <v>272</v>
      </c>
      <c r="C168" s="24" t="s">
        <v>351</v>
      </c>
      <c r="D168" s="24">
        <v>1770000</v>
      </c>
      <c r="E168" s="24" t="s">
        <v>276</v>
      </c>
      <c r="F168" s="24" t="str">
        <f t="shared" si="4"/>
        <v>rtdc.l.rtdc.4032:itc</v>
      </c>
      <c r="G168" s="8">
        <f t="shared" si="5"/>
        <v>42576.849016203705</v>
      </c>
    </row>
    <row r="169" spans="1:7" x14ac:dyDescent="0.25">
      <c r="A169" s="8">
        <v>42577.785069444442</v>
      </c>
      <c r="B169" s="24" t="s">
        <v>108</v>
      </c>
      <c r="C169" s="24" t="s">
        <v>448</v>
      </c>
      <c r="D169" s="24">
        <v>950000</v>
      </c>
      <c r="E169" s="24" t="s">
        <v>725</v>
      </c>
      <c r="F169" s="24" t="str">
        <f t="shared" si="4"/>
        <v>rtdc.l.rtdc.4030:itc</v>
      </c>
      <c r="G169" s="8">
        <f t="shared" si="5"/>
        <v>42577.785069444442</v>
      </c>
    </row>
    <row r="170" spans="1:7" x14ac:dyDescent="0.25">
      <c r="A170" s="8">
        <v>42576.895046296297</v>
      </c>
      <c r="B170" s="24" t="s">
        <v>272</v>
      </c>
      <c r="C170" s="24" t="s">
        <v>357</v>
      </c>
      <c r="D170" s="24">
        <v>1770000</v>
      </c>
      <c r="E170" s="24" t="s">
        <v>276</v>
      </c>
      <c r="F170" s="24" t="str">
        <f t="shared" si="4"/>
        <v>rtdc.l.rtdc.4032:itc</v>
      </c>
      <c r="G170" s="8">
        <f t="shared" si="5"/>
        <v>42576.895046296297</v>
      </c>
    </row>
    <row r="171" spans="1:7" x14ac:dyDescent="0.25">
      <c r="A171" s="8">
        <v>42577.775300925925</v>
      </c>
      <c r="B171" s="24" t="s">
        <v>67</v>
      </c>
      <c r="C171" s="24" t="s">
        <v>600</v>
      </c>
      <c r="D171" s="24">
        <v>1290000</v>
      </c>
      <c r="E171" s="24" t="s">
        <v>161</v>
      </c>
      <c r="F171" s="24" t="str">
        <f t="shared" si="4"/>
        <v>rtdc.l.rtdc.4019:itc</v>
      </c>
      <c r="G171" s="8">
        <f t="shared" si="5"/>
        <v>42577.775300925925</v>
      </c>
    </row>
    <row r="172" spans="1:7" x14ac:dyDescent="0.25">
      <c r="A172" s="8">
        <v>42576.925138888888</v>
      </c>
      <c r="B172" s="24" t="s">
        <v>152</v>
      </c>
      <c r="C172" s="24" t="s">
        <v>361</v>
      </c>
      <c r="D172" s="24">
        <v>1290000</v>
      </c>
      <c r="E172" s="24" t="s">
        <v>161</v>
      </c>
      <c r="F172" s="24" t="str">
        <f t="shared" si="4"/>
        <v>rtdc.l.rtdc.4041:itc</v>
      </c>
      <c r="G172" s="8">
        <f t="shared" si="5"/>
        <v>42576.925138888888</v>
      </c>
    </row>
    <row r="173" spans="1:7" x14ac:dyDescent="0.25">
      <c r="A173" s="8">
        <v>42577.775995370372</v>
      </c>
      <c r="B173" s="24" t="s">
        <v>101</v>
      </c>
      <c r="C173" s="24" t="s">
        <v>447</v>
      </c>
      <c r="D173" s="24">
        <v>1770000</v>
      </c>
      <c r="E173" s="24" t="s">
        <v>276</v>
      </c>
      <c r="F173" s="24" t="str">
        <f t="shared" si="4"/>
        <v>rtdc.l.rtdc.4038:itc</v>
      </c>
      <c r="G173" s="8">
        <f t="shared" si="5"/>
        <v>42577.775995370372</v>
      </c>
    </row>
    <row r="174" spans="1:7" x14ac:dyDescent="0.25">
      <c r="A174" s="8">
        <v>42576.943738425929</v>
      </c>
      <c r="B174" s="24" t="s">
        <v>76</v>
      </c>
      <c r="C174" s="24" t="s">
        <v>391</v>
      </c>
      <c r="D174" s="24">
        <v>1290000</v>
      </c>
      <c r="E174" s="24" t="s">
        <v>161</v>
      </c>
      <c r="F174" s="24" t="str">
        <f t="shared" si="4"/>
        <v>rtdc.l.rtdc.4042:itc</v>
      </c>
      <c r="G174" s="8">
        <f t="shared" si="5"/>
        <v>42576.943738425929</v>
      </c>
    </row>
    <row r="175" spans="1:7" x14ac:dyDescent="0.25">
      <c r="A175" s="8">
        <v>42577.751736111109</v>
      </c>
      <c r="B175" s="24" t="s">
        <v>70</v>
      </c>
      <c r="C175" s="24" t="s">
        <v>595</v>
      </c>
      <c r="D175" s="24">
        <v>1180000</v>
      </c>
      <c r="E175" s="24" t="s">
        <v>370</v>
      </c>
      <c r="F175" s="24" t="str">
        <f t="shared" si="4"/>
        <v>rtdc.l.rtdc.4017:itc</v>
      </c>
      <c r="G175" s="8">
        <f t="shared" si="5"/>
        <v>42577.751736111109</v>
      </c>
    </row>
    <row r="176" spans="1:7" x14ac:dyDescent="0.25">
      <c r="A176" s="8">
        <v>42577.006863425922</v>
      </c>
      <c r="B176" s="24" t="s">
        <v>114</v>
      </c>
      <c r="C176" s="24" t="s">
        <v>332</v>
      </c>
      <c r="D176" s="24">
        <v>1230000</v>
      </c>
      <c r="E176" s="24" t="s">
        <v>165</v>
      </c>
      <c r="F176" s="24" t="str">
        <f t="shared" si="4"/>
        <v>rtdc.l.rtdc.4007:itc</v>
      </c>
      <c r="G176" s="8">
        <f t="shared" si="5"/>
        <v>42577.006863425922</v>
      </c>
    </row>
    <row r="177" spans="1:7" x14ac:dyDescent="0.25">
      <c r="A177" s="8">
        <v>42577.749768518515</v>
      </c>
      <c r="B177" s="24" t="s">
        <v>70</v>
      </c>
      <c r="C177" s="24" t="s">
        <v>595</v>
      </c>
      <c r="D177" s="24">
        <v>1180000</v>
      </c>
      <c r="E177" s="24" t="s">
        <v>370</v>
      </c>
      <c r="F177" s="24" t="str">
        <f t="shared" si="4"/>
        <v>rtdc.l.rtdc.4017:itc</v>
      </c>
      <c r="G177" s="8">
        <f t="shared" si="5"/>
        <v>42577.749768518515</v>
      </c>
    </row>
    <row r="178" spans="1:7" x14ac:dyDescent="0.25">
      <c r="A178" s="8">
        <v>42577.153067129628</v>
      </c>
      <c r="B178" s="24" t="s">
        <v>68</v>
      </c>
      <c r="C178" s="24" t="s">
        <v>392</v>
      </c>
      <c r="D178" s="24">
        <v>1260000</v>
      </c>
      <c r="E178" s="24" t="s">
        <v>281</v>
      </c>
      <c r="F178" s="24" t="str">
        <f t="shared" si="4"/>
        <v>rtdc.l.rtdc.4020:itc</v>
      </c>
      <c r="G178" s="8">
        <f t="shared" si="5"/>
        <v>42577.153067129628</v>
      </c>
    </row>
    <row r="179" spans="1:7" x14ac:dyDescent="0.25">
      <c r="A179" s="8">
        <v>42577.748993055553</v>
      </c>
      <c r="B179" s="24" t="s">
        <v>107</v>
      </c>
      <c r="C179" s="24" t="s">
        <v>601</v>
      </c>
      <c r="D179" s="24">
        <v>950000</v>
      </c>
      <c r="E179" s="24" t="s">
        <v>725</v>
      </c>
      <c r="F179" s="24" t="str">
        <f t="shared" si="4"/>
        <v>rtdc.l.rtdc.4029:itc</v>
      </c>
      <c r="G179" s="8">
        <f t="shared" si="5"/>
        <v>42577.748993055553</v>
      </c>
    </row>
    <row r="180" spans="1:7" x14ac:dyDescent="0.25">
      <c r="A180" s="8">
        <v>42577.1953125</v>
      </c>
      <c r="B180" s="24" t="s">
        <v>271</v>
      </c>
      <c r="C180" s="24" t="s">
        <v>393</v>
      </c>
      <c r="D180" s="24">
        <v>1750000</v>
      </c>
      <c r="E180" s="24" t="s">
        <v>282</v>
      </c>
      <c r="F180" s="24" t="str">
        <f t="shared" si="4"/>
        <v>rtdc.l.rtdc.4031:itc</v>
      </c>
      <c r="G180" s="8">
        <f t="shared" si="5"/>
        <v>42577.1953125</v>
      </c>
    </row>
    <row r="181" spans="1:7" x14ac:dyDescent="0.25">
      <c r="A181" s="8">
        <v>42577.747881944444</v>
      </c>
      <c r="B181" s="24" t="s">
        <v>107</v>
      </c>
      <c r="C181" s="24" t="s">
        <v>601</v>
      </c>
      <c r="D181" s="24">
        <v>950000</v>
      </c>
      <c r="E181" s="24" t="s">
        <v>725</v>
      </c>
      <c r="F181" s="24" t="str">
        <f t="shared" si="4"/>
        <v>rtdc.l.rtdc.4029:itc</v>
      </c>
      <c r="G181" s="8">
        <f t="shared" si="5"/>
        <v>42577.747881944444</v>
      </c>
    </row>
    <row r="182" spans="1:7" x14ac:dyDescent="0.25">
      <c r="A182" s="8">
        <v>42577.208692129629</v>
      </c>
      <c r="B182" s="24" t="s">
        <v>109</v>
      </c>
      <c r="C182" s="24" t="s">
        <v>394</v>
      </c>
      <c r="D182" s="24">
        <v>1100000</v>
      </c>
      <c r="E182" s="24" t="s">
        <v>246</v>
      </c>
      <c r="F182" s="24" t="str">
        <f t="shared" si="4"/>
        <v>rtdc.l.rtdc.4027:itc</v>
      </c>
      <c r="G182" s="8">
        <f t="shared" si="5"/>
        <v>42577.208692129629</v>
      </c>
    </row>
    <row r="183" spans="1:7" x14ac:dyDescent="0.25">
      <c r="A183" s="8">
        <v>42577.740011574075</v>
      </c>
      <c r="B183" s="24" t="s">
        <v>272</v>
      </c>
      <c r="C183" s="24" t="s">
        <v>446</v>
      </c>
      <c r="D183" s="24">
        <v>940000</v>
      </c>
      <c r="E183" s="24" t="s">
        <v>390</v>
      </c>
      <c r="F183" s="24" t="str">
        <f t="shared" si="4"/>
        <v>rtdc.l.rtdc.4032:itc</v>
      </c>
      <c r="G183" s="8">
        <f t="shared" si="5"/>
        <v>42577.740011574075</v>
      </c>
    </row>
    <row r="184" spans="1:7" x14ac:dyDescent="0.25">
      <c r="A184" s="8">
        <v>42577.227013888885</v>
      </c>
      <c r="B184" s="24" t="s">
        <v>68</v>
      </c>
      <c r="C184" s="24" t="s">
        <v>395</v>
      </c>
      <c r="D184" s="24">
        <v>1240000</v>
      </c>
      <c r="E184" s="24" t="s">
        <v>113</v>
      </c>
      <c r="F184" s="24" t="str">
        <f t="shared" si="4"/>
        <v>rtdc.l.rtdc.4020:itc</v>
      </c>
      <c r="G184" s="8">
        <f t="shared" si="5"/>
        <v>42577.227013888885</v>
      </c>
    </row>
    <row r="185" spans="1:7" x14ac:dyDescent="0.25">
      <c r="A185" s="8">
        <v>42577.715173611112</v>
      </c>
      <c r="B185" s="24" t="s">
        <v>104</v>
      </c>
      <c r="C185" s="24" t="s">
        <v>693</v>
      </c>
      <c r="D185" s="24">
        <v>1480000</v>
      </c>
      <c r="E185" s="24" t="s">
        <v>102</v>
      </c>
      <c r="F185" s="24" t="str">
        <f t="shared" si="4"/>
        <v>rtdc.l.rtdc.4013:itc</v>
      </c>
      <c r="G185" s="8">
        <f t="shared" si="5"/>
        <v>42577.715173611112</v>
      </c>
    </row>
    <row r="186" spans="1:7" x14ac:dyDescent="0.25">
      <c r="A186" s="8">
        <v>42577.243854166663</v>
      </c>
      <c r="B186" s="24" t="s">
        <v>106</v>
      </c>
      <c r="C186" s="24" t="s">
        <v>396</v>
      </c>
      <c r="D186" s="24">
        <v>1100000</v>
      </c>
      <c r="E186" s="24" t="s">
        <v>246</v>
      </c>
      <c r="F186" s="24" t="str">
        <f t="shared" si="4"/>
        <v>rtdc.l.rtdc.4028:itc</v>
      </c>
      <c r="G186" s="8">
        <f t="shared" si="5"/>
        <v>42577.243854166663</v>
      </c>
    </row>
    <row r="187" spans="1:7" x14ac:dyDescent="0.25">
      <c r="A187" s="8">
        <v>42577.706875000003</v>
      </c>
      <c r="B187" s="24" t="s">
        <v>108</v>
      </c>
      <c r="C187" s="24" t="s">
        <v>586</v>
      </c>
      <c r="D187" s="24">
        <v>1280000</v>
      </c>
      <c r="E187" s="24" t="s">
        <v>280</v>
      </c>
      <c r="F187" s="24" t="str">
        <f t="shared" si="4"/>
        <v>rtdc.l.rtdc.4030:itc</v>
      </c>
      <c r="G187" s="8">
        <f t="shared" si="5"/>
        <v>42577.706875000003</v>
      </c>
    </row>
    <row r="188" spans="1:7" x14ac:dyDescent="0.25">
      <c r="A188" s="8">
        <v>42577.258946759262</v>
      </c>
      <c r="B188" s="24" t="s">
        <v>76</v>
      </c>
      <c r="C188" s="24" t="s">
        <v>397</v>
      </c>
      <c r="D188" s="24">
        <v>1090000</v>
      </c>
      <c r="E188" s="24" t="s">
        <v>111</v>
      </c>
      <c r="F188" s="24" t="str">
        <f t="shared" si="4"/>
        <v>rtdc.l.rtdc.4042:itc</v>
      </c>
      <c r="G188" s="8">
        <f t="shared" si="5"/>
        <v>42577.258946759262</v>
      </c>
    </row>
    <row r="189" spans="1:7" x14ac:dyDescent="0.25">
      <c r="A189" s="8">
        <v>42577.695960648147</v>
      </c>
      <c r="B189" s="24" t="s">
        <v>76</v>
      </c>
      <c r="C189" s="24" t="s">
        <v>442</v>
      </c>
      <c r="D189" s="24">
        <v>1120000</v>
      </c>
      <c r="E189" s="24" t="s">
        <v>369</v>
      </c>
      <c r="F189" s="24" t="str">
        <f t="shared" si="4"/>
        <v>rtdc.l.rtdc.4042:itc</v>
      </c>
      <c r="G189" s="8">
        <f t="shared" si="5"/>
        <v>42577.695960648147</v>
      </c>
    </row>
    <row r="190" spans="1:7" x14ac:dyDescent="0.25">
      <c r="A190" s="8">
        <v>42577.27175925926</v>
      </c>
      <c r="B190" s="24" t="s">
        <v>108</v>
      </c>
      <c r="C190" s="24" t="s">
        <v>377</v>
      </c>
      <c r="D190" s="24">
        <v>1260000</v>
      </c>
      <c r="E190" s="24" t="s">
        <v>281</v>
      </c>
      <c r="F190" s="24" t="str">
        <f t="shared" si="4"/>
        <v>rtdc.l.rtdc.4030:itc</v>
      </c>
      <c r="G190" s="8">
        <f t="shared" si="5"/>
        <v>42577.27175925926</v>
      </c>
    </row>
    <row r="191" spans="1:7" x14ac:dyDescent="0.25">
      <c r="A191" s="8">
        <v>42577.68109953704</v>
      </c>
      <c r="B191" s="24" t="s">
        <v>70</v>
      </c>
      <c r="C191" s="24" t="s">
        <v>579</v>
      </c>
      <c r="D191" s="24">
        <v>1140000</v>
      </c>
      <c r="E191" s="24" t="s">
        <v>274</v>
      </c>
      <c r="F191" s="24" t="str">
        <f t="shared" si="4"/>
        <v>rtdc.l.rtdc.4017:itc</v>
      </c>
      <c r="G191" s="8">
        <f t="shared" si="5"/>
        <v>42577.68109953704</v>
      </c>
    </row>
    <row r="192" spans="1:7" x14ac:dyDescent="0.25">
      <c r="A192" s="8">
        <v>42577.272557870368</v>
      </c>
      <c r="B192" s="24" t="s">
        <v>108</v>
      </c>
      <c r="C192" s="24" t="s">
        <v>377</v>
      </c>
      <c r="D192" s="24">
        <v>1260000</v>
      </c>
      <c r="E192" s="24" t="s">
        <v>281</v>
      </c>
      <c r="F192" s="24" t="str">
        <f t="shared" si="4"/>
        <v>rtdc.l.rtdc.4030:itc</v>
      </c>
      <c r="G192" s="8">
        <f t="shared" si="5"/>
        <v>42577.272557870368</v>
      </c>
    </row>
    <row r="193" spans="1:7" x14ac:dyDescent="0.25">
      <c r="A193" s="8">
        <v>42577.677129629628</v>
      </c>
      <c r="B193" s="24" t="s">
        <v>152</v>
      </c>
      <c r="C193" s="24" t="s">
        <v>440</v>
      </c>
      <c r="D193" s="24">
        <v>1120000</v>
      </c>
      <c r="E193" s="24" t="s">
        <v>369</v>
      </c>
      <c r="F193" s="24" t="str">
        <f t="shared" si="4"/>
        <v>rtdc.l.rtdc.4041:itc</v>
      </c>
      <c r="G193" s="8">
        <f t="shared" si="5"/>
        <v>42577.677129629628</v>
      </c>
    </row>
    <row r="194" spans="1:7" x14ac:dyDescent="0.25">
      <c r="A194" s="8">
        <v>42577.295208333337</v>
      </c>
      <c r="B194" s="24" t="s">
        <v>152</v>
      </c>
      <c r="C194" s="24" t="s">
        <v>398</v>
      </c>
      <c r="D194" s="24">
        <v>1090000</v>
      </c>
      <c r="E194" s="24" t="s">
        <v>111</v>
      </c>
      <c r="F194" s="24" t="str">
        <f t="shared" ref="F194:F235" si="6">B194</f>
        <v>rtdc.l.rtdc.4041:itc</v>
      </c>
      <c r="G194" s="8">
        <f t="shared" ref="G194:G235" si="7">A194</f>
        <v>42577.295208333337</v>
      </c>
    </row>
    <row r="195" spans="1:7" x14ac:dyDescent="0.25">
      <c r="A195" s="8">
        <v>42577.673472222225</v>
      </c>
      <c r="B195" s="24" t="s">
        <v>107</v>
      </c>
      <c r="C195" s="24" t="s">
        <v>584</v>
      </c>
      <c r="D195" s="24">
        <v>1280000</v>
      </c>
      <c r="E195" s="24" t="s">
        <v>280</v>
      </c>
      <c r="F195" s="24" t="str">
        <f t="shared" si="6"/>
        <v>rtdc.l.rtdc.4029:itc</v>
      </c>
      <c r="G195" s="8">
        <f t="shared" si="7"/>
        <v>42577.673472222225</v>
      </c>
    </row>
    <row r="196" spans="1:7" x14ac:dyDescent="0.25">
      <c r="A196" s="8">
        <v>42577.346539351849</v>
      </c>
      <c r="B196" s="24" t="s">
        <v>108</v>
      </c>
      <c r="C196" s="24" t="s">
        <v>416</v>
      </c>
      <c r="D196" s="24">
        <v>1260000</v>
      </c>
      <c r="E196" s="24" t="s">
        <v>281</v>
      </c>
      <c r="F196" s="24" t="str">
        <f t="shared" si="6"/>
        <v>rtdc.l.rtdc.4030:itc</v>
      </c>
      <c r="G196" s="8">
        <f t="shared" si="7"/>
        <v>42577.346539351849</v>
      </c>
    </row>
    <row r="197" spans="1:7" x14ac:dyDescent="0.25">
      <c r="A197" s="8">
        <v>42577.667060185187</v>
      </c>
      <c r="B197" s="24" t="s">
        <v>272</v>
      </c>
      <c r="C197" s="24" t="s">
        <v>576</v>
      </c>
      <c r="D197" s="24">
        <v>940000</v>
      </c>
      <c r="E197" s="24" t="s">
        <v>390</v>
      </c>
      <c r="F197" s="24" t="str">
        <f t="shared" si="6"/>
        <v>rtdc.l.rtdc.4032:itc</v>
      </c>
      <c r="G197" s="8">
        <f t="shared" si="7"/>
        <v>42577.667060185187</v>
      </c>
    </row>
    <row r="198" spans="1:7" x14ac:dyDescent="0.25">
      <c r="A198" s="8">
        <v>42577.347175925926</v>
      </c>
      <c r="B198" s="24" t="s">
        <v>108</v>
      </c>
      <c r="C198" s="24" t="s">
        <v>416</v>
      </c>
      <c r="D198" s="24">
        <v>1260000</v>
      </c>
      <c r="E198" s="24" t="s">
        <v>281</v>
      </c>
      <c r="F198" s="24" t="str">
        <f t="shared" si="6"/>
        <v>rtdc.l.rtdc.4030:itc</v>
      </c>
      <c r="G198" s="8">
        <f t="shared" si="7"/>
        <v>42577.347175925926</v>
      </c>
    </row>
    <row r="199" spans="1:7" x14ac:dyDescent="0.25">
      <c r="A199" s="8">
        <v>42577.66</v>
      </c>
      <c r="B199" s="24" t="s">
        <v>152</v>
      </c>
      <c r="C199" s="24" t="s">
        <v>440</v>
      </c>
      <c r="D199" s="24">
        <v>1120000</v>
      </c>
      <c r="E199" s="24" t="s">
        <v>369</v>
      </c>
      <c r="F199" s="24" t="str">
        <f t="shared" si="6"/>
        <v>rtdc.l.rtdc.4041:itc</v>
      </c>
      <c r="G199" s="8">
        <f t="shared" si="7"/>
        <v>42577.66</v>
      </c>
    </row>
    <row r="200" spans="1:7" x14ac:dyDescent="0.25">
      <c r="A200" s="8">
        <v>42577.350486111114</v>
      </c>
      <c r="B200" s="24" t="s">
        <v>109</v>
      </c>
      <c r="C200" s="24" t="s">
        <v>488</v>
      </c>
      <c r="D200" s="24">
        <v>1100000</v>
      </c>
      <c r="E200" s="24" t="s">
        <v>246</v>
      </c>
      <c r="F200" s="24" t="str">
        <f t="shared" si="6"/>
        <v>rtdc.l.rtdc.4027:itc</v>
      </c>
      <c r="G200" s="8">
        <f t="shared" si="7"/>
        <v>42577.350486111114</v>
      </c>
    </row>
    <row r="201" spans="1:7" x14ac:dyDescent="0.25">
      <c r="A201" s="8">
        <v>42577.655381944445</v>
      </c>
      <c r="B201" s="24" t="s">
        <v>247</v>
      </c>
      <c r="C201" s="24" t="s">
        <v>682</v>
      </c>
      <c r="D201" s="24">
        <v>1480000</v>
      </c>
      <c r="E201" s="24" t="s">
        <v>102</v>
      </c>
      <c r="F201" s="24" t="str">
        <f t="shared" si="6"/>
        <v>rtdc.l.rtdc.4014:itc</v>
      </c>
      <c r="G201" s="8">
        <f t="shared" si="7"/>
        <v>42577.655381944445</v>
      </c>
    </row>
    <row r="202" spans="1:7" x14ac:dyDescent="0.25">
      <c r="A202" s="33">
        <v>42577.359201388892</v>
      </c>
      <c r="B202" s="24" t="s">
        <v>247</v>
      </c>
      <c r="C202" s="24" t="s">
        <v>716</v>
      </c>
      <c r="D202" s="24">
        <v>1110000</v>
      </c>
      <c r="E202" s="24" t="s">
        <v>119</v>
      </c>
      <c r="F202" s="24" t="str">
        <f t="shared" si="6"/>
        <v>rtdc.l.rtdc.4014:itc</v>
      </c>
      <c r="G202" s="8">
        <f t="shared" si="7"/>
        <v>42577.359201388892</v>
      </c>
    </row>
    <row r="203" spans="1:7" x14ac:dyDescent="0.25">
      <c r="A203" s="8">
        <v>42577.635335648149</v>
      </c>
      <c r="B203" s="24" t="s">
        <v>101</v>
      </c>
      <c r="C203" s="24" t="s">
        <v>438</v>
      </c>
      <c r="D203" s="24">
        <v>1770000</v>
      </c>
      <c r="E203" s="24" t="s">
        <v>276</v>
      </c>
      <c r="F203" s="24" t="str">
        <f t="shared" si="6"/>
        <v>rtdc.l.rtdc.4038:itc</v>
      </c>
      <c r="G203" s="8">
        <f t="shared" si="7"/>
        <v>42577.635335648149</v>
      </c>
    </row>
    <row r="204" spans="1:7" x14ac:dyDescent="0.25">
      <c r="A204" s="8">
        <v>42577.370358796295</v>
      </c>
      <c r="B204" s="24" t="s">
        <v>68</v>
      </c>
      <c r="C204" s="24" t="s">
        <v>496</v>
      </c>
      <c r="D204" s="24">
        <v>1240000</v>
      </c>
      <c r="E204" s="24" t="s">
        <v>113</v>
      </c>
      <c r="F204" s="24" t="str">
        <f t="shared" si="6"/>
        <v>rtdc.l.rtdc.4020:itc</v>
      </c>
      <c r="G204" s="8">
        <f t="shared" si="7"/>
        <v>42577.370358796295</v>
      </c>
    </row>
    <row r="205" spans="1:7" x14ac:dyDescent="0.25">
      <c r="A205" s="8">
        <v>42577.62232638889</v>
      </c>
      <c r="B205" s="24" t="s">
        <v>76</v>
      </c>
      <c r="C205" s="24" t="s">
        <v>570</v>
      </c>
      <c r="D205" s="24">
        <v>1120000</v>
      </c>
      <c r="E205" s="24" t="s">
        <v>369</v>
      </c>
      <c r="F205" s="24" t="str">
        <f t="shared" si="6"/>
        <v>rtdc.l.rtdc.4042:itc</v>
      </c>
      <c r="G205" s="8">
        <f t="shared" si="7"/>
        <v>42577.62232638889</v>
      </c>
    </row>
    <row r="206" spans="1:7" x14ac:dyDescent="0.25">
      <c r="A206" s="8">
        <v>42577.391238425924</v>
      </c>
      <c r="B206" s="24" t="s">
        <v>105</v>
      </c>
      <c r="C206" s="24" t="s">
        <v>499</v>
      </c>
      <c r="D206" s="24">
        <v>1990000</v>
      </c>
      <c r="E206" s="24" t="s">
        <v>374</v>
      </c>
      <c r="F206" s="24" t="str">
        <f t="shared" si="6"/>
        <v>rtdc.l.rtdc.4025:itc</v>
      </c>
      <c r="G206" s="8">
        <f t="shared" si="7"/>
        <v>42577.391238425924</v>
      </c>
    </row>
    <row r="207" spans="1:7" x14ac:dyDescent="0.25">
      <c r="A207" s="8">
        <v>42577.612060185187</v>
      </c>
      <c r="B207" s="24" t="s">
        <v>365</v>
      </c>
      <c r="C207" s="24" t="s">
        <v>679</v>
      </c>
      <c r="D207" s="24">
        <v>1770000</v>
      </c>
      <c r="E207" s="24" t="s">
        <v>276</v>
      </c>
      <c r="F207" s="24" t="str">
        <f t="shared" si="6"/>
        <v>rtdc.l.rtdc.4037:itc</v>
      </c>
      <c r="G207" s="8">
        <f t="shared" si="7"/>
        <v>42577.612060185187</v>
      </c>
    </row>
    <row r="208" spans="1:7" x14ac:dyDescent="0.25">
      <c r="A208" s="8">
        <v>42577.436377314814</v>
      </c>
      <c r="B208" s="24" t="s">
        <v>148</v>
      </c>
      <c r="C208" s="24" t="s">
        <v>507</v>
      </c>
      <c r="D208" s="24">
        <v>1110000</v>
      </c>
      <c r="E208" s="24" t="s">
        <v>119</v>
      </c>
      <c r="F208" s="24" t="str">
        <f t="shared" si="6"/>
        <v>rtdc.l.rtdc.4009:itc</v>
      </c>
      <c r="G208" s="8">
        <f t="shared" si="7"/>
        <v>42577.436377314814</v>
      </c>
    </row>
    <row r="209" spans="1:7" x14ac:dyDescent="0.25">
      <c r="A209" s="8">
        <v>42577.570196759261</v>
      </c>
      <c r="B209" s="24" t="s">
        <v>271</v>
      </c>
      <c r="C209" s="24" t="s">
        <v>431</v>
      </c>
      <c r="D209" s="24">
        <v>940000</v>
      </c>
      <c r="E209" s="24" t="s">
        <v>390</v>
      </c>
      <c r="F209" s="24" t="str">
        <f t="shared" si="6"/>
        <v>rtdc.l.rtdc.4031:itc</v>
      </c>
      <c r="G209" s="8">
        <f t="shared" si="7"/>
        <v>42577.570196759261</v>
      </c>
    </row>
    <row r="210" spans="1:7" x14ac:dyDescent="0.25">
      <c r="A210" s="8">
        <v>42577.459189814814</v>
      </c>
      <c r="B210" s="24" t="s">
        <v>107</v>
      </c>
      <c r="C210" s="24" t="s">
        <v>512</v>
      </c>
      <c r="D210" s="24">
        <v>1280000</v>
      </c>
      <c r="E210" s="24" t="s">
        <v>280</v>
      </c>
      <c r="F210" s="24" t="str">
        <f t="shared" si="6"/>
        <v>rtdc.l.rtdc.4029:itc</v>
      </c>
      <c r="G210" s="8">
        <f t="shared" si="7"/>
        <v>42577.459189814814</v>
      </c>
    </row>
    <row r="211" spans="1:7" x14ac:dyDescent="0.25">
      <c r="A211" s="8">
        <v>42577.556712962964</v>
      </c>
      <c r="B211" s="24" t="s">
        <v>67</v>
      </c>
      <c r="C211" s="24" t="s">
        <v>432</v>
      </c>
      <c r="D211" s="24">
        <v>950000</v>
      </c>
      <c r="E211" s="24" t="s">
        <v>725</v>
      </c>
      <c r="F211" s="24" t="str">
        <f t="shared" si="6"/>
        <v>rtdc.l.rtdc.4019:itc</v>
      </c>
      <c r="G211" s="8">
        <f t="shared" si="7"/>
        <v>42577.556712962964</v>
      </c>
    </row>
    <row r="212" spans="1:7" x14ac:dyDescent="0.25">
      <c r="A212" s="8">
        <v>42577.463750000003</v>
      </c>
      <c r="B212" s="24" t="s">
        <v>70</v>
      </c>
      <c r="C212" s="24" t="s">
        <v>425</v>
      </c>
      <c r="D212" s="24">
        <v>1100000</v>
      </c>
      <c r="E212" s="24" t="s">
        <v>246</v>
      </c>
      <c r="F212" s="24" t="str">
        <f t="shared" si="6"/>
        <v>rtdc.l.rtdc.4017:itc</v>
      </c>
      <c r="G212" s="8">
        <f t="shared" si="7"/>
        <v>42577.463750000003</v>
      </c>
    </row>
    <row r="213" spans="1:7" x14ac:dyDescent="0.25">
      <c r="A213" s="8">
        <v>42577.52553240741</v>
      </c>
      <c r="B213" s="24" t="s">
        <v>365</v>
      </c>
      <c r="C213" s="24" t="s">
        <v>672</v>
      </c>
      <c r="D213" s="24">
        <v>1300000</v>
      </c>
      <c r="E213" s="24" t="s">
        <v>155</v>
      </c>
      <c r="F213" s="24" t="str">
        <f t="shared" si="6"/>
        <v>rtdc.l.rtdc.4037:itc</v>
      </c>
      <c r="G213" s="8">
        <f t="shared" si="7"/>
        <v>42577.52553240741</v>
      </c>
    </row>
    <row r="214" spans="1:7" x14ac:dyDescent="0.25">
      <c r="A214" s="8">
        <v>42577.466527777775</v>
      </c>
      <c r="B214" s="24" t="s">
        <v>107</v>
      </c>
      <c r="C214" s="24" t="s">
        <v>512</v>
      </c>
      <c r="D214" s="24">
        <v>1280000</v>
      </c>
      <c r="E214" s="24" t="s">
        <v>280</v>
      </c>
      <c r="F214" s="24" t="str">
        <f t="shared" si="6"/>
        <v>rtdc.l.rtdc.4029:itc</v>
      </c>
      <c r="G214" s="8">
        <f t="shared" si="7"/>
        <v>42577.466527777775</v>
      </c>
    </row>
    <row r="215" spans="1:7" x14ac:dyDescent="0.25">
      <c r="A215" s="8">
        <v>42577.519907407404</v>
      </c>
      <c r="B215" s="24" t="s">
        <v>68</v>
      </c>
      <c r="C215" s="24" t="s">
        <v>533</v>
      </c>
      <c r="D215" s="24">
        <v>950000</v>
      </c>
      <c r="E215" s="24" t="s">
        <v>725</v>
      </c>
      <c r="F215" s="24" t="str">
        <f t="shared" si="6"/>
        <v>rtdc.l.rtdc.4020:itc</v>
      </c>
      <c r="G215" s="8">
        <f t="shared" si="7"/>
        <v>42577.519907407404</v>
      </c>
    </row>
    <row r="216" spans="1:7" x14ac:dyDescent="0.25">
      <c r="A216" s="8">
        <v>42577.485023148147</v>
      </c>
      <c r="B216" s="24" t="s">
        <v>365</v>
      </c>
      <c r="C216" s="24" t="s">
        <v>668</v>
      </c>
      <c r="D216" s="24">
        <v>1300000</v>
      </c>
      <c r="E216" s="24" t="s">
        <v>155</v>
      </c>
      <c r="F216" s="24" t="str">
        <f t="shared" si="6"/>
        <v>rtdc.l.rtdc.4037:itc</v>
      </c>
      <c r="G216" s="8">
        <f t="shared" si="7"/>
        <v>42577.485023148147</v>
      </c>
    </row>
    <row r="217" spans="1:7" x14ac:dyDescent="0.25">
      <c r="A217" s="8">
        <v>42577.509305555555</v>
      </c>
      <c r="B217" s="24" t="s">
        <v>148</v>
      </c>
      <c r="C217" s="24" t="s">
        <v>529</v>
      </c>
      <c r="D217" s="24">
        <v>1520000</v>
      </c>
      <c r="E217" s="24" t="s">
        <v>273</v>
      </c>
      <c r="F217" s="24" t="str">
        <f t="shared" si="6"/>
        <v>rtdc.l.rtdc.4009:itc</v>
      </c>
      <c r="G217" s="8">
        <f t="shared" si="7"/>
        <v>42577.509305555555</v>
      </c>
    </row>
    <row r="218" spans="1:7" x14ac:dyDescent="0.25">
      <c r="A218" s="8">
        <v>42577.534004629626</v>
      </c>
      <c r="B218" s="24" t="s">
        <v>70</v>
      </c>
      <c r="C218" s="24" t="s">
        <v>527</v>
      </c>
      <c r="D218" s="24">
        <v>1140000</v>
      </c>
      <c r="E218" s="24" t="s">
        <v>274</v>
      </c>
      <c r="F218" s="24" t="str">
        <f t="shared" si="6"/>
        <v>rtdc.l.rtdc.4017:itc</v>
      </c>
      <c r="G218" s="8">
        <f t="shared" si="7"/>
        <v>42577.534004629626</v>
      </c>
    </row>
    <row r="219" spans="1:7" x14ac:dyDescent="0.25">
      <c r="A219" s="8">
        <v>42577.488796296297</v>
      </c>
      <c r="B219" s="24" t="s">
        <v>271</v>
      </c>
      <c r="C219" s="24" t="s">
        <v>522</v>
      </c>
      <c r="D219" s="24">
        <v>940000</v>
      </c>
      <c r="E219" s="24" t="s">
        <v>390</v>
      </c>
      <c r="F219" s="24" t="str">
        <f t="shared" si="6"/>
        <v>rtdc.l.rtdc.4031:itc</v>
      </c>
      <c r="G219" s="8">
        <f t="shared" si="7"/>
        <v>42577.488796296297</v>
      </c>
    </row>
    <row r="220" spans="1:7" x14ac:dyDescent="0.25">
      <c r="A220" s="8">
        <v>42577.558125000003</v>
      </c>
      <c r="B220" s="24" t="s">
        <v>271</v>
      </c>
      <c r="C220" s="24" t="s">
        <v>431</v>
      </c>
      <c r="D220" s="24">
        <v>940000</v>
      </c>
      <c r="E220" s="24" t="s">
        <v>390</v>
      </c>
      <c r="F220" s="24" t="str">
        <f t="shared" si="6"/>
        <v>rtdc.l.rtdc.4031:itc</v>
      </c>
      <c r="G220" s="8">
        <f t="shared" si="7"/>
        <v>42577.558125000003</v>
      </c>
    </row>
    <row r="221" spans="1:7" x14ac:dyDescent="0.25">
      <c r="A221" s="8">
        <v>42577.457488425927</v>
      </c>
      <c r="B221" s="24" t="s">
        <v>70</v>
      </c>
      <c r="C221" s="24" t="s">
        <v>425</v>
      </c>
      <c r="D221" s="24">
        <v>1100000</v>
      </c>
      <c r="E221" s="24" t="s">
        <v>246</v>
      </c>
      <c r="F221" s="24" t="str">
        <f t="shared" si="6"/>
        <v>rtdc.l.rtdc.4017:itc</v>
      </c>
      <c r="G221" s="8">
        <f t="shared" si="7"/>
        <v>42577.457488425927</v>
      </c>
    </row>
    <row r="222" spans="1:7" x14ac:dyDescent="0.25">
      <c r="A222" s="8">
        <v>42577.566643518519</v>
      </c>
      <c r="B222" s="24" t="s">
        <v>108</v>
      </c>
      <c r="C222" s="24" t="s">
        <v>539</v>
      </c>
      <c r="D222" s="24">
        <v>1280000</v>
      </c>
      <c r="E222" s="24" t="s">
        <v>280</v>
      </c>
      <c r="F222" s="24" t="str">
        <f t="shared" si="6"/>
        <v>rtdc.l.rtdc.4030:itc</v>
      </c>
      <c r="G222" s="8">
        <f t="shared" si="7"/>
        <v>42577.566643518519</v>
      </c>
    </row>
    <row r="223" spans="1:7" x14ac:dyDescent="0.25">
      <c r="A223" s="8">
        <v>42577.438194444447</v>
      </c>
      <c r="B223" s="24" t="s">
        <v>152</v>
      </c>
      <c r="C223" s="24" t="s">
        <v>502</v>
      </c>
      <c r="D223" s="24">
        <v>1090000</v>
      </c>
      <c r="E223" s="24" t="s">
        <v>111</v>
      </c>
      <c r="F223" s="24" t="str">
        <f t="shared" si="6"/>
        <v>rtdc.l.rtdc.4041:itc</v>
      </c>
      <c r="G223" s="8">
        <f t="shared" si="7"/>
        <v>42577.438194444447</v>
      </c>
    </row>
    <row r="224" spans="1:7" x14ac:dyDescent="0.25">
      <c r="A224" s="8">
        <v>42577.610682870371</v>
      </c>
      <c r="B224" t="s">
        <v>70</v>
      </c>
      <c r="C224" t="s">
        <v>554</v>
      </c>
      <c r="D224">
        <v>1140000</v>
      </c>
      <c r="E224" t="s">
        <v>274</v>
      </c>
      <c r="F224" s="24" t="str">
        <f t="shared" si="6"/>
        <v>rtdc.l.rtdc.4017:itc</v>
      </c>
      <c r="G224" s="8">
        <f t="shared" si="7"/>
        <v>42577.610682870371</v>
      </c>
    </row>
    <row r="225" spans="1:7" x14ac:dyDescent="0.25">
      <c r="A225" s="8">
        <v>42577.434155092589</v>
      </c>
      <c r="B225" t="s">
        <v>148</v>
      </c>
      <c r="C225" t="s">
        <v>507</v>
      </c>
      <c r="D225">
        <v>1110000</v>
      </c>
      <c r="E225" t="s">
        <v>119</v>
      </c>
      <c r="F225" s="24" t="str">
        <f t="shared" si="6"/>
        <v>rtdc.l.rtdc.4009:itc</v>
      </c>
      <c r="G225" s="8">
        <f t="shared" si="7"/>
        <v>42577.434155092589</v>
      </c>
    </row>
    <row r="226" spans="1:7" x14ac:dyDescent="0.25">
      <c r="A226" s="8">
        <v>42577.630474537036</v>
      </c>
      <c r="B226" t="s">
        <v>67</v>
      </c>
      <c r="C226" t="s">
        <v>439</v>
      </c>
      <c r="D226">
        <v>950000</v>
      </c>
      <c r="E226" t="s">
        <v>725</v>
      </c>
      <c r="F226" s="24" t="str">
        <f t="shared" si="6"/>
        <v>rtdc.l.rtdc.4019:itc</v>
      </c>
      <c r="G226" s="8">
        <f t="shared" si="7"/>
        <v>42577.630474537036</v>
      </c>
    </row>
    <row r="227" spans="1:7" x14ac:dyDescent="0.25">
      <c r="A227" s="8">
        <v>42577.426041666666</v>
      </c>
      <c r="B227" t="s">
        <v>69</v>
      </c>
      <c r="C227" t="s">
        <v>505</v>
      </c>
      <c r="D227">
        <v>1100000</v>
      </c>
      <c r="E227" t="s">
        <v>246</v>
      </c>
      <c r="F227" s="24" t="str">
        <f t="shared" si="6"/>
        <v>rtdc.l.rtdc.4018:itc</v>
      </c>
      <c r="G227" s="8">
        <f t="shared" si="7"/>
        <v>42577.426041666666</v>
      </c>
    </row>
    <row r="228" spans="1:7" x14ac:dyDescent="0.25">
      <c r="A228" s="8">
        <v>42577.650682870371</v>
      </c>
      <c r="B228" t="s">
        <v>103</v>
      </c>
      <c r="C228" t="s">
        <v>568</v>
      </c>
      <c r="D228">
        <v>880000</v>
      </c>
      <c r="E228" t="s">
        <v>278</v>
      </c>
      <c r="F228" s="24" t="str">
        <f t="shared" si="6"/>
        <v>rtdc.l.rtdc.4026:itc</v>
      </c>
      <c r="G228" s="8">
        <f t="shared" si="7"/>
        <v>42577.650682870371</v>
      </c>
    </row>
    <row r="229" spans="1:7" x14ac:dyDescent="0.25">
      <c r="A229" s="8">
        <v>42577.419641203705</v>
      </c>
      <c r="B229" t="s">
        <v>108</v>
      </c>
      <c r="C229" t="s">
        <v>423</v>
      </c>
      <c r="D229">
        <v>1260000</v>
      </c>
      <c r="E229" t="s">
        <v>281</v>
      </c>
      <c r="F229" s="24" t="str">
        <f t="shared" si="6"/>
        <v>rtdc.l.rtdc.4030:itc</v>
      </c>
      <c r="G229" s="8">
        <f t="shared" si="7"/>
        <v>42577.419641203705</v>
      </c>
    </row>
    <row r="230" spans="1:7" x14ac:dyDescent="0.25">
      <c r="A230" s="8">
        <v>42577.65215277778</v>
      </c>
      <c r="B230" t="s">
        <v>365</v>
      </c>
      <c r="C230" t="s">
        <v>680</v>
      </c>
      <c r="D230">
        <v>1770000</v>
      </c>
      <c r="E230" t="s">
        <v>276</v>
      </c>
      <c r="F230" s="24" t="str">
        <f t="shared" si="6"/>
        <v>rtdc.l.rtdc.4037:itc</v>
      </c>
      <c r="G230" s="8">
        <f t="shared" si="7"/>
        <v>42577.65215277778</v>
      </c>
    </row>
    <row r="231" spans="1:7" x14ac:dyDescent="0.25">
      <c r="A231" s="8">
        <v>42577.384120370371</v>
      </c>
      <c r="B231" t="s">
        <v>107</v>
      </c>
      <c r="C231" t="s">
        <v>498</v>
      </c>
      <c r="D231">
        <v>1260000</v>
      </c>
      <c r="E231" t="s">
        <v>281</v>
      </c>
      <c r="F231" s="24" t="str">
        <f t="shared" si="6"/>
        <v>rtdc.l.rtdc.4029:itc</v>
      </c>
      <c r="G231" s="8">
        <f t="shared" si="7"/>
        <v>42577.384120370371</v>
      </c>
    </row>
    <row r="232" spans="1:7" x14ac:dyDescent="0.25">
      <c r="A232" s="8">
        <v>42577.67523148148</v>
      </c>
      <c r="B232" t="s">
        <v>101</v>
      </c>
      <c r="C232" t="s">
        <v>687</v>
      </c>
      <c r="D232">
        <v>1770000</v>
      </c>
      <c r="E232" t="s">
        <v>276</v>
      </c>
      <c r="F232" s="24" t="str">
        <f t="shared" si="6"/>
        <v>rtdc.l.rtdc.4038:itc</v>
      </c>
      <c r="G232" s="8">
        <f t="shared" si="7"/>
        <v>42577.67523148148</v>
      </c>
    </row>
    <row r="233" spans="1:7" x14ac:dyDescent="0.25">
      <c r="A233" s="8">
        <v>42577.377118055556</v>
      </c>
      <c r="B233" t="s">
        <v>272</v>
      </c>
      <c r="C233" t="s">
        <v>486</v>
      </c>
      <c r="D233">
        <v>1750000</v>
      </c>
      <c r="E233" t="s">
        <v>282</v>
      </c>
      <c r="F233" s="24" t="str">
        <f t="shared" si="6"/>
        <v>rtdc.l.rtdc.4032:itc</v>
      </c>
      <c r="G233" s="8">
        <f t="shared" si="7"/>
        <v>42577.377118055556</v>
      </c>
    </row>
    <row r="234" spans="1:7" x14ac:dyDescent="0.25">
      <c r="A234" s="8">
        <v>42577.675347222219</v>
      </c>
      <c r="B234" t="s">
        <v>104</v>
      </c>
      <c r="C234" t="s">
        <v>685</v>
      </c>
      <c r="D234">
        <v>1480000</v>
      </c>
      <c r="E234" t="s">
        <v>102</v>
      </c>
      <c r="F234" s="24" t="str">
        <f t="shared" si="6"/>
        <v>rtdc.l.rtdc.4013:itc</v>
      </c>
      <c r="G234" s="8">
        <f t="shared" si="7"/>
        <v>42577.675347222219</v>
      </c>
    </row>
    <row r="235" spans="1:7" x14ac:dyDescent="0.25">
      <c r="A235" s="8">
        <v>42577.370995370373</v>
      </c>
      <c r="B235" t="s">
        <v>152</v>
      </c>
      <c r="C235" t="s">
        <v>419</v>
      </c>
      <c r="D235">
        <v>1090000</v>
      </c>
      <c r="E235" t="s">
        <v>111</v>
      </c>
      <c r="F235" s="24" t="str">
        <f t="shared" si="6"/>
        <v>rtdc.l.rtdc.4041:itc</v>
      </c>
      <c r="G235" s="8">
        <f t="shared" si="7"/>
        <v>42577.370995370373</v>
      </c>
    </row>
    <row r="236" spans="1:7" x14ac:dyDescent="0.25">
      <c r="A236" s="8">
        <v>42577.691365740742</v>
      </c>
      <c r="B236" t="s">
        <v>247</v>
      </c>
      <c r="C236" t="s">
        <v>691</v>
      </c>
      <c r="D236">
        <v>1480000</v>
      </c>
      <c r="E236" t="s">
        <v>102</v>
      </c>
      <c r="F236" s="24" t="str">
        <f t="shared" ref="F236:F265" si="8">B236</f>
        <v>rtdc.l.rtdc.4014:itc</v>
      </c>
      <c r="G236" s="8">
        <f t="shared" ref="G236:G265" si="9">A236</f>
        <v>42577.691365740742</v>
      </c>
    </row>
    <row r="237" spans="1:7" x14ac:dyDescent="0.25">
      <c r="A237" s="8">
        <v>42577.360451388886</v>
      </c>
      <c r="B237" t="s">
        <v>108</v>
      </c>
      <c r="C237" t="s">
        <v>416</v>
      </c>
      <c r="D237">
        <v>1260000</v>
      </c>
      <c r="E237" t="s">
        <v>281</v>
      </c>
      <c r="F237" s="24" t="str">
        <f t="shared" si="8"/>
        <v>rtdc.l.rtdc.4030:itc</v>
      </c>
      <c r="G237" s="8">
        <f t="shared" si="9"/>
        <v>42577.360451388886</v>
      </c>
    </row>
    <row r="238" spans="1:7" x14ac:dyDescent="0.25">
      <c r="A238" s="8">
        <v>42577.701527777775</v>
      </c>
      <c r="B238" t="s">
        <v>67</v>
      </c>
      <c r="C238" t="s">
        <v>441</v>
      </c>
      <c r="D238">
        <v>950000</v>
      </c>
      <c r="E238" t="s">
        <v>725</v>
      </c>
      <c r="F238" s="24" t="str">
        <f t="shared" si="8"/>
        <v>rtdc.l.rtdc.4019:itc</v>
      </c>
      <c r="G238" s="8">
        <f t="shared" si="9"/>
        <v>42577.701527777775</v>
      </c>
    </row>
    <row r="239" spans="1:7" x14ac:dyDescent="0.25">
      <c r="A239" s="8">
        <v>42577.351736111108</v>
      </c>
      <c r="B239" t="s">
        <v>108</v>
      </c>
      <c r="C239" t="s">
        <v>416</v>
      </c>
      <c r="D239">
        <v>1260000</v>
      </c>
      <c r="E239" t="s">
        <v>281</v>
      </c>
      <c r="F239" s="24" t="str">
        <f t="shared" si="8"/>
        <v>rtdc.l.rtdc.4030:itc</v>
      </c>
      <c r="G239" s="8">
        <f t="shared" si="9"/>
        <v>42577.351736111108</v>
      </c>
    </row>
    <row r="240" spans="1:7" x14ac:dyDescent="0.25">
      <c r="A240" s="8">
        <v>42577.717430555553</v>
      </c>
      <c r="B240" t="s">
        <v>69</v>
      </c>
      <c r="C240" t="s">
        <v>593</v>
      </c>
      <c r="D240">
        <v>1180000</v>
      </c>
      <c r="E240" t="s">
        <v>370</v>
      </c>
      <c r="F240" s="24" t="str">
        <f t="shared" si="8"/>
        <v>rtdc.l.rtdc.4018:itc</v>
      </c>
      <c r="G240" s="8">
        <f t="shared" si="9"/>
        <v>42577.717430555553</v>
      </c>
    </row>
    <row r="241" spans="1:7" x14ac:dyDescent="0.25">
      <c r="A241" s="8">
        <v>42577.342523148145</v>
      </c>
      <c r="B241" t="s">
        <v>101</v>
      </c>
      <c r="C241" t="s">
        <v>415</v>
      </c>
      <c r="D241">
        <v>1300000</v>
      </c>
      <c r="E241" t="s">
        <v>155</v>
      </c>
      <c r="F241" s="24" t="str">
        <f t="shared" si="8"/>
        <v>rtdc.l.rtdc.4038:itc</v>
      </c>
      <c r="G241" s="8">
        <f t="shared" si="9"/>
        <v>42577.342523148145</v>
      </c>
    </row>
    <row r="242" spans="1:7" x14ac:dyDescent="0.25">
      <c r="A242" s="8">
        <v>42577.725601851853</v>
      </c>
      <c r="B242" t="s">
        <v>148</v>
      </c>
      <c r="C242" t="s">
        <v>597</v>
      </c>
      <c r="D242">
        <v>1140000</v>
      </c>
      <c r="E242" t="s">
        <v>274</v>
      </c>
      <c r="F242" s="24" t="str">
        <f t="shared" si="8"/>
        <v>rtdc.l.rtdc.4009:itc</v>
      </c>
      <c r="G242" s="8">
        <f t="shared" si="9"/>
        <v>42577.725601851853</v>
      </c>
    </row>
    <row r="243" spans="1:7" x14ac:dyDescent="0.25">
      <c r="A243" s="8">
        <v>42577.338171296295</v>
      </c>
      <c r="B243" t="s">
        <v>67</v>
      </c>
      <c r="C243" t="s">
        <v>479</v>
      </c>
      <c r="D243">
        <v>1240000</v>
      </c>
      <c r="E243" t="s">
        <v>113</v>
      </c>
      <c r="F243" s="24" t="str">
        <f t="shared" si="8"/>
        <v>rtdc.l.rtdc.4019:itc</v>
      </c>
      <c r="G243" s="8">
        <f t="shared" si="9"/>
        <v>42577.338171296295</v>
      </c>
    </row>
    <row r="244" spans="1:7" x14ac:dyDescent="0.25">
      <c r="A244" s="8">
        <v>42577.734618055554</v>
      </c>
      <c r="B244" t="s">
        <v>365</v>
      </c>
      <c r="C244" t="s">
        <v>698</v>
      </c>
      <c r="D244">
        <v>1770000</v>
      </c>
      <c r="E244" t="s">
        <v>276</v>
      </c>
      <c r="F244" s="24" t="str">
        <f t="shared" si="8"/>
        <v>rtdc.l.rtdc.4037:itc</v>
      </c>
      <c r="G244" s="8">
        <f t="shared" si="9"/>
        <v>42577.734618055554</v>
      </c>
    </row>
    <row r="245" spans="1:7" x14ac:dyDescent="0.25">
      <c r="A245" s="8">
        <v>42577.328888888886</v>
      </c>
      <c r="B245" t="s">
        <v>76</v>
      </c>
      <c r="C245" t="s">
        <v>482</v>
      </c>
      <c r="D245">
        <v>1090000</v>
      </c>
      <c r="E245" t="s">
        <v>111</v>
      </c>
      <c r="F245" s="24" t="str">
        <f t="shared" si="8"/>
        <v>rtdc.l.rtdc.4042:itc</v>
      </c>
      <c r="G245" s="8">
        <f t="shared" si="9"/>
        <v>42577.328888888886</v>
      </c>
    </row>
    <row r="246" spans="1:7" x14ac:dyDescent="0.25">
      <c r="A246" s="8">
        <v>42577.735266203701</v>
      </c>
      <c r="B246" t="s">
        <v>152</v>
      </c>
      <c r="C246" t="s">
        <v>445</v>
      </c>
      <c r="D246">
        <v>1120000</v>
      </c>
      <c r="E246" t="s">
        <v>369</v>
      </c>
      <c r="F246" s="24" t="str">
        <f t="shared" si="8"/>
        <v>rtdc.l.rtdc.4041:itc</v>
      </c>
      <c r="G246" s="8">
        <f t="shared" si="9"/>
        <v>42577.735266203701</v>
      </c>
    </row>
    <row r="247" spans="1:7" x14ac:dyDescent="0.25">
      <c r="A247" s="8">
        <v>42577.327326388891</v>
      </c>
      <c r="B247" t="s">
        <v>149</v>
      </c>
      <c r="C247" t="s">
        <v>411</v>
      </c>
      <c r="D247">
        <v>1540000</v>
      </c>
      <c r="E247" t="s">
        <v>283</v>
      </c>
      <c r="F247" s="24" t="str">
        <f t="shared" si="8"/>
        <v>rtdc.l.rtdc.4010:itc</v>
      </c>
      <c r="G247" s="8">
        <f t="shared" si="9"/>
        <v>42577.327326388891</v>
      </c>
    </row>
    <row r="248" spans="1:7" x14ac:dyDescent="0.25">
      <c r="A248" s="8">
        <v>42577.763113425928</v>
      </c>
      <c r="B248" t="s">
        <v>149</v>
      </c>
      <c r="C248" t="s">
        <v>598</v>
      </c>
      <c r="D248">
        <v>1140000</v>
      </c>
      <c r="E248" t="s">
        <v>274</v>
      </c>
      <c r="F248" s="24" t="str">
        <f t="shared" si="8"/>
        <v>rtdc.l.rtdc.4010:itc</v>
      </c>
      <c r="G248" s="8">
        <f t="shared" si="9"/>
        <v>42577.763113425928</v>
      </c>
    </row>
    <row r="249" spans="1:7" x14ac:dyDescent="0.25">
      <c r="A249" s="8">
        <v>42577.319305555553</v>
      </c>
      <c r="B249" t="s">
        <v>105</v>
      </c>
      <c r="C249" t="s">
        <v>399</v>
      </c>
      <c r="D249">
        <v>1990000</v>
      </c>
      <c r="E249" t="s">
        <v>374</v>
      </c>
      <c r="F249" s="24" t="str">
        <f t="shared" si="8"/>
        <v>rtdc.l.rtdc.4025:itc</v>
      </c>
      <c r="G249" s="8">
        <f t="shared" si="9"/>
        <v>42577.319305555553</v>
      </c>
    </row>
    <row r="250" spans="1:7" x14ac:dyDescent="0.25">
      <c r="A250" s="8">
        <v>42577.769872685189</v>
      </c>
      <c r="B250" t="s">
        <v>76</v>
      </c>
      <c r="C250" t="s">
        <v>606</v>
      </c>
      <c r="D250">
        <v>1800000</v>
      </c>
      <c r="E250" t="s">
        <v>279</v>
      </c>
      <c r="F250" s="24" t="str">
        <f t="shared" si="8"/>
        <v>rtdc.l.rtdc.4042:itc</v>
      </c>
      <c r="G250" s="8">
        <f t="shared" si="9"/>
        <v>42577.769872685189</v>
      </c>
    </row>
    <row r="251" spans="1:7" x14ac:dyDescent="0.25">
      <c r="A251" s="8">
        <v>42577.317141203705</v>
      </c>
      <c r="B251" t="s">
        <v>365</v>
      </c>
      <c r="C251" t="s">
        <v>651</v>
      </c>
      <c r="D251">
        <v>1300000</v>
      </c>
      <c r="E251" t="s">
        <v>155</v>
      </c>
      <c r="F251" s="24" t="str">
        <f t="shared" si="8"/>
        <v>rtdc.l.rtdc.4037:itc</v>
      </c>
      <c r="G251" s="8">
        <f t="shared" si="9"/>
        <v>42577.317141203705</v>
      </c>
    </row>
    <row r="252" spans="1:7" x14ac:dyDescent="0.25">
      <c r="A252" s="8">
        <v>42577.777418981481</v>
      </c>
      <c r="B252" t="s">
        <v>104</v>
      </c>
      <c r="C252" t="s">
        <v>702</v>
      </c>
      <c r="D252">
        <v>1480000</v>
      </c>
      <c r="E252" t="s">
        <v>102</v>
      </c>
      <c r="F252" s="24" t="str">
        <f t="shared" si="8"/>
        <v>rtdc.l.rtdc.4013:itc</v>
      </c>
      <c r="G252" s="8">
        <f t="shared" si="9"/>
        <v>42577.777418981481</v>
      </c>
    </row>
    <row r="253" spans="1:7" x14ac:dyDescent="0.25">
      <c r="A253" s="8">
        <v>42577.299259259256</v>
      </c>
      <c r="B253" t="s">
        <v>104</v>
      </c>
      <c r="C253" t="s">
        <v>410</v>
      </c>
      <c r="D253">
        <v>1110000</v>
      </c>
      <c r="E253" t="s">
        <v>119</v>
      </c>
      <c r="F253" s="24" t="str">
        <f t="shared" si="8"/>
        <v>rtdc.l.rtdc.4013:itc</v>
      </c>
      <c r="G253" s="8">
        <f t="shared" si="9"/>
        <v>42577.299259259256</v>
      </c>
    </row>
    <row r="254" spans="1:7" x14ac:dyDescent="0.25">
      <c r="A254" s="8">
        <v>42577.797824074078</v>
      </c>
      <c r="B254" t="s">
        <v>365</v>
      </c>
      <c r="C254" t="s">
        <v>704</v>
      </c>
      <c r="D254">
        <v>1770000</v>
      </c>
      <c r="E254" t="s">
        <v>276</v>
      </c>
      <c r="F254" s="24" t="str">
        <f t="shared" si="8"/>
        <v>rtdc.l.rtdc.4037:itc</v>
      </c>
      <c r="G254" s="8">
        <f t="shared" si="9"/>
        <v>42577.797824074078</v>
      </c>
    </row>
    <row r="255" spans="1:7" x14ac:dyDescent="0.25">
      <c r="A255" s="8">
        <v>42577.289444444446</v>
      </c>
      <c r="B255" t="s">
        <v>103</v>
      </c>
      <c r="C255" t="s">
        <v>373</v>
      </c>
      <c r="D255">
        <v>1990000</v>
      </c>
      <c r="E255" t="s">
        <v>374</v>
      </c>
      <c r="F255" s="24" t="str">
        <f t="shared" si="8"/>
        <v>rtdc.l.rtdc.4026:itc</v>
      </c>
      <c r="G255" s="8">
        <f t="shared" si="9"/>
        <v>42577.289444444446</v>
      </c>
    </row>
    <row r="256" spans="1:7" x14ac:dyDescent="0.25">
      <c r="A256" s="8">
        <v>42577.863865740743</v>
      </c>
      <c r="B256" t="s">
        <v>69</v>
      </c>
      <c r="C256" t="s">
        <v>449</v>
      </c>
      <c r="D256">
        <v>1180000</v>
      </c>
      <c r="E256" t="s">
        <v>370</v>
      </c>
      <c r="F256" s="24" t="str">
        <f t="shared" si="8"/>
        <v>rtdc.l.rtdc.4018:itc</v>
      </c>
      <c r="G256" s="8">
        <f t="shared" si="9"/>
        <v>42577.863865740743</v>
      </c>
    </row>
    <row r="257" spans="1:7" x14ac:dyDescent="0.25">
      <c r="A257" s="8">
        <v>42577.281550925924</v>
      </c>
      <c r="B257" t="s">
        <v>247</v>
      </c>
      <c r="C257" t="s">
        <v>376</v>
      </c>
      <c r="D257">
        <v>1110000</v>
      </c>
      <c r="E257" t="s">
        <v>119</v>
      </c>
      <c r="F257" s="24" t="str">
        <f t="shared" si="8"/>
        <v>rtdc.l.rtdc.4014:itc</v>
      </c>
      <c r="G257" s="8">
        <f t="shared" si="9"/>
        <v>42577.281550925924</v>
      </c>
    </row>
    <row r="258" spans="1:7" x14ac:dyDescent="0.25">
      <c r="A258" s="8">
        <v>42577.974965277775</v>
      </c>
      <c r="B258" t="s">
        <v>68</v>
      </c>
      <c r="C258" t="s">
        <v>627</v>
      </c>
      <c r="D258">
        <v>1290000</v>
      </c>
      <c r="E258" t="s">
        <v>161</v>
      </c>
      <c r="F258" s="24" t="str">
        <f t="shared" si="8"/>
        <v>rtdc.l.rtdc.4020:itc</v>
      </c>
      <c r="G258" s="8">
        <f t="shared" si="9"/>
        <v>42577.974965277775</v>
      </c>
    </row>
    <row r="259" spans="1:7" x14ac:dyDescent="0.25">
      <c r="A259" s="8">
        <v>42577.266516203701</v>
      </c>
      <c r="B259" t="s">
        <v>271</v>
      </c>
      <c r="C259" t="s">
        <v>378</v>
      </c>
      <c r="D259">
        <v>1750000</v>
      </c>
      <c r="E259" t="s">
        <v>282</v>
      </c>
      <c r="F259" s="24" t="str">
        <f t="shared" si="8"/>
        <v>rtdc.l.rtdc.4031:itc</v>
      </c>
      <c r="G259" s="8">
        <f t="shared" si="9"/>
        <v>42577.266516203701</v>
      </c>
    </row>
    <row r="260" spans="1:7" x14ac:dyDescent="0.25">
      <c r="A260" s="8">
        <v>42577.991805555554</v>
      </c>
      <c r="B260" t="s">
        <v>70</v>
      </c>
      <c r="C260" t="s">
        <v>626</v>
      </c>
      <c r="D260">
        <v>1180000</v>
      </c>
      <c r="E260" t="s">
        <v>370</v>
      </c>
      <c r="F260" s="24" t="str">
        <f t="shared" si="8"/>
        <v>rtdc.l.rtdc.4017:itc</v>
      </c>
      <c r="G260" s="8">
        <f t="shared" si="9"/>
        <v>42577.991805555554</v>
      </c>
    </row>
    <row r="261" spans="1:7" x14ac:dyDescent="0.25">
      <c r="A261" s="8">
        <v>42577.263784722221</v>
      </c>
      <c r="B261" t="s">
        <v>67</v>
      </c>
      <c r="C261" t="s">
        <v>379</v>
      </c>
      <c r="D261">
        <v>1240000</v>
      </c>
      <c r="E261" t="s">
        <v>113</v>
      </c>
      <c r="F261" s="24" t="str">
        <f t="shared" si="8"/>
        <v>rtdc.l.rtdc.4019:itc</v>
      </c>
      <c r="G261" s="8">
        <f t="shared" si="9"/>
        <v>42577.263784722221</v>
      </c>
    </row>
    <row r="262" spans="1:7" x14ac:dyDescent="0.25">
      <c r="A262" s="8">
        <v>42578.141932870371</v>
      </c>
      <c r="B262" t="s">
        <v>107</v>
      </c>
      <c r="C262" t="s">
        <v>751</v>
      </c>
      <c r="D262">
        <v>2010000</v>
      </c>
      <c r="E262" t="s">
        <v>736</v>
      </c>
      <c r="F262" s="24" t="str">
        <f t="shared" si="8"/>
        <v>rtdc.l.rtdc.4029:itc</v>
      </c>
      <c r="G262" s="8">
        <f t="shared" si="9"/>
        <v>42578.141932870371</v>
      </c>
    </row>
    <row r="263" spans="1:7" x14ac:dyDescent="0.25">
      <c r="A263" s="8">
        <v>42577.259733796294</v>
      </c>
      <c r="B263" t="s">
        <v>104</v>
      </c>
      <c r="C263" t="s">
        <v>380</v>
      </c>
      <c r="D263">
        <v>1110000</v>
      </c>
      <c r="E263" t="s">
        <v>119</v>
      </c>
      <c r="F263" s="24" t="str">
        <f t="shared" si="8"/>
        <v>rtdc.l.rtdc.4013:itc</v>
      </c>
      <c r="G263" s="8">
        <f t="shared" si="9"/>
        <v>42577.259733796294</v>
      </c>
    </row>
    <row r="264" spans="1:7" x14ac:dyDescent="0.25">
      <c r="A264" s="8">
        <v>42578.186932870369</v>
      </c>
      <c r="B264" t="s">
        <v>136</v>
      </c>
      <c r="C264" t="s">
        <v>752</v>
      </c>
      <c r="D264">
        <v>1090000</v>
      </c>
      <c r="E264" t="s">
        <v>111</v>
      </c>
      <c r="F264" s="24" t="str">
        <f t="shared" si="8"/>
        <v>rtdc.l.rtdc.4016:itc</v>
      </c>
      <c r="G264" s="8">
        <f t="shared" si="9"/>
        <v>42578.186932870369</v>
      </c>
    </row>
    <row r="265" spans="1:7" x14ac:dyDescent="0.25">
      <c r="A265" s="8">
        <v>42577.252187500002</v>
      </c>
      <c r="B265" t="s">
        <v>149</v>
      </c>
      <c r="C265" t="s">
        <v>381</v>
      </c>
      <c r="D265">
        <v>1540000</v>
      </c>
      <c r="E265" t="s">
        <v>283</v>
      </c>
      <c r="F265" s="24" t="str">
        <f t="shared" si="8"/>
        <v>rtdc.l.rtdc.4010:itc</v>
      </c>
      <c r="G265" s="8">
        <f t="shared" si="9"/>
        <v>42577.252187500002</v>
      </c>
    </row>
    <row r="266" spans="1:7" x14ac:dyDescent="0.25">
      <c r="A266" s="8">
        <v>42578.197662037041</v>
      </c>
      <c r="B266" t="s">
        <v>101</v>
      </c>
      <c r="C266" t="s">
        <v>753</v>
      </c>
      <c r="D266">
        <v>1460000</v>
      </c>
      <c r="E266" t="s">
        <v>748</v>
      </c>
      <c r="F266" s="24" t="str">
        <f t="shared" ref="F266:F281" si="10">B266</f>
        <v>rtdc.l.rtdc.4038:itc</v>
      </c>
      <c r="G266" s="8">
        <f t="shared" ref="G266:G281" si="11">A266</f>
        <v>42578.197662037041</v>
      </c>
    </row>
    <row r="267" spans="1:7" x14ac:dyDescent="0.25">
      <c r="A267" s="8">
        <v>42577.251018518517</v>
      </c>
      <c r="B267" t="s">
        <v>105</v>
      </c>
      <c r="C267" t="s">
        <v>382</v>
      </c>
      <c r="D267">
        <v>1990000</v>
      </c>
      <c r="E267" t="s">
        <v>374</v>
      </c>
      <c r="F267" s="24" t="str">
        <f t="shared" si="10"/>
        <v>rtdc.l.rtdc.4025:itc</v>
      </c>
      <c r="G267" s="8">
        <f t="shared" si="11"/>
        <v>42577.251018518517</v>
      </c>
    </row>
    <row r="268" spans="1:7" x14ac:dyDescent="0.25">
      <c r="A268" s="8">
        <v>42578.226446759261</v>
      </c>
      <c r="B268" t="s">
        <v>135</v>
      </c>
      <c r="C268" t="s">
        <v>754</v>
      </c>
      <c r="D268">
        <v>1090000</v>
      </c>
      <c r="E268" t="s">
        <v>111</v>
      </c>
      <c r="F268" s="24" t="str">
        <f t="shared" si="10"/>
        <v>rtdc.l.rtdc.4015:itc</v>
      </c>
      <c r="G268" s="8">
        <f t="shared" si="11"/>
        <v>42578.226446759261</v>
      </c>
    </row>
    <row r="269" spans="1:7" x14ac:dyDescent="0.25">
      <c r="A269" s="8">
        <v>42577.240844907406</v>
      </c>
      <c r="B269" t="s">
        <v>247</v>
      </c>
      <c r="C269" t="s">
        <v>383</v>
      </c>
      <c r="D269">
        <v>1110000</v>
      </c>
      <c r="E269" t="s">
        <v>119</v>
      </c>
      <c r="F269" s="24" t="str">
        <f t="shared" si="10"/>
        <v>rtdc.l.rtdc.4014:itc</v>
      </c>
      <c r="G269" s="8">
        <f t="shared" si="11"/>
        <v>42577.240844907406</v>
      </c>
    </row>
    <row r="270" spans="1:7" x14ac:dyDescent="0.25">
      <c r="A270" s="8">
        <v>42578.235717592594</v>
      </c>
      <c r="B270" t="s">
        <v>245</v>
      </c>
      <c r="C270" t="s">
        <v>755</v>
      </c>
      <c r="D270">
        <v>1260000</v>
      </c>
      <c r="E270" t="s">
        <v>281</v>
      </c>
      <c r="F270" s="24" t="str">
        <f t="shared" si="10"/>
        <v>rtdc.l.rtdc.4040:itc</v>
      </c>
      <c r="G270" s="8">
        <f t="shared" si="11"/>
        <v>42578.235717592594</v>
      </c>
    </row>
    <row r="271" spans="1:7" x14ac:dyDescent="0.25">
      <c r="A271" s="8">
        <v>42577.238136574073</v>
      </c>
      <c r="B271" t="s">
        <v>107</v>
      </c>
      <c r="C271" t="s">
        <v>384</v>
      </c>
      <c r="D271">
        <v>1260000</v>
      </c>
      <c r="E271" t="s">
        <v>281</v>
      </c>
      <c r="F271" s="24" t="str">
        <f t="shared" si="10"/>
        <v>rtdc.l.rtdc.4029:itc</v>
      </c>
      <c r="G271" s="8">
        <f t="shared" si="11"/>
        <v>42577.238136574073</v>
      </c>
    </row>
    <row r="272" spans="1:7" x14ac:dyDescent="0.25">
      <c r="A272" s="8">
        <v>42578.237592592595</v>
      </c>
      <c r="B272" t="s">
        <v>245</v>
      </c>
      <c r="C272" t="s">
        <v>755</v>
      </c>
      <c r="D272">
        <v>1260000</v>
      </c>
      <c r="E272" t="s">
        <v>281</v>
      </c>
      <c r="F272" s="24" t="str">
        <f t="shared" si="10"/>
        <v>rtdc.l.rtdc.4040:itc</v>
      </c>
      <c r="G272" s="8">
        <f t="shared" si="11"/>
        <v>42578.237592592595</v>
      </c>
    </row>
    <row r="273" spans="1:7" x14ac:dyDescent="0.25">
      <c r="A273" s="8">
        <v>42577.230532407404</v>
      </c>
      <c r="B273" t="s">
        <v>272</v>
      </c>
      <c r="C273" t="s">
        <v>385</v>
      </c>
      <c r="D273">
        <v>1750000</v>
      </c>
      <c r="E273" t="s">
        <v>282</v>
      </c>
      <c r="F273" s="24" t="str">
        <f t="shared" si="10"/>
        <v>rtdc.l.rtdc.4032:itc</v>
      </c>
      <c r="G273" s="8">
        <f t="shared" si="11"/>
        <v>42577.230532407404</v>
      </c>
    </row>
    <row r="274" spans="1:7" x14ac:dyDescent="0.25">
      <c r="A274" s="8">
        <v>42578.241782407407</v>
      </c>
      <c r="B274" t="s">
        <v>69</v>
      </c>
      <c r="C274" t="s">
        <v>756</v>
      </c>
      <c r="D274">
        <v>1110000</v>
      </c>
      <c r="E274" t="s">
        <v>119</v>
      </c>
      <c r="F274" s="24" t="str">
        <f t="shared" si="10"/>
        <v>rtdc.l.rtdc.4018:itc</v>
      </c>
      <c r="G274" s="8">
        <f t="shared" si="11"/>
        <v>42578.241782407407</v>
      </c>
    </row>
    <row r="275" spans="1:7" x14ac:dyDescent="0.25">
      <c r="A275" s="8">
        <v>42577.226967592593</v>
      </c>
      <c r="B275" t="s">
        <v>152</v>
      </c>
      <c r="C275" t="s">
        <v>386</v>
      </c>
      <c r="D275">
        <v>1090000</v>
      </c>
      <c r="E275" t="s">
        <v>111</v>
      </c>
      <c r="F275" s="24" t="str">
        <f t="shared" si="10"/>
        <v>rtdc.l.rtdc.4041:itc</v>
      </c>
      <c r="G275" s="8">
        <f t="shared" si="11"/>
        <v>42577.226967592593</v>
      </c>
    </row>
    <row r="276" spans="1:7" x14ac:dyDescent="0.25">
      <c r="A276" s="8">
        <v>42578.246527777781</v>
      </c>
      <c r="B276" t="s">
        <v>112</v>
      </c>
      <c r="C276" t="s">
        <v>757</v>
      </c>
      <c r="D276">
        <v>900000</v>
      </c>
      <c r="E276" t="s">
        <v>368</v>
      </c>
      <c r="F276" s="24" t="str">
        <f t="shared" si="10"/>
        <v>rtdc.l.rtdc.4008:itc</v>
      </c>
      <c r="G276" s="8">
        <f t="shared" si="11"/>
        <v>42578.246527777781</v>
      </c>
    </row>
    <row r="277" spans="1:7" x14ac:dyDescent="0.25">
      <c r="A277" s="8">
        <v>42577.224756944444</v>
      </c>
      <c r="B277" t="s">
        <v>152</v>
      </c>
      <c r="C277" t="s">
        <v>386</v>
      </c>
      <c r="D277">
        <v>1090000</v>
      </c>
      <c r="E277" t="s">
        <v>111</v>
      </c>
      <c r="F277" s="24" t="str">
        <f t="shared" si="10"/>
        <v>rtdc.l.rtdc.4041:itc</v>
      </c>
      <c r="G277" s="8">
        <f t="shared" si="11"/>
        <v>42577.224756944444</v>
      </c>
    </row>
    <row r="278" spans="1:7" x14ac:dyDescent="0.25">
      <c r="A278" s="8">
        <v>42578.276493055557</v>
      </c>
      <c r="B278" t="s">
        <v>117</v>
      </c>
      <c r="C278" t="s">
        <v>758</v>
      </c>
      <c r="D278">
        <v>1260000</v>
      </c>
      <c r="E278" t="s">
        <v>281</v>
      </c>
      <c r="F278" s="24" t="str">
        <f t="shared" si="10"/>
        <v>rtdc.l.rtdc.4039:itc</v>
      </c>
      <c r="G278" s="8">
        <f t="shared" si="11"/>
        <v>42578.276493055557</v>
      </c>
    </row>
    <row r="279" spans="1:7" x14ac:dyDescent="0.25">
      <c r="A279" s="8">
        <v>42577.218831018516</v>
      </c>
      <c r="B279" t="s">
        <v>104</v>
      </c>
      <c r="C279" t="s">
        <v>387</v>
      </c>
      <c r="D279">
        <v>1110000</v>
      </c>
      <c r="E279" t="s">
        <v>119</v>
      </c>
      <c r="F279" s="24" t="str">
        <f t="shared" si="10"/>
        <v>rtdc.l.rtdc.4013:itc</v>
      </c>
      <c r="G279" s="8">
        <f t="shared" si="11"/>
        <v>42577.218831018516</v>
      </c>
    </row>
    <row r="280" spans="1:7" x14ac:dyDescent="0.25">
      <c r="A280" s="8">
        <v>42578.28570601852</v>
      </c>
      <c r="B280" t="s">
        <v>114</v>
      </c>
      <c r="C280" t="s">
        <v>759</v>
      </c>
      <c r="D280">
        <v>900000</v>
      </c>
      <c r="E280" t="s">
        <v>368</v>
      </c>
      <c r="F280" s="24" t="str">
        <f t="shared" si="10"/>
        <v>rtdc.l.rtdc.4007:itc</v>
      </c>
      <c r="G280" s="8">
        <f t="shared" si="11"/>
        <v>42578.28570601852</v>
      </c>
    </row>
    <row r="281" spans="1:7" x14ac:dyDescent="0.25">
      <c r="A281" s="8">
        <v>42577.208958333336</v>
      </c>
      <c r="B281" t="s">
        <v>247</v>
      </c>
      <c r="C281" t="s">
        <v>387</v>
      </c>
      <c r="D281">
        <v>1110000</v>
      </c>
      <c r="E281" t="s">
        <v>119</v>
      </c>
      <c r="F281" s="24" t="str">
        <f t="shared" si="10"/>
        <v>rtdc.l.rtdc.4014:itc</v>
      </c>
      <c r="G281" s="8">
        <f t="shared" si="11"/>
        <v>42577.208958333336</v>
      </c>
    </row>
    <row r="282" spans="1:7" x14ac:dyDescent="0.25">
      <c r="A282" s="8">
        <v>42578.323923611111</v>
      </c>
      <c r="B282" t="s">
        <v>149</v>
      </c>
      <c r="C282" t="s">
        <v>760</v>
      </c>
      <c r="D282">
        <v>2010000</v>
      </c>
      <c r="E282" t="s">
        <v>736</v>
      </c>
      <c r="F282" s="24" t="str">
        <f t="shared" ref="F282:F345" si="12">B282</f>
        <v>rtdc.l.rtdc.4010:itc</v>
      </c>
      <c r="G282" s="8">
        <f t="shared" ref="G282:G345" si="13">A282</f>
        <v>42578.323923611111</v>
      </c>
    </row>
    <row r="283" spans="1:7" x14ac:dyDescent="0.25">
      <c r="A283" s="8">
        <v>42577.190706018519</v>
      </c>
      <c r="B283" t="s">
        <v>108</v>
      </c>
      <c r="C283" t="s">
        <v>388</v>
      </c>
      <c r="D283">
        <v>1260000</v>
      </c>
      <c r="E283" t="s">
        <v>281</v>
      </c>
      <c r="F283" s="24" t="str">
        <f t="shared" si="12"/>
        <v>rtdc.l.rtdc.4030:itc</v>
      </c>
      <c r="G283" s="8">
        <f t="shared" si="13"/>
        <v>42577.190706018519</v>
      </c>
    </row>
    <row r="284" spans="1:7" x14ac:dyDescent="0.25">
      <c r="A284" s="8">
        <v>42578.29283564815</v>
      </c>
      <c r="B284" t="s">
        <v>135</v>
      </c>
      <c r="C284" t="s">
        <v>761</v>
      </c>
      <c r="D284">
        <v>1090000</v>
      </c>
      <c r="E284" t="s">
        <v>111</v>
      </c>
      <c r="F284" s="24" t="str">
        <f t="shared" si="12"/>
        <v>rtdc.l.rtdc.4015:itc</v>
      </c>
      <c r="G284" s="8">
        <f t="shared" si="13"/>
        <v>42578.29283564815</v>
      </c>
    </row>
    <row r="285" spans="1:7" x14ac:dyDescent="0.25">
      <c r="A285" s="8">
        <v>42577.057673611111</v>
      </c>
      <c r="B285" t="s">
        <v>112</v>
      </c>
      <c r="C285" t="s">
        <v>333</v>
      </c>
      <c r="D285">
        <v>1230000</v>
      </c>
      <c r="E285" t="s">
        <v>165</v>
      </c>
      <c r="F285" s="24" t="str">
        <f t="shared" si="12"/>
        <v>rtdc.l.rtdc.4008:itc</v>
      </c>
      <c r="G285" s="8">
        <f t="shared" si="13"/>
        <v>42577.057673611111</v>
      </c>
    </row>
    <row r="286" spans="1:7" x14ac:dyDescent="0.25">
      <c r="A286" s="8">
        <v>42576.86010416667</v>
      </c>
      <c r="B286" t="s">
        <v>76</v>
      </c>
      <c r="C286" t="s">
        <v>352</v>
      </c>
      <c r="D286">
        <v>1290000</v>
      </c>
      <c r="E286" t="s">
        <v>161</v>
      </c>
      <c r="F286" s="24" t="str">
        <f t="shared" si="12"/>
        <v>rtdc.l.rtdc.4042:itc</v>
      </c>
      <c r="G286" s="8">
        <f t="shared" si="13"/>
        <v>42576.86010416667</v>
      </c>
    </row>
    <row r="287" spans="1:7" x14ac:dyDescent="0.25">
      <c r="A287" s="8">
        <v>42576.974803240744</v>
      </c>
      <c r="B287" t="s">
        <v>112</v>
      </c>
      <c r="C287" t="s">
        <v>324</v>
      </c>
      <c r="D287">
        <v>1230000</v>
      </c>
      <c r="E287" t="s">
        <v>165</v>
      </c>
      <c r="F287" s="24" t="str">
        <f t="shared" si="12"/>
        <v>rtdc.l.rtdc.4008:itc</v>
      </c>
      <c r="G287" s="8">
        <f t="shared" si="13"/>
        <v>42576.974803240744</v>
      </c>
    </row>
    <row r="288" spans="1:7" x14ac:dyDescent="0.25">
      <c r="A288" s="8">
        <v>42576.870648148149</v>
      </c>
      <c r="B288" t="s">
        <v>135</v>
      </c>
      <c r="C288" t="s">
        <v>313</v>
      </c>
      <c r="D288">
        <v>1800000</v>
      </c>
      <c r="E288" t="s">
        <v>279</v>
      </c>
      <c r="F288" s="24" t="str">
        <f t="shared" si="12"/>
        <v>rtdc.l.rtdc.4015:itc</v>
      </c>
      <c r="G288" s="8">
        <f t="shared" si="13"/>
        <v>42576.870648148149</v>
      </c>
    </row>
    <row r="289" spans="1:7" x14ac:dyDescent="0.25">
      <c r="A289" s="8">
        <v>42576.953032407408</v>
      </c>
      <c r="B289" t="s">
        <v>101</v>
      </c>
      <c r="C289" t="s">
        <v>325</v>
      </c>
      <c r="D289">
        <v>1180000</v>
      </c>
      <c r="E289" t="s">
        <v>370</v>
      </c>
      <c r="F289" s="24" t="str">
        <f t="shared" si="12"/>
        <v>rtdc.l.rtdc.4038:itc</v>
      </c>
      <c r="G289" s="8">
        <f t="shared" si="13"/>
        <v>42576.953032407408</v>
      </c>
    </row>
    <row r="290" spans="1:7" x14ac:dyDescent="0.25">
      <c r="A290" s="8">
        <v>42576.913483796299</v>
      </c>
      <c r="B290" t="s">
        <v>136</v>
      </c>
      <c r="C290" t="s">
        <v>321</v>
      </c>
      <c r="D290">
        <v>1800000</v>
      </c>
      <c r="E290" t="s">
        <v>279</v>
      </c>
      <c r="F290" s="24" t="str">
        <f t="shared" si="12"/>
        <v>rtdc.l.rtdc.4016:itc</v>
      </c>
      <c r="G290" s="8">
        <f t="shared" si="13"/>
        <v>42576.913483796299</v>
      </c>
    </row>
    <row r="291" spans="1:7" x14ac:dyDescent="0.25">
      <c r="A291" s="8">
        <v>42576.932256944441</v>
      </c>
      <c r="B291" t="s">
        <v>104</v>
      </c>
      <c r="C291" t="s">
        <v>320</v>
      </c>
      <c r="D291">
        <v>1810000</v>
      </c>
      <c r="E291" t="s">
        <v>277</v>
      </c>
      <c r="F291" s="24" t="str">
        <f t="shared" si="12"/>
        <v>rtdc.l.rtdc.4013:itc</v>
      </c>
      <c r="G291" s="8">
        <f t="shared" si="13"/>
        <v>42576.932256944441</v>
      </c>
    </row>
    <row r="292" spans="1:7" x14ac:dyDescent="0.25">
      <c r="A292" s="8">
        <v>42576.915046296293</v>
      </c>
      <c r="B292" t="s">
        <v>271</v>
      </c>
      <c r="C292" t="s">
        <v>360</v>
      </c>
      <c r="D292">
        <v>1770000</v>
      </c>
      <c r="E292" t="s">
        <v>276</v>
      </c>
      <c r="F292" s="24" t="str">
        <f t="shared" si="12"/>
        <v>rtdc.l.rtdc.4031:itc</v>
      </c>
      <c r="G292" s="8">
        <f t="shared" si="13"/>
        <v>42576.915046296293</v>
      </c>
    </row>
    <row r="293" spans="1:7" x14ac:dyDescent="0.25">
      <c r="A293" s="8">
        <v>42576.930092592593</v>
      </c>
      <c r="B293" t="s">
        <v>272</v>
      </c>
      <c r="C293" t="s">
        <v>389</v>
      </c>
      <c r="D293">
        <v>1770000</v>
      </c>
      <c r="E293" t="s">
        <v>276</v>
      </c>
      <c r="F293" s="24" t="str">
        <f t="shared" si="12"/>
        <v>rtdc.l.rtdc.4032:itc</v>
      </c>
      <c r="G293" s="8">
        <f t="shared" si="13"/>
        <v>42576.930092592593</v>
      </c>
    </row>
    <row r="294" spans="1:7" x14ac:dyDescent="0.25">
      <c r="A294" s="8">
        <v>42576.943530092591</v>
      </c>
      <c r="B294" t="s">
        <v>103</v>
      </c>
      <c r="C294" t="s">
        <v>364</v>
      </c>
      <c r="D294">
        <v>1740000</v>
      </c>
      <c r="E294" t="s">
        <v>275</v>
      </c>
      <c r="F294" s="24" t="str">
        <f t="shared" si="12"/>
        <v>rtdc.l.rtdc.4026:itc</v>
      </c>
      <c r="G294" s="8">
        <f t="shared" si="13"/>
        <v>42576.943530092591</v>
      </c>
    </row>
    <row r="295" spans="1:7" x14ac:dyDescent="0.25">
      <c r="A295" s="8">
        <v>42576.907870370371</v>
      </c>
      <c r="B295" t="s">
        <v>103</v>
      </c>
      <c r="C295" t="s">
        <v>359</v>
      </c>
      <c r="D295">
        <v>1740000</v>
      </c>
      <c r="E295" t="s">
        <v>275</v>
      </c>
      <c r="F295" s="24" t="str">
        <f t="shared" si="12"/>
        <v>rtdc.l.rtdc.4026:itc</v>
      </c>
      <c r="G295" s="8">
        <f t="shared" si="13"/>
        <v>42576.907870370371</v>
      </c>
    </row>
    <row r="296" spans="1:7" x14ac:dyDescent="0.25">
      <c r="A296" s="8">
        <v>42576.974062499998</v>
      </c>
      <c r="B296" t="s">
        <v>247</v>
      </c>
      <c r="C296" t="s">
        <v>328</v>
      </c>
      <c r="D296">
        <v>1810000</v>
      </c>
      <c r="E296" t="s">
        <v>277</v>
      </c>
      <c r="F296" s="24" t="str">
        <f t="shared" si="12"/>
        <v>rtdc.l.rtdc.4014:itc</v>
      </c>
      <c r="G296" s="8">
        <f t="shared" si="13"/>
        <v>42576.974062499998</v>
      </c>
    </row>
    <row r="297" spans="1:7" x14ac:dyDescent="0.25">
      <c r="A297" s="8">
        <v>42576.88890046296</v>
      </c>
      <c r="B297" t="s">
        <v>105</v>
      </c>
      <c r="C297" t="s">
        <v>356</v>
      </c>
      <c r="D297">
        <v>1740000</v>
      </c>
      <c r="E297" t="s">
        <v>275</v>
      </c>
      <c r="F297" s="24" t="str">
        <f t="shared" si="12"/>
        <v>rtdc.l.rtdc.4025:itc</v>
      </c>
      <c r="G297" s="8">
        <f t="shared" si="13"/>
        <v>42576.88890046296</v>
      </c>
    </row>
    <row r="298" spans="1:7" x14ac:dyDescent="0.25">
      <c r="A298" s="8">
        <v>42576.997789351852</v>
      </c>
      <c r="B298" t="s">
        <v>136</v>
      </c>
      <c r="C298" t="s">
        <v>330</v>
      </c>
      <c r="D298">
        <v>1800000</v>
      </c>
      <c r="E298" t="s">
        <v>279</v>
      </c>
      <c r="F298" s="24" t="str">
        <f t="shared" si="12"/>
        <v>rtdc.l.rtdc.4016:itc</v>
      </c>
      <c r="G298" s="8">
        <f t="shared" si="13"/>
        <v>42576.997789351852</v>
      </c>
    </row>
    <row r="299" spans="1:7" x14ac:dyDescent="0.25">
      <c r="A299" s="8">
        <v>42576.868576388886</v>
      </c>
      <c r="B299" t="s">
        <v>101</v>
      </c>
      <c r="C299" t="s">
        <v>317</v>
      </c>
      <c r="D299">
        <v>1180000</v>
      </c>
      <c r="E299" t="s">
        <v>370</v>
      </c>
      <c r="F299" s="24" t="str">
        <f t="shared" si="12"/>
        <v>rtdc.l.rtdc.4038:itc</v>
      </c>
      <c r="G299" s="8">
        <f t="shared" si="13"/>
        <v>42576.868576388886</v>
      </c>
    </row>
    <row r="300" spans="1:7" x14ac:dyDescent="0.25">
      <c r="A300" s="8">
        <v>42577.006099537037</v>
      </c>
      <c r="B300" t="s">
        <v>114</v>
      </c>
      <c r="C300" t="s">
        <v>332</v>
      </c>
      <c r="D300">
        <v>1230000</v>
      </c>
      <c r="E300" t="s">
        <v>165</v>
      </c>
      <c r="F300" s="24" t="str">
        <f t="shared" si="12"/>
        <v>rtdc.l.rtdc.4007:itc</v>
      </c>
      <c r="G300" s="8">
        <f t="shared" si="13"/>
        <v>42577.006099537037</v>
      </c>
    </row>
    <row r="301" spans="1:7" x14ac:dyDescent="0.25">
      <c r="A301" s="8">
        <v>42578.298206018517</v>
      </c>
      <c r="B301" t="s">
        <v>70</v>
      </c>
      <c r="C301" t="s">
        <v>733</v>
      </c>
      <c r="D301">
        <v>1110000</v>
      </c>
      <c r="E301" t="s">
        <v>119</v>
      </c>
      <c r="F301" s="24" t="str">
        <f t="shared" si="12"/>
        <v>rtdc.l.rtdc.4017:itc</v>
      </c>
      <c r="G301" s="8">
        <f t="shared" si="13"/>
        <v>42578.298206018517</v>
      </c>
    </row>
    <row r="302" spans="1:7" x14ac:dyDescent="0.25">
      <c r="A302" s="8">
        <v>42577.038541666669</v>
      </c>
      <c r="B302" t="s">
        <v>135</v>
      </c>
      <c r="C302" t="s">
        <v>331</v>
      </c>
      <c r="D302">
        <v>1800000</v>
      </c>
      <c r="E302" t="s">
        <v>279</v>
      </c>
      <c r="F302" s="24" t="str">
        <f t="shared" si="12"/>
        <v>rtdc.l.rtdc.4015:itc</v>
      </c>
      <c r="G302" s="8">
        <f t="shared" si="13"/>
        <v>42577.038541666669</v>
      </c>
    </row>
    <row r="303" spans="1:7" x14ac:dyDescent="0.25">
      <c r="A303" s="8">
        <v>42578.290902777779</v>
      </c>
      <c r="B303" t="s">
        <v>114</v>
      </c>
      <c r="C303" t="s">
        <v>759</v>
      </c>
      <c r="D303">
        <v>900000</v>
      </c>
      <c r="E303" t="s">
        <v>368</v>
      </c>
      <c r="F303" s="24" t="str">
        <f t="shared" si="12"/>
        <v>rtdc.l.rtdc.4007:itc</v>
      </c>
      <c r="G303" s="8">
        <f t="shared" si="13"/>
        <v>42578.290902777779</v>
      </c>
    </row>
    <row r="304" spans="1:7" x14ac:dyDescent="0.25">
      <c r="A304" s="8">
        <v>42577.175497685188</v>
      </c>
      <c r="B304" t="s">
        <v>105</v>
      </c>
      <c r="C304" t="s">
        <v>401</v>
      </c>
      <c r="D304">
        <v>1990000</v>
      </c>
      <c r="E304" t="s">
        <v>374</v>
      </c>
      <c r="F304" s="24" t="str">
        <f t="shared" si="12"/>
        <v>rtdc.l.rtdc.4025:itc</v>
      </c>
      <c r="G304" s="8">
        <f t="shared" si="13"/>
        <v>42577.175497685188</v>
      </c>
    </row>
    <row r="305" spans="1:7" x14ac:dyDescent="0.25">
      <c r="A305" s="8">
        <v>42578.288078703707</v>
      </c>
      <c r="B305" t="s">
        <v>148</v>
      </c>
      <c r="C305" t="s">
        <v>762</v>
      </c>
      <c r="D305">
        <v>2010000</v>
      </c>
      <c r="E305" t="s">
        <v>736</v>
      </c>
      <c r="F305" s="24" t="str">
        <f t="shared" si="12"/>
        <v>rtdc.l.rtdc.4009:itc</v>
      </c>
      <c r="G305" s="8">
        <f t="shared" si="13"/>
        <v>42578.288078703707</v>
      </c>
    </row>
    <row r="306" spans="1:7" x14ac:dyDescent="0.25">
      <c r="A306" s="8">
        <v>42577.184363425928</v>
      </c>
      <c r="B306" t="s">
        <v>76</v>
      </c>
      <c r="C306" t="s">
        <v>402</v>
      </c>
      <c r="D306">
        <v>1090000</v>
      </c>
      <c r="E306" t="s">
        <v>111</v>
      </c>
      <c r="F306" s="24" t="str">
        <f t="shared" si="12"/>
        <v>rtdc.l.rtdc.4042:itc</v>
      </c>
      <c r="G306" s="8">
        <f t="shared" si="13"/>
        <v>42577.184363425928</v>
      </c>
    </row>
    <row r="307" spans="1:7" x14ac:dyDescent="0.25">
      <c r="A307" s="8">
        <v>42578.218356481484</v>
      </c>
      <c r="B307" t="s">
        <v>70</v>
      </c>
      <c r="C307" t="s">
        <v>733</v>
      </c>
      <c r="D307">
        <v>1110000</v>
      </c>
      <c r="E307" t="s">
        <v>119</v>
      </c>
      <c r="F307" s="24" t="str">
        <f t="shared" si="12"/>
        <v>rtdc.l.rtdc.4017:itc</v>
      </c>
      <c r="G307" s="8">
        <f t="shared" si="13"/>
        <v>42578.218356481484</v>
      </c>
    </row>
    <row r="308" spans="1:7" x14ac:dyDescent="0.25">
      <c r="A308" s="8">
        <v>42577.213009259256</v>
      </c>
      <c r="B308" t="s">
        <v>70</v>
      </c>
      <c r="C308" t="s">
        <v>403</v>
      </c>
      <c r="D308">
        <v>1990000</v>
      </c>
      <c r="E308" t="s">
        <v>374</v>
      </c>
      <c r="F308" s="24" t="str">
        <f t="shared" si="12"/>
        <v>rtdc.l.rtdc.4017:itc</v>
      </c>
      <c r="G308" s="8">
        <f t="shared" si="13"/>
        <v>42577.213009259256</v>
      </c>
    </row>
    <row r="309" spans="1:7" x14ac:dyDescent="0.25">
      <c r="A309" s="8">
        <v>42578.319675925923</v>
      </c>
      <c r="B309" t="s">
        <v>135</v>
      </c>
      <c r="C309" t="s">
        <v>761</v>
      </c>
      <c r="D309">
        <v>1090000</v>
      </c>
      <c r="E309" t="s">
        <v>111</v>
      </c>
      <c r="F309" s="24" t="str">
        <f t="shared" si="12"/>
        <v>rtdc.l.rtdc.4015:itc</v>
      </c>
      <c r="G309" s="8">
        <f t="shared" si="13"/>
        <v>42578.319675925923</v>
      </c>
    </row>
    <row r="310" spans="1:7" x14ac:dyDescent="0.25">
      <c r="A310" s="8">
        <v>42577.214444444442</v>
      </c>
      <c r="B310" t="s">
        <v>148</v>
      </c>
      <c r="C310" t="s">
        <v>404</v>
      </c>
      <c r="D310">
        <v>1540000</v>
      </c>
      <c r="E310" t="s">
        <v>283</v>
      </c>
      <c r="F310" s="24" t="str">
        <f t="shared" si="12"/>
        <v>rtdc.l.rtdc.4009:itc</v>
      </c>
      <c r="G310" s="8">
        <f t="shared" si="13"/>
        <v>42577.214444444442</v>
      </c>
    </row>
    <row r="311" spans="1:7" x14ac:dyDescent="0.25">
      <c r="A311" s="8">
        <v>42578.305115740739</v>
      </c>
      <c r="B311" t="s">
        <v>365</v>
      </c>
      <c r="C311" t="s">
        <v>763</v>
      </c>
      <c r="D311">
        <v>1460000</v>
      </c>
      <c r="E311" t="s">
        <v>748</v>
      </c>
      <c r="F311" s="24" t="str">
        <f t="shared" si="12"/>
        <v>rtdc.l.rtdc.4037:itc</v>
      </c>
      <c r="G311" s="8">
        <f t="shared" si="13"/>
        <v>42578.305115740739</v>
      </c>
    </row>
    <row r="312" spans="1:7" x14ac:dyDescent="0.25">
      <c r="A312" s="8">
        <v>42577.276863425926</v>
      </c>
      <c r="B312" t="s">
        <v>109</v>
      </c>
      <c r="C312" t="s">
        <v>405</v>
      </c>
      <c r="D312">
        <v>1100000</v>
      </c>
      <c r="E312" t="s">
        <v>246</v>
      </c>
      <c r="F312" s="24" t="str">
        <f t="shared" si="12"/>
        <v>rtdc.l.rtdc.4027:itc</v>
      </c>
      <c r="G312" s="8">
        <f t="shared" si="13"/>
        <v>42577.276863425926</v>
      </c>
    </row>
    <row r="313" spans="1:7" x14ac:dyDescent="0.25">
      <c r="A313" s="8">
        <v>42578.286643518521</v>
      </c>
      <c r="B313" t="s">
        <v>114</v>
      </c>
      <c r="C313" t="s">
        <v>759</v>
      </c>
      <c r="D313">
        <v>900000</v>
      </c>
      <c r="E313" t="s">
        <v>368</v>
      </c>
      <c r="F313" s="24" t="str">
        <f t="shared" si="12"/>
        <v>rtdc.l.rtdc.4007:itc</v>
      </c>
      <c r="G313" s="8">
        <f t="shared" si="13"/>
        <v>42578.286643518521</v>
      </c>
    </row>
    <row r="314" spans="1:7" x14ac:dyDescent="0.25">
      <c r="A314" s="8">
        <v>42577.289629629631</v>
      </c>
      <c r="B314" t="s">
        <v>148</v>
      </c>
      <c r="C314" t="s">
        <v>406</v>
      </c>
      <c r="D314">
        <v>1540000</v>
      </c>
      <c r="E314" t="s">
        <v>283</v>
      </c>
      <c r="F314" s="24" t="str">
        <f t="shared" si="12"/>
        <v>rtdc.l.rtdc.4009:itc</v>
      </c>
      <c r="G314" s="8">
        <f t="shared" si="13"/>
        <v>42577.289629629631</v>
      </c>
    </row>
    <row r="315" spans="1:7" x14ac:dyDescent="0.25">
      <c r="A315" s="8">
        <v>42578.204201388886</v>
      </c>
      <c r="B315" t="s">
        <v>69</v>
      </c>
      <c r="C315" t="s">
        <v>764</v>
      </c>
      <c r="D315">
        <v>1110000</v>
      </c>
      <c r="E315" t="s">
        <v>119</v>
      </c>
      <c r="F315" s="24" t="str">
        <f t="shared" si="12"/>
        <v>rtdc.l.rtdc.4018:itc</v>
      </c>
      <c r="G315" s="8">
        <f t="shared" si="13"/>
        <v>42578.204201388886</v>
      </c>
    </row>
    <row r="316" spans="1:7" x14ac:dyDescent="0.25">
      <c r="A316" s="8">
        <v>42577.29855324074</v>
      </c>
      <c r="B316" t="s">
        <v>103</v>
      </c>
      <c r="C316" t="s">
        <v>373</v>
      </c>
      <c r="D316">
        <v>1990000</v>
      </c>
      <c r="E316" t="s">
        <v>374</v>
      </c>
      <c r="F316" s="24" t="str">
        <f t="shared" si="12"/>
        <v>rtdc.l.rtdc.4026:itc</v>
      </c>
      <c r="G316" s="8">
        <f t="shared" si="13"/>
        <v>42577.29855324074</v>
      </c>
    </row>
    <row r="317" spans="1:7" x14ac:dyDescent="0.25">
      <c r="A317" s="8">
        <v>42578.318136574075</v>
      </c>
      <c r="B317" t="s">
        <v>67</v>
      </c>
      <c r="C317" t="s">
        <v>765</v>
      </c>
      <c r="D317">
        <v>1100000</v>
      </c>
      <c r="E317" t="s">
        <v>246</v>
      </c>
      <c r="F317" s="24" t="str">
        <f t="shared" si="12"/>
        <v>rtdc.l.rtdc.4019:itc</v>
      </c>
      <c r="G317" s="8">
        <f t="shared" si="13"/>
        <v>42578.318136574075</v>
      </c>
    </row>
    <row r="318" spans="1:7" x14ac:dyDescent="0.25">
      <c r="A318" s="8">
        <v>42577.29891203704</v>
      </c>
      <c r="B318" t="s">
        <v>68</v>
      </c>
      <c r="C318" t="s">
        <v>477</v>
      </c>
      <c r="D318">
        <v>1240000</v>
      </c>
      <c r="E318" t="s">
        <v>113</v>
      </c>
      <c r="F318" s="24" t="str">
        <f t="shared" si="12"/>
        <v>rtdc.l.rtdc.4020:itc</v>
      </c>
      <c r="G318" s="8">
        <f t="shared" si="13"/>
        <v>42577.29891203704</v>
      </c>
    </row>
    <row r="319" spans="1:7" x14ac:dyDescent="0.25">
      <c r="A319" s="8">
        <v>42578.212500000001</v>
      </c>
      <c r="B319" t="s">
        <v>104</v>
      </c>
      <c r="C319" t="s">
        <v>766</v>
      </c>
      <c r="D319">
        <v>1360000</v>
      </c>
      <c r="E319" t="s">
        <v>730</v>
      </c>
      <c r="F319" s="24" t="str">
        <f t="shared" si="12"/>
        <v>rtdc.l.rtdc.4013:itc</v>
      </c>
      <c r="G319" s="8">
        <f t="shared" si="13"/>
        <v>42578.212500000001</v>
      </c>
    </row>
    <row r="320" spans="1:7" x14ac:dyDescent="0.25">
      <c r="A320" s="8">
        <v>42577.30159722222</v>
      </c>
      <c r="B320" t="s">
        <v>101</v>
      </c>
      <c r="C320" t="s">
        <v>649</v>
      </c>
      <c r="D320">
        <v>1300000</v>
      </c>
      <c r="E320" t="s">
        <v>155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272</v>
      </c>
      <c r="C321" t="s">
        <v>735</v>
      </c>
      <c r="D321">
        <v>2010000</v>
      </c>
      <c r="E321" t="s">
        <v>736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272</v>
      </c>
      <c r="C322" t="s">
        <v>475</v>
      </c>
      <c r="D322">
        <v>1750000</v>
      </c>
      <c r="E322" t="s">
        <v>282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626</v>
      </c>
      <c r="D323">
        <v>1180000</v>
      </c>
      <c r="E323" t="s">
        <v>370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414</v>
      </c>
      <c r="D324">
        <v>1100000</v>
      </c>
      <c r="E324" t="s">
        <v>246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365</v>
      </c>
      <c r="C325" t="s">
        <v>721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271</v>
      </c>
      <c r="C326" t="s">
        <v>484</v>
      </c>
      <c r="D326">
        <v>1750000</v>
      </c>
      <c r="E326" t="s">
        <v>282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618</v>
      </c>
      <c r="D327">
        <v>1180000</v>
      </c>
      <c r="E327" t="s">
        <v>370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416</v>
      </c>
      <c r="D328">
        <v>1260000</v>
      </c>
      <c r="E328" t="s">
        <v>281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365</v>
      </c>
      <c r="C329" t="s">
        <v>710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416</v>
      </c>
      <c r="D330">
        <v>1260000</v>
      </c>
      <c r="E330" t="s">
        <v>281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635</v>
      </c>
      <c r="D331">
        <v>950000</v>
      </c>
      <c r="E331" t="s">
        <v>725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418</v>
      </c>
      <c r="D332">
        <v>1990000</v>
      </c>
      <c r="E332" t="s">
        <v>374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365</v>
      </c>
      <c r="C333" t="s">
        <v>704</v>
      </c>
      <c r="D333">
        <v>1770000</v>
      </c>
      <c r="E333" t="s">
        <v>276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148</v>
      </c>
      <c r="C334" t="s">
        <v>493</v>
      </c>
      <c r="D334">
        <v>1540000</v>
      </c>
      <c r="E334" t="s">
        <v>283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604</v>
      </c>
      <c r="D335">
        <v>1780000</v>
      </c>
      <c r="E335" t="s">
        <v>750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660</v>
      </c>
      <c r="D336">
        <v>1300000</v>
      </c>
      <c r="E336" t="s">
        <v>155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247</v>
      </c>
      <c r="C337" t="s">
        <v>700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365</v>
      </c>
      <c r="C338" t="s">
        <v>662</v>
      </c>
      <c r="D338">
        <v>1300000</v>
      </c>
      <c r="E338" t="s">
        <v>155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695</v>
      </c>
      <c r="D339">
        <v>1770000</v>
      </c>
      <c r="E339" t="s">
        <v>276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420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271</v>
      </c>
      <c r="C341" t="s">
        <v>591</v>
      </c>
      <c r="D341">
        <v>940000</v>
      </c>
      <c r="E341" t="s">
        <v>390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271</v>
      </c>
      <c r="C342" t="s">
        <v>421</v>
      </c>
      <c r="D342">
        <v>1750000</v>
      </c>
      <c r="E342" t="s">
        <v>282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247</v>
      </c>
      <c r="C343" t="s">
        <v>691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664</v>
      </c>
      <c r="D344">
        <v>1300000</v>
      </c>
      <c r="E344" t="s">
        <v>155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149</v>
      </c>
      <c r="C345" t="s">
        <v>582</v>
      </c>
      <c r="D345">
        <v>1520000</v>
      </c>
      <c r="E345" t="s">
        <v>273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272</v>
      </c>
      <c r="C346" t="s">
        <v>504</v>
      </c>
      <c r="D346">
        <v>1750000</v>
      </c>
      <c r="E346" t="s">
        <v>282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443</v>
      </c>
      <c r="D347">
        <v>880000</v>
      </c>
      <c r="E347" t="s">
        <v>278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512</v>
      </c>
      <c r="D348">
        <v>1280000</v>
      </c>
      <c r="E348" t="s">
        <v>280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583</v>
      </c>
      <c r="D349">
        <v>950000</v>
      </c>
      <c r="E349" t="s">
        <v>725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426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148</v>
      </c>
      <c r="C351" t="s">
        <v>581</v>
      </c>
      <c r="D351">
        <v>1520000</v>
      </c>
      <c r="E351" t="s">
        <v>273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533</v>
      </c>
      <c r="D352">
        <v>950000</v>
      </c>
      <c r="E352" t="s">
        <v>725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247</v>
      </c>
      <c r="C353" t="s">
        <v>682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536</v>
      </c>
      <c r="D354">
        <v>1280000</v>
      </c>
      <c r="E354" t="s">
        <v>280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578</v>
      </c>
      <c r="D355">
        <v>1140000</v>
      </c>
      <c r="E355" t="s">
        <v>274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430</v>
      </c>
      <c r="D356">
        <v>1770000</v>
      </c>
      <c r="E356" t="s">
        <v>276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271</v>
      </c>
      <c r="C357" t="s">
        <v>431</v>
      </c>
      <c r="D357">
        <v>940000</v>
      </c>
      <c r="E357" t="s">
        <v>390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365</v>
      </c>
      <c r="C358" t="s">
        <v>433</v>
      </c>
      <c r="D358">
        <v>1770000</v>
      </c>
      <c r="E358" t="s">
        <v>276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545</v>
      </c>
      <c r="D359">
        <v>1120000</v>
      </c>
      <c r="E359" t="s">
        <v>369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552</v>
      </c>
      <c r="D360">
        <v>1140000</v>
      </c>
      <c r="E360" t="s">
        <v>274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541</v>
      </c>
      <c r="D361">
        <v>880000</v>
      </c>
      <c r="E361" t="s">
        <v>278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544</v>
      </c>
      <c r="D362">
        <v>880000</v>
      </c>
      <c r="E362" t="s">
        <v>278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149</v>
      </c>
      <c r="C363" t="s">
        <v>429</v>
      </c>
      <c r="D363">
        <v>1520000</v>
      </c>
      <c r="E363" t="s">
        <v>273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148</v>
      </c>
      <c r="C364" t="s">
        <v>556</v>
      </c>
      <c r="D364">
        <v>1520000</v>
      </c>
      <c r="E364" t="s">
        <v>273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669</v>
      </c>
      <c r="D365">
        <v>1300000</v>
      </c>
      <c r="E365" t="s">
        <v>155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152</v>
      </c>
      <c r="C366" t="s">
        <v>435</v>
      </c>
      <c r="D366">
        <v>1120000</v>
      </c>
      <c r="E366" t="s">
        <v>369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428</v>
      </c>
      <c r="D367">
        <v>880000</v>
      </c>
      <c r="E367" t="s">
        <v>278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272</v>
      </c>
      <c r="C368" t="s">
        <v>436</v>
      </c>
      <c r="D368">
        <v>940000</v>
      </c>
      <c r="E368" t="s">
        <v>390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519</v>
      </c>
      <c r="D369">
        <v>1120000</v>
      </c>
      <c r="E369" t="s">
        <v>369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563</v>
      </c>
      <c r="D370">
        <v>1280000</v>
      </c>
      <c r="E370" t="s">
        <v>280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510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566</v>
      </c>
      <c r="D372">
        <v>1280000</v>
      </c>
      <c r="E372" t="s">
        <v>280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365</v>
      </c>
      <c r="C373" t="s">
        <v>422</v>
      </c>
      <c r="D373">
        <v>1300000</v>
      </c>
      <c r="E373" t="s">
        <v>155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365</v>
      </c>
      <c r="C374" t="s">
        <v>688</v>
      </c>
      <c r="D374">
        <v>1770000</v>
      </c>
      <c r="E374" t="s">
        <v>276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497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593</v>
      </c>
      <c r="D376">
        <v>1180000</v>
      </c>
      <c r="E376" t="s">
        <v>370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490</v>
      </c>
      <c r="D377">
        <v>1100000</v>
      </c>
      <c r="E377" t="s">
        <v>246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247</v>
      </c>
      <c r="C378" t="s">
        <v>718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418</v>
      </c>
      <c r="D379">
        <v>1990000</v>
      </c>
      <c r="E379" t="s">
        <v>374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709</v>
      </c>
      <c r="D380">
        <v>1770000</v>
      </c>
      <c r="E380" t="s">
        <v>276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365</v>
      </c>
      <c r="C381" t="s">
        <v>417</v>
      </c>
      <c r="D381">
        <v>1300000</v>
      </c>
      <c r="E381" t="s">
        <v>155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365</v>
      </c>
      <c r="C382" t="s">
        <v>706</v>
      </c>
      <c r="D382">
        <v>1770000</v>
      </c>
      <c r="E382" t="s">
        <v>276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247</v>
      </c>
      <c r="C383" t="s">
        <v>654</v>
      </c>
      <c r="D383">
        <v>1110000</v>
      </c>
      <c r="E383" t="s">
        <v>119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712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399</v>
      </c>
      <c r="D385">
        <v>1990000</v>
      </c>
      <c r="E385" t="s">
        <v>374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629</v>
      </c>
      <c r="D386">
        <v>1230000</v>
      </c>
      <c r="E386" t="s">
        <v>165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365</v>
      </c>
      <c r="C387" t="s">
        <v>400</v>
      </c>
      <c r="D387">
        <v>1300000</v>
      </c>
      <c r="E387" t="s">
        <v>155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637</v>
      </c>
      <c r="D388">
        <v>1800000</v>
      </c>
      <c r="E388" t="s">
        <v>279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152</v>
      </c>
      <c r="C389" t="s">
        <v>386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272</v>
      </c>
      <c r="C390" t="s">
        <v>767</v>
      </c>
      <c r="D390">
        <v>2010000</v>
      </c>
      <c r="E390" t="s">
        <v>736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325</v>
      </c>
      <c r="D391">
        <v>1180000</v>
      </c>
      <c r="E391" t="s">
        <v>370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768</v>
      </c>
      <c r="D392">
        <v>1100000</v>
      </c>
      <c r="E392" t="s">
        <v>246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135</v>
      </c>
      <c r="C393" t="s">
        <v>322</v>
      </c>
      <c r="D393">
        <v>1800000</v>
      </c>
      <c r="E393" t="s">
        <v>279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729</v>
      </c>
      <c r="D394">
        <v>1360000</v>
      </c>
      <c r="E394" t="s">
        <v>730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135</v>
      </c>
      <c r="C395" t="s">
        <v>322</v>
      </c>
      <c r="D395">
        <v>1800000</v>
      </c>
      <c r="E395" t="s">
        <v>279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727</v>
      </c>
      <c r="D396">
        <v>1100000</v>
      </c>
      <c r="E396" t="s">
        <v>246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365</v>
      </c>
      <c r="C397" t="s">
        <v>318</v>
      </c>
      <c r="D397">
        <v>1180000</v>
      </c>
      <c r="E397" t="s">
        <v>370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738</v>
      </c>
      <c r="D398">
        <v>1190000</v>
      </c>
      <c r="E398" t="s">
        <v>151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152</v>
      </c>
      <c r="C399" t="s">
        <v>355</v>
      </c>
      <c r="D399">
        <v>1290000</v>
      </c>
      <c r="E399" t="s">
        <v>161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729</v>
      </c>
      <c r="D400">
        <v>1360000</v>
      </c>
      <c r="E400" t="s">
        <v>730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311</v>
      </c>
      <c r="D401">
        <v>1810000</v>
      </c>
      <c r="E401" t="s">
        <v>277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769</v>
      </c>
      <c r="D402">
        <v>900000</v>
      </c>
      <c r="E402" t="s">
        <v>368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427</v>
      </c>
      <c r="D403">
        <v>1280000</v>
      </c>
      <c r="E403" t="s">
        <v>280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284</v>
      </c>
      <c r="D405">
        <v>1110000</v>
      </c>
      <c r="E405" t="s">
        <v>119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136</v>
      </c>
      <c r="C406" t="s">
        <v>330</v>
      </c>
      <c r="D406">
        <v>1800000</v>
      </c>
      <c r="E406" t="s">
        <v>279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149</v>
      </c>
      <c r="C407" t="s">
        <v>285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332</v>
      </c>
      <c r="D408">
        <v>1230000</v>
      </c>
      <c r="E408" t="s">
        <v>165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136</v>
      </c>
      <c r="C409" t="s">
        <v>286</v>
      </c>
      <c r="D409">
        <v>1190000</v>
      </c>
      <c r="E409" t="s">
        <v>151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135</v>
      </c>
      <c r="C410" t="s">
        <v>331</v>
      </c>
      <c r="D410">
        <v>1800000</v>
      </c>
      <c r="E410" t="s">
        <v>279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287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401</v>
      </c>
      <c r="D412">
        <v>1990000</v>
      </c>
      <c r="E412" t="s">
        <v>374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166</v>
      </c>
      <c r="C413" t="s">
        <v>269</v>
      </c>
      <c r="D413">
        <v>1800000</v>
      </c>
      <c r="E413" t="s">
        <v>279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402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164</v>
      </c>
      <c r="C415" t="s">
        <v>268</v>
      </c>
      <c r="D415">
        <v>1800000</v>
      </c>
      <c r="E415" t="s">
        <v>279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403</v>
      </c>
      <c r="D416">
        <v>1990000</v>
      </c>
      <c r="E416" t="s">
        <v>374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272</v>
      </c>
      <c r="C417" t="s">
        <v>262</v>
      </c>
      <c r="D417">
        <v>1750000</v>
      </c>
      <c r="E417" t="s">
        <v>282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148</v>
      </c>
      <c r="C418" t="s">
        <v>404</v>
      </c>
      <c r="D418">
        <v>1540000</v>
      </c>
      <c r="E418" t="s">
        <v>283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266</v>
      </c>
      <c r="D419">
        <v>1290000</v>
      </c>
      <c r="E419" t="s">
        <v>161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405</v>
      </c>
      <c r="D420">
        <v>1100000</v>
      </c>
      <c r="E420" t="s">
        <v>246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136</v>
      </c>
      <c r="C421" t="s">
        <v>298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148</v>
      </c>
      <c r="C422" t="s">
        <v>406</v>
      </c>
      <c r="D422">
        <v>1540000</v>
      </c>
      <c r="E422" t="s">
        <v>283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303</v>
      </c>
      <c r="D423">
        <v>880000</v>
      </c>
      <c r="E423" t="s">
        <v>278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B5" sqref="A1:XFD1048576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775</v>
      </c>
      <c r="D1" s="108" t="s">
        <v>776</v>
      </c>
      <c r="J1" s="38" t="s">
        <v>777</v>
      </c>
      <c r="K1" s="38" t="s">
        <v>82</v>
      </c>
      <c r="L1" s="38" t="s">
        <v>83</v>
      </c>
      <c r="O1" s="111" t="s">
        <v>778</v>
      </c>
    </row>
    <row r="2" spans="1:16" ht="15.75" thickBot="1" x14ac:dyDescent="0.3">
      <c r="A2" s="15">
        <v>42577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779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122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123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124</v>
      </c>
      <c r="M20" s="85" t="s">
        <v>773</v>
      </c>
    </row>
    <row r="21" spans="10:13" x14ac:dyDescent="0.25">
      <c r="J21" s="24" t="s">
        <v>127</v>
      </c>
      <c r="K21" s="24" t="s">
        <v>128</v>
      </c>
      <c r="M21" s="85" t="s">
        <v>128</v>
      </c>
    </row>
    <row r="22" spans="10:13" x14ac:dyDescent="0.25">
      <c r="J22" s="24" t="s">
        <v>129</v>
      </c>
      <c r="K22" s="24" t="s">
        <v>130</v>
      </c>
      <c r="M22" s="85" t="s">
        <v>130</v>
      </c>
    </row>
    <row r="23" spans="10:13" x14ac:dyDescent="0.25">
      <c r="J23" s="35" t="s">
        <v>132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2016-07-27T20:30:28Z</dcterms:modified>
</cp:coreProperties>
</file>