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Enforcements!$A$2:$N$60</definedName>
    <definedName name="_xlnm._FilterDatabase" localSheetId="0" hidden="1">'Train Runs'!$A$2:$AA$142</definedName>
    <definedName name="Denver_Train_Runs_04122016" localSheetId="0">'Train Runs'!$A$2:$J$147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8" i="1" l="1"/>
  <c r="V98" i="1"/>
  <c r="W98" i="1"/>
  <c r="X98" i="1"/>
  <c r="Z98" i="1"/>
  <c r="AA98" i="1"/>
  <c r="T99" i="1"/>
  <c r="V99" i="1"/>
  <c r="W99" i="1"/>
  <c r="X99" i="1"/>
  <c r="Z99" i="1"/>
  <c r="AA99" i="1"/>
  <c r="T100" i="1"/>
  <c r="V100" i="1"/>
  <c r="W100" i="1"/>
  <c r="X100" i="1"/>
  <c r="Z100" i="1"/>
  <c r="AA100" i="1"/>
  <c r="T101" i="1"/>
  <c r="V101" i="1"/>
  <c r="W101" i="1"/>
  <c r="X101" i="1"/>
  <c r="Z101" i="1"/>
  <c r="AA101" i="1"/>
  <c r="T102" i="1"/>
  <c r="V102" i="1"/>
  <c r="W102" i="1"/>
  <c r="X102" i="1"/>
  <c r="Z102" i="1"/>
  <c r="AA102" i="1"/>
  <c r="T103" i="1"/>
  <c r="V103" i="1"/>
  <c r="W103" i="1"/>
  <c r="X103" i="1"/>
  <c r="Z103" i="1"/>
  <c r="AA103" i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K5" i="1"/>
  <c r="L5" i="1"/>
  <c r="M5" i="1"/>
  <c r="N5" i="1" s="1"/>
  <c r="T5" i="1"/>
  <c r="V5" i="1"/>
  <c r="W5" i="1"/>
  <c r="X5" i="1"/>
  <c r="Z5" i="1"/>
  <c r="AA5" i="1"/>
  <c r="K6" i="1"/>
  <c r="L6" i="1"/>
  <c r="M6" i="1"/>
  <c r="N6" i="1" s="1"/>
  <c r="T6" i="1"/>
  <c r="V6" i="1"/>
  <c r="W6" i="1"/>
  <c r="X6" i="1"/>
  <c r="Z6" i="1"/>
  <c r="AA6" i="1"/>
  <c r="K7" i="1"/>
  <c r="L7" i="1"/>
  <c r="M7" i="1"/>
  <c r="N7" i="1" s="1"/>
  <c r="T7" i="1"/>
  <c r="V7" i="1"/>
  <c r="W7" i="1"/>
  <c r="X7" i="1"/>
  <c r="Z7" i="1"/>
  <c r="AA7" i="1"/>
  <c r="K8" i="1"/>
  <c r="L8" i="1"/>
  <c r="M8" i="1"/>
  <c r="N8" i="1" s="1"/>
  <c r="T8" i="1"/>
  <c r="V8" i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N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Z20" i="1"/>
  <c r="AA20" i="1"/>
  <c r="K21" i="1"/>
  <c r="L21" i="1"/>
  <c r="M21" i="1"/>
  <c r="N21" i="1" s="1"/>
  <c r="T21" i="1"/>
  <c r="V21" i="1"/>
  <c r="W21" i="1"/>
  <c r="X21" i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P36" i="3" s="1"/>
  <c r="V27" i="1"/>
  <c r="W27" i="1"/>
  <c r="X27" i="1"/>
  <c r="Z27" i="1"/>
  <c r="AA27" i="1"/>
  <c r="K28" i="1"/>
  <c r="L28" i="1"/>
  <c r="M28" i="1"/>
  <c r="N28" i="1" s="1"/>
  <c r="T28" i="1"/>
  <c r="P38" i="3" s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Z32" i="1"/>
  <c r="AA32" i="1"/>
  <c r="K33" i="1"/>
  <c r="L33" i="1"/>
  <c r="M33" i="1"/>
  <c r="N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N35" i="1" s="1"/>
  <c r="T35" i="1"/>
  <c r="P6" i="3" s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P37" i="1" s="1"/>
  <c r="T37" i="1"/>
  <c r="V37" i="1"/>
  <c r="W37" i="1"/>
  <c r="X37" i="1"/>
  <c r="Z37" i="1"/>
  <c r="AA37" i="1"/>
  <c r="K38" i="1"/>
  <c r="L38" i="1"/>
  <c r="M38" i="1"/>
  <c r="N38" i="1" s="1"/>
  <c r="T38" i="1"/>
  <c r="P39" i="3" s="1"/>
  <c r="V38" i="1"/>
  <c r="W38" i="1"/>
  <c r="X38" i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N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N43" i="1" s="1"/>
  <c r="T43" i="1"/>
  <c r="V43" i="1"/>
  <c r="W43" i="1"/>
  <c r="X43" i="1"/>
  <c r="Z43" i="1"/>
  <c r="AA43" i="1"/>
  <c r="K44" i="1"/>
  <c r="L44" i="1"/>
  <c r="M44" i="1"/>
  <c r="N44" i="1" s="1"/>
  <c r="T44" i="1"/>
  <c r="V44" i="1"/>
  <c r="W44" i="1"/>
  <c r="X44" i="1"/>
  <c r="Z44" i="1"/>
  <c r="AA44" i="1"/>
  <c r="K45" i="1"/>
  <c r="L45" i="1"/>
  <c r="M45" i="1"/>
  <c r="N45" i="1" s="1"/>
  <c r="T45" i="1"/>
  <c r="V45" i="1"/>
  <c r="W45" i="1"/>
  <c r="X45" i="1"/>
  <c r="Z45" i="1"/>
  <c r="AA45" i="1"/>
  <c r="K46" i="1"/>
  <c r="L46" i="1"/>
  <c r="M46" i="1"/>
  <c r="P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V52" i="1"/>
  <c r="W52" i="1"/>
  <c r="X52" i="1"/>
  <c r="Z52" i="1"/>
  <c r="AA52" i="1"/>
  <c r="K53" i="1"/>
  <c r="L53" i="1"/>
  <c r="M53" i="1"/>
  <c r="N53" i="1" s="1"/>
  <c r="T53" i="1"/>
  <c r="V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N60" i="1" s="1"/>
  <c r="T60" i="1"/>
  <c r="V60" i="1"/>
  <c r="W60" i="1"/>
  <c r="X60" i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P62" i="1" s="1"/>
  <c r="T62" i="1"/>
  <c r="V62" i="1"/>
  <c r="W62" i="1"/>
  <c r="X62" i="1"/>
  <c r="Z62" i="1"/>
  <c r="AA62" i="1"/>
  <c r="K63" i="1"/>
  <c r="L63" i="1"/>
  <c r="M63" i="1"/>
  <c r="N63" i="1" s="1"/>
  <c r="T63" i="1"/>
  <c r="V63" i="1"/>
  <c r="W63" i="1"/>
  <c r="X63" i="1"/>
  <c r="Z63" i="1"/>
  <c r="AA63" i="1"/>
  <c r="K64" i="1"/>
  <c r="L64" i="1"/>
  <c r="M64" i="1"/>
  <c r="N64" i="1" s="1"/>
  <c r="T64" i="1"/>
  <c r="V64" i="1"/>
  <c r="W64" i="1"/>
  <c r="X64" i="1"/>
  <c r="Z64" i="1"/>
  <c r="AA64" i="1"/>
  <c r="K65" i="1"/>
  <c r="L65" i="1"/>
  <c r="M65" i="1"/>
  <c r="N65" i="1" s="1"/>
  <c r="T65" i="1"/>
  <c r="V65" i="1"/>
  <c r="W65" i="1"/>
  <c r="X65" i="1"/>
  <c r="Z65" i="1"/>
  <c r="AA65" i="1"/>
  <c r="K66" i="1"/>
  <c r="L66" i="1"/>
  <c r="M66" i="1"/>
  <c r="T66" i="1"/>
  <c r="V66" i="1"/>
  <c r="W66" i="1"/>
  <c r="X66" i="1"/>
  <c r="Z66" i="1"/>
  <c r="AA66" i="1"/>
  <c r="K67" i="1"/>
  <c r="L67" i="1"/>
  <c r="M67" i="1"/>
  <c r="T67" i="1"/>
  <c r="V67" i="1"/>
  <c r="W67" i="1"/>
  <c r="X67" i="1"/>
  <c r="Z67" i="1"/>
  <c r="AA67" i="1"/>
  <c r="K68" i="1"/>
  <c r="L68" i="1"/>
  <c r="M68" i="1"/>
  <c r="N68" i="1" s="1"/>
  <c r="T68" i="1"/>
  <c r="V68" i="1"/>
  <c r="W68" i="1"/>
  <c r="X68" i="1"/>
  <c r="Z68" i="1"/>
  <c r="AA68" i="1"/>
  <c r="K69" i="1"/>
  <c r="L69" i="1"/>
  <c r="M69" i="1"/>
  <c r="N69" i="1" s="1"/>
  <c r="T69" i="1"/>
  <c r="V69" i="1"/>
  <c r="W69" i="1"/>
  <c r="X69" i="1"/>
  <c r="Z69" i="1"/>
  <c r="AA69" i="1"/>
  <c r="K70" i="1"/>
  <c r="L70" i="1"/>
  <c r="M70" i="1"/>
  <c r="N70" i="1" s="1"/>
  <c r="T70" i="1"/>
  <c r="V70" i="1"/>
  <c r="W70" i="1"/>
  <c r="X70" i="1"/>
  <c r="Z70" i="1"/>
  <c r="AA70" i="1"/>
  <c r="K71" i="1"/>
  <c r="L71" i="1"/>
  <c r="M71" i="1"/>
  <c r="N71" i="1" s="1"/>
  <c r="T71" i="1"/>
  <c r="V71" i="1"/>
  <c r="W71" i="1"/>
  <c r="X71" i="1"/>
  <c r="Z71" i="1"/>
  <c r="AA71" i="1"/>
  <c r="K72" i="1"/>
  <c r="L72" i="1"/>
  <c r="M72" i="1"/>
  <c r="T72" i="1"/>
  <c r="V72" i="1"/>
  <c r="W72" i="1"/>
  <c r="X72" i="1"/>
  <c r="Z72" i="1"/>
  <c r="AA72" i="1"/>
  <c r="K73" i="1"/>
  <c r="L73" i="1"/>
  <c r="M73" i="1"/>
  <c r="T73" i="1"/>
  <c r="V73" i="1"/>
  <c r="W73" i="1"/>
  <c r="X73" i="1"/>
  <c r="Z73" i="1"/>
  <c r="AA73" i="1"/>
  <c r="K74" i="1"/>
  <c r="L74" i="1"/>
  <c r="M74" i="1"/>
  <c r="N74" i="1" s="1"/>
  <c r="T74" i="1"/>
  <c r="V74" i="1"/>
  <c r="W74" i="1"/>
  <c r="X74" i="1"/>
  <c r="Z74" i="1"/>
  <c r="AA74" i="1"/>
  <c r="K75" i="1"/>
  <c r="L75" i="1"/>
  <c r="M75" i="1"/>
  <c r="P75" i="1" s="1"/>
  <c r="T75" i="1"/>
  <c r="V75" i="1"/>
  <c r="W75" i="1"/>
  <c r="X75" i="1"/>
  <c r="Z75" i="1"/>
  <c r="AA75" i="1"/>
  <c r="K76" i="1"/>
  <c r="L76" i="1"/>
  <c r="M76" i="1"/>
  <c r="T76" i="1"/>
  <c r="V76" i="1"/>
  <c r="W76" i="1"/>
  <c r="X76" i="1"/>
  <c r="Z76" i="1"/>
  <c r="AA76" i="1"/>
  <c r="K77" i="1"/>
  <c r="L77" i="1"/>
  <c r="M77" i="1"/>
  <c r="N77" i="1" s="1"/>
  <c r="T77" i="1"/>
  <c r="V77" i="1"/>
  <c r="W77" i="1"/>
  <c r="X77" i="1"/>
  <c r="Z77" i="1"/>
  <c r="AA77" i="1"/>
  <c r="K78" i="1"/>
  <c r="L78" i="1"/>
  <c r="M78" i="1"/>
  <c r="N78" i="1" s="1"/>
  <c r="T78" i="1"/>
  <c r="V78" i="1"/>
  <c r="W78" i="1"/>
  <c r="X78" i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N80" i="1" s="1"/>
  <c r="T80" i="1"/>
  <c r="V80" i="1"/>
  <c r="W80" i="1"/>
  <c r="X80" i="1"/>
  <c r="Z80" i="1"/>
  <c r="AA80" i="1"/>
  <c r="K81" i="1"/>
  <c r="L81" i="1"/>
  <c r="M81" i="1"/>
  <c r="N81" i="1" s="1"/>
  <c r="T81" i="1"/>
  <c r="V81" i="1"/>
  <c r="W81" i="1"/>
  <c r="X81" i="1"/>
  <c r="Z81" i="1"/>
  <c r="AA81" i="1"/>
  <c r="K82" i="1"/>
  <c r="L82" i="1"/>
  <c r="M82" i="1"/>
  <c r="N82" i="1" s="1"/>
  <c r="T82" i="1"/>
  <c r="V82" i="1"/>
  <c r="W82" i="1"/>
  <c r="X82" i="1"/>
  <c r="Z82" i="1"/>
  <c r="AA82" i="1"/>
  <c r="K83" i="1"/>
  <c r="L83" i="1"/>
  <c r="M83" i="1"/>
  <c r="N83" i="1" s="1"/>
  <c r="T83" i="1"/>
  <c r="V83" i="1"/>
  <c r="W83" i="1"/>
  <c r="X83" i="1"/>
  <c r="Z83" i="1"/>
  <c r="AA83" i="1"/>
  <c r="K84" i="1"/>
  <c r="L84" i="1"/>
  <c r="M84" i="1"/>
  <c r="P84" i="1" s="1"/>
  <c r="T84" i="1"/>
  <c r="V84" i="1"/>
  <c r="W84" i="1"/>
  <c r="X84" i="1"/>
  <c r="Z84" i="1"/>
  <c r="AA84" i="1"/>
  <c r="K85" i="1"/>
  <c r="L85" i="1"/>
  <c r="M85" i="1"/>
  <c r="T85" i="1"/>
  <c r="V85" i="1"/>
  <c r="W85" i="1"/>
  <c r="X85" i="1"/>
  <c r="Z85" i="1"/>
  <c r="AA85" i="1"/>
  <c r="K86" i="1"/>
  <c r="L86" i="1"/>
  <c r="M86" i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N94" i="1" s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V97" i="1"/>
  <c r="W97" i="1"/>
  <c r="X97" i="1"/>
  <c r="Z97" i="1"/>
  <c r="AA97" i="1"/>
  <c r="K98" i="1"/>
  <c r="L98" i="1"/>
  <c r="M98" i="1"/>
  <c r="N98" i="1" s="1"/>
  <c r="K99" i="1"/>
  <c r="L99" i="1"/>
  <c r="M99" i="1"/>
  <c r="O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K103" i="1"/>
  <c r="L103" i="1"/>
  <c r="M103" i="1"/>
  <c r="K104" i="1"/>
  <c r="L104" i="1"/>
  <c r="M104" i="1"/>
  <c r="N104" i="1" s="1"/>
  <c r="T104" i="1"/>
  <c r="V104" i="1"/>
  <c r="W104" i="1"/>
  <c r="X104" i="1"/>
  <c r="Z104" i="1"/>
  <c r="AA104" i="1"/>
  <c r="K105" i="1"/>
  <c r="L105" i="1"/>
  <c r="M105" i="1"/>
  <c r="P105" i="1" s="1"/>
  <c r="T105" i="1"/>
  <c r="V105" i="1"/>
  <c r="W105" i="1"/>
  <c r="X105" i="1"/>
  <c r="Z105" i="1"/>
  <c r="AA105" i="1"/>
  <c r="K106" i="1"/>
  <c r="L106" i="1"/>
  <c r="M106" i="1"/>
  <c r="N106" i="1" s="1"/>
  <c r="T106" i="1"/>
  <c r="V106" i="1"/>
  <c r="W106" i="1"/>
  <c r="X106" i="1"/>
  <c r="Z106" i="1"/>
  <c r="AA106" i="1"/>
  <c r="K107" i="1"/>
  <c r="L107" i="1"/>
  <c r="M107" i="1"/>
  <c r="N107" i="1" s="1"/>
  <c r="T107" i="1"/>
  <c r="V107" i="1"/>
  <c r="W107" i="1"/>
  <c r="X107" i="1"/>
  <c r="Z107" i="1"/>
  <c r="AA107" i="1"/>
  <c r="K108" i="1"/>
  <c r="L108" i="1"/>
  <c r="M108" i="1"/>
  <c r="N108" i="1" s="1"/>
  <c r="T108" i="1"/>
  <c r="V108" i="1"/>
  <c r="W108" i="1"/>
  <c r="X108" i="1"/>
  <c r="Z108" i="1"/>
  <c r="AA108" i="1"/>
  <c r="K109" i="1"/>
  <c r="L109" i="1"/>
  <c r="M109" i="1"/>
  <c r="N109" i="1" s="1"/>
  <c r="T109" i="1"/>
  <c r="V109" i="1"/>
  <c r="W109" i="1"/>
  <c r="X109" i="1"/>
  <c r="Z109" i="1"/>
  <c r="AA109" i="1"/>
  <c r="K110" i="1"/>
  <c r="L110" i="1"/>
  <c r="M110" i="1"/>
  <c r="N110" i="1" s="1"/>
  <c r="T110" i="1"/>
  <c r="V110" i="1"/>
  <c r="W110" i="1"/>
  <c r="X110" i="1"/>
  <c r="Z110" i="1"/>
  <c r="AA110" i="1"/>
  <c r="K111" i="1"/>
  <c r="L111" i="1"/>
  <c r="M111" i="1"/>
  <c r="N111" i="1" s="1"/>
  <c r="T111" i="1"/>
  <c r="V111" i="1"/>
  <c r="W111" i="1"/>
  <c r="X111" i="1"/>
  <c r="Z111" i="1"/>
  <c r="AA111" i="1"/>
  <c r="K112" i="1"/>
  <c r="L112" i="1"/>
  <c r="M112" i="1"/>
  <c r="N112" i="1" s="1"/>
  <c r="T112" i="1"/>
  <c r="V112" i="1"/>
  <c r="W112" i="1"/>
  <c r="X112" i="1"/>
  <c r="Z112" i="1"/>
  <c r="AA112" i="1"/>
  <c r="K113" i="1"/>
  <c r="L113" i="1"/>
  <c r="M113" i="1"/>
  <c r="N113" i="1" s="1"/>
  <c r="T113" i="1"/>
  <c r="V113" i="1"/>
  <c r="W113" i="1"/>
  <c r="X113" i="1"/>
  <c r="Z113" i="1"/>
  <c r="AA113" i="1"/>
  <c r="K114" i="1"/>
  <c r="L114" i="1"/>
  <c r="M114" i="1"/>
  <c r="N114" i="1" s="1"/>
  <c r="T114" i="1"/>
  <c r="V114" i="1"/>
  <c r="W114" i="1"/>
  <c r="X114" i="1"/>
  <c r="Z114" i="1"/>
  <c r="AA114" i="1"/>
  <c r="K115" i="1"/>
  <c r="L115" i="1"/>
  <c r="M115" i="1"/>
  <c r="P115" i="1" s="1"/>
  <c r="T115" i="1"/>
  <c r="V115" i="1"/>
  <c r="W115" i="1"/>
  <c r="X115" i="1"/>
  <c r="Z115" i="1"/>
  <c r="AA115" i="1"/>
  <c r="K116" i="1"/>
  <c r="L116" i="1"/>
  <c r="M116" i="1"/>
  <c r="N116" i="1" s="1"/>
  <c r="T116" i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P120" i="1" s="1"/>
  <c r="T120" i="1"/>
  <c r="V120" i="1"/>
  <c r="W120" i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 s="1"/>
  <c r="T124" i="1"/>
  <c r="V124" i="1"/>
  <c r="W124" i="1"/>
  <c r="X124" i="1"/>
  <c r="Z124" i="1"/>
  <c r="AA124" i="1"/>
  <c r="K125" i="1"/>
  <c r="L125" i="1"/>
  <c r="M125" i="1"/>
  <c r="N125" i="1" s="1"/>
  <c r="T125" i="1"/>
  <c r="V125" i="1"/>
  <c r="W125" i="1"/>
  <c r="X125" i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N132" i="1" s="1"/>
  <c r="T132" i="1"/>
  <c r="V132" i="1"/>
  <c r="W132" i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K135" i="1"/>
  <c r="L135" i="1"/>
  <c r="M135" i="1"/>
  <c r="N135" i="1" s="1"/>
  <c r="T135" i="1"/>
  <c r="V135" i="1"/>
  <c r="W135" i="1"/>
  <c r="X135" i="1"/>
  <c r="Z135" i="1"/>
  <c r="AA135" i="1"/>
  <c r="K136" i="1"/>
  <c r="L136" i="1"/>
  <c r="M136" i="1"/>
  <c r="N136" i="1" s="1"/>
  <c r="T136" i="1"/>
  <c r="V136" i="1"/>
  <c r="W136" i="1"/>
  <c r="X136" i="1"/>
  <c r="Z136" i="1"/>
  <c r="AA136" i="1"/>
  <c r="K137" i="1"/>
  <c r="L137" i="1"/>
  <c r="M137" i="1"/>
  <c r="N137" i="1" s="1"/>
  <c r="T137" i="1"/>
  <c r="V137" i="1"/>
  <c r="W137" i="1"/>
  <c r="X137" i="1"/>
  <c r="Z137" i="1"/>
  <c r="AA137" i="1"/>
  <c r="K138" i="1"/>
  <c r="L138" i="1"/>
  <c r="M138" i="1"/>
  <c r="N138" i="1" s="1"/>
  <c r="T138" i="1"/>
  <c r="V138" i="1"/>
  <c r="W138" i="1"/>
  <c r="X138" i="1"/>
  <c r="Z138" i="1"/>
  <c r="AA138" i="1"/>
  <c r="K139" i="1"/>
  <c r="L139" i="1"/>
  <c r="M139" i="1"/>
  <c r="N139" i="1" s="1"/>
  <c r="T139" i="1"/>
  <c r="V139" i="1"/>
  <c r="W139" i="1"/>
  <c r="X139" i="1"/>
  <c r="Z139" i="1"/>
  <c r="AA139" i="1"/>
  <c r="K140" i="1"/>
  <c r="L140" i="1"/>
  <c r="M140" i="1"/>
  <c r="N140" i="1" s="1"/>
  <c r="T140" i="1"/>
  <c r="V140" i="1"/>
  <c r="W140" i="1"/>
  <c r="X140" i="1"/>
  <c r="Z140" i="1"/>
  <c r="AA140" i="1"/>
  <c r="K141" i="1"/>
  <c r="L141" i="1"/>
  <c r="M141" i="1"/>
  <c r="N141" i="1" s="1"/>
  <c r="T141" i="1"/>
  <c r="V141" i="1"/>
  <c r="W141" i="1"/>
  <c r="X141" i="1"/>
  <c r="Z141" i="1"/>
  <c r="AA141" i="1"/>
  <c r="K142" i="1"/>
  <c r="L142" i="1"/>
  <c r="M142" i="1"/>
  <c r="N142" i="1" s="1"/>
  <c r="T142" i="1"/>
  <c r="V142" i="1"/>
  <c r="W142" i="1"/>
  <c r="X142" i="1"/>
  <c r="Z142" i="1"/>
  <c r="AA142" i="1"/>
  <c r="K3" i="1"/>
  <c r="K4" i="1"/>
  <c r="L3" i="1"/>
  <c r="M3" i="1"/>
  <c r="N3" i="1" s="1"/>
  <c r="L4" i="1"/>
  <c r="M4" i="1"/>
  <c r="N4" i="1" s="1"/>
  <c r="P16" i="3"/>
  <c r="Y41" i="1" l="1"/>
  <c r="U41" i="1" s="1"/>
  <c r="Y24" i="1"/>
  <c r="U24" i="1" s="1"/>
  <c r="Y118" i="1"/>
  <c r="U118" i="1" s="1"/>
  <c r="Y106" i="1"/>
  <c r="U106" i="1" s="1"/>
  <c r="Y34" i="1"/>
  <c r="U34" i="1" s="1"/>
  <c r="Y7" i="1"/>
  <c r="U7" i="1" s="1"/>
  <c r="Y134" i="1"/>
  <c r="U134" i="1" s="1"/>
  <c r="Y82" i="1"/>
  <c r="U82" i="1" s="1"/>
  <c r="Y78" i="1"/>
  <c r="U78" i="1" s="1"/>
  <c r="Y71" i="1"/>
  <c r="U71" i="1" s="1"/>
  <c r="Y70" i="1"/>
  <c r="U70" i="1" s="1"/>
  <c r="Y63" i="1"/>
  <c r="U63" i="1" s="1"/>
  <c r="Y60" i="1"/>
  <c r="U60" i="1" s="1"/>
  <c r="Y51" i="1"/>
  <c r="U51" i="1" s="1"/>
  <c r="Y40" i="1"/>
  <c r="U40" i="1" s="1"/>
  <c r="Y33" i="1"/>
  <c r="U33" i="1" s="1"/>
  <c r="Y54" i="1"/>
  <c r="U54" i="1" s="1"/>
  <c r="Y103" i="1"/>
  <c r="U103" i="1" s="1"/>
  <c r="Y125" i="1"/>
  <c r="U125" i="1" s="1"/>
  <c r="Y21" i="1"/>
  <c r="U21" i="1" s="1"/>
  <c r="Y14" i="1"/>
  <c r="U14" i="1" s="1"/>
  <c r="Y113" i="1"/>
  <c r="U113" i="1" s="1"/>
  <c r="Y72" i="1"/>
  <c r="U72" i="1" s="1"/>
  <c r="Y69" i="1"/>
  <c r="U69" i="1" s="1"/>
  <c r="Y50" i="1"/>
  <c r="U50" i="1" s="1"/>
  <c r="Y39" i="1"/>
  <c r="U39" i="1" s="1"/>
  <c r="Y32" i="1"/>
  <c r="U32" i="1" s="1"/>
  <c r="Y28" i="1"/>
  <c r="U28" i="1" s="1"/>
  <c r="Y137" i="1"/>
  <c r="U137" i="1" s="1"/>
  <c r="Y90" i="1"/>
  <c r="U90" i="1" s="1"/>
  <c r="Y20" i="1"/>
  <c r="U20" i="1" s="1"/>
  <c r="Y99" i="1"/>
  <c r="U99" i="1" s="1"/>
  <c r="Y130" i="1"/>
  <c r="U130" i="1" s="1"/>
  <c r="Y109" i="1"/>
  <c r="U109" i="1" s="1"/>
  <c r="P102" i="1"/>
  <c r="Y95" i="1"/>
  <c r="U95" i="1" s="1"/>
  <c r="Y74" i="1"/>
  <c r="U74" i="1" s="1"/>
  <c r="Y73" i="1"/>
  <c r="U73" i="1" s="1"/>
  <c r="Y67" i="1"/>
  <c r="U67" i="1" s="1"/>
  <c r="Y66" i="1"/>
  <c r="U66" i="1" s="1"/>
  <c r="P66" i="1"/>
  <c r="Y58" i="1"/>
  <c r="U58" i="1" s="1"/>
  <c r="Y48" i="1"/>
  <c r="U48" i="1" s="1"/>
  <c r="Y47" i="1"/>
  <c r="U47" i="1" s="1"/>
  <c r="Y44" i="1"/>
  <c r="U44" i="1" s="1"/>
  <c r="Y18" i="1"/>
  <c r="U18" i="1" s="1"/>
  <c r="Y17" i="1"/>
  <c r="U17" i="1" s="1"/>
  <c r="Y10" i="1"/>
  <c r="U10" i="1" s="1"/>
  <c r="Y141" i="1"/>
  <c r="U141" i="1" s="1"/>
  <c r="Y121" i="1"/>
  <c r="U121" i="1" s="1"/>
  <c r="Y86" i="1"/>
  <c r="U86" i="1" s="1"/>
  <c r="Y75" i="1"/>
  <c r="U75" i="1" s="1"/>
  <c r="Y46" i="1"/>
  <c r="U46" i="1" s="1"/>
  <c r="Y43" i="1"/>
  <c r="U43" i="1" s="1"/>
  <c r="Y37" i="1"/>
  <c r="U37" i="1" s="1"/>
  <c r="Y36" i="1"/>
  <c r="U36" i="1" s="1"/>
  <c r="Y30" i="1"/>
  <c r="U30" i="1" s="1"/>
  <c r="Y100" i="1"/>
  <c r="U100" i="1" s="1"/>
  <c r="Y142" i="1"/>
  <c r="U142" i="1" s="1"/>
  <c r="Y140" i="1"/>
  <c r="U140" i="1" s="1"/>
  <c r="Y139" i="1"/>
  <c r="U139" i="1" s="1"/>
  <c r="Y127" i="1"/>
  <c r="U127" i="1" s="1"/>
  <c r="Y122" i="1"/>
  <c r="U122" i="1" s="1"/>
  <c r="Y120" i="1"/>
  <c r="U120" i="1" s="1"/>
  <c r="Y110" i="1"/>
  <c r="U110" i="1" s="1"/>
  <c r="Y108" i="1"/>
  <c r="U108" i="1" s="1"/>
  <c r="Y91" i="1"/>
  <c r="U91" i="1" s="1"/>
  <c r="Y89" i="1"/>
  <c r="U89" i="1" s="1"/>
  <c r="Y88" i="1"/>
  <c r="U88" i="1" s="1"/>
  <c r="Y85" i="1"/>
  <c r="U85" i="1" s="1"/>
  <c r="Y61" i="1"/>
  <c r="U61" i="1" s="1"/>
  <c r="Y49" i="1"/>
  <c r="U49" i="1" s="1"/>
  <c r="Y38" i="1"/>
  <c r="U38" i="1" s="1"/>
  <c r="Y35" i="1"/>
  <c r="U35" i="1" s="1"/>
  <c r="Y15" i="1"/>
  <c r="U15" i="1" s="1"/>
  <c r="Y13" i="1"/>
  <c r="U13" i="1" s="1"/>
  <c r="Y12" i="1"/>
  <c r="U12" i="1" s="1"/>
  <c r="Y102" i="1"/>
  <c r="U102" i="1" s="1"/>
  <c r="Y138" i="1"/>
  <c r="U138" i="1" s="1"/>
  <c r="Y136" i="1"/>
  <c r="U136" i="1" s="1"/>
  <c r="Y126" i="1"/>
  <c r="U126" i="1" s="1"/>
  <c r="Y124" i="1"/>
  <c r="U124" i="1" s="1"/>
  <c r="Y123" i="1"/>
  <c r="U123" i="1" s="1"/>
  <c r="Y114" i="1"/>
  <c r="U114" i="1" s="1"/>
  <c r="Y112" i="1"/>
  <c r="U112" i="1" s="1"/>
  <c r="Y111" i="1"/>
  <c r="U111" i="1" s="1"/>
  <c r="Y92" i="1"/>
  <c r="U92" i="1" s="1"/>
  <c r="Y87" i="1"/>
  <c r="U87" i="1" s="1"/>
  <c r="Y68" i="1"/>
  <c r="U68" i="1" s="1"/>
  <c r="Y42" i="1"/>
  <c r="U42" i="1" s="1"/>
  <c r="Y31" i="1"/>
  <c r="U31" i="1" s="1"/>
  <c r="Y19" i="1"/>
  <c r="U19" i="1" s="1"/>
  <c r="Y16" i="1"/>
  <c r="U16" i="1" s="1"/>
  <c r="Y11" i="1"/>
  <c r="U11" i="1" s="1"/>
  <c r="Y9" i="1"/>
  <c r="U9" i="1" s="1"/>
  <c r="Y101" i="1"/>
  <c r="U101" i="1" s="1"/>
  <c r="Y98" i="1"/>
  <c r="U98" i="1" s="1"/>
  <c r="Y128" i="1"/>
  <c r="U128" i="1" s="1"/>
  <c r="Y104" i="1"/>
  <c r="U104" i="1" s="1"/>
  <c r="Y93" i="1"/>
  <c r="U93" i="1" s="1"/>
  <c r="P85" i="1"/>
  <c r="Y76" i="1"/>
  <c r="U76" i="1" s="1"/>
  <c r="Y52" i="1"/>
  <c r="U52" i="1" s="1"/>
  <c r="Y45" i="1"/>
  <c r="U45" i="1" s="1"/>
  <c r="Y22" i="1"/>
  <c r="U22" i="1" s="1"/>
  <c r="Y132" i="1"/>
  <c r="U132" i="1" s="1"/>
  <c r="Y131" i="1"/>
  <c r="U131" i="1" s="1"/>
  <c r="Y129" i="1"/>
  <c r="U129" i="1" s="1"/>
  <c r="Y116" i="1"/>
  <c r="U116" i="1" s="1"/>
  <c r="Y115" i="1"/>
  <c r="U115" i="1" s="1"/>
  <c r="Y97" i="1"/>
  <c r="U97" i="1" s="1"/>
  <c r="Y96" i="1"/>
  <c r="U96" i="1" s="1"/>
  <c r="Y94" i="1"/>
  <c r="U94" i="1" s="1"/>
  <c r="Y84" i="1"/>
  <c r="U84" i="1" s="1"/>
  <c r="Y80" i="1"/>
  <c r="U80" i="1" s="1"/>
  <c r="Y79" i="1"/>
  <c r="U79" i="1" s="1"/>
  <c r="Y77" i="1"/>
  <c r="U77" i="1" s="1"/>
  <c r="P72" i="1"/>
  <c r="Y65" i="1"/>
  <c r="U65" i="1" s="1"/>
  <c r="Y64" i="1"/>
  <c r="U64" i="1" s="1"/>
  <c r="Y56" i="1"/>
  <c r="U56" i="1" s="1"/>
  <c r="Y55" i="1"/>
  <c r="U55" i="1" s="1"/>
  <c r="Y53" i="1"/>
  <c r="U53" i="1" s="1"/>
  <c r="Y26" i="1"/>
  <c r="U26" i="1" s="1"/>
  <c r="Y25" i="1"/>
  <c r="U25" i="1" s="1"/>
  <c r="Y23" i="1"/>
  <c r="U23" i="1" s="1"/>
  <c r="Y5" i="1"/>
  <c r="U5" i="1" s="1"/>
  <c r="Y135" i="1"/>
  <c r="U135" i="1" s="1"/>
  <c r="Y133" i="1"/>
  <c r="U133" i="1" s="1"/>
  <c r="Y119" i="1"/>
  <c r="U119" i="1" s="1"/>
  <c r="Y117" i="1"/>
  <c r="U117" i="1" s="1"/>
  <c r="Y107" i="1"/>
  <c r="U107" i="1" s="1"/>
  <c r="Y105" i="1"/>
  <c r="U105" i="1" s="1"/>
  <c r="Y83" i="1"/>
  <c r="U83" i="1" s="1"/>
  <c r="Y81" i="1"/>
  <c r="U81" i="1" s="1"/>
  <c r="Y62" i="1"/>
  <c r="U62" i="1" s="1"/>
  <c r="Y59" i="1"/>
  <c r="U59" i="1" s="1"/>
  <c r="Y57" i="1"/>
  <c r="U57" i="1" s="1"/>
  <c r="Y29" i="1"/>
  <c r="U29" i="1" s="1"/>
  <c r="Y27" i="1"/>
  <c r="U27" i="1" s="1"/>
  <c r="Y8" i="1"/>
  <c r="U8" i="1" s="1"/>
  <c r="Y6" i="1"/>
  <c r="U6" i="1" s="1"/>
  <c r="P27" i="3"/>
  <c r="P30" i="3"/>
  <c r="P13" i="3"/>
  <c r="P33" i="3"/>
  <c r="P32" i="3"/>
  <c r="P10" i="3"/>
  <c r="P17" i="3"/>
  <c r="P22" i="3"/>
  <c r="P42" i="3"/>
  <c r="P40" i="3"/>
  <c r="P23" i="3"/>
  <c r="P7" i="3"/>
  <c r="P43" i="3"/>
  <c r="P4" i="3"/>
  <c r="P44" i="3"/>
  <c r="P45" i="3"/>
  <c r="P47" i="3"/>
  <c r="P46" i="3"/>
  <c r="P24" i="3"/>
  <c r="P48" i="3"/>
  <c r="P49" i="3"/>
  <c r="P5" i="3"/>
  <c r="P50" i="3"/>
  <c r="P51" i="3"/>
  <c r="P52" i="3"/>
  <c r="P53" i="3"/>
  <c r="P55" i="3"/>
  <c r="P26" i="3"/>
  <c r="P54" i="3"/>
  <c r="P56" i="3"/>
  <c r="P57" i="3"/>
  <c r="P58" i="3"/>
  <c r="P60" i="3"/>
  <c r="P59" i="3"/>
  <c r="P12" i="3" l="1"/>
  <c r="P14" i="3"/>
  <c r="P21" i="3"/>
  <c r="P41" i="3"/>
  <c r="P25" i="3"/>
  <c r="P18" i="3"/>
  <c r="P19" i="3"/>
  <c r="P20" i="3"/>
  <c r="P15" i="3"/>
  <c r="P37" i="3"/>
  <c r="P3" i="3"/>
  <c r="P35" i="3"/>
  <c r="P34" i="3"/>
  <c r="P11" i="3"/>
  <c r="P31" i="3"/>
  <c r="P8" i="3"/>
  <c r="P28" i="3"/>
  <c r="P9" i="3"/>
  <c r="P29" i="3"/>
  <c r="L3" i="3"/>
  <c r="L59" i="3"/>
  <c r="L60" i="3"/>
  <c r="I144" i="1"/>
  <c r="J148" i="1"/>
  <c r="J149" i="1" l="1"/>
  <c r="W4" i="1" l="1"/>
  <c r="X4" i="1"/>
  <c r="V3" i="1"/>
  <c r="Y4" i="1" l="1"/>
  <c r="V4" i="1" l="1"/>
  <c r="T4" i="1"/>
  <c r="Z4" i="1"/>
  <c r="AA4" i="1"/>
  <c r="T3" i="1"/>
  <c r="W3" i="1"/>
  <c r="X3" i="1"/>
  <c r="Z3" i="1"/>
  <c r="AA3" i="1"/>
  <c r="U4" i="1" l="1"/>
  <c r="Y3" i="1"/>
  <c r="U3" i="1" s="1"/>
  <c r="M62" i="3" l="1"/>
  <c r="M63" i="3" s="1"/>
  <c r="M148" i="1"/>
  <c r="J146" i="1" l="1"/>
  <c r="J150" i="1"/>
  <c r="J147" i="1"/>
  <c r="N147" i="1"/>
  <c r="A1" i="6"/>
  <c r="J151" i="1" l="1"/>
  <c r="N150" i="1"/>
  <c r="O150" i="1"/>
  <c r="O147" i="1"/>
  <c r="M150" i="1"/>
  <c r="A1" i="3" l="1"/>
  <c r="A1" i="1" l="1"/>
  <c r="O148" i="1" l="1"/>
  <c r="N148" i="1"/>
  <c r="M147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<sst xmlns="http://schemas.openxmlformats.org/spreadsheetml/2006/main" count="1889" uniqueCount="559">
  <si>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</si>
  <si>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</si>
  <si>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</si>
  <si>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</si>
  <si>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</si>
  <si>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</si>
  <si>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</si>
  <si>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</si>
  <si>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</si>
  <si>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</si>
  <si>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</si>
  <si>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</si>
  <si>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</si>
  <si>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</si>
  <si>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</si>
  <si>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</si>
  <si>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</si>
  <si>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</si>
  <si>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</si>
  <si>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</si>
  <si>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</si>
  <si>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</si>
  <si>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</si>
  <si>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</si>
  <si>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</si>
  <si>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</si>
  <si>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</si>
  <si>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</si>
  <si>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</si>
  <si>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</si>
  <si>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</si>
  <si>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</si>
  <si>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</si>
  <si>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</si>
  <si>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</si>
  <si>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</si>
  <si>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</si>
  <si>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</si>
  <si>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</si>
  <si>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</si>
  <si>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</si>
  <si>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</si>
  <si>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</si>
  <si>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</si>
  <si>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</si>
  <si>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</si>
  <si>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</si>
  <si>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</si>
  <si>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</si>
  <si>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</si>
  <si>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</si>
  <si>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</si>
  <si>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</si>
  <si>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</si>
  <si>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</si>
  <si>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</si>
  <si>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</si>
  <si>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</si>
  <si>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</si>
  <si>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</si>
  <si>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</si>
  <si>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</si>
  <si>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</si>
  <si>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</si>
  <si>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</si>
  <si>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</si>
  <si>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</si>
  <si>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</si>
  <si>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</si>
  <si>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</si>
  <si>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</si>
  <si>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204:149</t>
  </si>
  <si>
    <t>204:233303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</si>
  <si>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</si>
  <si>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</si>
  <si>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</si>
  <si>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</si>
  <si>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</si>
  <si>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</si>
  <si>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</si>
  <si>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</si>
  <si>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204:453</t>
  </si>
  <si>
    <t>204:233299</t>
  </si>
  <si>
    <t>204:152</t>
  </si>
  <si>
    <t>204:446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</si>
  <si>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</si>
  <si>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</si>
  <si>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</si>
  <si>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</si>
  <si>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</si>
  <si>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</si>
  <si>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</si>
  <si>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</si>
  <si>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</si>
  <si>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</si>
  <si>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</si>
  <si>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</si>
  <si>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</si>
  <si>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204:232990</t>
  </si>
  <si>
    <t>Married Pair</t>
  </si>
  <si>
    <t>204:233315</t>
  </si>
  <si>
    <t>204:147</t>
  </si>
  <si>
    <t>204:232986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</si>
  <si>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</si>
  <si>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</si>
  <si>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</si>
  <si>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</si>
  <si>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</si>
  <si>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</si>
  <si>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</si>
  <si>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</si>
  <si>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</si>
  <si>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</si>
  <si>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</si>
  <si>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</si>
  <si>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</si>
  <si>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</si>
  <si>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</si>
  <si>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</si>
  <si>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</si>
  <si>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204:444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</si>
  <si>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</si>
  <si>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</si>
  <si>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</si>
  <si>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</si>
  <si>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</si>
  <si>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</si>
  <si>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</si>
  <si>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</si>
  <si>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204:449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</si>
  <si>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</si>
  <si>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</si>
  <si>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</si>
  <si>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</si>
  <si>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</si>
  <si>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</si>
  <si>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</si>
  <si>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</si>
  <si>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</si>
  <si>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</si>
  <si>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</si>
  <si>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</si>
  <si>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</si>
  <si>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</si>
  <si>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</si>
  <si>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</si>
  <si>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</si>
  <si>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</si>
  <si>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</si>
  <si>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</si>
  <si>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</si>
  <si>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204:163</t>
  </si>
  <si>
    <t>204:233314</t>
  </si>
  <si>
    <t>204:232979</t>
  </si>
  <si>
    <t>204:232993</t>
  </si>
  <si>
    <t>204:478</t>
  </si>
  <si>
    <t>204:233278</t>
  </si>
  <si>
    <t>204:233274</t>
  </si>
  <si>
    <t>204:232963</t>
  </si>
  <si>
    <t>204:473</t>
  </si>
  <si>
    <t>204:477</t>
  </si>
  <si>
    <t>204:233002</t>
  </si>
  <si>
    <t>204:232977</t>
  </si>
  <si>
    <t>204:233304</t>
  </si>
  <si>
    <t>204:233327</t>
  </si>
  <si>
    <t>204:466</t>
  </si>
  <si>
    <t>204:172</t>
  </si>
  <si>
    <t>204:233284</t>
  </si>
  <si>
    <t>204:143</t>
  </si>
  <si>
    <t>204:232970</t>
  </si>
  <si>
    <t>NEWELL</t>
  </si>
  <si>
    <t>GOLIGHTLY</t>
  </si>
  <si>
    <t>COOLAHAN</t>
  </si>
  <si>
    <t>rtdc.l.rtdc.4038:itc</t>
  </si>
  <si>
    <t>rtdc.l.rtdc.4037:itc</t>
  </si>
  <si>
    <t>Closed</t>
  </si>
  <si>
    <t>204:233291</t>
  </si>
  <si>
    <t>204:232981</t>
  </si>
  <si>
    <t>204:233015</t>
  </si>
  <si>
    <t>204:233320</t>
  </si>
  <si>
    <t>204:484</t>
  </si>
  <si>
    <t>204:233282</t>
  </si>
  <si>
    <t>204:233055</t>
  </si>
  <si>
    <t>204:232969</t>
  </si>
  <si>
    <t>204:440</t>
  </si>
  <si>
    <t>204:232971</t>
  </si>
  <si>
    <t>204:462</t>
  </si>
  <si>
    <t>204:233309</t>
  </si>
  <si>
    <t>204:233323</t>
  </si>
  <si>
    <t>204:233317</t>
  </si>
  <si>
    <t>216-18</t>
  </si>
  <si>
    <t>204:233006</t>
  </si>
  <si>
    <t>204:185</t>
  </si>
  <si>
    <t>218-18</t>
  </si>
  <si>
    <t>219-18</t>
  </si>
  <si>
    <t>220-18</t>
  </si>
  <si>
    <t>221-18</t>
  </si>
  <si>
    <t>222-18</t>
  </si>
  <si>
    <t>223-18</t>
  </si>
  <si>
    <t>204:233287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</si>
  <si>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</si>
  <si>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</si>
  <si>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</si>
  <si>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</si>
  <si>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</si>
  <si>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</si>
  <si>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</si>
  <si>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</si>
  <si>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</si>
  <si>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</si>
  <si>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</si>
  <si>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</si>
  <si>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</si>
  <si>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</si>
  <si>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</si>
  <si>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</si>
  <si>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</si>
  <si>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</si>
  <si>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</si>
  <si>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</si>
  <si>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</si>
  <si>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305-18</t>
  </si>
  <si>
    <t>SPECTOR</t>
  </si>
  <si>
    <t>106-19</t>
  </si>
  <si>
    <t>121-19</t>
  </si>
  <si>
    <t>JACKSON</t>
  </si>
  <si>
    <t>117-19</t>
  </si>
  <si>
    <t>125-19</t>
  </si>
  <si>
    <t>110-19</t>
  </si>
  <si>
    <t>214-18</t>
  </si>
  <si>
    <t>116-19</t>
  </si>
  <si>
    <t>CUSHING</t>
  </si>
  <si>
    <t>105-19</t>
  </si>
  <si>
    <t>103-19</t>
  </si>
  <si>
    <t>119-19</t>
  </si>
  <si>
    <t>112-19</t>
  </si>
  <si>
    <t>114-19</t>
  </si>
  <si>
    <t>123-19</t>
  </si>
  <si>
    <t>102-19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</si>
  <si>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</si>
  <si>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</si>
  <si>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</si>
  <si>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</si>
  <si>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</si>
  <si>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</si>
  <si>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</si>
  <si>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</si>
  <si>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</si>
  <si>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</si>
  <si>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</si>
  <si>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</si>
  <si>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Offered, not chosen</t>
  </si>
  <si>
    <t>Kibana URL</t>
  </si>
  <si>
    <t>Comparator Issue</t>
  </si>
  <si>
    <t>Discover</t>
  </si>
  <si>
    <t>Visualize</t>
  </si>
  <si>
    <t>Dashboard</t>
  </si>
  <si>
    <t>Settings</t>
  </si>
  <si>
    <t xml:space="preserve">Last 36h </t>
  </si>
  <si>
    <t>Time Filter</t>
  </si>
  <si>
    <t>Refresh Interval</t>
  </si>
  <si>
    <t>Quick</t>
  </si>
  <si>
    <t>Relative</t>
  </si>
  <si>
    <t>Absolute</t>
  </si>
  <si>
    <t xml:space="preserve">From: May 18th 2016, 18:28:35.883  </t>
  </si>
  <si>
    <t xml:space="preserve">   </t>
  </si>
  <si>
    <t xml:space="preserve"> round to the hour</t>
  </si>
  <si>
    <t xml:space="preserve">To: Now  </t>
  </si>
  <si>
    <t>Now</t>
  </si>
  <si>
    <t xml:space="preserve">  </t>
  </si>
  <si>
    <t>Go</t>
  </si>
  <si>
    <t xml:space="preserve"> </t>
  </si>
  <si>
    <t>Message\ ID:2003</t>
  </si>
  <si>
    <t>emp_*</t>
  </si>
  <si>
    <t>Selected Fields</t>
  </si>
  <si>
    <t>tData.Employee Identifier</t>
  </si>
  <si>
    <t>tData.Employee Last Name</t>
  </si>
  <si>
    <t>tData.Train ID</t>
  </si>
  <si>
    <t>tSource</t>
  </si>
  <si>
    <t xml:space="preserve">Fields </t>
  </si>
  <si>
    <t>Popular fields</t>
  </si>
  <si>
    <t>tData.Reason for Sending</t>
  </si>
  <si>
    <t>tDestination</t>
  </si>
  <si>
    <t>tMessage ID</t>
  </si>
  <si>
    <t>t_id</t>
  </si>
  <si>
    <t>tData Integrity</t>
  </si>
  <si>
    <t>tData Size</t>
  </si>
  <si>
    <t>tData.Clearance Number</t>
  </si>
  <si>
    <t>tData.Clearance Number Length</t>
  </si>
  <si>
    <t>tData.Common Configuration Fileset Version</t>
  </si>
  <si>
    <t>tData.Common Configuration Fileset Version Length</t>
  </si>
  <si>
    <t>tData.Employee First Name</t>
  </si>
  <si>
    <t>tData.Employee First Name Size</t>
  </si>
  <si>
    <t>tData.Employee Identifier Length</t>
  </si>
  <si>
    <t>tData.Employee Last Name Size</t>
  </si>
  <si>
    <t>tData.Employee Middle Initial</t>
  </si>
  <si>
    <t>tData.Employee Middle Initial Size</t>
  </si>
  <si>
    <t>tData.Onboard Software Version</t>
  </si>
  <si>
    <t>tData.Onboard Software Version Length</t>
  </si>
  <si>
    <t>tData.Railroad SCAC</t>
  </si>
  <si>
    <t>tData.Railroad Specific Configuration Fileset Version</t>
  </si>
  <si>
    <t>tData.Railroad Specific Configuration Fileset Version Length</t>
  </si>
  <si>
    <t>tData.Train ID Length</t>
  </si>
  <si>
    <t>tFlags</t>
  </si>
  <si>
    <t>tMessage Number</t>
  </si>
  <si>
    <t>tProtocol Version</t>
  </si>
  <si>
    <t>tRouting QoS</t>
  </si>
  <si>
    <t>Time</t>
  </si>
  <si>
    <t>tTime to Live</t>
  </si>
  <si>
    <t>tVariable Header Size</t>
  </si>
  <si>
    <t>tVersion</t>
  </si>
  <si>
    <t>t_index</t>
  </si>
  <si>
    <t>t_source</t>
  </si>
  <si>
    <t>t_type</t>
  </si>
  <si>
    <t>Trip IDs  246 hits</t>
  </si>
  <si>
    <t>2016-05-18 18:28:36.618 - 2016-05-20 06:28:36.619</t>
  </si>
  <si>
    <t>Count</t>
  </si>
  <si>
    <t>Time per 30 minutes</t>
  </si>
  <si>
    <t xml:space="preserve">Source  </t>
  </si>
  <si>
    <t xml:space="preserve">Data.Train ID  </t>
  </si>
  <si>
    <t xml:space="preserve">Data.Employee Identifier  </t>
  </si>
  <si>
    <t xml:space="preserve">Data.Employee Last Name  </t>
  </si>
  <si>
    <t>124-19</t>
  </si>
  <si>
    <t>130-19</t>
  </si>
  <si>
    <t>104-20</t>
  </si>
  <si>
    <t>148-19</t>
  </si>
  <si>
    <t>165-19</t>
  </si>
  <si>
    <t>177-19</t>
  </si>
  <si>
    <t>189-19</t>
  </si>
  <si>
    <t>186-19</t>
  </si>
  <si>
    <t>228-19</t>
  </si>
  <si>
    <t>205-19</t>
  </si>
  <si>
    <t>226-19</t>
  </si>
  <si>
    <t>CANFIELD</t>
  </si>
  <si>
    <t>212-19</t>
  </si>
  <si>
    <t>214-19</t>
  </si>
  <si>
    <t>224-19</t>
  </si>
  <si>
    <t>204-19</t>
  </si>
  <si>
    <t>237-19</t>
  </si>
  <si>
    <t>197-19</t>
  </si>
  <si>
    <t>101-20</t>
  </si>
  <si>
    <t>191-19</t>
  </si>
  <si>
    <t>122-19</t>
  </si>
  <si>
    <t>185-19</t>
  </si>
  <si>
    <t>136-19</t>
  </si>
  <si>
    <t>180-19</t>
  </si>
  <si>
    <t>164-19</t>
  </si>
  <si>
    <t>174-19</t>
  </si>
  <si>
    <t>199-19</t>
  </si>
  <si>
    <t>175-19</t>
  </si>
  <si>
    <t>198-19</t>
  </si>
  <si>
    <t>217-19</t>
  </si>
  <si>
    <t>230-19</t>
  </si>
  <si>
    <t>109-20</t>
  </si>
  <si>
    <t>121-20</t>
  </si>
  <si>
    <t>123-20</t>
  </si>
  <si>
    <t>113-20</t>
  </si>
  <si>
    <t>115-20</t>
  </si>
  <si>
    <t>SANTIZO</t>
  </si>
  <si>
    <t>rtdc.l.rtdc.4010:itc</t>
  </si>
  <si>
    <t>106-20</t>
  </si>
  <si>
    <t>103-20</t>
  </si>
  <si>
    <t>244-19</t>
  </si>
  <si>
    <t>239-19</t>
  </si>
  <si>
    <t>135-19</t>
  </si>
  <si>
    <t>119-20</t>
  </si>
  <si>
    <t>112-20</t>
  </si>
  <si>
    <t>102-20</t>
  </si>
  <si>
    <t>137-19</t>
  </si>
  <si>
    <t>242-19</t>
  </si>
  <si>
    <t>155-19</t>
  </si>
  <si>
    <t>193-19</t>
  </si>
  <si>
    <t>159-19</t>
  </si>
  <si>
    <t>182-19</t>
  </si>
  <si>
    <t>156-19</t>
  </si>
  <si>
    <t>178-19</t>
  </si>
  <si>
    <t>170-19</t>
  </si>
  <si>
    <t>179-19</t>
  </si>
  <si>
    <t>183-19</t>
  </si>
  <si>
    <t>REBOLETTI-19</t>
  </si>
  <si>
    <t>173-19</t>
  </si>
  <si>
    <t>192-19</t>
  </si>
  <si>
    <t>162-19</t>
  </si>
  <si>
    <t>216-19</t>
  </si>
  <si>
    <t>203-19</t>
  </si>
  <si>
    <t>233-19</t>
  </si>
  <si>
    <t>108-20</t>
  </si>
  <si>
    <t>134-19</t>
  </si>
  <si>
    <t>116-20</t>
  </si>
  <si>
    <t>207-19</t>
  </si>
  <si>
    <t>241-19</t>
  </si>
  <si>
    <t>225-19</t>
  </si>
  <si>
    <t>311-19</t>
  </si>
  <si>
    <t>222-19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</si>
  <si>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</si>
  <si>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</si>
  <si>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</si>
  <si>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</si>
  <si>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</si>
  <si>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</si>
  <si>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</si>
  <si>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</si>
  <si>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</si>
  <si>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</si>
  <si>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</si>
  <si>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</si>
  <si>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</si>
  <si>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</si>
  <si>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</si>
  <si>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</si>
  <si>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</si>
  <si>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</si>
  <si>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</si>
  <si>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</si>
  <si>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</si>
  <si>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</si>
  <si>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</si>
  <si>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</si>
  <si>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</si>
  <si>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</si>
  <si>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</si>
  <si>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</si>
  <si>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</si>
  <si>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</si>
  <si>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</si>
  <si>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</si>
  <si>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</si>
  <si>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</si>
  <si>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</si>
  <si>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</si>
  <si>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</si>
  <si>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</si>
  <si>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</si>
  <si>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</si>
  <si>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</si>
  <si>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</si>
  <si>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</si>
  <si>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</si>
  <si>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</si>
  <si>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</si>
  <si>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</si>
  <si>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</si>
  <si>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</si>
  <si>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</si>
  <si>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</si>
  <si>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</si>
  <si>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</si>
  <si>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</si>
  <si>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</si>
  <si>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</si>
  <si>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</si>
  <si>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</si>
  <si>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</si>
  <si>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</si>
  <si>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</si>
  <si>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</si>
  <si>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</si>
  <si>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</si>
  <si>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</si>
  <si>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</si>
  <si>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</si>
  <si>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204:797</t>
  </si>
  <si>
    <t>204:232672</t>
  </si>
  <si>
    <t>204:752</t>
  </si>
  <si>
    <t>204:233332</t>
  </si>
  <si>
    <t>204:232726</t>
  </si>
  <si>
    <t>204:817</t>
  </si>
  <si>
    <t>204:715</t>
  </si>
  <si>
    <t>204:232664</t>
  </si>
  <si>
    <t>204:1836</t>
  </si>
  <si>
    <t>204:233289</t>
  </si>
  <si>
    <t>204:181</t>
  </si>
  <si>
    <t>204:677</t>
  </si>
  <si>
    <t>204:365</t>
  </si>
  <si>
    <t>204:790</t>
  </si>
  <si>
    <t>204:189</t>
  </si>
  <si>
    <t>204:471</t>
  </si>
  <si>
    <t>204:232894</t>
  </si>
  <si>
    <t>204:385</t>
  </si>
  <si>
    <t>204:1505</t>
  </si>
  <si>
    <t>204:167</t>
  </si>
  <si>
    <t>204:486</t>
  </si>
  <si>
    <t>204:232983</t>
  </si>
  <si>
    <t>204:232955</t>
  </si>
  <si>
    <t>204:493</t>
  </si>
  <si>
    <t>204:233272</t>
  </si>
  <si>
    <t>204:232953</t>
  </si>
  <si>
    <t>204:535</t>
  </si>
  <si>
    <t>204:233383</t>
  </si>
  <si>
    <t>204:233032</t>
  </si>
  <si>
    <t>204:128292</t>
  </si>
  <si>
    <t>204:169</t>
  </si>
  <si>
    <t>204:433</t>
  </si>
  <si>
    <t>204:233330</t>
  </si>
  <si>
    <t>204:86296</t>
  </si>
  <si>
    <t>204:233360</t>
  </si>
  <si>
    <t>204:233051</t>
  </si>
  <si>
    <t>204:952</t>
  </si>
  <si>
    <t>204:233286</t>
  </si>
  <si>
    <t>204:232982</t>
  </si>
  <si>
    <t>204:233337</t>
  </si>
  <si>
    <t>204:427</t>
  </si>
  <si>
    <t>204:232968</t>
  </si>
  <si>
    <t>204:232641</t>
  </si>
  <si>
    <t>204:113799</t>
  </si>
  <si>
    <t>204:86352</t>
  </si>
  <si>
    <t>204:232945</t>
  </si>
  <si>
    <t>204:892</t>
  </si>
  <si>
    <t>204:232626</t>
  </si>
  <si>
    <t>204:116</t>
  </si>
  <si>
    <t>204:127871</t>
  </si>
  <si>
    <t>204:232962</t>
  </si>
  <si>
    <t>204:232967</t>
  </si>
  <si>
    <t>204:165</t>
  </si>
  <si>
    <t>204:442</t>
  </si>
  <si>
    <t>204:233301</t>
  </si>
  <si>
    <t>204:228424</t>
  </si>
  <si>
    <t>204:46764</t>
  </si>
  <si>
    <t>204:64700</t>
  </si>
  <si>
    <t>204:233345</t>
  </si>
  <si>
    <t>204:233324</t>
  </si>
  <si>
    <t>204:375</t>
  </si>
  <si>
    <t>204:457</t>
  </si>
  <si>
    <t>204:233357</t>
  </si>
  <si>
    <t>204:233038</t>
  </si>
  <si>
    <t>204:19129</t>
  </si>
  <si>
    <t>204:1080</t>
  </si>
  <si>
    <t>204:437</t>
  </si>
  <si>
    <t>204:233297</t>
  </si>
  <si>
    <t>204:389</t>
  </si>
  <si>
    <t>204:233329</t>
  </si>
  <si>
    <t>204:216</t>
  </si>
  <si>
    <t>204:18762</t>
  </si>
  <si>
    <t>204:533</t>
  </si>
  <si>
    <t>204:233184</t>
  </si>
  <si>
    <t>204:232888</t>
  </si>
  <si>
    <t>204:734</t>
  </si>
  <si>
    <t>204:482</t>
  </si>
  <si>
    <t>204:233263</t>
  </si>
  <si>
    <t>204:232965</t>
  </si>
  <si>
    <t>204:132</t>
  </si>
  <si>
    <t>Onboard in-route failure</t>
  </si>
  <si>
    <t>Form C at Chambers</t>
  </si>
  <si>
    <t>Routing at 40th (2N not cleared, switch not aligned safely)</t>
  </si>
  <si>
    <t>Routing at 40th (4S not cleared, switch not aligned safely)</t>
  </si>
  <si>
    <t>Routing at Pena (4S not cleared, switch not aligned safely)</t>
  </si>
  <si>
    <t>Routing at DUS (4N not cleared)</t>
  </si>
  <si>
    <t>Wheel tach stuck at zero</t>
  </si>
  <si>
    <t>Form C at Monaco</t>
  </si>
  <si>
    <t>Routing at 40th (Signal 4S not cleared, switch not aligned safely)</t>
  </si>
  <si>
    <t>Routing at Pena (Signal 4S not cleared, switch not aligned safely)</t>
  </si>
  <si>
    <t>158-19</t>
  </si>
  <si>
    <t>169-19</t>
  </si>
  <si>
    <t>171-19</t>
  </si>
  <si>
    <t>172-19</t>
  </si>
  <si>
    <t>176-19</t>
  </si>
  <si>
    <t>190-19</t>
  </si>
  <si>
    <t>220-19</t>
  </si>
  <si>
    <t>Initialized, but did not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</si>
</sst>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K159"/>
  <sheetViews>
    <sheetView showGridLines="0" tabSelected="1" zoomScale="85" zoomScaleNormal="85" workbookViewId="0">
      <selection activeCell="R115" sqref="R115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91" t="str">
        <f>"Eagle P3 System Performance - "&amp;TEXT(Variables!A2,"yyyy-mm-dd")</f>
        <v>Eagle P3 System Performance - 2016-05-19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99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hidden="1" x14ac:dyDescent="0.25">
      <c r="A3" s="61" t="s">
        <v>239</v>
      </c>
      <c r="B3" s="61">
        <v>4024</v>
      </c>
      <c r="C3" s="61" t="s">
        <v>66</v>
      </c>
      <c r="D3" s="61" t="s">
        <v>461</v>
      </c>
      <c r="E3" s="30">
        <v>42509.121979166666</v>
      </c>
      <c r="F3" s="30">
        <v>42509.124363425923</v>
      </c>
      <c r="G3" s="38">
        <v>3</v>
      </c>
      <c r="H3" s="30" t="s">
        <v>188</v>
      </c>
      <c r="I3" s="30">
        <v>42509.161006944443</v>
      </c>
      <c r="J3" s="61">
        <v>0</v>
      </c>
      <c r="K3" s="61" t="str">
        <f t="shared" ref="K3:K4" si="0">IF(ISEVEN(B3),(B3-1)&amp;"/"&amp;B3,B3&amp;"/"&amp;(B3+1))</f>
        <v>4023/4024</v>
      </c>
      <c r="L3" s="61" t="str">
        <f>VLOOKUP(A3,'Trips&amp;Operators'!$C$1:$E$9999,3,FALSE)</f>
        <v>LEVIN</v>
      </c>
      <c r="M3" s="12">
        <f t="shared" ref="M3:M4" si="1">I3-F3</f>
        <v>3.6643518520577345E-2</v>
      </c>
      <c r="N3" s="13">
        <f>24*60*SUM($M3:$M3)</f>
        <v>52.766666669631377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https://search-rtdc-monitor-bjffxe2xuh6vdkpspy63sjmuny.us-east-1.es.amazonaws.com/_plugin/kibana/#/discover/Steve-Slow-Train-Analysis-(2080s-and-2083s)?_g=(refreshInterval:(display:Off,section:0,value:0),time:(from:'2016-05-19 02:54:39-0600',mode:absolute,to:'2016-05-19 03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7.9699999999999993E-2</v>
      </c>
      <c r="X3" s="74">
        <f>RIGHT(H3,LEN(H3)-4)/10000</f>
        <v>23.3323</v>
      </c>
      <c r="Y3" s="74">
        <f>ABS(X3-W3)</f>
        <v>23.252600000000001</v>
      </c>
      <c r="Z3" s="75" t="e">
        <f>VLOOKUP(A3,Enforcements!$C$3:$J$60,8,0)</f>
        <v>#N/A</v>
      </c>
      <c r="AA3" s="75" t="e">
        <f>VLOOKUP(A3,Enforcements!$C$3:$J$60,3,0)</f>
        <v>#N/A</v>
      </c>
    </row>
    <row r="4" spans="1:89" s="2" customFormat="1" hidden="1" x14ac:dyDescent="0.25">
      <c r="A4" s="61" t="s">
        <v>238</v>
      </c>
      <c r="B4" s="61">
        <v>4032</v>
      </c>
      <c r="C4" s="61" t="s">
        <v>66</v>
      </c>
      <c r="D4" s="61" t="s">
        <v>462</v>
      </c>
      <c r="E4" s="30">
        <v>42509.168541666666</v>
      </c>
      <c r="F4" s="30">
        <v>42509.169641203705</v>
      </c>
      <c r="G4" s="38">
        <v>1</v>
      </c>
      <c r="H4" s="30" t="s">
        <v>118</v>
      </c>
      <c r="I4" s="30">
        <v>42509.200162037036</v>
      </c>
      <c r="J4" s="61">
        <v>0</v>
      </c>
      <c r="K4" s="61" t="str">
        <f t="shared" si="0"/>
        <v>4031/4032</v>
      </c>
      <c r="L4" s="61" t="str">
        <f>VLOOKUP(A4,'Trips&amp;Operators'!$C$1:$E$9999,3,FALSE)</f>
        <v>LEVIN</v>
      </c>
      <c r="M4" s="12">
        <f t="shared" si="1"/>
        <v>3.0520833330228925E-2</v>
      </c>
      <c r="N4" s="13">
        <f t="shared" ref="N4:P100" si="5">24*60*SUM($M4:$M4)</f>
        <v>43.949999995529652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https://search-rtdc-monitor-bjffxe2xuh6vdkpspy63sjmuny.us-east-1.es.amazonaws.com/_plugin/kibana/#/discover/Steve-Slow-Train-Analysis-(2080s-and-2083s)?_g=(refreshInterval:(display:Off,section:0,value:0),time:(from:'2016-05-19 04:01:42-0600',mode:absolute,to:'2016-05-19 04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23.267199999999999</v>
      </c>
      <c r="X4" s="74">
        <f t="shared" ref="X4" si="7">RIGHT(H4,LEN(H4)-4)/10000</f>
        <v>1.3899999999999999E-2</v>
      </c>
      <c r="Y4" s="74">
        <f t="shared" ref="Y4" si="8">ABS(X4-W4)</f>
        <v>23.253299999999999</v>
      </c>
      <c r="Z4" s="75" t="e">
        <f>VLOOKUP(A4,Enforcements!$C$3:$J$60,8,0)</f>
        <v>#N/A</v>
      </c>
      <c r="AA4" s="75" t="e">
        <f>VLOOKUP(A4,Enforcements!$C$3:$J$60,3,0)</f>
        <v>#N/A</v>
      </c>
    </row>
    <row r="5" spans="1:89" s="2" customFormat="1" hidden="1" x14ac:dyDescent="0.25">
      <c r="A5" s="61" t="s">
        <v>233</v>
      </c>
      <c r="B5" s="61">
        <v>4042</v>
      </c>
      <c r="C5" s="61" t="s">
        <v>66</v>
      </c>
      <c r="D5" s="61" t="s">
        <v>463</v>
      </c>
      <c r="E5" s="30">
        <v>42509.156423611108</v>
      </c>
      <c r="F5" s="30">
        <v>42509.157210648147</v>
      </c>
      <c r="G5" s="38">
        <v>1</v>
      </c>
      <c r="H5" s="30" t="s">
        <v>464</v>
      </c>
      <c r="I5" s="30">
        <v>42509.181793981479</v>
      </c>
      <c r="J5" s="61">
        <v>0</v>
      </c>
      <c r="K5" s="61" t="str">
        <f t="shared" ref="K5:K67" si="9">IF(ISEVEN(B5),(B5-1)&amp;"/"&amp;B5,B5&amp;"/"&amp;(B5+1))</f>
        <v>4041/4042</v>
      </c>
      <c r="L5" s="61" t="str">
        <f>VLOOKUP(A5,'Trips&amp;Operators'!$C$1:$E$9999,3,FALSE)</f>
        <v>STARKS</v>
      </c>
      <c r="M5" s="12">
        <f t="shared" ref="M5:M67" si="10">I5-F5</f>
        <v>2.4583333331975155E-2</v>
      </c>
      <c r="N5" s="13">
        <f t="shared" si="5"/>
        <v>35.399999998044223</v>
      </c>
      <c r="O5" s="13"/>
      <c r="P5" s="13"/>
      <c r="Q5" s="62"/>
      <c r="R5" s="62"/>
      <c r="T5" s="74" t="str">
        <f t="shared" ref="T5:T67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https://search-rtdc-monitor-bjffxe2xuh6vdkpspy63sjmuny.us-east-1.es.amazonaws.com/_plugin/kibana/#/discover/Steve-Slow-Train-Analysis-(2080s-and-2083s)?_g=(refreshInterval:(display:Off,section:0,value:0),time:(from:'2016-05-19 03:44:15-0600',mode:absolute,to:'2016-05-19 04:22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" s="74" t="str">
        <f t="shared" ref="U5:U67" si="12">IF(Y5&lt;23,"Y","N")</f>
        <v>N</v>
      </c>
      <c r="V5" s="74">
        <f t="shared" ref="V5:V67" si="13">VALUE(LEFT(A5,3))-VALUE(LEFT(A4,3))</f>
        <v>1</v>
      </c>
      <c r="W5" s="74">
        <f t="shared" ref="W5:W67" si="14">RIGHT(D5,LEN(D5)-4)/10000</f>
        <v>7.5200000000000003E-2</v>
      </c>
      <c r="X5" s="74">
        <f t="shared" ref="X5:X67" si="15">RIGHT(H5,LEN(H5)-4)/10000</f>
        <v>23.333200000000001</v>
      </c>
      <c r="Y5" s="74">
        <f t="shared" ref="Y5:Y67" si="16">ABS(X5-W5)</f>
        <v>23.258000000000003</v>
      </c>
      <c r="Z5" s="75" t="e">
        <f>VLOOKUP(A5,Enforcements!$C$3:$J$60,8,0)</f>
        <v>#N/A</v>
      </c>
      <c r="AA5" s="75" t="e">
        <f>VLOOKUP(A5,Enforcements!$C$3:$J$60,3,0)</f>
        <v>#N/A</v>
      </c>
    </row>
    <row r="6" spans="1:89" s="2" customFormat="1" hidden="1" x14ac:dyDescent="0.25">
      <c r="A6" s="61" t="s">
        <v>246</v>
      </c>
      <c r="B6" s="61">
        <v>4030</v>
      </c>
      <c r="C6" s="61" t="s">
        <v>66</v>
      </c>
      <c r="D6" s="61" t="s">
        <v>465</v>
      </c>
      <c r="E6" s="30">
        <v>42509.193842592591</v>
      </c>
      <c r="F6" s="30">
        <v>42509.194768518515</v>
      </c>
      <c r="G6" s="38">
        <v>1</v>
      </c>
      <c r="H6" s="30" t="s">
        <v>466</v>
      </c>
      <c r="I6" s="30">
        <v>42509.222650462965</v>
      </c>
      <c r="J6" s="61">
        <v>4</v>
      </c>
      <c r="K6" s="61" t="str">
        <f t="shared" si="9"/>
        <v>4029/4030</v>
      </c>
      <c r="L6" s="61" t="str">
        <f>VLOOKUP(A6,'Trips&amp;Operators'!$C$1:$E$9999,3,FALSE)</f>
        <v>STARKS</v>
      </c>
      <c r="M6" s="12">
        <f t="shared" si="10"/>
        <v>2.7881944450200535E-2</v>
      </c>
      <c r="N6" s="13">
        <f t="shared" si="5"/>
        <v>40.150000008288771</v>
      </c>
      <c r="O6" s="13"/>
      <c r="P6" s="13"/>
      <c r="Q6" s="62"/>
      <c r="R6" s="62"/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04:38:08-0600',mode:absolute,to:'2016-05-19 05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" s="74" t="str">
        <f t="shared" si="12"/>
        <v>N</v>
      </c>
      <c r="V6" s="74">
        <f t="shared" si="13"/>
        <v>1</v>
      </c>
      <c r="W6" s="74">
        <f t="shared" si="14"/>
        <v>23.272600000000001</v>
      </c>
      <c r="X6" s="74">
        <f t="shared" si="15"/>
        <v>8.1699999999999995E-2</v>
      </c>
      <c r="Y6" s="74">
        <f t="shared" si="16"/>
        <v>23.190899999999999</v>
      </c>
      <c r="Z6" s="75">
        <f>VLOOKUP(A6,Enforcements!$C$3:$J$60,8,0)</f>
        <v>21848</v>
      </c>
      <c r="AA6" s="75" t="str">
        <f>VLOOKUP(A6,Enforcements!$C$3:$J$60,3,0)</f>
        <v>PERMANENT SPEED RESTRICTION</v>
      </c>
    </row>
    <row r="7" spans="1:89" s="2" customFormat="1" hidden="1" x14ac:dyDescent="0.25">
      <c r="A7" s="61" t="s">
        <v>232</v>
      </c>
      <c r="B7" s="61">
        <v>4011</v>
      </c>
      <c r="C7" s="61" t="s">
        <v>66</v>
      </c>
      <c r="D7" s="61" t="s">
        <v>467</v>
      </c>
      <c r="E7" s="30">
        <v>42509.168171296296</v>
      </c>
      <c r="F7" s="30">
        <v>42509.169340277775</v>
      </c>
      <c r="G7" s="38">
        <v>1</v>
      </c>
      <c r="H7" s="30" t="s">
        <v>163</v>
      </c>
      <c r="I7" s="30">
        <v>42509.202141203707</v>
      </c>
      <c r="J7" s="61">
        <v>1</v>
      </c>
      <c r="K7" s="61" t="str">
        <f t="shared" si="9"/>
        <v>4011/4012</v>
      </c>
      <c r="L7" s="61" t="str">
        <f>VLOOKUP(A7,'Trips&amp;Operators'!$C$1:$E$9999,3,FALSE)</f>
        <v>LEDERHAUSE</v>
      </c>
      <c r="M7" s="12">
        <f t="shared" si="10"/>
        <v>3.2800925931951497E-2</v>
      </c>
      <c r="N7" s="13">
        <f t="shared" si="5"/>
        <v>47.233333342010155</v>
      </c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04:01:10-0600',mode:absolute,to:'2016-05-19 04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" s="74" t="str">
        <f t="shared" si="12"/>
        <v>N</v>
      </c>
      <c r="V7" s="74">
        <f t="shared" si="13"/>
        <v>1</v>
      </c>
      <c r="W7" s="74">
        <f t="shared" si="14"/>
        <v>7.1499999999999994E-2</v>
      </c>
      <c r="X7" s="74">
        <f t="shared" si="15"/>
        <v>23.330400000000001</v>
      </c>
      <c r="Y7" s="74">
        <f t="shared" si="16"/>
        <v>23.258900000000001</v>
      </c>
      <c r="Z7" s="75">
        <f>VLOOKUP(A7,Enforcements!$C$3:$J$60,8,0)</f>
        <v>233491</v>
      </c>
      <c r="AA7" s="75" t="str">
        <f>VLOOKUP(A7,Enforcements!$C$3:$J$60,3,0)</f>
        <v>TRACK WARRANT AUTHORITY</v>
      </c>
    </row>
    <row r="8" spans="1:89" s="2" customFormat="1" hidden="1" x14ac:dyDescent="0.25">
      <c r="A8" s="61" t="s">
        <v>223</v>
      </c>
      <c r="B8" s="61">
        <v>4008</v>
      </c>
      <c r="C8" s="61" t="s">
        <v>66</v>
      </c>
      <c r="D8" s="61" t="s">
        <v>468</v>
      </c>
      <c r="E8" s="30">
        <v>42509.213495370372</v>
      </c>
      <c r="F8" s="30">
        <v>42509.214456018519</v>
      </c>
      <c r="G8" s="38">
        <v>1</v>
      </c>
      <c r="H8" s="30" t="s">
        <v>469</v>
      </c>
      <c r="I8" s="30">
        <v>42509.241122685184</v>
      </c>
      <c r="J8" s="61">
        <v>0</v>
      </c>
      <c r="K8" s="61" t="str">
        <f t="shared" si="9"/>
        <v>4007/4008</v>
      </c>
      <c r="L8" s="61" t="str">
        <f>VLOOKUP(A8,'Trips&amp;Operators'!$C$1:$E$9999,3,FALSE)</f>
        <v>LEDERHAUSE</v>
      </c>
      <c r="M8" s="12">
        <f t="shared" si="10"/>
        <v>2.6666666664823424E-2</v>
      </c>
      <c r="N8" s="13">
        <f t="shared" si="5"/>
        <v>38.399999997345731</v>
      </c>
      <c r="O8" s="13"/>
      <c r="P8" s="13"/>
      <c r="Q8" s="62"/>
      <c r="R8" s="62"/>
      <c r="T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05:06:26-0600',mode:absolute,to:'2016-05-19 05:48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" s="74" t="str">
        <f t="shared" si="12"/>
        <v>N</v>
      </c>
      <c r="V8" s="74">
        <f t="shared" si="13"/>
        <v>1</v>
      </c>
      <c r="W8" s="74">
        <f t="shared" si="14"/>
        <v>23.266400000000001</v>
      </c>
      <c r="X8" s="74">
        <f t="shared" si="15"/>
        <v>0.18360000000000001</v>
      </c>
      <c r="Y8" s="74">
        <f t="shared" si="16"/>
        <v>23.082800000000002</v>
      </c>
      <c r="Z8" s="75" t="e">
        <f>VLOOKUP(A8,Enforcements!$C$3:$J$60,8,0)</f>
        <v>#N/A</v>
      </c>
      <c r="AA8" s="75" t="e">
        <f>VLOOKUP(A8,Enforcements!$C$3:$J$60,3,0)</f>
        <v>#N/A</v>
      </c>
    </row>
    <row r="9" spans="1:89" s="2" customFormat="1" hidden="1" x14ac:dyDescent="0.25">
      <c r="A9" s="61" t="s">
        <v>241</v>
      </c>
      <c r="B9" s="61">
        <v>4040</v>
      </c>
      <c r="C9" s="61" t="s">
        <v>66</v>
      </c>
      <c r="D9" s="61" t="s">
        <v>86</v>
      </c>
      <c r="E9" s="30">
        <v>42509.181250000001</v>
      </c>
      <c r="F9" s="30">
        <v>42509.182743055557</v>
      </c>
      <c r="G9" s="38">
        <v>2</v>
      </c>
      <c r="H9" s="30" t="s">
        <v>470</v>
      </c>
      <c r="I9" s="30">
        <v>42509.212581018517</v>
      </c>
      <c r="J9" s="61">
        <v>0</v>
      </c>
      <c r="K9" s="61" t="str">
        <f t="shared" si="9"/>
        <v>4039/4040</v>
      </c>
      <c r="L9" s="61" t="str">
        <f>VLOOKUP(A9,'Trips&amp;Operators'!$C$1:$E$9999,3,FALSE)</f>
        <v>STRICKLAND</v>
      </c>
      <c r="M9" s="12">
        <f t="shared" si="10"/>
        <v>2.9837962960300501E-2</v>
      </c>
      <c r="N9" s="13">
        <f t="shared" si="5"/>
        <v>42.966666662832722</v>
      </c>
      <c r="O9" s="13"/>
      <c r="P9" s="13"/>
      <c r="Q9" s="62"/>
      <c r="R9" s="62"/>
      <c r="T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04:20:00-0600',mode:absolute,to:'2016-05-19 05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" s="74" t="str">
        <f t="shared" si="12"/>
        <v>N</v>
      </c>
      <c r="V9" s="74">
        <f t="shared" si="13"/>
        <v>1</v>
      </c>
      <c r="W9" s="74">
        <f t="shared" si="14"/>
        <v>4.6399999999999997E-2</v>
      </c>
      <c r="X9" s="74">
        <f t="shared" si="15"/>
        <v>23.328900000000001</v>
      </c>
      <c r="Y9" s="74">
        <f t="shared" si="16"/>
        <v>23.282500000000002</v>
      </c>
      <c r="Z9" s="75" t="e">
        <f>VLOOKUP(A9,Enforcements!$C$3:$J$60,8,0)</f>
        <v>#N/A</v>
      </c>
      <c r="AA9" s="75" t="e">
        <f>VLOOKUP(A9,Enforcements!$C$3:$J$60,3,0)</f>
        <v>#N/A</v>
      </c>
    </row>
    <row r="10" spans="1:89" s="2" customFormat="1" hidden="1" x14ac:dyDescent="0.25">
      <c r="A10" s="61" t="s">
        <v>240</v>
      </c>
      <c r="B10" s="61">
        <v>4039</v>
      </c>
      <c r="C10" s="61" t="s">
        <v>66</v>
      </c>
      <c r="D10" s="61" t="s">
        <v>162</v>
      </c>
      <c r="E10" s="30">
        <v>42509.223738425928</v>
      </c>
      <c r="F10" s="30">
        <v>42509.226504629631</v>
      </c>
      <c r="G10" s="38">
        <v>3</v>
      </c>
      <c r="H10" s="30" t="s">
        <v>471</v>
      </c>
      <c r="I10" s="30">
        <v>42509.252268518518</v>
      </c>
      <c r="J10" s="61">
        <v>0</v>
      </c>
      <c r="K10" s="61" t="str">
        <f t="shared" si="9"/>
        <v>4039/4040</v>
      </c>
      <c r="L10" s="61" t="str">
        <f>VLOOKUP(A10,'Trips&amp;Operators'!$C$1:$E$9999,3,FALSE)</f>
        <v>STRICKLAND</v>
      </c>
      <c r="M10" s="12">
        <f t="shared" si="10"/>
        <v>2.5763888887013309E-2</v>
      </c>
      <c r="N10" s="13">
        <f t="shared" si="5"/>
        <v>37.099999997299165</v>
      </c>
      <c r="O10" s="13"/>
      <c r="P10" s="13"/>
      <c r="Q10" s="62"/>
      <c r="R10" s="62"/>
      <c r="T1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05:21:11-0600',mode:absolute,to:'2016-05-19 06:04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" s="74" t="str">
        <f t="shared" si="12"/>
        <v>N</v>
      </c>
      <c r="V10" s="74">
        <f t="shared" si="13"/>
        <v>1</v>
      </c>
      <c r="W10" s="74">
        <f t="shared" si="14"/>
        <v>23.297699999999999</v>
      </c>
      <c r="X10" s="74">
        <f t="shared" si="15"/>
        <v>1.8100000000000002E-2</v>
      </c>
      <c r="Y10" s="74">
        <f t="shared" si="16"/>
        <v>23.279599999999999</v>
      </c>
      <c r="Z10" s="75" t="e">
        <f>VLOOKUP(A10,Enforcements!$C$3:$J$60,8,0)</f>
        <v>#N/A</v>
      </c>
      <c r="AA10" s="75" t="e">
        <f>VLOOKUP(A10,Enforcements!$C$3:$J$60,3,0)</f>
        <v>#N/A</v>
      </c>
    </row>
    <row r="11" spans="1:89" s="2" customFormat="1" hidden="1" x14ac:dyDescent="0.25">
      <c r="A11" s="61" t="s">
        <v>243</v>
      </c>
      <c r="B11" s="61">
        <v>4044</v>
      </c>
      <c r="C11" s="61" t="s">
        <v>66</v>
      </c>
      <c r="D11" s="61" t="s">
        <v>159</v>
      </c>
      <c r="E11" s="30">
        <v>42509.190127314818</v>
      </c>
      <c r="F11" s="30">
        <v>42509.191504629627</v>
      </c>
      <c r="G11" s="38">
        <v>1</v>
      </c>
      <c r="H11" s="30" t="s">
        <v>67</v>
      </c>
      <c r="I11" s="30">
        <v>42509.223391203705</v>
      </c>
      <c r="J11" s="61">
        <v>1</v>
      </c>
      <c r="K11" s="61" t="str">
        <f t="shared" si="9"/>
        <v>4043/4044</v>
      </c>
      <c r="L11" s="61" t="str">
        <f>VLOOKUP(A11,'Trips&amp;Operators'!$C$1:$E$9999,3,FALSE)</f>
        <v>CHANDLER</v>
      </c>
      <c r="M11" s="12">
        <f t="shared" si="10"/>
        <v>3.1886574077361729E-2</v>
      </c>
      <c r="N11" s="13">
        <f t="shared" si="5"/>
        <v>45.91666667140089</v>
      </c>
      <c r="O11" s="13"/>
      <c r="P11" s="13"/>
      <c r="Q11" s="62"/>
      <c r="R11" s="62"/>
      <c r="T1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04:32:47-0600',mode:absolute,to:'2016-05-19 05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" s="74" t="str">
        <f t="shared" si="12"/>
        <v>N</v>
      </c>
      <c r="V11" s="74">
        <f t="shared" si="13"/>
        <v>1</v>
      </c>
      <c r="W11" s="74">
        <f t="shared" si="14"/>
        <v>4.7300000000000002E-2</v>
      </c>
      <c r="X11" s="74">
        <f t="shared" si="15"/>
        <v>23.331</v>
      </c>
      <c r="Y11" s="74">
        <f t="shared" si="16"/>
        <v>23.2837</v>
      </c>
      <c r="Z11" s="75">
        <f>VLOOKUP(A11,Enforcements!$C$3:$J$60,8,0)</f>
        <v>233491</v>
      </c>
      <c r="AA11" s="75" t="str">
        <f>VLOOKUP(A11,Enforcements!$C$3:$J$60,3,0)</f>
        <v>TRACK WARRANT AUTHORITY</v>
      </c>
    </row>
    <row r="12" spans="1:89" s="2" customFormat="1" hidden="1" x14ac:dyDescent="0.25">
      <c r="A12" s="61" t="s">
        <v>228</v>
      </c>
      <c r="B12" s="61">
        <v>4043</v>
      </c>
      <c r="C12" s="61" t="s">
        <v>66</v>
      </c>
      <c r="D12" s="61" t="s">
        <v>154</v>
      </c>
      <c r="E12" s="30">
        <v>42509.229861111111</v>
      </c>
      <c r="F12" s="30">
        <v>42509.231053240743</v>
      </c>
      <c r="G12" s="38">
        <v>1</v>
      </c>
      <c r="H12" s="30" t="s">
        <v>166</v>
      </c>
      <c r="I12" s="30">
        <v>42509.264004629629</v>
      </c>
      <c r="J12" s="61">
        <v>2</v>
      </c>
      <c r="K12" s="61" t="str">
        <f t="shared" si="9"/>
        <v>4043/4044</v>
      </c>
      <c r="L12" s="61" t="str">
        <f>VLOOKUP(A12,'Trips&amp;Operators'!$C$1:$E$9999,3,FALSE)</f>
        <v>CHANDLER</v>
      </c>
      <c r="M12" s="12">
        <f t="shared" si="10"/>
        <v>3.2951388886431232E-2</v>
      </c>
      <c r="N12" s="13">
        <f t="shared" si="5"/>
        <v>47.449999996460974</v>
      </c>
      <c r="O12" s="13"/>
      <c r="P12" s="13"/>
      <c r="Q12" s="62"/>
      <c r="R12" s="62"/>
      <c r="T1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05:30:00-0600',mode:absolute,to:'2016-05-19 06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" s="74" t="str">
        <f t="shared" si="12"/>
        <v>N</v>
      </c>
      <c r="V12" s="74">
        <f t="shared" si="13"/>
        <v>1</v>
      </c>
      <c r="W12" s="74">
        <f t="shared" si="14"/>
        <v>23.299299999999999</v>
      </c>
      <c r="X12" s="74">
        <f t="shared" si="15"/>
        <v>1.72E-2</v>
      </c>
      <c r="Y12" s="74">
        <f t="shared" si="16"/>
        <v>23.2821</v>
      </c>
      <c r="Z12" s="75">
        <f>VLOOKUP(A12,Enforcements!$C$3:$J$60,8,0)</f>
        <v>30562</v>
      </c>
      <c r="AA12" s="75" t="str">
        <f>VLOOKUP(A12,Enforcements!$C$3:$J$60,3,0)</f>
        <v>PERMANENT SPEED RESTRICTION</v>
      </c>
    </row>
    <row r="13" spans="1:89" s="2" customFormat="1" hidden="1" x14ac:dyDescent="0.25">
      <c r="A13" s="61" t="s">
        <v>249</v>
      </c>
      <c r="B13" s="61">
        <v>4024</v>
      </c>
      <c r="C13" s="61" t="s">
        <v>66</v>
      </c>
      <c r="D13" s="61" t="s">
        <v>472</v>
      </c>
      <c r="E13" s="30">
        <v>42509.206828703704</v>
      </c>
      <c r="F13" s="30">
        <v>42509.208136574074</v>
      </c>
      <c r="G13" s="38">
        <v>1</v>
      </c>
      <c r="H13" s="30" t="s">
        <v>68</v>
      </c>
      <c r="I13" s="30">
        <v>42509.232812499999</v>
      </c>
      <c r="J13" s="61">
        <v>0</v>
      </c>
      <c r="K13" s="61" t="str">
        <f t="shared" si="9"/>
        <v>4023/4024</v>
      </c>
      <c r="L13" s="61" t="str">
        <f>VLOOKUP(A13,'Trips&amp;Operators'!$C$1:$E$9999,3,FALSE)</f>
        <v>GEBRETEKLE</v>
      </c>
      <c r="M13" s="12">
        <f t="shared" si="10"/>
        <v>2.4675925924384501E-2</v>
      </c>
      <c r="N13" s="13">
        <f t="shared" si="5"/>
        <v>35.533333331113681</v>
      </c>
      <c r="O13" s="13"/>
      <c r="P13" s="13"/>
      <c r="Q13" s="62"/>
      <c r="R13" s="62"/>
      <c r="T1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04:56:50-0600',mode:absolute,to:'2016-05-19 05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" s="74" t="str">
        <f t="shared" si="12"/>
        <v>N</v>
      </c>
      <c r="V13" s="74">
        <f t="shared" si="13"/>
        <v>1</v>
      </c>
      <c r="W13" s="74">
        <f t="shared" si="14"/>
        <v>6.7699999999999996E-2</v>
      </c>
      <c r="X13" s="74">
        <f t="shared" si="15"/>
        <v>23.329499999999999</v>
      </c>
      <c r="Y13" s="74">
        <f t="shared" si="16"/>
        <v>23.261800000000001</v>
      </c>
      <c r="Z13" s="75" t="e">
        <f>VLOOKUP(A13,Enforcements!$C$3:$J$60,8,0)</f>
        <v>#N/A</v>
      </c>
      <c r="AA13" s="75" t="e">
        <f>VLOOKUP(A13,Enforcements!$C$3:$J$60,3,0)</f>
        <v>#N/A</v>
      </c>
    </row>
    <row r="14" spans="1:89" s="2" customFormat="1" hidden="1" x14ac:dyDescent="0.25">
      <c r="A14" s="61" t="s">
        <v>235</v>
      </c>
      <c r="B14" s="61">
        <v>4023</v>
      </c>
      <c r="C14" s="61" t="s">
        <v>66</v>
      </c>
      <c r="D14" s="61" t="s">
        <v>88</v>
      </c>
      <c r="E14" s="30">
        <v>42509.244502314818</v>
      </c>
      <c r="F14" s="30">
        <v>42509.245567129627</v>
      </c>
      <c r="G14" s="38">
        <v>1</v>
      </c>
      <c r="H14" s="30" t="s">
        <v>168</v>
      </c>
      <c r="I14" s="30">
        <v>42509.273287037038</v>
      </c>
      <c r="J14" s="61">
        <v>1</v>
      </c>
      <c r="K14" s="61" t="str">
        <f t="shared" si="9"/>
        <v>4023/4024</v>
      </c>
      <c r="L14" s="61" t="str">
        <f>VLOOKUP(A14,'Trips&amp;Operators'!$C$1:$E$9999,3,FALSE)</f>
        <v>GEBRETEKLE</v>
      </c>
      <c r="M14" s="12">
        <f t="shared" si="10"/>
        <v>2.771990741166519E-2</v>
      </c>
      <c r="N14" s="13">
        <f t="shared" si="5"/>
        <v>39.916666672797874</v>
      </c>
      <c r="O14" s="13"/>
      <c r="P14" s="13"/>
      <c r="Q14" s="62"/>
      <c r="R14" s="62"/>
      <c r="T1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05:51:05-0600',mode:absolute,to:'2016-05-19 06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" s="74" t="str">
        <f t="shared" si="12"/>
        <v>N</v>
      </c>
      <c r="V14" s="74">
        <f t="shared" si="13"/>
        <v>1</v>
      </c>
      <c r="W14" s="74">
        <f t="shared" si="14"/>
        <v>23.297999999999998</v>
      </c>
      <c r="X14" s="74">
        <f t="shared" si="15"/>
        <v>1.43E-2</v>
      </c>
      <c r="Y14" s="74">
        <f t="shared" si="16"/>
        <v>23.2837</v>
      </c>
      <c r="Z14" s="75">
        <f>VLOOKUP(A14,Enforcements!$C$3:$J$60,8,0)</f>
        <v>30562</v>
      </c>
      <c r="AA14" s="75" t="str">
        <f>VLOOKUP(A14,Enforcements!$C$3:$J$60,3,0)</f>
        <v>PERMANENT SPEED RESTRICTION</v>
      </c>
    </row>
    <row r="15" spans="1:89" s="2" customFormat="1" hidden="1" x14ac:dyDescent="0.25">
      <c r="A15" s="61" t="s">
        <v>242</v>
      </c>
      <c r="B15" s="61">
        <v>4031</v>
      </c>
      <c r="C15" s="61" t="s">
        <v>66</v>
      </c>
      <c r="D15" s="61" t="s">
        <v>473</v>
      </c>
      <c r="E15" s="30">
        <v>42509.20890046296</v>
      </c>
      <c r="F15" s="30">
        <v>42509.209907407407</v>
      </c>
      <c r="G15" s="38">
        <v>1</v>
      </c>
      <c r="H15" s="30" t="s">
        <v>199</v>
      </c>
      <c r="I15" s="30">
        <v>42509.243993055556</v>
      </c>
      <c r="J15" s="61">
        <v>0</v>
      </c>
      <c r="K15" s="61" t="str">
        <f t="shared" si="9"/>
        <v>4031/4032</v>
      </c>
      <c r="L15" s="61" t="str">
        <f>VLOOKUP(A15,'Trips&amp;Operators'!$C$1:$E$9999,3,FALSE)</f>
        <v>LEVIN</v>
      </c>
      <c r="M15" s="12">
        <f t="shared" si="10"/>
        <v>3.4085648148902692E-2</v>
      </c>
      <c r="N15" s="13">
        <f t="shared" si="5"/>
        <v>49.083333334419876</v>
      </c>
      <c r="O15" s="13"/>
      <c r="P15" s="13"/>
      <c r="Q15" s="62"/>
      <c r="R15" s="62"/>
      <c r="T1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04:59:49-0600',mode:absolute,to:'2016-05-19 05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5" s="74" t="str">
        <f t="shared" si="12"/>
        <v>N</v>
      </c>
      <c r="V15" s="74">
        <f t="shared" si="13"/>
        <v>1</v>
      </c>
      <c r="W15" s="74">
        <f t="shared" si="14"/>
        <v>3.6499999999999998E-2</v>
      </c>
      <c r="X15" s="74">
        <f t="shared" si="15"/>
        <v>23.328700000000001</v>
      </c>
      <c r="Y15" s="74">
        <f t="shared" si="16"/>
        <v>23.292200000000001</v>
      </c>
      <c r="Z15" s="75" t="e">
        <f>VLOOKUP(A15,Enforcements!$C$3:$J$60,8,0)</f>
        <v>#N/A</v>
      </c>
      <c r="AA15" s="75" t="e">
        <f>VLOOKUP(A15,Enforcements!$C$3:$J$60,3,0)</f>
        <v>#N/A</v>
      </c>
    </row>
    <row r="16" spans="1:89" s="2" customFormat="1" hidden="1" x14ac:dyDescent="0.25">
      <c r="A16" s="61" t="s">
        <v>236</v>
      </c>
      <c r="B16" s="61">
        <v>4032</v>
      </c>
      <c r="C16" s="61" t="s">
        <v>66</v>
      </c>
      <c r="D16" s="61" t="s">
        <v>85</v>
      </c>
      <c r="E16" s="30">
        <v>42509.249548611115</v>
      </c>
      <c r="F16" s="30">
        <v>42509.250324074077</v>
      </c>
      <c r="G16" s="38">
        <v>1</v>
      </c>
      <c r="H16" s="30" t="s">
        <v>71</v>
      </c>
      <c r="I16" s="30">
        <v>42509.283159722225</v>
      </c>
      <c r="J16" s="61">
        <v>0</v>
      </c>
      <c r="K16" s="61" t="str">
        <f t="shared" si="9"/>
        <v>4031/4032</v>
      </c>
      <c r="L16" s="61" t="str">
        <f>VLOOKUP(A16,'Trips&amp;Operators'!$C$1:$E$9999,3,FALSE)</f>
        <v>LEVIN</v>
      </c>
      <c r="M16" s="12">
        <f t="shared" si="10"/>
        <v>3.2835648147738539E-2</v>
      </c>
      <c r="N16" s="13">
        <f t="shared" si="5"/>
        <v>47.283333332743496</v>
      </c>
      <c r="O16" s="13"/>
      <c r="P16" s="13"/>
      <c r="Q16" s="62"/>
      <c r="R16" s="62"/>
      <c r="T1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05:58:21-0600',mode:absolute,to:'2016-05-19 06:48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6" s="74" t="str">
        <f t="shared" si="12"/>
        <v>N</v>
      </c>
      <c r="V16" s="74">
        <f t="shared" si="13"/>
        <v>1</v>
      </c>
      <c r="W16" s="74">
        <f t="shared" si="14"/>
        <v>23.299399999999999</v>
      </c>
      <c r="X16" s="74">
        <f t="shared" si="15"/>
        <v>1.49E-2</v>
      </c>
      <c r="Y16" s="74">
        <f t="shared" si="16"/>
        <v>23.284499999999998</v>
      </c>
      <c r="Z16" s="75" t="e">
        <f>VLOOKUP(A16,Enforcements!$C$3:$J$60,8,0)</f>
        <v>#N/A</v>
      </c>
      <c r="AA16" s="75" t="e">
        <f>VLOOKUP(A16,Enforcements!$C$3:$J$60,3,0)</f>
        <v>#N/A</v>
      </c>
    </row>
    <row r="17" spans="1:27" s="2" customFormat="1" hidden="1" x14ac:dyDescent="0.25">
      <c r="A17" s="61" t="s">
        <v>247</v>
      </c>
      <c r="B17" s="61">
        <v>4042</v>
      </c>
      <c r="C17" s="61" t="s">
        <v>66</v>
      </c>
      <c r="D17" s="61" t="s">
        <v>474</v>
      </c>
      <c r="E17" s="30">
        <v>42509.227743055555</v>
      </c>
      <c r="F17" s="30">
        <v>42509.229259259257</v>
      </c>
      <c r="G17" s="38">
        <v>2</v>
      </c>
      <c r="H17" s="30" t="s">
        <v>181</v>
      </c>
      <c r="I17" s="30">
        <v>42509.254606481481</v>
      </c>
      <c r="J17" s="61">
        <v>0</v>
      </c>
      <c r="K17" s="61" t="str">
        <f t="shared" si="9"/>
        <v>4041/4042</v>
      </c>
      <c r="L17" s="61" t="str">
        <f>VLOOKUP(A17,'Trips&amp;Operators'!$C$1:$E$9999,3,FALSE)</f>
        <v>CUSHING</v>
      </c>
      <c r="M17" s="12">
        <f t="shared" si="10"/>
        <v>2.5347222224809229E-2</v>
      </c>
      <c r="N17" s="13">
        <f t="shared" si="5"/>
        <v>36.50000000372529</v>
      </c>
      <c r="O17" s="13"/>
      <c r="P17" s="13"/>
      <c r="Q17" s="62"/>
      <c r="R17" s="62"/>
      <c r="T1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05:26:57-0600',mode:absolute,to:'2016-05-19 06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7" s="74" t="str">
        <f t="shared" si="12"/>
        <v>N</v>
      </c>
      <c r="V17" s="74">
        <f t="shared" si="13"/>
        <v>1</v>
      </c>
      <c r="W17" s="74">
        <f t="shared" si="14"/>
        <v>7.9000000000000001E-2</v>
      </c>
      <c r="X17" s="74">
        <f t="shared" si="15"/>
        <v>23.328199999999999</v>
      </c>
      <c r="Y17" s="74">
        <f t="shared" si="16"/>
        <v>23.249199999999998</v>
      </c>
      <c r="Z17" s="75" t="e">
        <f>VLOOKUP(A17,Enforcements!$C$3:$J$60,8,0)</f>
        <v>#N/A</v>
      </c>
      <c r="AA17" s="75" t="e">
        <f>VLOOKUP(A17,Enforcements!$C$3:$J$60,3,0)</f>
        <v>#N/A</v>
      </c>
    </row>
    <row r="18" spans="1:27" s="2" customFormat="1" hidden="1" x14ac:dyDescent="0.25">
      <c r="A18" s="61" t="s">
        <v>230</v>
      </c>
      <c r="B18" s="61">
        <v>4041</v>
      </c>
      <c r="C18" s="61" t="s">
        <v>66</v>
      </c>
      <c r="D18" s="61" t="s">
        <v>122</v>
      </c>
      <c r="E18" s="30">
        <v>42509.262129629627</v>
      </c>
      <c r="F18" s="30">
        <v>42509.263229166667</v>
      </c>
      <c r="G18" s="38">
        <v>1</v>
      </c>
      <c r="H18" s="30" t="s">
        <v>475</v>
      </c>
      <c r="I18" s="30">
        <v>42509.293865740743</v>
      </c>
      <c r="J18" s="61">
        <v>1</v>
      </c>
      <c r="K18" s="61" t="str">
        <f t="shared" si="9"/>
        <v>4041/4042</v>
      </c>
      <c r="L18" s="61" t="str">
        <f>VLOOKUP(A18,'Trips&amp;Operators'!$C$1:$E$9999,3,FALSE)</f>
        <v>CUSHING</v>
      </c>
      <c r="M18" s="12">
        <f t="shared" si="10"/>
        <v>3.0636574076197576E-2</v>
      </c>
      <c r="N18" s="13">
        <f t="shared" si="5"/>
        <v>44.116666669724509</v>
      </c>
      <c r="O18" s="13"/>
      <c r="P18" s="13"/>
      <c r="Q18" s="62"/>
      <c r="R18" s="62"/>
      <c r="T1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06:16:28-0600',mode:absolute,to:'2016-05-19 07:04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8" s="74" t="str">
        <f t="shared" si="12"/>
        <v>N</v>
      </c>
      <c r="V18" s="74">
        <f t="shared" si="13"/>
        <v>1</v>
      </c>
      <c r="W18" s="74">
        <f t="shared" si="14"/>
        <v>23.2973</v>
      </c>
      <c r="X18" s="74">
        <f t="shared" si="15"/>
        <v>1.89E-2</v>
      </c>
      <c r="Y18" s="74">
        <f t="shared" si="16"/>
        <v>23.278400000000001</v>
      </c>
      <c r="Z18" s="75">
        <f>VLOOKUP(A18,Enforcements!$C$3:$J$60,8,0)</f>
        <v>1</v>
      </c>
      <c r="AA18" s="75" t="str">
        <f>VLOOKUP(A18,Enforcements!$C$3:$J$60,3,0)</f>
        <v>TRACK WARRANT AUTHORITY</v>
      </c>
    </row>
    <row r="19" spans="1:27" s="2" customFormat="1" hidden="1" x14ac:dyDescent="0.25">
      <c r="A19" s="61" t="s">
        <v>226</v>
      </c>
      <c r="B19" s="61">
        <v>4029</v>
      </c>
      <c r="C19" s="61" t="s">
        <v>66</v>
      </c>
      <c r="D19" s="61" t="s">
        <v>476</v>
      </c>
      <c r="E19" s="30">
        <v>42509.231979166667</v>
      </c>
      <c r="F19" s="30">
        <v>42509.233159722222</v>
      </c>
      <c r="G19" s="38">
        <v>1</v>
      </c>
      <c r="H19" s="30" t="s">
        <v>182</v>
      </c>
      <c r="I19" s="30">
        <v>42509.265775462962</v>
      </c>
      <c r="J19" s="61">
        <v>1</v>
      </c>
      <c r="K19" s="61" t="str">
        <f t="shared" si="9"/>
        <v>4029/4030</v>
      </c>
      <c r="L19" s="61" t="str">
        <f>VLOOKUP(A19,'Trips&amp;Operators'!$C$1:$E$9999,3,FALSE)</f>
        <v>STARKS</v>
      </c>
      <c r="M19" s="12">
        <f t="shared" si="10"/>
        <v>3.2615740739856847E-2</v>
      </c>
      <c r="N19" s="13">
        <f t="shared" si="5"/>
        <v>46.966666665393859</v>
      </c>
      <c r="O19" s="13"/>
      <c r="P19" s="13"/>
      <c r="Q19" s="62"/>
      <c r="R19" s="62"/>
      <c r="T1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05:33:03-0600',mode:absolute,to:'2016-05-19 06:23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9" s="74" t="str">
        <f t="shared" si="12"/>
        <v>N</v>
      </c>
      <c r="V19" s="74">
        <f t="shared" si="13"/>
        <v>1</v>
      </c>
      <c r="W19" s="74">
        <f t="shared" si="14"/>
        <v>4.7100000000000003E-2</v>
      </c>
      <c r="X19" s="74">
        <f t="shared" si="15"/>
        <v>23.305499999999999</v>
      </c>
      <c r="Y19" s="74">
        <f t="shared" si="16"/>
        <v>23.258399999999998</v>
      </c>
      <c r="Z19" s="75">
        <f>VLOOKUP(A19,Enforcements!$C$3:$J$60,8,0)</f>
        <v>233491</v>
      </c>
      <c r="AA19" s="75" t="str">
        <f>VLOOKUP(A19,Enforcements!$C$3:$J$60,3,0)</f>
        <v>TRACK WARRANT AUTHORITY</v>
      </c>
    </row>
    <row r="20" spans="1:27" s="2" customFormat="1" hidden="1" x14ac:dyDescent="0.25">
      <c r="A20" s="61" t="s">
        <v>248</v>
      </c>
      <c r="B20" s="61">
        <v>4030</v>
      </c>
      <c r="C20" s="61" t="s">
        <v>66</v>
      </c>
      <c r="D20" s="61" t="s">
        <v>477</v>
      </c>
      <c r="E20" s="30">
        <v>42509.276053240741</v>
      </c>
      <c r="F20" s="30">
        <v>42509.27685185185</v>
      </c>
      <c r="G20" s="38">
        <v>1</v>
      </c>
      <c r="H20" s="30" t="s">
        <v>478</v>
      </c>
      <c r="I20" s="30">
        <v>42509.305659722224</v>
      </c>
      <c r="J20" s="61">
        <v>2</v>
      </c>
      <c r="K20" s="61" t="str">
        <f t="shared" si="9"/>
        <v>4029/4030</v>
      </c>
      <c r="L20" s="61" t="str">
        <f>VLOOKUP(A20,'Trips&amp;Operators'!$C$1:$E$9999,3,FALSE)</f>
        <v>STARKS</v>
      </c>
      <c r="M20" s="12">
        <f t="shared" si="10"/>
        <v>2.8807870374293998E-2</v>
      </c>
      <c r="N20" s="13">
        <f t="shared" si="5"/>
        <v>41.483333338983357</v>
      </c>
      <c r="O20" s="13"/>
      <c r="P20" s="13"/>
      <c r="Q20" s="62"/>
      <c r="R20" s="62"/>
      <c r="T2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06:36:31-0600',mode:absolute,to:'2016-05-19 07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0" s="74" t="str">
        <f t="shared" si="12"/>
        <v>N</v>
      </c>
      <c r="V20" s="74">
        <f t="shared" si="13"/>
        <v>1</v>
      </c>
      <c r="W20" s="74">
        <f t="shared" si="14"/>
        <v>23.289400000000001</v>
      </c>
      <c r="X20" s="74">
        <f t="shared" si="15"/>
        <v>3.85E-2</v>
      </c>
      <c r="Y20" s="74">
        <f t="shared" si="16"/>
        <v>23.250900000000001</v>
      </c>
      <c r="Z20" s="75">
        <f>VLOOKUP(A20,Enforcements!$C$3:$J$60,8,0)</f>
        <v>1</v>
      </c>
      <c r="AA20" s="75" t="str">
        <f>VLOOKUP(A20,Enforcements!$C$3:$J$60,3,0)</f>
        <v>TRACK WARRANT AUTHORITY</v>
      </c>
    </row>
    <row r="21" spans="1:27" s="2" customFormat="1" hidden="1" x14ac:dyDescent="0.25">
      <c r="A21" s="61" t="s">
        <v>234</v>
      </c>
      <c r="B21" s="61">
        <v>4011</v>
      </c>
      <c r="C21" s="61" t="s">
        <v>66</v>
      </c>
      <c r="D21" s="61" t="s">
        <v>479</v>
      </c>
      <c r="E21" s="30">
        <v>42509.245023148149</v>
      </c>
      <c r="F21" s="30">
        <v>42509.245983796296</v>
      </c>
      <c r="G21" s="38">
        <v>1</v>
      </c>
      <c r="H21" s="30" t="s">
        <v>82</v>
      </c>
      <c r="I21" s="30">
        <v>42509.274780092594</v>
      </c>
      <c r="J21" s="61">
        <v>1</v>
      </c>
      <c r="K21" s="61" t="str">
        <f t="shared" si="9"/>
        <v>4011/4012</v>
      </c>
      <c r="L21" s="61" t="str">
        <f>VLOOKUP(A21,'Trips&amp;Operators'!$C$1:$E$9999,3,FALSE)</f>
        <v>LEDERHAUSE</v>
      </c>
      <c r="M21" s="12">
        <f t="shared" si="10"/>
        <v>2.8796296297514345E-2</v>
      </c>
      <c r="N21" s="13">
        <f t="shared" si="5"/>
        <v>41.466666668420658</v>
      </c>
      <c r="O21" s="13"/>
      <c r="P21" s="13"/>
      <c r="Q21" s="62"/>
      <c r="R21" s="62"/>
      <c r="T2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05:51:50-0600',mode:absolute,to:'2016-05-19 06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1" s="74" t="str">
        <f t="shared" si="12"/>
        <v>N</v>
      </c>
      <c r="V21" s="74">
        <f t="shared" si="13"/>
        <v>1</v>
      </c>
      <c r="W21" s="74">
        <f t="shared" si="14"/>
        <v>0.15049999999999999</v>
      </c>
      <c r="X21" s="74">
        <f t="shared" si="15"/>
        <v>23.329899999999999</v>
      </c>
      <c r="Y21" s="74">
        <f t="shared" si="16"/>
        <v>23.179399999999998</v>
      </c>
      <c r="Z21" s="75">
        <f>VLOOKUP(A21,Enforcements!$C$3:$J$60,8,0)</f>
        <v>2096</v>
      </c>
      <c r="AA21" s="75" t="str">
        <f>VLOOKUP(A21,Enforcements!$C$3:$J$60,3,0)</f>
        <v>PERMANENT SPEED RESTRICTION</v>
      </c>
    </row>
    <row r="22" spans="1:27" s="2" customFormat="1" hidden="1" x14ac:dyDescent="0.25">
      <c r="A22" s="61" t="s">
        <v>244</v>
      </c>
      <c r="B22" s="61">
        <v>4012</v>
      </c>
      <c r="C22" s="61" t="s">
        <v>66</v>
      </c>
      <c r="D22" s="61" t="s">
        <v>88</v>
      </c>
      <c r="E22" s="30">
        <v>42509.285937499997</v>
      </c>
      <c r="F22" s="30">
        <v>42509.286874999998</v>
      </c>
      <c r="G22" s="38">
        <v>1</v>
      </c>
      <c r="H22" s="30" t="s">
        <v>480</v>
      </c>
      <c r="I22" s="30">
        <v>42509.314606481479</v>
      </c>
      <c r="J22" s="61">
        <v>0</v>
      </c>
      <c r="K22" s="61" t="str">
        <f t="shared" si="9"/>
        <v>4011/4012</v>
      </c>
      <c r="L22" s="61" t="str">
        <f>VLOOKUP(A22,'Trips&amp;Operators'!$C$1:$E$9999,3,FALSE)</f>
        <v>LEDERHAUSE</v>
      </c>
      <c r="M22" s="12">
        <f t="shared" si="10"/>
        <v>2.7731481481168885E-2</v>
      </c>
      <c r="N22" s="13">
        <f t="shared" si="5"/>
        <v>39.933333332883194</v>
      </c>
      <c r="O22" s="13"/>
      <c r="P22" s="13"/>
      <c r="Q22" s="62"/>
      <c r="R22" s="62"/>
      <c r="T2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06:50:45-0600',mode:absolute,to:'2016-05-19 07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2" s="74" t="str">
        <f t="shared" si="12"/>
        <v>N</v>
      </c>
      <c r="V22" s="74">
        <f t="shared" si="13"/>
        <v>1</v>
      </c>
      <c r="W22" s="74">
        <f t="shared" si="14"/>
        <v>23.297999999999998</v>
      </c>
      <c r="X22" s="74">
        <f t="shared" si="15"/>
        <v>1.67E-2</v>
      </c>
      <c r="Y22" s="74">
        <f t="shared" si="16"/>
        <v>23.281299999999998</v>
      </c>
      <c r="Z22" s="75" t="e">
        <f>VLOOKUP(A22,Enforcements!$C$3:$J$60,8,0)</f>
        <v>#N/A</v>
      </c>
      <c r="AA22" s="75" t="e">
        <f>VLOOKUP(A22,Enforcements!$C$3:$J$60,3,0)</f>
        <v>#N/A</v>
      </c>
    </row>
    <row r="23" spans="1:27" s="2" customFormat="1" hidden="1" x14ac:dyDescent="0.25">
      <c r="A23" s="61" t="s">
        <v>224</v>
      </c>
      <c r="B23" s="61">
        <v>4040</v>
      </c>
      <c r="C23" s="61" t="s">
        <v>66</v>
      </c>
      <c r="D23" s="61" t="s">
        <v>481</v>
      </c>
      <c r="E23" s="30">
        <v>42509.25439814815</v>
      </c>
      <c r="F23" s="30">
        <v>42509.255833333336</v>
      </c>
      <c r="G23" s="38">
        <v>2</v>
      </c>
      <c r="H23" s="30" t="s">
        <v>128</v>
      </c>
      <c r="I23" s="30">
        <v>42509.286759259259</v>
      </c>
      <c r="J23" s="61">
        <v>2</v>
      </c>
      <c r="K23" s="61" t="str">
        <f t="shared" si="9"/>
        <v>4039/4040</v>
      </c>
      <c r="L23" s="61" t="str">
        <f>VLOOKUP(A23,'Trips&amp;Operators'!$C$1:$E$9999,3,FALSE)</f>
        <v>STRICKLAND</v>
      </c>
      <c r="M23" s="12">
        <f t="shared" si="10"/>
        <v>3.0925925922929309E-2</v>
      </c>
      <c r="N23" s="13">
        <f t="shared" si="5"/>
        <v>44.533333329018205</v>
      </c>
      <c r="O23" s="13"/>
      <c r="P23" s="13"/>
      <c r="Q23" s="62"/>
      <c r="R23" s="62"/>
      <c r="T2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06:05:20-0600',mode:absolute,to:'2016-05-19 06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3" s="74" t="str">
        <f t="shared" si="12"/>
        <v>N</v>
      </c>
      <c r="V23" s="74">
        <f t="shared" si="13"/>
        <v>1</v>
      </c>
      <c r="W23" s="74">
        <f t="shared" si="14"/>
        <v>4.8599999999999997E-2</v>
      </c>
      <c r="X23" s="74">
        <f t="shared" si="15"/>
        <v>23.330200000000001</v>
      </c>
      <c r="Y23" s="74">
        <f t="shared" si="16"/>
        <v>23.281600000000001</v>
      </c>
      <c r="Z23" s="75">
        <f>VLOOKUP(A23,Enforcements!$C$3:$J$60,8,0)</f>
        <v>4677</v>
      </c>
      <c r="AA23" s="75" t="str">
        <f>VLOOKUP(A23,Enforcements!$C$3:$J$60,3,0)</f>
        <v>PERMANENT SPEED RESTRICTION</v>
      </c>
    </row>
    <row r="24" spans="1:27" s="2" customFormat="1" hidden="1" x14ac:dyDescent="0.25">
      <c r="A24" s="61" t="s">
        <v>342</v>
      </c>
      <c r="B24" s="61">
        <v>4039</v>
      </c>
      <c r="C24" s="61" t="s">
        <v>66</v>
      </c>
      <c r="D24" s="61" t="s">
        <v>482</v>
      </c>
      <c r="E24" s="30">
        <v>42509.295914351853</v>
      </c>
      <c r="F24" s="30">
        <v>42509.297013888892</v>
      </c>
      <c r="G24" s="38">
        <v>1</v>
      </c>
      <c r="H24" s="30" t="s">
        <v>166</v>
      </c>
      <c r="I24" s="30">
        <v>42509.327673611115</v>
      </c>
      <c r="J24" s="61">
        <v>3</v>
      </c>
      <c r="K24" s="61" t="str">
        <f t="shared" si="9"/>
        <v>4039/4040</v>
      </c>
      <c r="L24" s="61" t="str">
        <f>VLOOKUP(A24,'Trips&amp;Operators'!$C$1:$E$9999,3,FALSE)</f>
        <v>STRICKLAND</v>
      </c>
      <c r="M24" s="12">
        <f t="shared" si="10"/>
        <v>3.0659722222480923E-2</v>
      </c>
      <c r="N24" s="13">
        <f t="shared" si="5"/>
        <v>44.150000000372529</v>
      </c>
      <c r="O24" s="13"/>
      <c r="P24" s="13"/>
      <c r="Q24" s="62"/>
      <c r="R24" s="62"/>
      <c r="T2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07:05:07-0600',mode:absolute,to:'2016-05-19 07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4" s="74" t="str">
        <f t="shared" si="12"/>
        <v>N</v>
      </c>
      <c r="V24" s="74">
        <f t="shared" si="13"/>
        <v>1</v>
      </c>
      <c r="W24" s="74">
        <f t="shared" si="14"/>
        <v>23.298300000000001</v>
      </c>
      <c r="X24" s="74">
        <f t="shared" si="15"/>
        <v>1.72E-2</v>
      </c>
      <c r="Y24" s="74">
        <f t="shared" si="16"/>
        <v>23.281100000000002</v>
      </c>
      <c r="Z24" s="75">
        <f>VLOOKUP(A24,Enforcements!$C$3:$J$60,8,0)</f>
        <v>126678</v>
      </c>
      <c r="AA24" s="75" t="str">
        <f>VLOOKUP(A24,Enforcements!$C$3:$J$60,3,0)</f>
        <v>EQUIPMENT RESTRICTION</v>
      </c>
    </row>
    <row r="25" spans="1:27" s="2" customFormat="1" hidden="1" x14ac:dyDescent="0.25">
      <c r="A25" s="61" t="s">
        <v>237</v>
      </c>
      <c r="B25" s="61">
        <v>4044</v>
      </c>
      <c r="C25" s="61" t="s">
        <v>66</v>
      </c>
      <c r="D25" s="61" t="s">
        <v>165</v>
      </c>
      <c r="E25" s="30">
        <v>42509.2658912037</v>
      </c>
      <c r="F25" s="30">
        <v>42509.267928240741</v>
      </c>
      <c r="G25" s="38">
        <v>2</v>
      </c>
      <c r="H25" s="30" t="s">
        <v>157</v>
      </c>
      <c r="I25" s="30">
        <v>42509.296041666668</v>
      </c>
      <c r="J25" s="61">
        <v>0</v>
      </c>
      <c r="K25" s="61" t="str">
        <f t="shared" si="9"/>
        <v>4043/4044</v>
      </c>
      <c r="L25" s="61" t="str">
        <f>VLOOKUP(A25,'Trips&amp;Operators'!$C$1:$E$9999,3,FALSE)</f>
        <v>CHANDLER</v>
      </c>
      <c r="M25" s="12">
        <f t="shared" si="10"/>
        <v>2.8113425927585922E-2</v>
      </c>
      <c r="N25" s="13">
        <f t="shared" si="5"/>
        <v>40.483333335723728</v>
      </c>
      <c r="O25" s="13"/>
      <c r="P25" s="13"/>
      <c r="Q25" s="62"/>
      <c r="R25" s="62"/>
      <c r="T2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06:21:53-0600',mode:absolute,to:'2016-05-19 07:07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5" s="74" t="str">
        <f t="shared" si="12"/>
        <v>N</v>
      </c>
      <c r="V25" s="74">
        <f t="shared" si="13"/>
        <v>1</v>
      </c>
      <c r="W25" s="74">
        <f t="shared" si="14"/>
        <v>4.6600000000000003E-2</v>
      </c>
      <c r="X25" s="74">
        <f t="shared" si="15"/>
        <v>23.327400000000001</v>
      </c>
      <c r="Y25" s="74">
        <f t="shared" si="16"/>
        <v>23.280799999999999</v>
      </c>
      <c r="Z25" s="75" t="e">
        <f>VLOOKUP(A25,Enforcements!$C$3:$J$60,8,0)</f>
        <v>#N/A</v>
      </c>
      <c r="AA25" s="75" t="e">
        <f>VLOOKUP(A25,Enforcements!$C$3:$J$60,3,0)</f>
        <v>#N/A</v>
      </c>
    </row>
    <row r="26" spans="1:27" s="2" customFormat="1" hidden="1" x14ac:dyDescent="0.25">
      <c r="A26" s="61" t="s">
        <v>322</v>
      </c>
      <c r="B26" s="61">
        <v>4043</v>
      </c>
      <c r="C26" s="61" t="s">
        <v>66</v>
      </c>
      <c r="D26" s="61" t="s">
        <v>483</v>
      </c>
      <c r="E26" s="30">
        <v>42509.304502314815</v>
      </c>
      <c r="F26" s="30">
        <v>42509.305486111109</v>
      </c>
      <c r="G26" s="38">
        <v>1</v>
      </c>
      <c r="H26" s="30" t="s">
        <v>192</v>
      </c>
      <c r="I26" s="30">
        <v>42509.33662037037</v>
      </c>
      <c r="J26" s="61">
        <v>0</v>
      </c>
      <c r="K26" s="61" t="str">
        <f t="shared" si="9"/>
        <v>4043/4044</v>
      </c>
      <c r="L26" s="61" t="str">
        <f>VLOOKUP(A26,'Trips&amp;Operators'!$C$1:$E$9999,3,FALSE)</f>
        <v>CHANDLER</v>
      </c>
      <c r="M26" s="12">
        <f t="shared" si="10"/>
        <v>3.1134259261307307E-2</v>
      </c>
      <c r="N26" s="13">
        <f t="shared" si="5"/>
        <v>44.833333336282521</v>
      </c>
      <c r="O26" s="13"/>
      <c r="P26" s="13"/>
      <c r="Q26" s="62"/>
      <c r="R26" s="62"/>
      <c r="T2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07:17:29-0600',mode:absolute,to:'2016-05-19 08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6" s="74" t="str">
        <f t="shared" si="12"/>
        <v>N</v>
      </c>
      <c r="V26" s="74">
        <f t="shared" si="13"/>
        <v>1</v>
      </c>
      <c r="W26" s="74">
        <f t="shared" si="14"/>
        <v>23.295500000000001</v>
      </c>
      <c r="X26" s="74">
        <f t="shared" si="15"/>
        <v>1.8499999999999999E-2</v>
      </c>
      <c r="Y26" s="74">
        <f t="shared" si="16"/>
        <v>23.277000000000001</v>
      </c>
      <c r="Z26" s="75" t="e">
        <f>VLOOKUP(A26,Enforcements!$C$3:$J$60,8,0)</f>
        <v>#N/A</v>
      </c>
      <c r="AA26" s="75" t="e">
        <f>VLOOKUP(A26,Enforcements!$C$3:$J$60,3,0)</f>
        <v>#N/A</v>
      </c>
    </row>
    <row r="27" spans="1:27" s="2" customFormat="1" hidden="1" x14ac:dyDescent="0.25">
      <c r="A27" s="61" t="s">
        <v>227</v>
      </c>
      <c r="B27" s="61">
        <v>4024</v>
      </c>
      <c r="C27" s="61" t="s">
        <v>66</v>
      </c>
      <c r="D27" s="61" t="s">
        <v>84</v>
      </c>
      <c r="E27" s="30">
        <v>42509.279305555552</v>
      </c>
      <c r="F27" s="30">
        <v>42509.280416666668</v>
      </c>
      <c r="G27" s="38">
        <v>1</v>
      </c>
      <c r="H27" s="30" t="s">
        <v>119</v>
      </c>
      <c r="I27" s="30">
        <v>42509.306111111109</v>
      </c>
      <c r="J27" s="61">
        <v>1</v>
      </c>
      <c r="K27" s="61" t="str">
        <f t="shared" si="9"/>
        <v>4023/4024</v>
      </c>
      <c r="L27" s="61" t="str">
        <f>VLOOKUP(A27,'Trips&amp;Operators'!$C$1:$E$9999,3,FALSE)</f>
        <v>GEBRETEKLE</v>
      </c>
      <c r="M27" s="12">
        <f t="shared" si="10"/>
        <v>2.569444444088731E-2</v>
      </c>
      <c r="N27" s="13">
        <f t="shared" si="5"/>
        <v>36.999999994877726</v>
      </c>
      <c r="O27" s="13"/>
      <c r="P27" s="13"/>
      <c r="Q27" s="62"/>
      <c r="R27" s="62"/>
      <c r="T2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06:41:12-0600',mode:absolute,to:'2016-05-19 07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7" s="74" t="str">
        <f t="shared" si="12"/>
        <v>N</v>
      </c>
      <c r="V27" s="74">
        <f t="shared" si="13"/>
        <v>1</v>
      </c>
      <c r="W27" s="74">
        <f t="shared" si="14"/>
        <v>4.4600000000000001E-2</v>
      </c>
      <c r="X27" s="74">
        <f t="shared" si="15"/>
        <v>23.3306</v>
      </c>
      <c r="Y27" s="74">
        <f t="shared" si="16"/>
        <v>23.286000000000001</v>
      </c>
      <c r="Z27" s="75">
        <f>VLOOKUP(A27,Enforcements!$C$3:$J$60,8,0)</f>
        <v>233491</v>
      </c>
      <c r="AA27" s="75" t="str">
        <f>VLOOKUP(A27,Enforcements!$C$3:$J$60,3,0)</f>
        <v>TRACK WARRANT AUTHORITY</v>
      </c>
    </row>
    <row r="28" spans="1:27" s="2" customFormat="1" hidden="1" x14ac:dyDescent="0.25">
      <c r="A28" s="61" t="s">
        <v>427</v>
      </c>
      <c r="B28" s="61">
        <v>4023</v>
      </c>
      <c r="C28" s="61" t="s">
        <v>66</v>
      </c>
      <c r="D28" s="61" t="s">
        <v>153</v>
      </c>
      <c r="E28" s="30">
        <v>42509.313831018517</v>
      </c>
      <c r="F28" s="30">
        <v>42509.314722222225</v>
      </c>
      <c r="G28" s="38">
        <v>1</v>
      </c>
      <c r="H28" s="30" t="s">
        <v>480</v>
      </c>
      <c r="I28" s="30">
        <v>42509.34547453704</v>
      </c>
      <c r="J28" s="61">
        <v>1</v>
      </c>
      <c r="K28" s="61" t="str">
        <f t="shared" si="9"/>
        <v>4023/4024</v>
      </c>
      <c r="L28" s="61" t="str">
        <f>VLOOKUP(A28,'Trips&amp;Operators'!$C$1:$E$9999,3,FALSE)</f>
        <v>GEBRETEKLE</v>
      </c>
      <c r="M28" s="12">
        <f t="shared" si="10"/>
        <v>3.0752314814890269E-2</v>
      </c>
      <c r="N28" s="13">
        <f t="shared" si="5"/>
        <v>44.283333333441988</v>
      </c>
      <c r="O28" s="13"/>
      <c r="P28" s="13"/>
      <c r="Q28" s="62"/>
      <c r="R28" s="62"/>
      <c r="T2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07:30:55-0600',mode:absolute,to:'2016-05-19 08:18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8" s="74" t="str">
        <f t="shared" si="12"/>
        <v>N</v>
      </c>
      <c r="V28" s="74">
        <f t="shared" si="13"/>
        <v>1</v>
      </c>
      <c r="W28" s="74">
        <f t="shared" si="14"/>
        <v>23.297899999999998</v>
      </c>
      <c r="X28" s="74">
        <f t="shared" si="15"/>
        <v>1.67E-2</v>
      </c>
      <c r="Y28" s="74">
        <f t="shared" si="16"/>
        <v>23.281199999999998</v>
      </c>
      <c r="Z28" s="75">
        <f>VLOOKUP(A28,Enforcements!$C$3:$J$60,8,0)</f>
        <v>1</v>
      </c>
      <c r="AA28" s="75" t="str">
        <f>VLOOKUP(A28,Enforcements!$C$3:$J$60,3,0)</f>
        <v>TRACK WARRANT AUTHORITY</v>
      </c>
    </row>
    <row r="29" spans="1:27" s="2" customFormat="1" hidden="1" x14ac:dyDescent="0.25">
      <c r="A29" s="61" t="s">
        <v>245</v>
      </c>
      <c r="B29" s="61">
        <v>4031</v>
      </c>
      <c r="C29" s="61" t="s">
        <v>66</v>
      </c>
      <c r="D29" s="61" t="s">
        <v>165</v>
      </c>
      <c r="E29" s="30">
        <v>42509.286469907405</v>
      </c>
      <c r="F29" s="30">
        <v>42509.28769675926</v>
      </c>
      <c r="G29" s="38">
        <v>1</v>
      </c>
      <c r="H29" s="30" t="s">
        <v>152</v>
      </c>
      <c r="I29" s="30">
        <v>42509.316388888888</v>
      </c>
      <c r="J29" s="61">
        <v>0</v>
      </c>
      <c r="K29" s="61" t="str">
        <f t="shared" si="9"/>
        <v>4031/4032</v>
      </c>
      <c r="L29" s="61" t="str">
        <f>VLOOKUP(A29,'Trips&amp;Operators'!$C$1:$E$9999,3,FALSE)</f>
        <v>LEVIN</v>
      </c>
      <c r="M29" s="12">
        <f t="shared" si="10"/>
        <v>2.8692129628325347E-2</v>
      </c>
      <c r="N29" s="13">
        <f t="shared" si="5"/>
        <v>41.316666664788499</v>
      </c>
      <c r="O29" s="13"/>
      <c r="P29" s="13"/>
      <c r="Q29" s="62"/>
      <c r="R29" s="62"/>
      <c r="T2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06:51:31-0600',mode:absolute,to:'2016-05-19 07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9" s="74" t="str">
        <f t="shared" si="12"/>
        <v>N</v>
      </c>
      <c r="V29" s="74">
        <f t="shared" si="13"/>
        <v>1</v>
      </c>
      <c r="W29" s="74">
        <f t="shared" si="14"/>
        <v>4.6600000000000003E-2</v>
      </c>
      <c r="X29" s="74">
        <f t="shared" si="15"/>
        <v>23.331399999999999</v>
      </c>
      <c r="Y29" s="74">
        <f t="shared" si="16"/>
        <v>23.284799999999997</v>
      </c>
      <c r="Z29" s="75" t="e">
        <f>VLOOKUP(A29,Enforcements!$C$3:$J$60,8,0)</f>
        <v>#N/A</v>
      </c>
      <c r="AA29" s="75" t="e">
        <f>VLOOKUP(A29,Enforcements!$C$3:$J$60,3,0)</f>
        <v>#N/A</v>
      </c>
    </row>
    <row r="30" spans="1:27" s="2" customFormat="1" hidden="1" x14ac:dyDescent="0.25">
      <c r="A30" s="61" t="s">
        <v>439</v>
      </c>
      <c r="B30" s="61">
        <v>4032</v>
      </c>
      <c r="C30" s="61" t="s">
        <v>66</v>
      </c>
      <c r="D30" s="61" t="s">
        <v>98</v>
      </c>
      <c r="E30" s="30">
        <v>42509.324965277781</v>
      </c>
      <c r="F30" s="30">
        <v>42509.325775462959</v>
      </c>
      <c r="G30" s="38">
        <v>1</v>
      </c>
      <c r="H30" s="30" t="s">
        <v>71</v>
      </c>
      <c r="I30" s="30">
        <v>42509.356238425928</v>
      </c>
      <c r="J30" s="61">
        <v>0</v>
      </c>
      <c r="K30" s="61" t="str">
        <f t="shared" si="9"/>
        <v>4031/4032</v>
      </c>
      <c r="L30" s="61" t="str">
        <f>VLOOKUP(A30,'Trips&amp;Operators'!$C$1:$E$9999,3,FALSE)</f>
        <v>LEVIN</v>
      </c>
      <c r="M30" s="12">
        <f t="shared" si="10"/>
        <v>3.0462962968158536E-2</v>
      </c>
      <c r="N30" s="13">
        <f t="shared" si="5"/>
        <v>43.866666674148291</v>
      </c>
      <c r="O30" s="13"/>
      <c r="P30" s="13"/>
      <c r="Q30" s="62"/>
      <c r="R30" s="62"/>
      <c r="T3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07:46:57-0600',mode:absolute,to:'2016-05-19 08:33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0" s="74" t="str">
        <f t="shared" si="12"/>
        <v>N</v>
      </c>
      <c r="V30" s="74">
        <f t="shared" si="13"/>
        <v>1</v>
      </c>
      <c r="W30" s="74">
        <f t="shared" si="14"/>
        <v>23.298999999999999</v>
      </c>
      <c r="X30" s="74">
        <f t="shared" si="15"/>
        <v>1.49E-2</v>
      </c>
      <c r="Y30" s="74">
        <f t="shared" si="16"/>
        <v>23.284099999999999</v>
      </c>
      <c r="Z30" s="75" t="e">
        <f>VLOOKUP(A30,Enforcements!$C$3:$J$60,8,0)</f>
        <v>#N/A</v>
      </c>
      <c r="AA30" s="75" t="e">
        <f>VLOOKUP(A30,Enforcements!$C$3:$J$60,3,0)</f>
        <v>#N/A</v>
      </c>
    </row>
    <row r="31" spans="1:27" s="2" customFormat="1" hidden="1" x14ac:dyDescent="0.25">
      <c r="A31" s="61" t="s">
        <v>433</v>
      </c>
      <c r="B31" s="61">
        <v>4042</v>
      </c>
      <c r="C31" s="61" t="s">
        <v>66</v>
      </c>
      <c r="D31" s="61" t="s">
        <v>484</v>
      </c>
      <c r="E31" s="30">
        <v>42509.296006944445</v>
      </c>
      <c r="F31" s="30">
        <v>42509.2971412037</v>
      </c>
      <c r="G31" s="38">
        <v>1</v>
      </c>
      <c r="H31" s="30" t="s">
        <v>485</v>
      </c>
      <c r="I31" s="30">
        <v>42509.327210648145</v>
      </c>
      <c r="J31" s="61">
        <v>0</v>
      </c>
      <c r="K31" s="61" t="str">
        <f t="shared" si="9"/>
        <v>4041/4042</v>
      </c>
      <c r="L31" s="61" t="str">
        <f>VLOOKUP(A31,'Trips&amp;Operators'!$C$1:$E$9999,3,FALSE)</f>
        <v>CUSHING</v>
      </c>
      <c r="M31" s="12">
        <f t="shared" si="10"/>
        <v>3.0069444444961846E-2</v>
      </c>
      <c r="N31" s="13">
        <f t="shared" si="5"/>
        <v>43.300000000745058</v>
      </c>
      <c r="O31" s="13"/>
      <c r="P31" s="13"/>
      <c r="Q31" s="62"/>
      <c r="R31" s="62"/>
      <c r="T3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07:05:15-0600',mode:absolute,to:'2016-05-19 07:52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1" s="74" t="str">
        <f t="shared" si="12"/>
        <v>N</v>
      </c>
      <c r="V31" s="74">
        <f t="shared" si="13"/>
        <v>1</v>
      </c>
      <c r="W31" s="74">
        <f t="shared" si="14"/>
        <v>4.9299999999999997E-2</v>
      </c>
      <c r="X31" s="74">
        <f t="shared" si="15"/>
        <v>23.327200000000001</v>
      </c>
      <c r="Y31" s="74">
        <f t="shared" si="16"/>
        <v>23.277900000000002</v>
      </c>
      <c r="Z31" s="75" t="e">
        <f>VLOOKUP(A31,Enforcements!$C$3:$J$60,8,0)</f>
        <v>#N/A</v>
      </c>
      <c r="AA31" s="75" t="e">
        <f>VLOOKUP(A31,Enforcements!$C$3:$J$60,3,0)</f>
        <v>#N/A</v>
      </c>
    </row>
    <row r="32" spans="1:27" s="2" customFormat="1" hidden="1" x14ac:dyDescent="0.25">
      <c r="A32" s="61" t="s">
        <v>323</v>
      </c>
      <c r="B32" s="61">
        <v>4041</v>
      </c>
      <c r="C32" s="61" t="s">
        <v>66</v>
      </c>
      <c r="D32" s="61" t="s">
        <v>486</v>
      </c>
      <c r="E32" s="30">
        <v>42509.334618055553</v>
      </c>
      <c r="F32" s="30">
        <v>42509.335405092592</v>
      </c>
      <c r="G32" s="38">
        <v>1</v>
      </c>
      <c r="H32" s="30" t="s">
        <v>70</v>
      </c>
      <c r="I32" s="30">
        <v>42509.367037037038</v>
      </c>
      <c r="J32" s="61">
        <v>0</v>
      </c>
      <c r="K32" s="61" t="str">
        <f t="shared" si="9"/>
        <v>4041/4042</v>
      </c>
      <c r="L32" s="61" t="str">
        <f>VLOOKUP(A32,'Trips&amp;Operators'!$C$1:$E$9999,3,FALSE)</f>
        <v>CUSHING</v>
      </c>
      <c r="M32" s="12">
        <f t="shared" si="10"/>
        <v>3.1631944446417037E-2</v>
      </c>
      <c r="N32" s="13">
        <f t="shared" si="5"/>
        <v>45.550000002840534</v>
      </c>
      <c r="O32" s="13"/>
      <c r="P32" s="13"/>
      <c r="Q32" s="62"/>
      <c r="R32" s="62"/>
      <c r="T3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08:00:51-0600',mode:absolute,to:'2016-05-19 08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32" s="74" t="str">
        <f t="shared" si="12"/>
        <v>N</v>
      </c>
      <c r="V32" s="74">
        <f t="shared" si="13"/>
        <v>1</v>
      </c>
      <c r="W32" s="74">
        <f t="shared" si="14"/>
        <v>23.295300000000001</v>
      </c>
      <c r="X32" s="74">
        <f t="shared" si="15"/>
        <v>1.5599999999999999E-2</v>
      </c>
      <c r="Y32" s="74">
        <f t="shared" si="16"/>
        <v>23.279700000000002</v>
      </c>
      <c r="Z32" s="75" t="e">
        <f>VLOOKUP(A32,Enforcements!$C$3:$J$60,8,0)</f>
        <v>#N/A</v>
      </c>
      <c r="AA32" s="75" t="e">
        <f>VLOOKUP(A32,Enforcements!$C$3:$J$60,3,0)</f>
        <v>#N/A</v>
      </c>
    </row>
    <row r="33" spans="1:27" s="2" customFormat="1" hidden="1" x14ac:dyDescent="0.25">
      <c r="A33" s="61" t="s">
        <v>417</v>
      </c>
      <c r="B33" s="61">
        <v>4029</v>
      </c>
      <c r="C33" s="61" t="s">
        <v>66</v>
      </c>
      <c r="D33" s="61" t="s">
        <v>487</v>
      </c>
      <c r="E33" s="30">
        <v>42509.307928240742</v>
      </c>
      <c r="F33" s="30">
        <v>42509.308819444443</v>
      </c>
      <c r="G33" s="38">
        <v>1</v>
      </c>
      <c r="H33" s="30" t="s">
        <v>488</v>
      </c>
      <c r="I33" s="30">
        <v>42509.338275462964</v>
      </c>
      <c r="J33" s="61">
        <v>0</v>
      </c>
      <c r="K33" s="61" t="str">
        <f t="shared" si="9"/>
        <v>4029/4030</v>
      </c>
      <c r="L33" s="61" t="str">
        <f>VLOOKUP(A33,'Trips&amp;Operators'!$C$1:$E$9999,3,FALSE)</f>
        <v>STARKS</v>
      </c>
      <c r="M33" s="12">
        <f t="shared" si="10"/>
        <v>2.9456018521159422E-2</v>
      </c>
      <c r="N33" s="13">
        <f t="shared" si="5"/>
        <v>42.416666670469567</v>
      </c>
      <c r="O33" s="13"/>
      <c r="P33" s="13"/>
      <c r="Q33" s="62"/>
      <c r="R33" s="62"/>
      <c r="T3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07:22:25-0600',mode:absolute,to:'2016-05-19 08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3" s="74" t="str">
        <f t="shared" si="12"/>
        <v>N</v>
      </c>
      <c r="V33" s="74">
        <f t="shared" si="13"/>
        <v>1</v>
      </c>
      <c r="W33" s="74">
        <f t="shared" si="14"/>
        <v>5.3499999999999999E-2</v>
      </c>
      <c r="X33" s="74">
        <f t="shared" si="15"/>
        <v>23.3383</v>
      </c>
      <c r="Y33" s="74">
        <f t="shared" si="16"/>
        <v>23.284800000000001</v>
      </c>
      <c r="Z33" s="75" t="e">
        <f>VLOOKUP(A33,Enforcements!$C$3:$J$60,8,0)</f>
        <v>#N/A</v>
      </c>
      <c r="AA33" s="75" t="e">
        <f>VLOOKUP(A33,Enforcements!$C$3:$J$60,3,0)</f>
        <v>#N/A</v>
      </c>
    </row>
    <row r="34" spans="1:27" s="2" customFormat="1" hidden="1" x14ac:dyDescent="0.25">
      <c r="A34" s="61" t="s">
        <v>438</v>
      </c>
      <c r="B34" s="61">
        <v>4030</v>
      </c>
      <c r="C34" s="61" t="s">
        <v>66</v>
      </c>
      <c r="D34" s="61" t="s">
        <v>489</v>
      </c>
      <c r="E34" s="30">
        <v>42509.34952546296</v>
      </c>
      <c r="F34" s="30">
        <v>42509.350393518522</v>
      </c>
      <c r="G34" s="38">
        <v>1</v>
      </c>
      <c r="H34" s="30" t="s">
        <v>101</v>
      </c>
      <c r="I34" s="30">
        <v>42509.377824074072</v>
      </c>
      <c r="J34" s="61">
        <v>0</v>
      </c>
      <c r="K34" s="61" t="str">
        <f t="shared" si="9"/>
        <v>4029/4030</v>
      </c>
      <c r="L34" s="61" t="str">
        <f>VLOOKUP(A34,'Trips&amp;Operators'!$C$1:$E$9999,3,FALSE)</f>
        <v>STARKS</v>
      </c>
      <c r="M34" s="12">
        <f t="shared" si="10"/>
        <v>2.7430555550381541E-2</v>
      </c>
      <c r="N34" s="13">
        <f t="shared" si="5"/>
        <v>39.499999992549419</v>
      </c>
      <c r="O34" s="13"/>
      <c r="P34" s="13"/>
      <c r="Q34" s="62"/>
      <c r="R34" s="62"/>
      <c r="T3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08:22:19-0600',mode:absolute,to:'2016-05-19 09:05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4" s="74" t="str">
        <f t="shared" si="12"/>
        <v>N</v>
      </c>
      <c r="V34" s="74">
        <f t="shared" si="13"/>
        <v>1</v>
      </c>
      <c r="W34" s="74">
        <f t="shared" si="14"/>
        <v>23.3032</v>
      </c>
      <c r="X34" s="74">
        <f t="shared" si="15"/>
        <v>1.47E-2</v>
      </c>
      <c r="Y34" s="74">
        <f t="shared" si="16"/>
        <v>23.288499999999999</v>
      </c>
      <c r="Z34" s="75" t="e">
        <f>VLOOKUP(A34,Enforcements!$C$3:$J$60,8,0)</f>
        <v>#N/A</v>
      </c>
      <c r="AA34" s="75" t="e">
        <f>VLOOKUP(A34,Enforcements!$C$3:$J$60,3,0)</f>
        <v>#N/A</v>
      </c>
    </row>
    <row r="35" spans="1:27" s="2" customFormat="1" hidden="1" x14ac:dyDescent="0.25">
      <c r="A35" s="61" t="s">
        <v>441</v>
      </c>
      <c r="B35" s="61">
        <v>4011</v>
      </c>
      <c r="C35" s="61" t="s">
        <v>66</v>
      </c>
      <c r="D35" s="61" t="s">
        <v>476</v>
      </c>
      <c r="E35" s="30">
        <v>42509.316562499997</v>
      </c>
      <c r="F35" s="30">
        <v>42509.320833333331</v>
      </c>
      <c r="G35" s="38">
        <v>6</v>
      </c>
      <c r="H35" s="30" t="s">
        <v>189</v>
      </c>
      <c r="I35" s="30">
        <v>42509.348020833335</v>
      </c>
      <c r="J35" s="61">
        <v>1</v>
      </c>
      <c r="K35" s="61" t="str">
        <f t="shared" si="9"/>
        <v>4011/4012</v>
      </c>
      <c r="L35" s="61" t="str">
        <f>VLOOKUP(A35,'Trips&amp;Operators'!$C$1:$E$9999,3,FALSE)</f>
        <v>LEDERHAUSE</v>
      </c>
      <c r="M35" s="12">
        <f t="shared" si="10"/>
        <v>2.718750000349246E-2</v>
      </c>
      <c r="N35" s="13">
        <f t="shared" si="5"/>
        <v>39.150000005029142</v>
      </c>
      <c r="O35" s="13"/>
      <c r="P35" s="13"/>
      <c r="Q35" s="62"/>
      <c r="R35" s="62"/>
      <c r="T3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07:34:51-0600',mode:absolute,to:'2016-05-19 08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5" s="74" t="str">
        <f t="shared" si="12"/>
        <v>N</v>
      </c>
      <c r="V35" s="74">
        <f t="shared" si="13"/>
        <v>1</v>
      </c>
      <c r="W35" s="74">
        <f t="shared" si="14"/>
        <v>4.7100000000000003E-2</v>
      </c>
      <c r="X35" s="74">
        <f t="shared" si="15"/>
        <v>23.331700000000001</v>
      </c>
      <c r="Y35" s="74">
        <f t="shared" si="16"/>
        <v>23.284600000000001</v>
      </c>
      <c r="Z35" s="75">
        <f>VLOOKUP(A35,Enforcements!$C$3:$J$60,8,0)</f>
        <v>127562</v>
      </c>
      <c r="AA35" s="75" t="str">
        <f>VLOOKUP(A35,Enforcements!$C$3:$J$60,3,0)</f>
        <v>GRADE CROSSING</v>
      </c>
    </row>
    <row r="36" spans="1:27" s="2" customFormat="1" hidden="1" x14ac:dyDescent="0.25">
      <c r="A36" s="61" t="s">
        <v>387</v>
      </c>
      <c r="B36" s="61">
        <v>4012</v>
      </c>
      <c r="C36" s="61" t="s">
        <v>66</v>
      </c>
      <c r="D36" s="61" t="s">
        <v>178</v>
      </c>
      <c r="E36" s="30">
        <v>42509.356064814812</v>
      </c>
      <c r="F36" s="30">
        <v>42509.357164351852</v>
      </c>
      <c r="G36" s="38">
        <v>1</v>
      </c>
      <c r="H36" s="30" t="s">
        <v>73</v>
      </c>
      <c r="I36" s="30">
        <v>42509.388020833336</v>
      </c>
      <c r="J36" s="61">
        <v>0</v>
      </c>
      <c r="K36" s="61" t="str">
        <f t="shared" si="9"/>
        <v>4011/4012</v>
      </c>
      <c r="L36" s="61" t="str">
        <f>VLOOKUP(A36,'Trips&amp;Operators'!$C$1:$E$9999,3,FALSE)</f>
        <v>LEDERHAUSE</v>
      </c>
      <c r="M36" s="12">
        <f t="shared" si="10"/>
        <v>3.0856481484079268E-2</v>
      </c>
      <c r="N36" s="13">
        <f t="shared" si="5"/>
        <v>44.433333337074146</v>
      </c>
      <c r="O36" s="13"/>
      <c r="P36" s="13"/>
      <c r="Q36" s="62"/>
      <c r="R36" s="62"/>
      <c r="T3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08:31:44-0600',mode:absolute,to:'2016-05-19 09:19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6" s="74" t="str">
        <f t="shared" si="12"/>
        <v>N</v>
      </c>
      <c r="V36" s="74">
        <f t="shared" si="13"/>
        <v>1</v>
      </c>
      <c r="W36" s="74">
        <f t="shared" si="14"/>
        <v>23.301500000000001</v>
      </c>
      <c r="X36" s="74">
        <f t="shared" si="15"/>
        <v>1.54E-2</v>
      </c>
      <c r="Y36" s="74">
        <f t="shared" si="16"/>
        <v>23.286100000000001</v>
      </c>
      <c r="Z36" s="75" t="e">
        <f>VLOOKUP(A36,Enforcements!$C$3:$J$60,8,0)</f>
        <v>#N/A</v>
      </c>
      <c r="AA36" s="75" t="e">
        <f>VLOOKUP(A36,Enforcements!$C$3:$J$60,3,0)</f>
        <v>#N/A</v>
      </c>
    </row>
    <row r="37" spans="1:27" s="2" customFormat="1" x14ac:dyDescent="0.25">
      <c r="A37" s="61" t="s">
        <v>364</v>
      </c>
      <c r="B37" s="61">
        <v>4040</v>
      </c>
      <c r="C37" s="61" t="s">
        <v>66</v>
      </c>
      <c r="D37" s="61" t="s">
        <v>484</v>
      </c>
      <c r="E37" s="30">
        <v>42509.330451388887</v>
      </c>
      <c r="F37" s="30">
        <v>42509.33153935185</v>
      </c>
      <c r="G37" s="38">
        <v>1</v>
      </c>
      <c r="H37" s="30" t="s">
        <v>490</v>
      </c>
      <c r="I37" s="30">
        <v>42509.354375000003</v>
      </c>
      <c r="J37" s="61">
        <v>0</v>
      </c>
      <c r="K37" s="61" t="str">
        <f t="shared" si="9"/>
        <v>4039/4040</v>
      </c>
      <c r="L37" s="61" t="str">
        <f>VLOOKUP(A37,'Trips&amp;Operators'!$C$1:$E$9999,3,FALSE)</f>
        <v>STRICKLAND</v>
      </c>
      <c r="M37" s="12">
        <f t="shared" si="10"/>
        <v>2.2835648152977228E-2</v>
      </c>
      <c r="N37" s="13"/>
      <c r="O37" s="13"/>
      <c r="P37" s="13">
        <f t="shared" si="5"/>
        <v>32.883333340287209</v>
      </c>
      <c r="Q37" s="62" t="s">
        <v>175</v>
      </c>
      <c r="R37" s="62" t="s">
        <v>543</v>
      </c>
      <c r="T3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07:54:51-0600',mode:absolute,to:'2016-05-19 08:31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7" s="74" t="str">
        <f t="shared" si="12"/>
        <v>Y</v>
      </c>
      <c r="V37" s="74">
        <f t="shared" si="13"/>
        <v>1</v>
      </c>
      <c r="W37" s="74">
        <f t="shared" si="14"/>
        <v>4.9299999999999997E-2</v>
      </c>
      <c r="X37" s="74">
        <f t="shared" si="15"/>
        <v>12.8292</v>
      </c>
      <c r="Y37" s="74">
        <f t="shared" si="16"/>
        <v>12.7799</v>
      </c>
      <c r="Z37" s="75" t="e">
        <f>VLOOKUP(A37,Enforcements!$C$3:$J$60,8,0)</f>
        <v>#N/A</v>
      </c>
      <c r="AA37" s="75" t="e">
        <f>VLOOKUP(A37,Enforcements!$C$3:$J$60,3,0)</f>
        <v>#N/A</v>
      </c>
    </row>
    <row r="38" spans="1:27" s="2" customFormat="1" hidden="1" x14ac:dyDescent="0.25">
      <c r="A38" s="61" t="s">
        <v>344</v>
      </c>
      <c r="B38" s="61">
        <v>4039</v>
      </c>
      <c r="C38" s="61" t="s">
        <v>66</v>
      </c>
      <c r="D38" s="61" t="s">
        <v>169</v>
      </c>
      <c r="E38" s="30">
        <v>42509.370416666665</v>
      </c>
      <c r="F38" s="30">
        <v>42509.371620370373</v>
      </c>
      <c r="G38" s="38">
        <v>1</v>
      </c>
      <c r="H38" s="30" t="s">
        <v>491</v>
      </c>
      <c r="I38" s="30">
        <v>42509.398020833331</v>
      </c>
      <c r="J38" s="61">
        <v>0</v>
      </c>
      <c r="K38" s="61" t="str">
        <f t="shared" si="9"/>
        <v>4039/4040</v>
      </c>
      <c r="L38" s="61" t="str">
        <f>VLOOKUP(A38,'Trips&amp;Operators'!$C$1:$E$9999,3,FALSE)</f>
        <v>STRICKLAND</v>
      </c>
      <c r="M38" s="12">
        <f t="shared" si="10"/>
        <v>2.640046295709908E-2</v>
      </c>
      <c r="N38" s="13">
        <f t="shared" si="5"/>
        <v>38.016666658222675</v>
      </c>
      <c r="O38" s="13"/>
      <c r="P38" s="13"/>
      <c r="Q38" s="62"/>
      <c r="R38" s="62"/>
      <c r="T3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08:52:24-0600',mode:absolute,to:'2016-05-19 09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8" s="74" t="str">
        <f t="shared" si="12"/>
        <v>N</v>
      </c>
      <c r="V38" s="74">
        <f t="shared" si="13"/>
        <v>1</v>
      </c>
      <c r="W38" s="74">
        <f t="shared" si="14"/>
        <v>23.297000000000001</v>
      </c>
      <c r="X38" s="74">
        <f t="shared" si="15"/>
        <v>1.6899999999999998E-2</v>
      </c>
      <c r="Y38" s="74">
        <f t="shared" si="16"/>
        <v>23.280100000000001</v>
      </c>
      <c r="Z38" s="75">
        <f>VLOOKUP(A38,Enforcements!$C$3:$J$60,8,0)</f>
        <v>1</v>
      </c>
      <c r="AA38" s="75" t="str">
        <f>VLOOKUP(A38,Enforcements!$C$3:$J$60,3,0)</f>
        <v>TRACK WARRANT AUTHORITY</v>
      </c>
    </row>
    <row r="39" spans="1:27" s="2" customFormat="1" hidden="1" x14ac:dyDescent="0.25">
      <c r="A39" s="61" t="s">
        <v>368</v>
      </c>
      <c r="B39" s="61">
        <v>4044</v>
      </c>
      <c r="C39" s="61" t="s">
        <v>66</v>
      </c>
      <c r="D39" s="61" t="s">
        <v>159</v>
      </c>
      <c r="E39" s="30">
        <v>42509.339988425927</v>
      </c>
      <c r="F39" s="30">
        <v>42509.341111111113</v>
      </c>
      <c r="G39" s="38">
        <v>1</v>
      </c>
      <c r="H39" s="30" t="s">
        <v>181</v>
      </c>
      <c r="I39" s="30">
        <v>42509.375300925924</v>
      </c>
      <c r="J39" s="61">
        <v>0</v>
      </c>
      <c r="K39" s="61" t="str">
        <f t="shared" si="9"/>
        <v>4043/4044</v>
      </c>
      <c r="L39" s="61" t="str">
        <f>VLOOKUP(A39,'Trips&amp;Operators'!$C$1:$E$9999,3,FALSE)</f>
        <v>CHANDLER</v>
      </c>
      <c r="M39" s="12">
        <f t="shared" si="10"/>
        <v>3.4189814810815733E-2</v>
      </c>
      <c r="N39" s="13">
        <f t="shared" si="5"/>
        <v>49.233333327574655</v>
      </c>
      <c r="O39" s="13"/>
      <c r="P39" s="13"/>
      <c r="Q39" s="62"/>
      <c r="R39" s="62"/>
      <c r="T3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08:08:35-0600',mode:absolute,to:'2016-05-19 09:01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9" s="74" t="str">
        <f t="shared" si="12"/>
        <v>N</v>
      </c>
      <c r="V39" s="74">
        <f t="shared" si="13"/>
        <v>1</v>
      </c>
      <c r="W39" s="74">
        <f t="shared" si="14"/>
        <v>4.7300000000000002E-2</v>
      </c>
      <c r="X39" s="74">
        <f t="shared" si="15"/>
        <v>23.328199999999999</v>
      </c>
      <c r="Y39" s="74">
        <f t="shared" si="16"/>
        <v>23.280899999999999</v>
      </c>
      <c r="Z39" s="75" t="e">
        <f>VLOOKUP(A39,Enforcements!$C$3:$J$60,8,0)</f>
        <v>#N/A</v>
      </c>
      <c r="AA39" s="75" t="e">
        <f>VLOOKUP(A39,Enforcements!$C$3:$J$60,3,0)</f>
        <v>#N/A</v>
      </c>
    </row>
    <row r="40" spans="1:27" s="2" customFormat="1" hidden="1" x14ac:dyDescent="0.25">
      <c r="A40" s="61" t="s">
        <v>434</v>
      </c>
      <c r="B40" s="61">
        <v>4043</v>
      </c>
      <c r="C40" s="61" t="s">
        <v>66</v>
      </c>
      <c r="D40" s="61" t="s">
        <v>97</v>
      </c>
      <c r="E40" s="30">
        <v>42509.377812500003</v>
      </c>
      <c r="F40" s="30">
        <v>42509.37871527778</v>
      </c>
      <c r="G40" s="38">
        <v>1</v>
      </c>
      <c r="H40" s="30" t="s">
        <v>151</v>
      </c>
      <c r="I40" s="30">
        <v>42509.408576388887</v>
      </c>
      <c r="J40" s="61">
        <v>1</v>
      </c>
      <c r="K40" s="61" t="str">
        <f t="shared" si="9"/>
        <v>4043/4044</v>
      </c>
      <c r="L40" s="61" t="str">
        <f>VLOOKUP(A40,'Trips&amp;Operators'!$C$1:$E$9999,3,FALSE)</f>
        <v>CHANDLER</v>
      </c>
      <c r="M40" s="12">
        <f t="shared" si="10"/>
        <v>2.9861111106583849E-2</v>
      </c>
      <c r="N40" s="13">
        <f t="shared" si="5"/>
        <v>42.999999993480742</v>
      </c>
      <c r="O40" s="13"/>
      <c r="P40" s="13"/>
      <c r="Q40" s="62"/>
      <c r="R40" s="62"/>
      <c r="T4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09:03:03-0600',mode:absolute,to:'2016-05-19 09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0" s="74" t="str">
        <f t="shared" si="12"/>
        <v>N</v>
      </c>
      <c r="V40" s="74">
        <f t="shared" si="13"/>
        <v>1</v>
      </c>
      <c r="W40" s="74">
        <f t="shared" si="14"/>
        <v>23.297499999999999</v>
      </c>
      <c r="X40" s="74">
        <f t="shared" si="15"/>
        <v>1.6299999999999999E-2</v>
      </c>
      <c r="Y40" s="74">
        <f t="shared" si="16"/>
        <v>23.281199999999998</v>
      </c>
      <c r="Z40" s="75">
        <f>VLOOKUP(A40,Enforcements!$C$3:$J$60,8,0)</f>
        <v>228668</v>
      </c>
      <c r="AA40" s="75" t="str">
        <f>VLOOKUP(A40,Enforcements!$C$3:$J$60,3,0)</f>
        <v>PERMANENT SPEED RESTRICTION</v>
      </c>
    </row>
    <row r="41" spans="1:27" s="2" customFormat="1" hidden="1" x14ac:dyDescent="0.25">
      <c r="A41" s="61" t="s">
        <v>409</v>
      </c>
      <c r="B41" s="61">
        <v>4024</v>
      </c>
      <c r="C41" s="61" t="s">
        <v>66</v>
      </c>
      <c r="D41" s="61" t="s">
        <v>107</v>
      </c>
      <c r="E41" s="30">
        <v>42509.349490740744</v>
      </c>
      <c r="F41" s="30">
        <v>42509.353564814817</v>
      </c>
      <c r="G41" s="38">
        <v>5</v>
      </c>
      <c r="H41" s="30" t="s">
        <v>128</v>
      </c>
      <c r="I41" s="30">
        <v>42509.378877314812</v>
      </c>
      <c r="J41" s="61">
        <v>0</v>
      </c>
      <c r="K41" s="61" t="str">
        <f t="shared" si="9"/>
        <v>4023/4024</v>
      </c>
      <c r="L41" s="61" t="str">
        <f>VLOOKUP(A41,'Trips&amp;Operators'!$C$1:$E$9999,3,FALSE)</f>
        <v>GEBRETEKLE</v>
      </c>
      <c r="M41" s="12">
        <f t="shared" si="10"/>
        <v>2.5312499994470272E-2</v>
      </c>
      <c r="N41" s="13">
        <f t="shared" si="5"/>
        <v>36.449999992037192</v>
      </c>
      <c r="O41" s="13"/>
      <c r="P41" s="13"/>
      <c r="Q41" s="62"/>
      <c r="R41" s="62"/>
      <c r="T4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08:22:16-0600',mode:absolute,to:'2016-05-19 09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1" s="74" t="str">
        <f t="shared" si="12"/>
        <v>N</v>
      </c>
      <c r="V41" s="74">
        <f t="shared" si="13"/>
        <v>1</v>
      </c>
      <c r="W41" s="74">
        <f t="shared" si="14"/>
        <v>4.6699999999999998E-2</v>
      </c>
      <c r="X41" s="74">
        <f t="shared" si="15"/>
        <v>23.330200000000001</v>
      </c>
      <c r="Y41" s="74">
        <f t="shared" si="16"/>
        <v>23.2835</v>
      </c>
      <c r="Z41" s="75" t="e">
        <f>VLOOKUP(A41,Enforcements!$C$3:$J$60,8,0)</f>
        <v>#N/A</v>
      </c>
      <c r="AA41" s="75" t="e">
        <f>VLOOKUP(A41,Enforcements!$C$3:$J$60,3,0)</f>
        <v>#N/A</v>
      </c>
    </row>
    <row r="42" spans="1:27" s="2" customFormat="1" hidden="1" x14ac:dyDescent="0.25">
      <c r="A42" s="61" t="s">
        <v>440</v>
      </c>
      <c r="B42" s="61">
        <v>4023</v>
      </c>
      <c r="C42" s="61" t="s">
        <v>66</v>
      </c>
      <c r="D42" s="61" t="s">
        <v>74</v>
      </c>
      <c r="E42" s="30">
        <v>42509.386446759258</v>
      </c>
      <c r="F42" s="30">
        <v>42509.387280092589</v>
      </c>
      <c r="G42" s="38">
        <v>1</v>
      </c>
      <c r="H42" s="30" t="s">
        <v>75</v>
      </c>
      <c r="I42" s="30">
        <v>42509.418807870374</v>
      </c>
      <c r="J42" s="61">
        <v>0</v>
      </c>
      <c r="K42" s="61" t="str">
        <f t="shared" si="9"/>
        <v>4023/4024</v>
      </c>
      <c r="L42" s="61" t="str">
        <f>VLOOKUP(A42,'Trips&amp;Operators'!$C$1:$E$9999,3,FALSE)</f>
        <v>GEBRETEKLE</v>
      </c>
      <c r="M42" s="12">
        <f t="shared" si="10"/>
        <v>3.1527777784503996E-2</v>
      </c>
      <c r="N42" s="13">
        <f t="shared" si="5"/>
        <v>45.400000009685755</v>
      </c>
      <c r="O42" s="13"/>
      <c r="P42" s="13"/>
      <c r="Q42" s="62"/>
      <c r="R42" s="62"/>
      <c r="T4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09:15:29-0600',mode:absolute,to:'2016-05-19 10:04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2" s="74" t="str">
        <f t="shared" si="12"/>
        <v>N</v>
      </c>
      <c r="V42" s="74">
        <f t="shared" si="13"/>
        <v>1</v>
      </c>
      <c r="W42" s="74">
        <f t="shared" si="14"/>
        <v>23.2989</v>
      </c>
      <c r="X42" s="74">
        <f t="shared" si="15"/>
        <v>1.4500000000000001E-2</v>
      </c>
      <c r="Y42" s="74">
        <f t="shared" si="16"/>
        <v>23.284399999999998</v>
      </c>
      <c r="Z42" s="75" t="e">
        <f>VLOOKUP(A42,Enforcements!$C$3:$J$60,8,0)</f>
        <v>#N/A</v>
      </c>
      <c r="AA42" s="75" t="e">
        <f>VLOOKUP(A42,Enforcements!$C$3:$J$60,3,0)</f>
        <v>#N/A</v>
      </c>
    </row>
    <row r="43" spans="1:27" s="2" customFormat="1" hidden="1" x14ac:dyDescent="0.25">
      <c r="A43" s="61" t="s">
        <v>425</v>
      </c>
      <c r="B43" s="61">
        <v>4031</v>
      </c>
      <c r="C43" s="61" t="s">
        <v>66</v>
      </c>
      <c r="D43" s="61" t="s">
        <v>492</v>
      </c>
      <c r="E43" s="30">
        <v>42509.36078703704</v>
      </c>
      <c r="F43" s="30">
        <v>42509.36173611111</v>
      </c>
      <c r="G43" s="38">
        <v>1</v>
      </c>
      <c r="H43" s="30" t="s">
        <v>493</v>
      </c>
      <c r="I43" s="30">
        <v>42509.38958333333</v>
      </c>
      <c r="J43" s="61">
        <v>0</v>
      </c>
      <c r="K43" s="61" t="str">
        <f t="shared" si="9"/>
        <v>4031/4032</v>
      </c>
      <c r="L43" s="61" t="str">
        <f>VLOOKUP(A43,'Trips&amp;Operators'!$C$1:$E$9999,3,FALSE)</f>
        <v>LEVIN</v>
      </c>
      <c r="M43" s="12">
        <f t="shared" si="10"/>
        <v>2.7847222219861578E-2</v>
      </c>
      <c r="N43" s="13">
        <f t="shared" si="5"/>
        <v>40.099999996600673</v>
      </c>
      <c r="O43" s="13"/>
      <c r="P43" s="13"/>
      <c r="Q43" s="62"/>
      <c r="R43" s="62"/>
      <c r="T4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08:38:32-0600',mode:absolute,to:'2016-05-19 09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3" s="74" t="str">
        <f t="shared" si="12"/>
        <v>N</v>
      </c>
      <c r="V43" s="74">
        <f t="shared" si="13"/>
        <v>1</v>
      </c>
      <c r="W43" s="74">
        <f t="shared" si="14"/>
        <v>4.3299999999999998E-2</v>
      </c>
      <c r="X43" s="74">
        <f t="shared" si="15"/>
        <v>23.332999999999998</v>
      </c>
      <c r="Y43" s="74">
        <f t="shared" si="16"/>
        <v>23.2897</v>
      </c>
      <c r="Z43" s="75" t="e">
        <f>VLOOKUP(A43,Enforcements!$C$3:$J$60,8,0)</f>
        <v>#N/A</v>
      </c>
      <c r="AA43" s="75" t="e">
        <f>VLOOKUP(A43,Enforcements!$C$3:$J$60,3,0)</f>
        <v>#N/A</v>
      </c>
    </row>
    <row r="44" spans="1:27" s="2" customFormat="1" hidden="1" x14ac:dyDescent="0.25">
      <c r="A44" s="61" t="s">
        <v>410</v>
      </c>
      <c r="B44" s="61">
        <v>4032</v>
      </c>
      <c r="C44" s="61" t="s">
        <v>66</v>
      </c>
      <c r="D44" s="61" t="s">
        <v>85</v>
      </c>
      <c r="E44" s="30">
        <v>42509.396053240744</v>
      </c>
      <c r="F44" s="30">
        <v>42509.396967592591</v>
      </c>
      <c r="G44" s="38">
        <v>1</v>
      </c>
      <c r="H44" s="30" t="s">
        <v>96</v>
      </c>
      <c r="I44" s="30">
        <v>42509.42895833333</v>
      </c>
      <c r="J44" s="61">
        <v>0</v>
      </c>
      <c r="K44" s="61" t="str">
        <f t="shared" si="9"/>
        <v>4031/4032</v>
      </c>
      <c r="L44" s="61" t="str">
        <f>VLOOKUP(A44,'Trips&amp;Operators'!$C$1:$E$9999,3,FALSE)</f>
        <v>LEVIN</v>
      </c>
      <c r="M44" s="12">
        <f t="shared" si="10"/>
        <v>3.199074073927477E-2</v>
      </c>
      <c r="N44" s="13">
        <f t="shared" si="5"/>
        <v>46.066666664555669</v>
      </c>
      <c r="O44" s="13"/>
      <c r="P44" s="13"/>
      <c r="Q44" s="62"/>
      <c r="R44" s="62"/>
      <c r="T4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09:29:19-0600',mode:absolute,to:'2016-05-19 10:18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4" s="74" t="str">
        <f t="shared" si="12"/>
        <v>N</v>
      </c>
      <c r="V44" s="74">
        <f t="shared" si="13"/>
        <v>1</v>
      </c>
      <c r="W44" s="74">
        <f t="shared" si="14"/>
        <v>23.299399999999999</v>
      </c>
      <c r="X44" s="74">
        <f t="shared" si="15"/>
        <v>1.4999999999999999E-2</v>
      </c>
      <c r="Y44" s="74">
        <f t="shared" si="16"/>
        <v>23.284399999999998</v>
      </c>
      <c r="Z44" s="75" t="e">
        <f>VLOOKUP(A44,Enforcements!$C$3:$J$60,8,0)</f>
        <v>#N/A</v>
      </c>
      <c r="AA44" s="75" t="e">
        <f>VLOOKUP(A44,Enforcements!$C$3:$J$60,3,0)</f>
        <v>#N/A</v>
      </c>
    </row>
    <row r="45" spans="1:27" s="2" customFormat="1" hidden="1" x14ac:dyDescent="0.25">
      <c r="A45" s="61" t="s">
        <v>435</v>
      </c>
      <c r="B45" s="61">
        <v>4042</v>
      </c>
      <c r="C45" s="61" t="s">
        <v>66</v>
      </c>
      <c r="D45" s="61" t="s">
        <v>180</v>
      </c>
      <c r="E45" s="30">
        <v>42509.370694444442</v>
      </c>
      <c r="F45" s="30">
        <v>42509.371620370373</v>
      </c>
      <c r="G45" s="38">
        <v>1</v>
      </c>
      <c r="H45" s="30" t="s">
        <v>100</v>
      </c>
      <c r="I45" s="30">
        <v>42509.40115740741</v>
      </c>
      <c r="J45" s="61">
        <v>0</v>
      </c>
      <c r="K45" s="61" t="str">
        <f t="shared" si="9"/>
        <v>4041/4042</v>
      </c>
      <c r="L45" s="61" t="str">
        <f>VLOOKUP(A45,'Trips&amp;Operators'!$C$1:$E$9999,3,FALSE)</f>
        <v>CUSHING</v>
      </c>
      <c r="M45" s="12">
        <f t="shared" si="10"/>
        <v>2.9537037036789116E-2</v>
      </c>
      <c r="N45" s="13">
        <f t="shared" si="5"/>
        <v>42.533333332976326</v>
      </c>
      <c r="O45" s="13"/>
      <c r="P45" s="13"/>
      <c r="Q45" s="62"/>
      <c r="R45" s="62"/>
      <c r="T4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08:52:48-0600',mode:absolute,to:'2016-05-19 09:38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5" s="74" t="str">
        <f t="shared" si="12"/>
        <v>N</v>
      </c>
      <c r="V45" s="74">
        <f t="shared" si="13"/>
        <v>1</v>
      </c>
      <c r="W45" s="74">
        <f t="shared" si="14"/>
        <v>4.8399999999999999E-2</v>
      </c>
      <c r="X45" s="74">
        <f t="shared" si="15"/>
        <v>23.331499999999998</v>
      </c>
      <c r="Y45" s="74">
        <f t="shared" si="16"/>
        <v>23.283099999999997</v>
      </c>
      <c r="Z45" s="75" t="e">
        <f>VLOOKUP(A45,Enforcements!$C$3:$J$60,8,0)</f>
        <v>#N/A</v>
      </c>
      <c r="AA45" s="75" t="e">
        <f>VLOOKUP(A45,Enforcements!$C$3:$J$60,3,0)</f>
        <v>#N/A</v>
      </c>
    </row>
    <row r="46" spans="1:27" s="2" customFormat="1" x14ac:dyDescent="0.25">
      <c r="A46" s="61" t="s">
        <v>421</v>
      </c>
      <c r="B46" s="61">
        <v>4041</v>
      </c>
      <c r="C46" s="61" t="s">
        <v>66</v>
      </c>
      <c r="D46" s="61" t="s">
        <v>130</v>
      </c>
      <c r="E46" s="30">
        <v>42509.408506944441</v>
      </c>
      <c r="F46" s="30">
        <v>42509.409386574072</v>
      </c>
      <c r="G46" s="38">
        <v>1</v>
      </c>
      <c r="H46" s="30" t="s">
        <v>494</v>
      </c>
      <c r="I46" s="30">
        <v>42509.429212962961</v>
      </c>
      <c r="J46" s="61">
        <v>0</v>
      </c>
      <c r="K46" s="61" t="str">
        <f t="shared" si="9"/>
        <v>4041/4042</v>
      </c>
      <c r="L46" s="61" t="str">
        <f>VLOOKUP(A46,'Trips&amp;Operators'!$C$1:$E$9999,3,FALSE)</f>
        <v>CUSHING</v>
      </c>
      <c r="M46" s="12">
        <f t="shared" si="10"/>
        <v>1.9826388888759539E-2</v>
      </c>
      <c r="N46" s="13"/>
      <c r="O46" s="13"/>
      <c r="P46" s="13">
        <f t="shared" si="5"/>
        <v>28.549999999813735</v>
      </c>
      <c r="Q46" s="62" t="s">
        <v>175</v>
      </c>
      <c r="R46" s="62" t="s">
        <v>541</v>
      </c>
      <c r="T4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09:47:15-0600',mode:absolute,to:'2016-05-19 10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6" s="74" t="str">
        <f t="shared" si="12"/>
        <v>Y</v>
      </c>
      <c r="V46" s="74">
        <f t="shared" si="13"/>
        <v>1</v>
      </c>
      <c r="W46" s="74">
        <f t="shared" si="14"/>
        <v>23.299600000000002</v>
      </c>
      <c r="X46" s="74">
        <f t="shared" si="15"/>
        <v>8.6295999999999999</v>
      </c>
      <c r="Y46" s="74">
        <f t="shared" si="16"/>
        <v>14.670000000000002</v>
      </c>
      <c r="Z46" s="75">
        <f>VLOOKUP(A46,Enforcements!$C$3:$J$60,8,0)</f>
        <v>126678</v>
      </c>
      <c r="AA46" s="75" t="str">
        <f>VLOOKUP(A46,Enforcements!$C$3:$J$60,3,0)</f>
        <v>PERMANENT SPEED RESTRICTION</v>
      </c>
    </row>
    <row r="47" spans="1:27" s="2" customFormat="1" hidden="1" x14ac:dyDescent="0.25">
      <c r="A47" s="61" t="s">
        <v>424</v>
      </c>
      <c r="B47" s="61">
        <v>4029</v>
      </c>
      <c r="C47" s="61" t="s">
        <v>66</v>
      </c>
      <c r="D47" s="61" t="s">
        <v>76</v>
      </c>
      <c r="E47" s="30">
        <v>42509.381307870368</v>
      </c>
      <c r="F47" s="30">
        <v>42509.382002314815</v>
      </c>
      <c r="G47" s="38">
        <v>1</v>
      </c>
      <c r="H47" s="30" t="s">
        <v>495</v>
      </c>
      <c r="I47" s="30">
        <v>42509.410775462966</v>
      </c>
      <c r="J47" s="61">
        <v>0</v>
      </c>
      <c r="K47" s="61" t="str">
        <f t="shared" si="9"/>
        <v>4029/4030</v>
      </c>
      <c r="L47" s="61" t="str">
        <f>VLOOKUP(A47,'Trips&amp;Operators'!$C$1:$E$9999,3,FALSE)</f>
        <v>STARKS</v>
      </c>
      <c r="M47" s="12">
        <f t="shared" si="10"/>
        <v>2.8773148151230998E-2</v>
      </c>
      <c r="N47" s="13">
        <f t="shared" si="5"/>
        <v>41.433333337772638</v>
      </c>
      <c r="O47" s="13"/>
      <c r="P47" s="13"/>
      <c r="Q47" s="62"/>
      <c r="R47" s="62"/>
      <c r="T4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09:08:05-0600',mode:absolute,to:'2016-05-19 09:52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7" s="74" t="str">
        <f t="shared" si="12"/>
        <v>N</v>
      </c>
      <c r="V47" s="74">
        <f t="shared" si="13"/>
        <v>1</v>
      </c>
      <c r="W47" s="74">
        <f t="shared" si="14"/>
        <v>4.4699999999999997E-2</v>
      </c>
      <c r="X47" s="74">
        <f t="shared" si="15"/>
        <v>23.335999999999999</v>
      </c>
      <c r="Y47" s="74">
        <f t="shared" si="16"/>
        <v>23.2913</v>
      </c>
      <c r="Z47" s="75" t="e">
        <f>VLOOKUP(A47,Enforcements!$C$3:$J$60,8,0)</f>
        <v>#N/A</v>
      </c>
      <c r="AA47" s="75" t="e">
        <f>VLOOKUP(A47,Enforcements!$C$3:$J$60,3,0)</f>
        <v>#N/A</v>
      </c>
    </row>
    <row r="48" spans="1:27" s="2" customFormat="1" hidden="1" x14ac:dyDescent="0.25">
      <c r="A48" s="61" t="s">
        <v>394</v>
      </c>
      <c r="B48" s="61">
        <v>4030</v>
      </c>
      <c r="C48" s="61" t="s">
        <v>66</v>
      </c>
      <c r="D48" s="61" t="s">
        <v>496</v>
      </c>
      <c r="E48" s="30">
        <v>42509.423541666663</v>
      </c>
      <c r="F48" s="30">
        <v>42509.424444444441</v>
      </c>
      <c r="G48" s="38">
        <v>1</v>
      </c>
      <c r="H48" s="30" t="s">
        <v>77</v>
      </c>
      <c r="I48" s="30">
        <v>42509.454988425925</v>
      </c>
      <c r="J48" s="61">
        <v>2</v>
      </c>
      <c r="K48" s="61" t="str">
        <f t="shared" si="9"/>
        <v>4029/4030</v>
      </c>
      <c r="L48" s="61" t="str">
        <f>VLOOKUP(A48,'Trips&amp;Operators'!$C$1:$E$9999,3,FALSE)</f>
        <v>STARKS</v>
      </c>
      <c r="M48" s="12">
        <f t="shared" si="10"/>
        <v>3.054398148378823E-2</v>
      </c>
      <c r="N48" s="13">
        <f t="shared" si="5"/>
        <v>43.983333336655051</v>
      </c>
      <c r="O48" s="13"/>
      <c r="P48" s="13"/>
      <c r="Q48" s="62"/>
      <c r="R48" s="62"/>
      <c r="T4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10:08:54-0600',mode:absolute,to:'2016-05-19 10:56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8" s="74" t="str">
        <f t="shared" si="12"/>
        <v>N</v>
      </c>
      <c r="V48" s="74">
        <f t="shared" si="13"/>
        <v>1</v>
      </c>
      <c r="W48" s="74">
        <f t="shared" si="14"/>
        <v>23.305099999999999</v>
      </c>
      <c r="X48" s="74">
        <f t="shared" si="15"/>
        <v>1.3599999999999999E-2</v>
      </c>
      <c r="Y48" s="74">
        <f t="shared" si="16"/>
        <v>23.291499999999999</v>
      </c>
      <c r="Z48" s="75">
        <f>VLOOKUP(A48,Enforcements!$C$3:$J$60,8,0)</f>
        <v>200464</v>
      </c>
      <c r="AA48" s="75" t="str">
        <f>VLOOKUP(A48,Enforcements!$C$3:$J$60,3,0)</f>
        <v>PERMANENT SPEED RESTRICTION</v>
      </c>
    </row>
    <row r="49" spans="1:27" s="2" customFormat="1" hidden="1" x14ac:dyDescent="0.25">
      <c r="A49" s="61" t="s">
        <v>426</v>
      </c>
      <c r="B49" s="61">
        <v>4011</v>
      </c>
      <c r="C49" s="61" t="s">
        <v>66</v>
      </c>
      <c r="D49" s="61" t="s">
        <v>129</v>
      </c>
      <c r="E49" s="30">
        <v>42509.389351851853</v>
      </c>
      <c r="F49" s="30">
        <v>42509.390972222223</v>
      </c>
      <c r="G49" s="38">
        <v>2</v>
      </c>
      <c r="H49" s="30" t="s">
        <v>128</v>
      </c>
      <c r="I49" s="30">
        <v>42509.422511574077</v>
      </c>
      <c r="J49" s="61">
        <v>1</v>
      </c>
      <c r="K49" s="61" t="str">
        <f t="shared" si="9"/>
        <v>4011/4012</v>
      </c>
      <c r="L49" s="61" t="str">
        <f>VLOOKUP(A49,'Trips&amp;Operators'!$C$1:$E$9999,3,FALSE)</f>
        <v>LEDERHAUSE</v>
      </c>
      <c r="M49" s="12">
        <f t="shared" si="10"/>
        <v>3.1539351854007691E-2</v>
      </c>
      <c r="N49" s="13">
        <f t="shared" si="5"/>
        <v>45.416666669771075</v>
      </c>
      <c r="O49" s="13"/>
      <c r="P49" s="13"/>
      <c r="Q49" s="62"/>
      <c r="R49" s="62"/>
      <c r="T4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09:19:40-0600',mode:absolute,to:'2016-05-19 10:09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9" s="74" t="str">
        <f t="shared" si="12"/>
        <v>N</v>
      </c>
      <c r="V49" s="74">
        <f t="shared" si="13"/>
        <v>1</v>
      </c>
      <c r="W49" s="74">
        <f t="shared" si="14"/>
        <v>4.4900000000000002E-2</v>
      </c>
      <c r="X49" s="74">
        <f t="shared" si="15"/>
        <v>23.330200000000001</v>
      </c>
      <c r="Y49" s="74">
        <f t="shared" si="16"/>
        <v>23.285300000000003</v>
      </c>
      <c r="Z49" s="75">
        <f>VLOOKUP(A49,Enforcements!$C$3:$J$60,8,0)</f>
        <v>224578</v>
      </c>
      <c r="AA49" s="75" t="str">
        <f>VLOOKUP(A49,Enforcements!$C$3:$J$60,3,0)</f>
        <v>PERMANENT SPEED RESTRICTION</v>
      </c>
    </row>
    <row r="50" spans="1:27" s="2" customFormat="1" hidden="1" x14ac:dyDescent="0.25">
      <c r="A50" s="61" t="s">
        <v>325</v>
      </c>
      <c r="B50" s="61">
        <v>4039</v>
      </c>
      <c r="C50" s="61" t="s">
        <v>66</v>
      </c>
      <c r="D50" s="61" t="s">
        <v>158</v>
      </c>
      <c r="E50" s="30">
        <v>42509.434710648151</v>
      </c>
      <c r="F50" s="30">
        <v>42509.435960648145</v>
      </c>
      <c r="G50" s="38">
        <v>1</v>
      </c>
      <c r="H50" s="30" t="s">
        <v>497</v>
      </c>
      <c r="I50" s="30">
        <v>42509.46806712963</v>
      </c>
      <c r="J50" s="61">
        <v>2</v>
      </c>
      <c r="K50" s="61" t="str">
        <f t="shared" si="9"/>
        <v>4039/4040</v>
      </c>
      <c r="L50" s="61" t="str">
        <f>VLOOKUP(A50,'Trips&amp;Operators'!$C$1:$E$9999,3,FALSE)</f>
        <v>LEDERHAUSE</v>
      </c>
      <c r="M50" s="12">
        <f t="shared" si="10"/>
        <v>3.2106481485243421E-2</v>
      </c>
      <c r="N50" s="13">
        <f t="shared" si="5"/>
        <v>46.233333338750526</v>
      </c>
      <c r="O50" s="13"/>
      <c r="P50" s="13"/>
      <c r="Q50" s="62"/>
      <c r="R50" s="62"/>
      <c r="T5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10:24:59-0600',mode:absolute,to:'2016-05-19 11:15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0" s="74" t="str">
        <f t="shared" si="12"/>
        <v>N</v>
      </c>
      <c r="V50" s="74">
        <f t="shared" si="13"/>
        <v>1</v>
      </c>
      <c r="W50" s="74">
        <f t="shared" si="14"/>
        <v>23.296299999999999</v>
      </c>
      <c r="X50" s="74">
        <f t="shared" si="15"/>
        <v>9.5200000000000007E-2</v>
      </c>
      <c r="Y50" s="74">
        <f t="shared" si="16"/>
        <v>23.2011</v>
      </c>
      <c r="Z50" s="75">
        <f>VLOOKUP(A50,Enforcements!$C$3:$J$60,8,0)</f>
        <v>224581</v>
      </c>
      <c r="AA50" s="75" t="str">
        <f>VLOOKUP(A50,Enforcements!$C$3:$J$60,3,0)</f>
        <v>PERMANENT SPEED RESTRICTION</v>
      </c>
    </row>
    <row r="51" spans="1:27" s="2" customFormat="1" hidden="1" x14ac:dyDescent="0.25">
      <c r="A51" s="61" t="s">
        <v>423</v>
      </c>
      <c r="B51" s="61">
        <v>4040</v>
      </c>
      <c r="C51" s="61" t="s">
        <v>66</v>
      </c>
      <c r="D51" s="61" t="s">
        <v>165</v>
      </c>
      <c r="E51" s="30">
        <v>42509.401342592595</v>
      </c>
      <c r="F51" s="30">
        <v>42509.403645833336</v>
      </c>
      <c r="G51" s="38">
        <v>3</v>
      </c>
      <c r="H51" s="30" t="s">
        <v>498</v>
      </c>
      <c r="I51" s="30">
        <v>42509.431805555556</v>
      </c>
      <c r="J51" s="61">
        <v>0</v>
      </c>
      <c r="K51" s="61" t="str">
        <f t="shared" si="9"/>
        <v>4039/4040</v>
      </c>
      <c r="L51" s="61" t="str">
        <f>VLOOKUP(A51,'Trips&amp;Operators'!$C$1:$E$9999,3,FALSE)</f>
        <v>STRICKLAND</v>
      </c>
      <c r="M51" s="12">
        <f t="shared" si="10"/>
        <v>2.8159722220152617E-2</v>
      </c>
      <c r="N51" s="13">
        <f t="shared" si="5"/>
        <v>40.549999997019768</v>
      </c>
      <c r="O51" s="13"/>
      <c r="P51" s="13"/>
      <c r="Q51" s="62"/>
      <c r="R51" s="62"/>
      <c r="T5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09:36:56-0600',mode:absolute,to:'2016-05-19 10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1" s="74" t="str">
        <f t="shared" si="12"/>
        <v>N</v>
      </c>
      <c r="V51" s="74">
        <f t="shared" si="13"/>
        <v>1</v>
      </c>
      <c r="W51" s="74">
        <f t="shared" si="14"/>
        <v>4.6600000000000003E-2</v>
      </c>
      <c r="X51" s="74">
        <f t="shared" si="15"/>
        <v>23.328600000000002</v>
      </c>
      <c r="Y51" s="74">
        <f t="shared" si="16"/>
        <v>23.282</v>
      </c>
      <c r="Z51" s="75" t="e">
        <f>VLOOKUP(A51,Enforcements!$C$3:$J$60,8,0)</f>
        <v>#N/A</v>
      </c>
      <c r="AA51" s="75" t="e">
        <f>VLOOKUP(A51,Enforcements!$C$3:$J$60,3,0)</f>
        <v>#N/A</v>
      </c>
    </row>
    <row r="52" spans="1:27" s="2" customFormat="1" hidden="1" x14ac:dyDescent="0.25">
      <c r="A52" s="61" t="s">
        <v>420</v>
      </c>
      <c r="B52" s="61">
        <v>4043</v>
      </c>
      <c r="C52" s="61" t="s">
        <v>66</v>
      </c>
      <c r="D52" s="61" t="s">
        <v>499</v>
      </c>
      <c r="E52" s="30">
        <v>42509.446481481478</v>
      </c>
      <c r="F52" s="30">
        <v>42509.447800925926</v>
      </c>
      <c r="G52" s="38">
        <v>1</v>
      </c>
      <c r="H52" s="30" t="s">
        <v>83</v>
      </c>
      <c r="I52" s="30">
        <v>42509.480254629627</v>
      </c>
      <c r="J52" s="61">
        <v>1</v>
      </c>
      <c r="K52" s="61" t="str">
        <f t="shared" si="9"/>
        <v>4043/4044</v>
      </c>
      <c r="L52" s="61" t="str">
        <f>VLOOKUP(A52,'Trips&amp;Operators'!$C$1:$E$9999,3,FALSE)</f>
        <v>STRICKLAND</v>
      </c>
      <c r="M52" s="12">
        <f t="shared" si="10"/>
        <v>3.2453703701321501E-2</v>
      </c>
      <c r="N52" s="13">
        <f t="shared" si="5"/>
        <v>46.733333329902962</v>
      </c>
      <c r="O52" s="13"/>
      <c r="P52" s="13"/>
      <c r="Q52" s="62"/>
      <c r="R52" s="62"/>
      <c r="T5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10:41:56-0600',mode:absolute,to:'2016-05-19 11:32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2" s="74" t="str">
        <f t="shared" si="12"/>
        <v>N</v>
      </c>
      <c r="V52" s="74">
        <f t="shared" si="13"/>
        <v>1</v>
      </c>
      <c r="W52" s="74">
        <f t="shared" si="14"/>
        <v>23.298200000000001</v>
      </c>
      <c r="X52" s="74">
        <f t="shared" si="15"/>
        <v>1.52E-2</v>
      </c>
      <c r="Y52" s="74">
        <f t="shared" si="16"/>
        <v>23.283000000000001</v>
      </c>
      <c r="Z52" s="75">
        <f>VLOOKUP(A52,Enforcements!$C$3:$J$60,8,0)</f>
        <v>183829</v>
      </c>
      <c r="AA52" s="75" t="str">
        <f>VLOOKUP(A52,Enforcements!$C$3:$J$60,3,0)</f>
        <v>PERMANENT SPEED RESTRICTION</v>
      </c>
    </row>
    <row r="53" spans="1:27" s="2" customFormat="1" hidden="1" x14ac:dyDescent="0.25">
      <c r="A53" s="61" t="s">
        <v>459</v>
      </c>
      <c r="B53" s="61">
        <v>4044</v>
      </c>
      <c r="C53" s="61" t="s">
        <v>66</v>
      </c>
      <c r="D53" s="61" t="s">
        <v>186</v>
      </c>
      <c r="E53" s="30">
        <v>42509.41207175926</v>
      </c>
      <c r="F53" s="30">
        <v>42509.41300925926</v>
      </c>
      <c r="G53" s="38">
        <v>1</v>
      </c>
      <c r="H53" s="30" t="s">
        <v>68</v>
      </c>
      <c r="I53" s="30">
        <v>42509.445451388892</v>
      </c>
      <c r="J53" s="61">
        <v>0</v>
      </c>
      <c r="K53" s="61" t="str">
        <f t="shared" si="9"/>
        <v>4043/4044</v>
      </c>
      <c r="L53" s="61" t="str">
        <f>VLOOKUP(A53,'Trips&amp;Operators'!$C$1:$E$9999,3,FALSE)</f>
        <v>CHANDLER</v>
      </c>
      <c r="M53" s="12">
        <f t="shared" si="10"/>
        <v>3.2442129631817807E-2</v>
      </c>
      <c r="N53" s="13">
        <f t="shared" si="5"/>
        <v>46.716666669817641</v>
      </c>
      <c r="O53" s="13"/>
      <c r="P53" s="13"/>
      <c r="Q53" s="62"/>
      <c r="R53" s="62"/>
      <c r="T5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09:52:23-0600',mode:absolute,to:'2016-05-19 10:42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3" s="74" t="str">
        <f t="shared" si="12"/>
        <v>N</v>
      </c>
      <c r="V53" s="74">
        <f t="shared" si="13"/>
        <v>1</v>
      </c>
      <c r="W53" s="74">
        <f t="shared" si="14"/>
        <v>4.6199999999999998E-2</v>
      </c>
      <c r="X53" s="74">
        <f t="shared" si="15"/>
        <v>23.329499999999999</v>
      </c>
      <c r="Y53" s="74">
        <f t="shared" si="16"/>
        <v>23.283300000000001</v>
      </c>
      <c r="Z53" s="75" t="e">
        <f>VLOOKUP(A53,Enforcements!$C$3:$J$60,8,0)</f>
        <v>#N/A</v>
      </c>
      <c r="AA53" s="75" t="e">
        <f>VLOOKUP(A53,Enforcements!$C$3:$J$60,3,0)</f>
        <v>#N/A</v>
      </c>
    </row>
    <row r="54" spans="1:27" s="2" customFormat="1" hidden="1" x14ac:dyDescent="0.25">
      <c r="A54" s="61" t="s">
        <v>407</v>
      </c>
      <c r="B54" s="61">
        <v>4023</v>
      </c>
      <c r="C54" s="61" t="s">
        <v>66</v>
      </c>
      <c r="D54" s="61" t="s">
        <v>483</v>
      </c>
      <c r="E54" s="30">
        <v>42509.460798611108</v>
      </c>
      <c r="F54" s="30">
        <v>42509.461608796293</v>
      </c>
      <c r="G54" s="38">
        <v>1</v>
      </c>
      <c r="H54" s="30" t="s">
        <v>131</v>
      </c>
      <c r="I54" s="30">
        <v>42509.490370370368</v>
      </c>
      <c r="J54" s="61">
        <v>1</v>
      </c>
      <c r="K54" s="61" t="str">
        <f t="shared" si="9"/>
        <v>4023/4024</v>
      </c>
      <c r="L54" s="61" t="str">
        <f>VLOOKUP(A54,'Trips&amp;Operators'!$C$1:$E$9999,3,FALSE)</f>
        <v>CHANDLER</v>
      </c>
      <c r="M54" s="12">
        <f t="shared" si="10"/>
        <v>2.8761574074451346E-2</v>
      </c>
      <c r="N54" s="13">
        <f t="shared" si="5"/>
        <v>41.416666667209938</v>
      </c>
      <c r="O54" s="13"/>
      <c r="P54" s="13"/>
      <c r="Q54" s="62"/>
      <c r="R54" s="62"/>
      <c r="T5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11:02:33-0600',mode:absolute,to:'2016-05-19 11:47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4" s="74" t="str">
        <f t="shared" si="12"/>
        <v>N</v>
      </c>
      <c r="V54" s="74">
        <f t="shared" si="13"/>
        <v>1</v>
      </c>
      <c r="W54" s="74">
        <f t="shared" si="14"/>
        <v>23.295500000000001</v>
      </c>
      <c r="X54" s="74">
        <f t="shared" si="15"/>
        <v>1.6E-2</v>
      </c>
      <c r="Y54" s="74">
        <f t="shared" si="16"/>
        <v>23.279500000000002</v>
      </c>
      <c r="Z54" s="75">
        <f>VLOOKUP(A54,Enforcements!$C$3:$J$60,8,0)</f>
        <v>1</v>
      </c>
      <c r="AA54" s="75" t="str">
        <f>VLOOKUP(A54,Enforcements!$C$3:$J$60,3,0)</f>
        <v>TRACK WARRANT AUTHORITY</v>
      </c>
    </row>
    <row r="55" spans="1:27" s="2" customFormat="1" hidden="1" x14ac:dyDescent="0.25">
      <c r="A55" s="61" t="s">
        <v>419</v>
      </c>
      <c r="B55" s="61">
        <v>4024</v>
      </c>
      <c r="C55" s="61" t="s">
        <v>66</v>
      </c>
      <c r="D55" s="61" t="s">
        <v>481</v>
      </c>
      <c r="E55" s="30">
        <v>42509.424826388888</v>
      </c>
      <c r="F55" s="30">
        <v>42509.426226851851</v>
      </c>
      <c r="G55" s="38">
        <v>2</v>
      </c>
      <c r="H55" s="30" t="s">
        <v>167</v>
      </c>
      <c r="I55" s="30">
        <v>42509.458518518521</v>
      </c>
      <c r="J55" s="61">
        <v>1</v>
      </c>
      <c r="K55" s="61" t="str">
        <f t="shared" si="9"/>
        <v>4023/4024</v>
      </c>
      <c r="L55" s="61" t="str">
        <f>VLOOKUP(A55,'Trips&amp;Operators'!$C$1:$E$9999,3,FALSE)</f>
        <v>BRUDER</v>
      </c>
      <c r="M55" s="12">
        <f t="shared" si="10"/>
        <v>3.2291666670062114E-2</v>
      </c>
      <c r="N55" s="13">
        <f t="shared" si="5"/>
        <v>46.500000004889444</v>
      </c>
      <c r="O55" s="13"/>
      <c r="P55" s="13"/>
      <c r="Q55" s="62"/>
      <c r="R55" s="62"/>
      <c r="T5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10:10:45-0600',mode:absolute,to:'2016-05-19 11:01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5" s="74" t="str">
        <f t="shared" si="12"/>
        <v>N</v>
      </c>
      <c r="V55" s="74">
        <f t="shared" si="13"/>
        <v>1</v>
      </c>
      <c r="W55" s="74">
        <f t="shared" si="14"/>
        <v>4.8599999999999997E-2</v>
      </c>
      <c r="X55" s="74">
        <f t="shared" si="15"/>
        <v>23.328399999999998</v>
      </c>
      <c r="Y55" s="74">
        <f t="shared" si="16"/>
        <v>23.279799999999998</v>
      </c>
      <c r="Z55" s="75">
        <f>VLOOKUP(A55,Enforcements!$C$3:$J$60,8,0)</f>
        <v>233491</v>
      </c>
      <c r="AA55" s="75" t="str">
        <f>VLOOKUP(A55,Enforcements!$C$3:$J$60,3,0)</f>
        <v>TRACK WARRANT AUTHORITY</v>
      </c>
    </row>
    <row r="56" spans="1:27" s="2" customFormat="1" hidden="1" x14ac:dyDescent="0.25">
      <c r="A56" s="61" t="s">
        <v>422</v>
      </c>
      <c r="B56" s="61">
        <v>4032</v>
      </c>
      <c r="C56" s="61" t="s">
        <v>66</v>
      </c>
      <c r="D56" s="61" t="s">
        <v>162</v>
      </c>
      <c r="E56" s="30">
        <v>42509.469918981478</v>
      </c>
      <c r="F56" s="30">
        <v>42509.471250000002</v>
      </c>
      <c r="G56" s="38">
        <v>1</v>
      </c>
      <c r="H56" s="30" t="s">
        <v>96</v>
      </c>
      <c r="I56" s="30">
        <v>42509.507199074076</v>
      </c>
      <c r="J56" s="61">
        <v>0</v>
      </c>
      <c r="K56" s="61" t="str">
        <f t="shared" si="9"/>
        <v>4031/4032</v>
      </c>
      <c r="L56" s="61" t="str">
        <f>VLOOKUP(A56,'Trips&amp;Operators'!$C$1:$E$9999,3,FALSE)</f>
        <v>BRUDER</v>
      </c>
      <c r="M56" s="12">
        <f t="shared" si="10"/>
        <v>3.5949074073869269E-2</v>
      </c>
      <c r="N56" s="13">
        <f t="shared" si="5"/>
        <v>51.766666666371748</v>
      </c>
      <c r="O56" s="13"/>
      <c r="P56" s="13"/>
      <c r="Q56" s="62"/>
      <c r="R56" s="62"/>
      <c r="T5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11:15:41-0600',mode:absolute,to:'2016-05-19 12:11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6" s="74" t="str">
        <f t="shared" si="12"/>
        <v>N</v>
      </c>
      <c r="V56" s="74">
        <f t="shared" si="13"/>
        <v>1</v>
      </c>
      <c r="W56" s="74">
        <f t="shared" si="14"/>
        <v>23.297699999999999</v>
      </c>
      <c r="X56" s="74">
        <f t="shared" si="15"/>
        <v>1.4999999999999999E-2</v>
      </c>
      <c r="Y56" s="74">
        <f t="shared" si="16"/>
        <v>23.282699999999998</v>
      </c>
      <c r="Z56" s="75" t="e">
        <f>VLOOKUP(A56,Enforcements!$C$3:$J$60,8,0)</f>
        <v>#N/A</v>
      </c>
      <c r="AA56" s="75" t="e">
        <f>VLOOKUP(A56,Enforcements!$C$3:$J$60,3,0)</f>
        <v>#N/A</v>
      </c>
    </row>
    <row r="57" spans="1:27" s="2" customFormat="1" hidden="1" x14ac:dyDescent="0.25">
      <c r="A57" s="61" t="s">
        <v>370</v>
      </c>
      <c r="B57" s="61">
        <v>4031</v>
      </c>
      <c r="C57" s="61" t="s">
        <v>66</v>
      </c>
      <c r="D57" s="61" t="s">
        <v>160</v>
      </c>
      <c r="E57" s="30">
        <v>42509.43246527778</v>
      </c>
      <c r="F57" s="30">
        <v>42509.433923611112</v>
      </c>
      <c r="G57" s="38">
        <v>2</v>
      </c>
      <c r="H57" s="30" t="s">
        <v>500</v>
      </c>
      <c r="I57" s="30">
        <v>42509.467326388891</v>
      </c>
      <c r="J57" s="61">
        <v>0</v>
      </c>
      <c r="K57" s="61" t="str">
        <f t="shared" si="9"/>
        <v>4031/4032</v>
      </c>
      <c r="L57" s="61" t="str">
        <f>VLOOKUP(A57,'Trips&amp;Operators'!$C$1:$E$9999,3,FALSE)</f>
        <v>GEBRETEKLE</v>
      </c>
      <c r="M57" s="12">
        <f t="shared" si="10"/>
        <v>3.3402777778974269E-2</v>
      </c>
      <c r="N57" s="13">
        <f t="shared" si="5"/>
        <v>48.100000001722947</v>
      </c>
      <c r="O57" s="13"/>
      <c r="P57" s="13"/>
      <c r="Q57" s="62"/>
      <c r="R57" s="62"/>
      <c r="T5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10:21:45-0600',mode:absolute,to:'2016-05-19 11:13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7" s="74" t="str">
        <f t="shared" si="12"/>
        <v>N</v>
      </c>
      <c r="V57" s="74">
        <f t="shared" si="13"/>
        <v>1</v>
      </c>
      <c r="W57" s="74">
        <f t="shared" si="14"/>
        <v>4.7699999999999999E-2</v>
      </c>
      <c r="X57" s="74">
        <f t="shared" si="15"/>
        <v>23.3337</v>
      </c>
      <c r="Y57" s="74">
        <f t="shared" si="16"/>
        <v>23.286000000000001</v>
      </c>
      <c r="Z57" s="75" t="e">
        <f>VLOOKUP(A57,Enforcements!$C$3:$J$60,8,0)</f>
        <v>#N/A</v>
      </c>
      <c r="AA57" s="75" t="e">
        <f>VLOOKUP(A57,Enforcements!$C$3:$J$60,3,0)</f>
        <v>#N/A</v>
      </c>
    </row>
    <row r="58" spans="1:27" s="2" customFormat="1" hidden="1" x14ac:dyDescent="0.25">
      <c r="A58" s="61" t="s">
        <v>374</v>
      </c>
      <c r="B58" s="61">
        <v>4041</v>
      </c>
      <c r="C58" s="61" t="s">
        <v>66</v>
      </c>
      <c r="D58" s="61" t="s">
        <v>158</v>
      </c>
      <c r="E58" s="30">
        <v>42509.480208333334</v>
      </c>
      <c r="F58" s="30">
        <v>42509.48269675926</v>
      </c>
      <c r="G58" s="38">
        <v>3</v>
      </c>
      <c r="H58" s="30" t="s">
        <v>106</v>
      </c>
      <c r="I58" s="30">
        <v>42509.518333333333</v>
      </c>
      <c r="J58" s="61">
        <v>0</v>
      </c>
      <c r="K58" s="61" t="str">
        <f t="shared" si="9"/>
        <v>4041/4042</v>
      </c>
      <c r="L58" s="61" t="str">
        <f>VLOOKUP(A58,'Trips&amp;Operators'!$C$1:$E$9999,3,FALSE)</f>
        <v>GEBRETEKLE</v>
      </c>
      <c r="M58" s="12">
        <f t="shared" si="10"/>
        <v>3.5636574073578231E-2</v>
      </c>
      <c r="N58" s="13">
        <f t="shared" si="5"/>
        <v>51.316666665952653</v>
      </c>
      <c r="O58" s="13"/>
      <c r="P58" s="13"/>
      <c r="Q58" s="62"/>
      <c r="R58" s="62"/>
      <c r="T5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11:30:30-0600',mode:absolute,to:'2016-05-19 12:27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58" s="74" t="str">
        <f t="shared" si="12"/>
        <v>N</v>
      </c>
      <c r="V58" s="74">
        <f t="shared" si="13"/>
        <v>1</v>
      </c>
      <c r="W58" s="74">
        <f t="shared" si="14"/>
        <v>23.296299999999999</v>
      </c>
      <c r="X58" s="74">
        <f t="shared" si="15"/>
        <v>1.5800000000000002E-2</v>
      </c>
      <c r="Y58" s="74">
        <f t="shared" si="16"/>
        <v>23.2805</v>
      </c>
      <c r="Z58" s="75" t="e">
        <f>VLOOKUP(A58,Enforcements!$C$3:$J$60,8,0)</f>
        <v>#N/A</v>
      </c>
      <c r="AA58" s="75" t="e">
        <f>VLOOKUP(A58,Enforcements!$C$3:$J$60,3,0)</f>
        <v>#N/A</v>
      </c>
    </row>
    <row r="59" spans="1:27" s="2" customFormat="1" hidden="1" x14ac:dyDescent="0.25">
      <c r="A59" s="61" t="s">
        <v>411</v>
      </c>
      <c r="B59" s="61">
        <v>4042</v>
      </c>
      <c r="C59" s="61" t="s">
        <v>66</v>
      </c>
      <c r="D59" s="61" t="s">
        <v>160</v>
      </c>
      <c r="E59" s="30">
        <v>42509.445416666669</v>
      </c>
      <c r="F59" s="30">
        <v>42509.446689814817</v>
      </c>
      <c r="G59" s="38">
        <v>1</v>
      </c>
      <c r="H59" s="30" t="s">
        <v>181</v>
      </c>
      <c r="I59" s="30">
        <v>42509.478310185186</v>
      </c>
      <c r="J59" s="61">
        <v>0</v>
      </c>
      <c r="K59" s="61" t="str">
        <f t="shared" si="9"/>
        <v>4041/4042</v>
      </c>
      <c r="L59" s="61" t="str">
        <f>VLOOKUP(A59,'Trips&amp;Operators'!$C$1:$E$9999,3,FALSE)</f>
        <v>STEWART</v>
      </c>
      <c r="M59" s="12">
        <f t="shared" si="10"/>
        <v>3.1620370369637385E-2</v>
      </c>
      <c r="N59" s="13">
        <f t="shared" si="5"/>
        <v>45.533333332277834</v>
      </c>
      <c r="O59" s="13"/>
      <c r="P59" s="13"/>
      <c r="Q59" s="62"/>
      <c r="R59" s="62"/>
      <c r="T5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10:40:24-0600',mode:absolute,to:'2016-05-19 11:29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9" s="74" t="str">
        <f t="shared" si="12"/>
        <v>N</v>
      </c>
      <c r="V59" s="74">
        <f t="shared" si="13"/>
        <v>1</v>
      </c>
      <c r="W59" s="74">
        <f t="shared" si="14"/>
        <v>4.7699999999999999E-2</v>
      </c>
      <c r="X59" s="74">
        <f t="shared" si="15"/>
        <v>23.328199999999999</v>
      </c>
      <c r="Y59" s="74">
        <f t="shared" si="16"/>
        <v>23.2805</v>
      </c>
      <c r="Z59" s="75" t="e">
        <f>VLOOKUP(A59,Enforcements!$C$3:$J$60,8,0)</f>
        <v>#N/A</v>
      </c>
      <c r="AA59" s="75" t="e">
        <f>VLOOKUP(A59,Enforcements!$C$3:$J$60,3,0)</f>
        <v>#N/A</v>
      </c>
    </row>
    <row r="60" spans="1:27" s="2" customFormat="1" hidden="1" x14ac:dyDescent="0.25">
      <c r="A60" s="61" t="s">
        <v>372</v>
      </c>
      <c r="B60" s="61">
        <v>4029</v>
      </c>
      <c r="C60" s="61" t="s">
        <v>66</v>
      </c>
      <c r="D60" s="61" t="s">
        <v>501</v>
      </c>
      <c r="E60" s="30">
        <v>42509.457314814812</v>
      </c>
      <c r="F60" s="30">
        <v>42509.460474537038</v>
      </c>
      <c r="G60" s="38">
        <v>4</v>
      </c>
      <c r="H60" s="30" t="s">
        <v>152</v>
      </c>
      <c r="I60" s="30">
        <v>42509.490578703706</v>
      </c>
      <c r="J60" s="61">
        <v>0</v>
      </c>
      <c r="K60" s="61" t="str">
        <f t="shared" si="9"/>
        <v>4029/4030</v>
      </c>
      <c r="L60" s="61" t="str">
        <f>VLOOKUP(A60,'Trips&amp;Operators'!$C$1:$E$9999,3,FALSE)</f>
        <v>CUSHING</v>
      </c>
      <c r="M60" s="12">
        <f t="shared" si="10"/>
        <v>3.0104166668024845E-2</v>
      </c>
      <c r="N60" s="13">
        <f t="shared" si="5"/>
        <v>43.350000001955777</v>
      </c>
      <c r="O60" s="13"/>
      <c r="P60" s="13"/>
      <c r="Q60" s="62"/>
      <c r="R60" s="62"/>
      <c r="T6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10:57:32-0600',mode:absolute,to:'2016-05-19 11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0" s="74" t="str">
        <f t="shared" si="12"/>
        <v>N</v>
      </c>
      <c r="V60" s="74">
        <f t="shared" si="13"/>
        <v>2</v>
      </c>
      <c r="W60" s="74">
        <f t="shared" si="14"/>
        <v>4.2700000000000002E-2</v>
      </c>
      <c r="X60" s="74">
        <f t="shared" si="15"/>
        <v>23.331399999999999</v>
      </c>
      <c r="Y60" s="74">
        <f t="shared" si="16"/>
        <v>23.288699999999999</v>
      </c>
      <c r="Z60" s="75" t="e">
        <f>VLOOKUP(A60,Enforcements!$C$3:$J$60,8,0)</f>
        <v>#N/A</v>
      </c>
      <c r="AA60" s="75" t="e">
        <f>VLOOKUP(A60,Enforcements!$C$3:$J$60,3,0)</f>
        <v>#N/A</v>
      </c>
    </row>
    <row r="61" spans="1:27" s="2" customFormat="1" hidden="1" x14ac:dyDescent="0.25">
      <c r="A61" s="61" t="s">
        <v>372</v>
      </c>
      <c r="B61" s="61">
        <v>4029</v>
      </c>
      <c r="C61" s="61" t="s">
        <v>66</v>
      </c>
      <c r="D61" s="61" t="s">
        <v>79</v>
      </c>
      <c r="E61" s="30">
        <v>42509.457314814812</v>
      </c>
      <c r="F61" s="30">
        <v>42509.458495370367</v>
      </c>
      <c r="G61" s="38">
        <v>1</v>
      </c>
      <c r="H61" s="30" t="s">
        <v>152</v>
      </c>
      <c r="I61" s="30">
        <v>42509.490578703706</v>
      </c>
      <c r="J61" s="61">
        <v>0</v>
      </c>
      <c r="K61" s="61" t="str">
        <f t="shared" si="9"/>
        <v>4029/4030</v>
      </c>
      <c r="L61" s="61" t="str">
        <f>VLOOKUP(A61,'Trips&amp;Operators'!$C$1:$E$9999,3,FALSE)</f>
        <v>CUSHING</v>
      </c>
      <c r="M61" s="12">
        <f t="shared" si="10"/>
        <v>3.2083333338960074E-2</v>
      </c>
      <c r="N61" s="13">
        <f t="shared" si="5"/>
        <v>46.200000008102506</v>
      </c>
      <c r="O61" s="13"/>
      <c r="P61" s="13"/>
      <c r="Q61" s="62"/>
      <c r="R61" s="62"/>
      <c r="T6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10:57:32-0600',mode:absolute,to:'2016-05-19 11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1" s="74" t="str">
        <f t="shared" si="12"/>
        <v>N</v>
      </c>
      <c r="V61" s="74">
        <f t="shared" si="13"/>
        <v>0</v>
      </c>
      <c r="W61" s="74">
        <f t="shared" si="14"/>
        <v>4.5499999999999999E-2</v>
      </c>
      <c r="X61" s="74">
        <f t="shared" si="15"/>
        <v>23.331399999999999</v>
      </c>
      <c r="Y61" s="74">
        <f t="shared" si="16"/>
        <v>23.285899999999998</v>
      </c>
      <c r="Z61" s="75" t="e">
        <f>VLOOKUP(A61,Enforcements!$C$3:$J$60,8,0)</f>
        <v>#N/A</v>
      </c>
      <c r="AA61" s="75" t="e">
        <f>VLOOKUP(A61,Enforcements!$C$3:$J$60,3,0)</f>
        <v>#N/A</v>
      </c>
    </row>
    <row r="62" spans="1:27" s="2" customFormat="1" x14ac:dyDescent="0.25">
      <c r="A62" s="61" t="s">
        <v>431</v>
      </c>
      <c r="B62" s="61">
        <v>4030</v>
      </c>
      <c r="C62" s="61" t="s">
        <v>66</v>
      </c>
      <c r="D62" s="61" t="s">
        <v>69</v>
      </c>
      <c r="E62" s="30">
        <v>42509.49527777778</v>
      </c>
      <c r="F62" s="30">
        <v>42509.496319444443</v>
      </c>
      <c r="G62" s="38">
        <v>1</v>
      </c>
      <c r="H62" s="30" t="s">
        <v>88</v>
      </c>
      <c r="I62" s="30">
        <v>42509.497974537036</v>
      </c>
      <c r="J62" s="61">
        <v>0</v>
      </c>
      <c r="K62" s="61" t="str">
        <f t="shared" si="9"/>
        <v>4029/4030</v>
      </c>
      <c r="L62" s="61" t="str">
        <f>VLOOKUP(A62,'Trips&amp;Operators'!$C$1:$E$9999,3,FALSE)</f>
        <v>CUSHING</v>
      </c>
      <c r="M62" s="12">
        <f t="shared" si="10"/>
        <v>1.6550925938645378E-3</v>
      </c>
      <c r="N62" s="13"/>
      <c r="O62" s="13"/>
      <c r="P62" s="13">
        <f t="shared" si="5"/>
        <v>2.3833333351649344</v>
      </c>
      <c r="Q62" s="62" t="s">
        <v>175</v>
      </c>
      <c r="R62" s="62" t="s">
        <v>541</v>
      </c>
      <c r="T6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11:52:12-0600',mode:absolute,to:'2016-05-19 11:58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2" s="74" t="str">
        <f t="shared" si="12"/>
        <v>Y</v>
      </c>
      <c r="V62" s="74">
        <f t="shared" si="13"/>
        <v>1</v>
      </c>
      <c r="W62" s="74">
        <f t="shared" si="14"/>
        <v>23.297799999999999</v>
      </c>
      <c r="X62" s="74">
        <f t="shared" si="15"/>
        <v>23.297999999999998</v>
      </c>
      <c r="Y62" s="74">
        <f t="shared" si="16"/>
        <v>1.9999999999953388E-4</v>
      </c>
      <c r="Z62" s="75" t="e">
        <f>VLOOKUP(A62,Enforcements!$C$3:$J$60,8,0)</f>
        <v>#N/A</v>
      </c>
      <c r="AA62" s="75" t="e">
        <f>VLOOKUP(A62,Enforcements!$C$3:$J$60,3,0)</f>
        <v>#N/A</v>
      </c>
    </row>
    <row r="63" spans="1:27" s="2" customFormat="1" hidden="1" x14ac:dyDescent="0.25">
      <c r="A63" s="61" t="s">
        <v>432</v>
      </c>
      <c r="B63" s="61">
        <v>4007</v>
      </c>
      <c r="C63" s="61" t="s">
        <v>66</v>
      </c>
      <c r="D63" s="61" t="s">
        <v>481</v>
      </c>
      <c r="E63" s="30">
        <v>42509.467303240737</v>
      </c>
      <c r="F63" s="30">
        <v>42509.468090277776</v>
      </c>
      <c r="G63" s="38">
        <v>1</v>
      </c>
      <c r="H63" s="30" t="s">
        <v>502</v>
      </c>
      <c r="I63" s="30">
        <v>42509.504363425927</v>
      </c>
      <c r="J63" s="61">
        <v>0</v>
      </c>
      <c r="K63" s="61" t="str">
        <f t="shared" si="9"/>
        <v>4007/4008</v>
      </c>
      <c r="L63" s="61" t="str">
        <f>VLOOKUP(A63,'Trips&amp;Operators'!$C$1:$E$9999,3,FALSE)</f>
        <v>SPECTOR</v>
      </c>
      <c r="M63" s="12">
        <f t="shared" si="10"/>
        <v>3.627314815093996E-2</v>
      </c>
      <c r="N63" s="13">
        <f t="shared" si="5"/>
        <v>52.233333337353542</v>
      </c>
      <c r="O63" s="13"/>
      <c r="P63" s="13"/>
      <c r="Q63" s="62"/>
      <c r="R63" s="62"/>
      <c r="T6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11:11:55-0600',mode:absolute,to:'2016-05-19 12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3" s="74" t="str">
        <f t="shared" si="12"/>
        <v>N</v>
      </c>
      <c r="V63" s="74" t="e">
        <f>VALUE(LEFT(A63,3))-VALUE(LEFT(#REF!,3))</f>
        <v>#REF!</v>
      </c>
      <c r="W63" s="74">
        <f t="shared" si="14"/>
        <v>4.8599999999999997E-2</v>
      </c>
      <c r="X63" s="74">
        <f t="shared" si="15"/>
        <v>23.296800000000001</v>
      </c>
      <c r="Y63" s="74">
        <f t="shared" si="16"/>
        <v>23.248200000000001</v>
      </c>
      <c r="Z63" s="75" t="e">
        <f>VLOOKUP(A63,Enforcements!$C$3:$J$60,8,0)</f>
        <v>#N/A</v>
      </c>
      <c r="AA63" s="75" t="e">
        <f>VLOOKUP(A63,Enforcements!$C$3:$J$60,3,0)</f>
        <v>#N/A</v>
      </c>
    </row>
    <row r="64" spans="1:27" s="2" customFormat="1" hidden="1" x14ac:dyDescent="0.25">
      <c r="A64" s="61" t="s">
        <v>382</v>
      </c>
      <c r="B64" s="61">
        <v>4008</v>
      </c>
      <c r="C64" s="61" t="s">
        <v>66</v>
      </c>
      <c r="D64" s="61" t="s">
        <v>503</v>
      </c>
      <c r="E64" s="30">
        <v>42509.506504629629</v>
      </c>
      <c r="F64" s="30">
        <v>42509.507789351854</v>
      </c>
      <c r="G64" s="38">
        <v>1</v>
      </c>
      <c r="H64" s="30" t="s">
        <v>168</v>
      </c>
      <c r="I64" s="30">
        <v>42509.544363425928</v>
      </c>
      <c r="J64" s="61">
        <v>0</v>
      </c>
      <c r="K64" s="61" t="str">
        <f t="shared" si="9"/>
        <v>4007/4008</v>
      </c>
      <c r="L64" s="61" t="str">
        <f>VLOOKUP(A64,'Trips&amp;Operators'!$C$1:$E$9999,3,FALSE)</f>
        <v>SPECTOR</v>
      </c>
      <c r="M64" s="12">
        <f t="shared" si="10"/>
        <v>3.6574074074451346E-2</v>
      </c>
      <c r="N64" s="13">
        <f t="shared" si="5"/>
        <v>52.666666667209938</v>
      </c>
      <c r="O64" s="13"/>
      <c r="P64" s="13"/>
      <c r="Q64" s="62"/>
      <c r="R64" s="62"/>
      <c r="T6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12:08:22-0600',mode:absolute,to:'2016-05-19 13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4" s="74" t="str">
        <f t="shared" si="12"/>
        <v>N</v>
      </c>
      <c r="V64" s="74">
        <f t="shared" si="13"/>
        <v>1</v>
      </c>
      <c r="W64" s="74">
        <f t="shared" si="14"/>
        <v>23.264099999999999</v>
      </c>
      <c r="X64" s="74">
        <f t="shared" si="15"/>
        <v>1.43E-2</v>
      </c>
      <c r="Y64" s="74">
        <f t="shared" si="16"/>
        <v>23.2498</v>
      </c>
      <c r="Z64" s="75" t="e">
        <f>VLOOKUP(A64,Enforcements!$C$3:$J$60,8,0)</f>
        <v>#N/A</v>
      </c>
      <c r="AA64" s="75" t="e">
        <f>VLOOKUP(A64,Enforcements!$C$3:$J$60,3,0)</f>
        <v>#N/A</v>
      </c>
    </row>
    <row r="65" spans="1:27" s="2" customFormat="1" hidden="1" x14ac:dyDescent="0.25">
      <c r="A65" s="61" t="s">
        <v>449</v>
      </c>
      <c r="B65" s="61">
        <v>4044</v>
      </c>
      <c r="C65" s="61" t="s">
        <v>66</v>
      </c>
      <c r="D65" s="61" t="s">
        <v>129</v>
      </c>
      <c r="E65" s="30">
        <v>42509.481516203705</v>
      </c>
      <c r="F65" s="30">
        <v>42509.483657407407</v>
      </c>
      <c r="G65" s="38">
        <v>3</v>
      </c>
      <c r="H65" s="30" t="s">
        <v>72</v>
      </c>
      <c r="I65" s="30">
        <v>42509.526134259257</v>
      </c>
      <c r="J65" s="61">
        <v>0</v>
      </c>
      <c r="K65" s="61" t="str">
        <f t="shared" si="9"/>
        <v>4043/4044</v>
      </c>
      <c r="L65" s="61" t="str">
        <f>VLOOKUP(A65,'Trips&amp;Operators'!$C$1:$E$9999,3,FALSE)</f>
        <v>DE LA ROSA</v>
      </c>
      <c r="M65" s="12">
        <f t="shared" si="10"/>
        <v>4.2476851849642117E-2</v>
      </c>
      <c r="N65" s="13">
        <f t="shared" si="5"/>
        <v>61.166666663484648</v>
      </c>
      <c r="O65" s="13"/>
      <c r="P65" s="13"/>
      <c r="Q65" s="62"/>
      <c r="R65" s="62"/>
      <c r="T6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11:32:23-0600',mode:absolute,to:'2016-05-19 12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5" s="74" t="str">
        <f t="shared" si="12"/>
        <v>N</v>
      </c>
      <c r="V65" s="74">
        <f t="shared" si="13"/>
        <v>1</v>
      </c>
      <c r="W65" s="74">
        <f t="shared" si="14"/>
        <v>4.4900000000000002E-2</v>
      </c>
      <c r="X65" s="74">
        <f t="shared" si="15"/>
        <v>23.330300000000001</v>
      </c>
      <c r="Y65" s="74">
        <f t="shared" si="16"/>
        <v>23.285400000000003</v>
      </c>
      <c r="Z65" s="75" t="e">
        <f>VLOOKUP(A65,Enforcements!$C$3:$J$60,8,0)</f>
        <v>#N/A</v>
      </c>
      <c r="AA65" s="75" t="e">
        <f>VLOOKUP(A65,Enforcements!$C$3:$J$60,3,0)</f>
        <v>#N/A</v>
      </c>
    </row>
    <row r="66" spans="1:27" s="2" customFormat="1" x14ac:dyDescent="0.25">
      <c r="A66" s="61" t="s">
        <v>346</v>
      </c>
      <c r="B66" s="61">
        <v>4039</v>
      </c>
      <c r="C66" s="61" t="s">
        <v>66</v>
      </c>
      <c r="D66" s="61" t="s">
        <v>183</v>
      </c>
      <c r="E66" s="30">
        <v>42509.515266203707</v>
      </c>
      <c r="F66" s="30">
        <v>42509.516701388886</v>
      </c>
      <c r="G66" s="38">
        <v>2</v>
      </c>
      <c r="H66" s="30" t="s">
        <v>504</v>
      </c>
      <c r="I66" s="30">
        <v>42509.535925925928</v>
      </c>
      <c r="J66" s="61">
        <v>1</v>
      </c>
      <c r="K66" s="61" t="str">
        <f t="shared" si="9"/>
        <v>4039/4040</v>
      </c>
      <c r="L66" s="61" t="str">
        <f>VLOOKUP(A66,'Trips&amp;Operators'!$C$1:$E$9999,3,FALSE)</f>
        <v>STEWART</v>
      </c>
      <c r="M66" s="12">
        <f t="shared" si="10"/>
        <v>1.9224537041736767E-2</v>
      </c>
      <c r="N66" s="13"/>
      <c r="O66" s="13"/>
      <c r="P66" s="13">
        <f>24*60*SUM($M66:$M67)</f>
        <v>52.749999999068677</v>
      </c>
      <c r="Q66" s="62" t="s">
        <v>175</v>
      </c>
      <c r="R66" s="62" t="s">
        <v>542</v>
      </c>
      <c r="T6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12:20:59-0600',mode:absolute,to:'2016-05-19 12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6" s="74" t="str">
        <f t="shared" si="12"/>
        <v>Y</v>
      </c>
      <c r="V66" s="74">
        <f t="shared" si="13"/>
        <v>1</v>
      </c>
      <c r="W66" s="74">
        <f t="shared" si="14"/>
        <v>23.296900000000001</v>
      </c>
      <c r="X66" s="74">
        <f t="shared" si="15"/>
        <v>11.379899999999999</v>
      </c>
      <c r="Y66" s="74">
        <f t="shared" si="16"/>
        <v>11.917000000000002</v>
      </c>
      <c r="Z66" s="75">
        <f>VLOOKUP(A66,Enforcements!$C$3:$J$60,8,0)</f>
        <v>190834</v>
      </c>
      <c r="AA66" s="75" t="str">
        <f>VLOOKUP(A66,Enforcements!$C$3:$J$60,3,0)</f>
        <v>PERMANENT SPEED RESTRICTION</v>
      </c>
    </row>
    <row r="67" spans="1:27" s="2" customFormat="1" hidden="1" x14ac:dyDescent="0.25">
      <c r="A67" s="61" t="s">
        <v>346</v>
      </c>
      <c r="B67" s="61">
        <v>4039</v>
      </c>
      <c r="C67" s="61" t="s">
        <v>66</v>
      </c>
      <c r="D67" s="61" t="s">
        <v>505</v>
      </c>
      <c r="E67" s="30">
        <v>42509.539236111108</v>
      </c>
      <c r="F67" s="30">
        <v>42509.539884259262</v>
      </c>
      <c r="G67" s="38">
        <v>0</v>
      </c>
      <c r="H67" s="30" t="s">
        <v>480</v>
      </c>
      <c r="I67" s="30">
        <v>42509.557291666664</v>
      </c>
      <c r="J67" s="61">
        <v>0</v>
      </c>
      <c r="K67" s="61" t="str">
        <f t="shared" si="9"/>
        <v>4039/4040</v>
      </c>
      <c r="L67" s="61" t="str">
        <f>VLOOKUP(A67,'Trips&amp;Operators'!$C$1:$E$9999,3,FALSE)</f>
        <v>STEWART</v>
      </c>
      <c r="M67" s="12">
        <f t="shared" si="10"/>
        <v>1.7407407402060926E-2</v>
      </c>
      <c r="N67" s="13"/>
      <c r="O67" s="13"/>
      <c r="P67" s="13"/>
      <c r="Q67" s="62"/>
      <c r="R67" s="62"/>
      <c r="T6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12:55:30-0600',mode:absolute,to:'2016-05-19 13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7" s="74" t="str">
        <f t="shared" si="12"/>
        <v>Y</v>
      </c>
      <c r="V67" s="74">
        <f t="shared" si="13"/>
        <v>0</v>
      </c>
      <c r="W67" s="74">
        <f t="shared" si="14"/>
        <v>8.6351999999999993</v>
      </c>
      <c r="X67" s="74">
        <f t="shared" si="15"/>
        <v>1.67E-2</v>
      </c>
      <c r="Y67" s="74">
        <f t="shared" si="16"/>
        <v>8.6184999999999992</v>
      </c>
      <c r="Z67" s="75">
        <f>VLOOKUP(A67,Enforcements!$C$3:$J$60,8,0)</f>
        <v>190834</v>
      </c>
      <c r="AA67" s="75" t="str">
        <f>VLOOKUP(A67,Enforcements!$C$3:$J$60,3,0)</f>
        <v>PERMANENT SPEED RESTRICTION</v>
      </c>
    </row>
    <row r="68" spans="1:27" s="2" customFormat="1" hidden="1" x14ac:dyDescent="0.25">
      <c r="A68" s="61" t="s">
        <v>326</v>
      </c>
      <c r="B68" s="61">
        <v>4024</v>
      </c>
      <c r="C68" s="61" t="s">
        <v>66</v>
      </c>
      <c r="D68" s="61" t="s">
        <v>180</v>
      </c>
      <c r="E68" s="30">
        <v>42509.49486111111</v>
      </c>
      <c r="F68" s="30">
        <v>42509.497002314813</v>
      </c>
      <c r="G68" s="38">
        <v>3</v>
      </c>
      <c r="H68" s="30" t="s">
        <v>506</v>
      </c>
      <c r="I68" s="30">
        <v>42509.529803240737</v>
      </c>
      <c r="J68" s="61">
        <v>1</v>
      </c>
      <c r="K68" s="61" t="str">
        <f t="shared" ref="K68:K130" si="17">IF(ISEVEN(B68),(B68-1)&amp;"/"&amp;B68,B68&amp;"/"&amp;(B68+1))</f>
        <v>4023/4024</v>
      </c>
      <c r="L68" s="61" t="str">
        <f>VLOOKUP(A68,'Trips&amp;Operators'!$C$1:$E$9999,3,FALSE)</f>
        <v>COOLAHAN</v>
      </c>
      <c r="M68" s="12">
        <f t="shared" ref="M68:M130" si="18">I68-F68</f>
        <v>3.2800925924675539E-2</v>
      </c>
      <c r="N68" s="13">
        <f t="shared" si="5"/>
        <v>47.233333331532776</v>
      </c>
      <c r="O68" s="13"/>
      <c r="P68" s="13"/>
      <c r="Q68" s="62"/>
      <c r="R68" s="62"/>
      <c r="T68" s="74" t="str">
        <f t="shared" ref="T68:T130" si="19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https://search-rtdc-monitor-bjffxe2xuh6vdkpspy63sjmuny.us-east-1.es.amazonaws.com/_plugin/kibana/#/discover/Steve-Slow-Train-Analysis-(2080s-and-2083s)?_g=(refreshInterval:(display:Off,section:0,value:0),time:(from:'2016-05-19 11:51:36-0600',mode:absolute,to:'2016-05-19 12:43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8" s="74" t="str">
        <f t="shared" ref="U68:U130" si="20">IF(Y68&lt;23,"Y","N")</f>
        <v>N</v>
      </c>
      <c r="V68" s="74">
        <f t="shared" ref="V68:V130" si="21">VALUE(LEFT(A68,3))-VALUE(LEFT(A67,3))</f>
        <v>1</v>
      </c>
      <c r="W68" s="74">
        <f t="shared" ref="W68:W130" si="22">RIGHT(D68,LEN(D68)-4)/10000</f>
        <v>4.8399999999999999E-2</v>
      </c>
      <c r="X68" s="74">
        <f t="shared" ref="X68:X130" si="23">RIGHT(H68,LEN(H68)-4)/10000</f>
        <v>23.294499999999999</v>
      </c>
      <c r="Y68" s="74">
        <f t="shared" ref="Y68:Y130" si="24">ABS(X68-W68)</f>
        <v>23.246099999999998</v>
      </c>
      <c r="Z68" s="75">
        <f>VLOOKUP(A68,Enforcements!$C$3:$J$60,8,0)</f>
        <v>53155</v>
      </c>
      <c r="AA68" s="75" t="str">
        <f>VLOOKUP(A68,Enforcements!$C$3:$J$60,3,0)</f>
        <v>GRADE CROSSING</v>
      </c>
    </row>
    <row r="69" spans="1:27" s="2" customFormat="1" hidden="1" x14ac:dyDescent="0.25">
      <c r="A69" s="61" t="s">
        <v>396</v>
      </c>
      <c r="B69" s="61">
        <v>4043</v>
      </c>
      <c r="C69" s="61" t="s">
        <v>66</v>
      </c>
      <c r="D69" s="61" t="s">
        <v>162</v>
      </c>
      <c r="E69" s="30">
        <v>42509.528240740743</v>
      </c>
      <c r="F69" s="30">
        <v>42509.529421296298</v>
      </c>
      <c r="G69" s="38">
        <v>1</v>
      </c>
      <c r="H69" s="30" t="s">
        <v>507</v>
      </c>
      <c r="I69" s="30">
        <v>42509.560648148145</v>
      </c>
      <c r="J69" s="61">
        <v>0</v>
      </c>
      <c r="K69" s="61" t="str">
        <f t="shared" si="17"/>
        <v>4043/4044</v>
      </c>
      <c r="L69" s="61" t="str">
        <f>VLOOKUP(A69,'Trips&amp;Operators'!$C$1:$E$9999,3,FALSE)</f>
        <v>DE LA ROSA</v>
      </c>
      <c r="M69" s="12">
        <f t="shared" si="18"/>
        <v>3.1226851846440695E-2</v>
      </c>
      <c r="N69" s="13">
        <f t="shared" si="5"/>
        <v>44.966666658874601</v>
      </c>
      <c r="O69" s="13"/>
      <c r="P69" s="13"/>
      <c r="Q69" s="62"/>
      <c r="R69" s="62"/>
      <c r="T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12:39:40-0600',mode:absolute,to:'2016-05-19 13:28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9" s="74" t="str">
        <f t="shared" si="20"/>
        <v>N</v>
      </c>
      <c r="V69" s="74">
        <f t="shared" si="21"/>
        <v>1</v>
      </c>
      <c r="W69" s="74">
        <f t="shared" si="22"/>
        <v>23.297699999999999</v>
      </c>
      <c r="X69" s="74">
        <f t="shared" si="23"/>
        <v>8.9200000000000002E-2</v>
      </c>
      <c r="Y69" s="74">
        <f t="shared" si="24"/>
        <v>23.208499999999997</v>
      </c>
      <c r="Z69" s="75" t="e">
        <f>VLOOKUP(A69,Enforcements!$C$3:$J$60,8,0)</f>
        <v>#N/A</v>
      </c>
      <c r="AA69" s="75" t="e">
        <f>VLOOKUP(A69,Enforcements!$C$3:$J$60,3,0)</f>
        <v>#N/A</v>
      </c>
    </row>
    <row r="70" spans="1:27" s="2" customFormat="1" hidden="1" x14ac:dyDescent="0.25">
      <c r="A70" s="61" t="s">
        <v>448</v>
      </c>
      <c r="B70" s="61">
        <v>4031</v>
      </c>
      <c r="C70" s="61" t="s">
        <v>66</v>
      </c>
      <c r="D70" s="61" t="s">
        <v>129</v>
      </c>
      <c r="E70" s="30">
        <v>42509.50922453704</v>
      </c>
      <c r="F70" s="30">
        <v>42509.513194444444</v>
      </c>
      <c r="G70" s="38">
        <v>5</v>
      </c>
      <c r="H70" s="30" t="s">
        <v>500</v>
      </c>
      <c r="I70" s="30">
        <v>42509.544178240743</v>
      </c>
      <c r="J70" s="61">
        <v>1</v>
      </c>
      <c r="K70" s="61" t="str">
        <f t="shared" si="17"/>
        <v>4031/4032</v>
      </c>
      <c r="L70" s="61" t="str">
        <f>VLOOKUP(A70,'Trips&amp;Operators'!$C$1:$E$9999,3,FALSE)</f>
        <v>BRUDER</v>
      </c>
      <c r="M70" s="12">
        <f t="shared" si="18"/>
        <v>3.0983796299551614E-2</v>
      </c>
      <c r="N70" s="13">
        <f t="shared" si="5"/>
        <v>44.616666671354324</v>
      </c>
      <c r="O70" s="13"/>
      <c r="P70" s="13"/>
      <c r="Q70" s="62"/>
      <c r="R70" s="62"/>
      <c r="T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12:12:17-0600',mode:absolute,to:'2016-05-19 13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0" s="74" t="str">
        <f t="shared" si="20"/>
        <v>N</v>
      </c>
      <c r="V70" s="74">
        <f t="shared" si="21"/>
        <v>1</v>
      </c>
      <c r="W70" s="74">
        <f t="shared" si="22"/>
        <v>4.4900000000000002E-2</v>
      </c>
      <c r="X70" s="74">
        <f t="shared" si="23"/>
        <v>23.3337</v>
      </c>
      <c r="Y70" s="74">
        <f t="shared" si="24"/>
        <v>23.288800000000002</v>
      </c>
      <c r="Z70" s="75">
        <f>VLOOKUP(A70,Enforcements!$C$3:$J$60,8,0)</f>
        <v>233491</v>
      </c>
      <c r="AA70" s="75" t="str">
        <f>VLOOKUP(A70,Enforcements!$C$3:$J$60,3,0)</f>
        <v>TRACK WARRANT AUTHORITY</v>
      </c>
    </row>
    <row r="71" spans="1:27" s="2" customFormat="1" hidden="1" x14ac:dyDescent="0.25">
      <c r="A71" s="61" t="s">
        <v>406</v>
      </c>
      <c r="B71" s="61">
        <v>4023</v>
      </c>
      <c r="C71" s="61" t="s">
        <v>66</v>
      </c>
      <c r="D71" s="61" t="s">
        <v>508</v>
      </c>
      <c r="E71" s="30">
        <v>42509.533472222225</v>
      </c>
      <c r="F71" s="30">
        <v>42509.536041666666</v>
      </c>
      <c r="G71" s="38">
        <v>3</v>
      </c>
      <c r="H71" s="30" t="s">
        <v>509</v>
      </c>
      <c r="I71" s="30">
        <v>42509.567175925928</v>
      </c>
      <c r="J71" s="61">
        <v>0</v>
      </c>
      <c r="K71" s="61" t="str">
        <f t="shared" si="17"/>
        <v>4023/4024</v>
      </c>
      <c r="L71" s="61" t="str">
        <f>VLOOKUP(A71,'Trips&amp;Operators'!$C$1:$E$9999,3,FALSE)</f>
        <v>COOLAHAN</v>
      </c>
      <c r="M71" s="12">
        <f t="shared" si="18"/>
        <v>3.1134259261307307E-2</v>
      </c>
      <c r="N71" s="13">
        <f t="shared" si="5"/>
        <v>44.833333336282521</v>
      </c>
      <c r="O71" s="13"/>
      <c r="P71" s="13"/>
      <c r="Q71" s="62"/>
      <c r="R71" s="62"/>
      <c r="T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12:47:12-0600',mode:absolute,to:'2016-05-19 13:37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1" s="74" t="str">
        <f t="shared" si="20"/>
        <v>N</v>
      </c>
      <c r="V71" s="74">
        <f t="shared" si="21"/>
        <v>1</v>
      </c>
      <c r="W71" s="74">
        <f t="shared" si="22"/>
        <v>23.262599999999999</v>
      </c>
      <c r="X71" s="74">
        <f t="shared" si="23"/>
        <v>1.1599999999999999E-2</v>
      </c>
      <c r="Y71" s="74">
        <f t="shared" si="24"/>
        <v>23.250999999999998</v>
      </c>
      <c r="Z71" s="75" t="e">
        <f>VLOOKUP(A71,Enforcements!$C$3:$J$60,8,0)</f>
        <v>#N/A</v>
      </c>
      <c r="AA71" s="75" t="e">
        <f>VLOOKUP(A71,Enforcements!$C$3:$J$60,3,0)</f>
        <v>#N/A</v>
      </c>
    </row>
    <row r="72" spans="1:27" s="2" customFormat="1" x14ac:dyDescent="0.25">
      <c r="A72" s="61" t="s">
        <v>376</v>
      </c>
      <c r="B72" s="61">
        <v>4032</v>
      </c>
      <c r="C72" s="61" t="s">
        <v>66</v>
      </c>
      <c r="D72" s="61" t="s">
        <v>130</v>
      </c>
      <c r="E72" s="30">
        <v>42509.553449074076</v>
      </c>
      <c r="F72" s="30">
        <v>42509.554594907408</v>
      </c>
      <c r="G72" s="38">
        <v>1</v>
      </c>
      <c r="H72" s="30" t="s">
        <v>510</v>
      </c>
      <c r="I72" s="30">
        <v>42509.568252314813</v>
      </c>
      <c r="J72" s="61">
        <v>0</v>
      </c>
      <c r="K72" s="61" t="str">
        <f t="shared" si="17"/>
        <v>4031/4032</v>
      </c>
      <c r="L72" s="61" t="str">
        <f>VLOOKUP(A72,'Trips&amp;Operators'!$C$1:$E$9999,3,FALSE)</f>
        <v>BRUDER</v>
      </c>
      <c r="M72" s="12">
        <f t="shared" si="18"/>
        <v>1.3657407405844424E-2</v>
      </c>
      <c r="N72" s="13"/>
      <c r="O72" s="13"/>
      <c r="P72" s="13">
        <f>24*60*SUM($M72:$M73)</f>
        <v>41.516666659153998</v>
      </c>
      <c r="Q72" s="62" t="s">
        <v>175</v>
      </c>
      <c r="R72" s="62" t="s">
        <v>544</v>
      </c>
      <c r="T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13:15:58-0600',mode:absolute,to:'2016-05-19 13:39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2" s="74" t="str">
        <f t="shared" si="20"/>
        <v>Y</v>
      </c>
      <c r="V72" s="74">
        <f t="shared" si="21"/>
        <v>2</v>
      </c>
      <c r="W72" s="74">
        <f t="shared" si="22"/>
        <v>23.299600000000002</v>
      </c>
      <c r="X72" s="74">
        <f t="shared" si="23"/>
        <v>12.787100000000001</v>
      </c>
      <c r="Y72" s="74">
        <f t="shared" si="24"/>
        <v>10.512500000000001</v>
      </c>
      <c r="Z72" s="75" t="e">
        <f>VLOOKUP(A72,Enforcements!$C$3:$J$60,8,0)</f>
        <v>#N/A</v>
      </c>
      <c r="AA72" s="75" t="e">
        <f>VLOOKUP(A72,Enforcements!$C$3:$J$60,3,0)</f>
        <v>#N/A</v>
      </c>
    </row>
    <row r="73" spans="1:27" s="2" customFormat="1" hidden="1" x14ac:dyDescent="0.25">
      <c r="A73" s="61" t="s">
        <v>376</v>
      </c>
      <c r="B73" s="61">
        <v>4032</v>
      </c>
      <c r="C73" s="61" t="s">
        <v>66</v>
      </c>
      <c r="D73" s="61" t="s">
        <v>505</v>
      </c>
      <c r="E73" s="30">
        <v>42509.574652777781</v>
      </c>
      <c r="F73" s="30">
        <v>42509.575578703705</v>
      </c>
      <c r="G73" s="38">
        <v>1</v>
      </c>
      <c r="H73" s="30" t="s">
        <v>118</v>
      </c>
      <c r="I73" s="30">
        <v>42509.590752314813</v>
      </c>
      <c r="J73" s="61">
        <v>0</v>
      </c>
      <c r="K73" s="61" t="str">
        <f t="shared" si="17"/>
        <v>4031/4032</v>
      </c>
      <c r="L73" s="61" t="str">
        <f>VLOOKUP(A73,'Trips&amp;Operators'!$C$1:$E$9999,3,FALSE)</f>
        <v>BRUDER</v>
      </c>
      <c r="M73" s="12">
        <f t="shared" si="18"/>
        <v>1.5173611107456964E-2</v>
      </c>
      <c r="N73" s="13"/>
      <c r="O73" s="13"/>
      <c r="P73" s="13"/>
      <c r="Q73" s="62"/>
      <c r="R73" s="62"/>
      <c r="T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13:46:30-0600',mode:absolute,to:'2016-05-19 14:11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3" s="74" t="str">
        <f t="shared" si="20"/>
        <v>Y</v>
      </c>
      <c r="V73" s="74">
        <f t="shared" si="21"/>
        <v>0</v>
      </c>
      <c r="W73" s="74">
        <f t="shared" si="22"/>
        <v>8.6351999999999993</v>
      </c>
      <c r="X73" s="74">
        <f t="shared" si="23"/>
        <v>1.3899999999999999E-2</v>
      </c>
      <c r="Y73" s="74">
        <f t="shared" si="24"/>
        <v>8.6212999999999997</v>
      </c>
      <c r="Z73" s="75" t="e">
        <f>VLOOKUP(A73,Enforcements!$C$3:$J$60,8,0)</f>
        <v>#N/A</v>
      </c>
      <c r="AA73" s="75" t="e">
        <f>VLOOKUP(A73,Enforcements!$C$3:$J$60,3,0)</f>
        <v>#N/A</v>
      </c>
    </row>
    <row r="74" spans="1:27" s="2" customFormat="1" hidden="1" x14ac:dyDescent="0.25">
      <c r="A74" s="61" t="s">
        <v>380</v>
      </c>
      <c r="B74" s="61">
        <v>4042</v>
      </c>
      <c r="C74" s="61" t="s">
        <v>66</v>
      </c>
      <c r="D74" s="61" t="s">
        <v>79</v>
      </c>
      <c r="E74" s="30">
        <v>42509.52747685185</v>
      </c>
      <c r="F74" s="30">
        <v>42509.528645833336</v>
      </c>
      <c r="G74" s="38">
        <v>1</v>
      </c>
      <c r="H74" s="30" t="s">
        <v>67</v>
      </c>
      <c r="I74" s="30">
        <v>42509.565694444442</v>
      </c>
      <c r="J74" s="61">
        <v>0</v>
      </c>
      <c r="K74" s="61" t="str">
        <f t="shared" si="17"/>
        <v>4041/4042</v>
      </c>
      <c r="L74" s="61" t="str">
        <f>VLOOKUP(A74,'Trips&amp;Operators'!$C$1:$E$9999,3,FALSE)</f>
        <v>YOUNG</v>
      </c>
      <c r="M74" s="12">
        <f t="shared" si="18"/>
        <v>3.7048611106001772E-2</v>
      </c>
      <c r="N74" s="13">
        <f t="shared" si="5"/>
        <v>53.349999992642552</v>
      </c>
      <c r="O74" s="13"/>
      <c r="P74" s="13"/>
      <c r="Q74" s="62"/>
      <c r="R74" s="62"/>
      <c r="T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12:38:34-0600',mode:absolute,to:'2016-05-19 13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4" s="74" t="str">
        <f t="shared" si="20"/>
        <v>N</v>
      </c>
      <c r="V74" s="74">
        <f t="shared" si="21"/>
        <v>3</v>
      </c>
      <c r="W74" s="74">
        <f t="shared" si="22"/>
        <v>4.5499999999999999E-2</v>
      </c>
      <c r="X74" s="74">
        <f t="shared" si="23"/>
        <v>23.331</v>
      </c>
      <c r="Y74" s="74">
        <f t="shared" si="24"/>
        <v>23.285499999999999</v>
      </c>
      <c r="Z74" s="75" t="e">
        <f>VLOOKUP(A74,Enforcements!$C$3:$J$60,8,0)</f>
        <v>#N/A</v>
      </c>
      <c r="AA74" s="75" t="e">
        <f>VLOOKUP(A74,Enforcements!$C$3:$J$60,3,0)</f>
        <v>#N/A</v>
      </c>
    </row>
    <row r="75" spans="1:27" s="2" customFormat="1" x14ac:dyDescent="0.25">
      <c r="A75" s="61" t="s">
        <v>347</v>
      </c>
      <c r="B75" s="61">
        <v>4041</v>
      </c>
      <c r="C75" s="61" t="s">
        <v>66</v>
      </c>
      <c r="D75" s="61" t="s">
        <v>511</v>
      </c>
      <c r="E75" s="30">
        <v>42509.568067129629</v>
      </c>
      <c r="F75" s="30">
        <v>42509.569027777776</v>
      </c>
      <c r="G75" s="38">
        <v>1</v>
      </c>
      <c r="H75" s="30" t="s">
        <v>511</v>
      </c>
      <c r="I75" s="30">
        <v>42509.570833333331</v>
      </c>
      <c r="J75" s="61">
        <v>1</v>
      </c>
      <c r="K75" s="61" t="str">
        <f t="shared" si="17"/>
        <v>4041/4042</v>
      </c>
      <c r="L75" s="61" t="str">
        <f>VLOOKUP(A75,'Trips&amp;Operators'!$C$1:$E$9999,3,FALSE)</f>
        <v>YOUNG</v>
      </c>
      <c r="M75" s="12">
        <f t="shared" si="18"/>
        <v>1.8055555556202307E-3</v>
      </c>
      <c r="N75" s="13"/>
      <c r="O75" s="13"/>
      <c r="P75" s="13">
        <f t="shared" si="5"/>
        <v>2.6000000000931323</v>
      </c>
      <c r="Q75" s="62" t="s">
        <v>175</v>
      </c>
      <c r="R75" s="62" t="s">
        <v>541</v>
      </c>
      <c r="T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13:37:01-0600',mode:absolute,to:'2016-05-19 13:43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5" s="74" t="str">
        <f t="shared" si="20"/>
        <v>Y</v>
      </c>
      <c r="V75" s="74">
        <f t="shared" si="21"/>
        <v>1</v>
      </c>
      <c r="W75" s="74">
        <f t="shared" si="22"/>
        <v>23.296199999999999</v>
      </c>
      <c r="X75" s="74">
        <f t="shared" si="23"/>
        <v>23.296199999999999</v>
      </c>
      <c r="Y75" s="74">
        <f t="shared" si="24"/>
        <v>0</v>
      </c>
      <c r="Z75" s="75">
        <f>VLOOKUP(A75,Enforcements!$C$3:$J$60,8,0)</f>
        <v>103864</v>
      </c>
      <c r="AA75" s="75" t="str">
        <f>VLOOKUP(A75,Enforcements!$C$3:$J$60,3,0)</f>
        <v>EQUIPMENT RESTRICTION</v>
      </c>
    </row>
    <row r="76" spans="1:27" s="2" customFormat="1" hidden="1" x14ac:dyDescent="0.25">
      <c r="A76" s="61" t="s">
        <v>347</v>
      </c>
      <c r="B76" s="61">
        <v>4041</v>
      </c>
      <c r="C76" s="61" t="s">
        <v>66</v>
      </c>
      <c r="D76" s="61" t="s">
        <v>511</v>
      </c>
      <c r="E76" s="30">
        <v>42509.568067129629</v>
      </c>
      <c r="F76" s="30">
        <v>42509.570833333331</v>
      </c>
      <c r="G76" s="38">
        <v>3</v>
      </c>
      <c r="H76" s="30" t="s">
        <v>511</v>
      </c>
      <c r="I76" s="30">
        <v>42509.570833333331</v>
      </c>
      <c r="J76" s="61">
        <v>0</v>
      </c>
      <c r="K76" s="61" t="str">
        <f t="shared" si="17"/>
        <v>4041/4042</v>
      </c>
      <c r="L76" s="61" t="str">
        <f>VLOOKUP(A76,'Trips&amp;Operators'!$C$1:$E$9999,3,FALSE)</f>
        <v>YOUNG</v>
      </c>
      <c r="M76" s="12">
        <f t="shared" si="18"/>
        <v>0</v>
      </c>
      <c r="N76" s="13"/>
      <c r="O76" s="13"/>
      <c r="P76" s="13"/>
      <c r="Q76" s="62"/>
      <c r="R76" s="62"/>
      <c r="T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13:37:01-0600',mode:absolute,to:'2016-05-19 13:43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6" s="74" t="str">
        <f t="shared" si="20"/>
        <v>Y</v>
      </c>
      <c r="V76" s="74">
        <f t="shared" si="21"/>
        <v>0</v>
      </c>
      <c r="W76" s="74">
        <f t="shared" si="22"/>
        <v>23.296199999999999</v>
      </c>
      <c r="X76" s="74">
        <f t="shared" si="23"/>
        <v>23.296199999999999</v>
      </c>
      <c r="Y76" s="74">
        <f t="shared" si="24"/>
        <v>0</v>
      </c>
      <c r="Z76" s="75">
        <f>VLOOKUP(A76,Enforcements!$C$3:$J$60,8,0)</f>
        <v>103864</v>
      </c>
      <c r="AA76" s="75" t="str">
        <f>VLOOKUP(A76,Enforcements!$C$3:$J$60,3,0)</f>
        <v>EQUIPMENT RESTRICTION</v>
      </c>
    </row>
    <row r="77" spans="1:27" s="2" customFormat="1" hidden="1" x14ac:dyDescent="0.25">
      <c r="A77" s="61" t="s">
        <v>327</v>
      </c>
      <c r="B77" s="61">
        <v>4029</v>
      </c>
      <c r="C77" s="61" t="s">
        <v>66</v>
      </c>
      <c r="D77" s="61" t="s">
        <v>492</v>
      </c>
      <c r="E77" s="30">
        <v>42509.545011574075</v>
      </c>
      <c r="F77" s="30">
        <v>42509.549733796295</v>
      </c>
      <c r="G77" s="38">
        <v>6</v>
      </c>
      <c r="H77" s="30" t="s">
        <v>498</v>
      </c>
      <c r="I77" s="30">
        <v>42509.578136574077</v>
      </c>
      <c r="J77" s="61">
        <v>0</v>
      </c>
      <c r="K77" s="61" t="str">
        <f t="shared" si="17"/>
        <v>4029/4030</v>
      </c>
      <c r="L77" s="61" t="str">
        <f>VLOOKUP(A77,'Trips&amp;Operators'!$C$1:$E$9999,3,FALSE)</f>
        <v>BARTLETT</v>
      </c>
      <c r="M77" s="12">
        <f t="shared" si="18"/>
        <v>2.8402777781593613E-2</v>
      </c>
      <c r="N77" s="13">
        <f t="shared" si="5"/>
        <v>40.900000005494803</v>
      </c>
      <c r="O77" s="13"/>
      <c r="P77" s="13"/>
      <c r="Q77" s="62"/>
      <c r="R77" s="62"/>
      <c r="T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13:03:49-0600',mode:absolute,to:'2016-05-19 13:53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77" s="74" t="str">
        <f t="shared" si="20"/>
        <v>N</v>
      </c>
      <c r="V77" s="74">
        <f t="shared" si="21"/>
        <v>3</v>
      </c>
      <c r="W77" s="74">
        <f t="shared" si="22"/>
        <v>4.3299999999999998E-2</v>
      </c>
      <c r="X77" s="74">
        <f t="shared" si="23"/>
        <v>23.328600000000002</v>
      </c>
      <c r="Y77" s="74">
        <f t="shared" si="24"/>
        <v>23.285300000000003</v>
      </c>
      <c r="Z77" s="75" t="e">
        <f>VLOOKUP(A77,Enforcements!$C$3:$J$60,8,0)</f>
        <v>#N/A</v>
      </c>
      <c r="AA77" s="75" t="e">
        <f>VLOOKUP(A77,Enforcements!$C$3:$J$60,3,0)</f>
        <v>#N/A</v>
      </c>
    </row>
    <row r="78" spans="1:27" s="2" customFormat="1" hidden="1" x14ac:dyDescent="0.25">
      <c r="A78" s="61" t="s">
        <v>375</v>
      </c>
      <c r="B78" s="61">
        <v>4030</v>
      </c>
      <c r="C78" s="61" t="s">
        <v>66</v>
      </c>
      <c r="D78" s="61" t="s">
        <v>512</v>
      </c>
      <c r="E78" s="30">
        <v>42509.589328703703</v>
      </c>
      <c r="F78" s="30">
        <v>42509.590416666666</v>
      </c>
      <c r="G78" s="38">
        <v>1</v>
      </c>
      <c r="H78" s="30" t="s">
        <v>513</v>
      </c>
      <c r="I78" s="30">
        <v>42509.617777777778</v>
      </c>
      <c r="J78" s="61">
        <v>0</v>
      </c>
      <c r="K78" s="61" t="str">
        <f t="shared" si="17"/>
        <v>4029/4030</v>
      </c>
      <c r="L78" s="61" t="str">
        <f>VLOOKUP(A78,'Trips&amp;Operators'!$C$1:$E$9999,3,FALSE)</f>
        <v>BARTLETT</v>
      </c>
      <c r="M78" s="12">
        <f t="shared" si="18"/>
        <v>2.73611111115315E-2</v>
      </c>
      <c r="N78" s="13">
        <f t="shared" si="5"/>
        <v>39.40000000060536</v>
      </c>
      <c r="O78" s="13"/>
      <c r="P78" s="13"/>
      <c r="Q78" s="62"/>
      <c r="R78" s="62"/>
      <c r="T7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14:07:38-0600',mode:absolute,to:'2016-05-19 14:50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78" s="74" t="str">
        <f t="shared" si="20"/>
        <v>N</v>
      </c>
      <c r="V78" s="74">
        <f t="shared" si="21"/>
        <v>1</v>
      </c>
      <c r="W78" s="74">
        <f t="shared" si="22"/>
        <v>23.296700000000001</v>
      </c>
      <c r="X78" s="74">
        <f t="shared" si="23"/>
        <v>1.6500000000000001E-2</v>
      </c>
      <c r="Y78" s="74">
        <f t="shared" si="24"/>
        <v>23.280200000000001</v>
      </c>
      <c r="Z78" s="75" t="e">
        <f>VLOOKUP(A78,Enforcements!$C$3:$J$60,8,0)</f>
        <v>#N/A</v>
      </c>
      <c r="AA78" s="75" t="e">
        <f>VLOOKUP(A78,Enforcements!$C$3:$J$60,3,0)</f>
        <v>#N/A</v>
      </c>
    </row>
    <row r="79" spans="1:27" s="2" customFormat="1" hidden="1" x14ac:dyDescent="0.25">
      <c r="A79" s="61" t="s">
        <v>377</v>
      </c>
      <c r="B79" s="61">
        <v>4007</v>
      </c>
      <c r="C79" s="61" t="s">
        <v>66</v>
      </c>
      <c r="D79" s="61" t="s">
        <v>514</v>
      </c>
      <c r="E79" s="30">
        <v>42509.552800925929</v>
      </c>
      <c r="F79" s="30">
        <v>42509.553877314815</v>
      </c>
      <c r="G79" s="30">
        <v>1</v>
      </c>
      <c r="H79" s="30" t="s">
        <v>470</v>
      </c>
      <c r="I79" s="30">
        <v>42509.588229166664</v>
      </c>
      <c r="J79" s="61">
        <v>1</v>
      </c>
      <c r="K79" s="61" t="str">
        <f t="shared" si="17"/>
        <v>4007/4008</v>
      </c>
      <c r="L79" s="61" t="str">
        <f>VLOOKUP(A79,'Trips&amp;Operators'!$C$1:$E$9999,3,FALSE)</f>
        <v>SPECTOR</v>
      </c>
      <c r="M79" s="12">
        <f t="shared" si="18"/>
        <v>3.4351851849351078E-2</v>
      </c>
      <c r="N79" s="13">
        <f t="shared" si="5"/>
        <v>49.466666663065553</v>
      </c>
      <c r="O79" s="13"/>
      <c r="P79" s="13"/>
      <c r="Q79" s="62"/>
      <c r="R79" s="62"/>
      <c r="T7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13:15:02-0600',mode:absolute,to:'2016-05-19 14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9" s="74" t="str">
        <f t="shared" si="20"/>
        <v>N</v>
      </c>
      <c r="V79" s="74">
        <f t="shared" si="21"/>
        <v>1</v>
      </c>
      <c r="W79" s="74">
        <f t="shared" si="22"/>
        <v>4.4200000000000003E-2</v>
      </c>
      <c r="X79" s="74">
        <f t="shared" si="23"/>
        <v>23.328900000000001</v>
      </c>
      <c r="Y79" s="74">
        <f t="shared" si="24"/>
        <v>23.284700000000001</v>
      </c>
      <c r="Z79" s="75">
        <f>VLOOKUP(A79,Enforcements!$C$3:$J$60,8,0)</f>
        <v>233491</v>
      </c>
      <c r="AA79" s="75" t="str">
        <f>VLOOKUP(A79,Enforcements!$C$3:$J$60,3,0)</f>
        <v>TRACK WARRANT AUTHORITY</v>
      </c>
    </row>
    <row r="80" spans="1:27" s="2" customFormat="1" hidden="1" x14ac:dyDescent="0.25">
      <c r="A80" s="61" t="s">
        <v>345</v>
      </c>
      <c r="B80" s="61">
        <v>4008</v>
      </c>
      <c r="C80" s="61" t="s">
        <v>66</v>
      </c>
      <c r="D80" s="61" t="s">
        <v>177</v>
      </c>
      <c r="E80" s="30">
        <v>42509.59547453704</v>
      </c>
      <c r="F80" s="30">
        <v>42509.596319444441</v>
      </c>
      <c r="G80" s="38">
        <v>1</v>
      </c>
      <c r="H80" s="30" t="s">
        <v>70</v>
      </c>
      <c r="I80" s="30">
        <v>42509.63045138889</v>
      </c>
      <c r="J80" s="61">
        <v>0</v>
      </c>
      <c r="K80" s="61" t="str">
        <f t="shared" si="17"/>
        <v>4007/4008</v>
      </c>
      <c r="L80" s="61" t="str">
        <f>VLOOKUP(A80,'Trips&amp;Operators'!$C$1:$E$9999,3,FALSE)</f>
        <v>SPECTOR</v>
      </c>
      <c r="M80" s="12">
        <f t="shared" si="18"/>
        <v>3.4131944448745344E-2</v>
      </c>
      <c r="N80" s="13">
        <f t="shared" si="5"/>
        <v>49.150000006193295</v>
      </c>
      <c r="O80" s="13"/>
      <c r="P80" s="13"/>
      <c r="Q80" s="62"/>
      <c r="R80" s="62"/>
      <c r="T8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14:16:29-0600',mode:absolute,to:'2016-05-19 15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0" s="74" t="str">
        <f t="shared" si="20"/>
        <v>N</v>
      </c>
      <c r="V80" s="74">
        <f t="shared" si="21"/>
        <v>1</v>
      </c>
      <c r="W80" s="74">
        <f t="shared" si="22"/>
        <v>23.298100000000002</v>
      </c>
      <c r="X80" s="74">
        <f t="shared" si="23"/>
        <v>1.5599999999999999E-2</v>
      </c>
      <c r="Y80" s="74">
        <f t="shared" si="24"/>
        <v>23.282500000000002</v>
      </c>
      <c r="Z80" s="75" t="e">
        <f>VLOOKUP(A80,Enforcements!$C$3:$J$60,8,0)</f>
        <v>#N/A</v>
      </c>
      <c r="AA80" s="75" t="e">
        <f>VLOOKUP(A80,Enforcements!$C$3:$J$60,3,0)</f>
        <v>#N/A</v>
      </c>
    </row>
    <row r="81" spans="1:27" s="2" customFormat="1" hidden="1" x14ac:dyDescent="0.25">
      <c r="A81" s="61" t="s">
        <v>446</v>
      </c>
      <c r="B81" s="61">
        <v>4040</v>
      </c>
      <c r="C81" s="61" t="s">
        <v>66</v>
      </c>
      <c r="D81" s="61" t="s">
        <v>160</v>
      </c>
      <c r="E81" s="30">
        <v>42509.565254629626</v>
      </c>
      <c r="F81" s="30">
        <v>42509.566377314812</v>
      </c>
      <c r="G81" s="38">
        <v>1</v>
      </c>
      <c r="H81" s="30" t="s">
        <v>515</v>
      </c>
      <c r="I81" s="30">
        <v>42509.597916666666</v>
      </c>
      <c r="J81" s="61">
        <v>0</v>
      </c>
      <c r="K81" s="61" t="str">
        <f t="shared" si="17"/>
        <v>4039/4040</v>
      </c>
      <c r="L81" s="61" t="str">
        <f>VLOOKUP(A81,'Trips&amp;Operators'!$C$1:$E$9999,3,FALSE)</f>
        <v>STEWART</v>
      </c>
      <c r="M81" s="12">
        <f t="shared" si="18"/>
        <v>3.1539351854007691E-2</v>
      </c>
      <c r="N81" s="13">
        <f t="shared" si="5"/>
        <v>45.416666669771075</v>
      </c>
      <c r="O81" s="13"/>
      <c r="P81" s="13"/>
      <c r="Q81" s="62"/>
      <c r="R81" s="62"/>
      <c r="T8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13:32:58-0600',mode:absolute,to:'2016-05-19 14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1" s="74" t="str">
        <f t="shared" si="20"/>
        <v>N</v>
      </c>
      <c r="V81" s="74">
        <f t="shared" si="21"/>
        <v>1</v>
      </c>
      <c r="W81" s="74">
        <f t="shared" si="22"/>
        <v>4.7699999999999999E-2</v>
      </c>
      <c r="X81" s="74">
        <f t="shared" si="23"/>
        <v>23.330100000000002</v>
      </c>
      <c r="Y81" s="74">
        <f t="shared" si="24"/>
        <v>23.282400000000003</v>
      </c>
      <c r="Z81" s="75" t="e">
        <f>VLOOKUP(A81,Enforcements!$C$3:$J$60,8,0)</f>
        <v>#N/A</v>
      </c>
      <c r="AA81" s="75" t="e">
        <f>VLOOKUP(A81,Enforcements!$C$3:$J$60,3,0)</f>
        <v>#N/A</v>
      </c>
    </row>
    <row r="82" spans="1:27" s="2" customFormat="1" hidden="1" x14ac:dyDescent="0.25">
      <c r="A82" s="61" t="s">
        <v>373</v>
      </c>
      <c r="B82" s="61">
        <v>4039</v>
      </c>
      <c r="C82" s="61" t="s">
        <v>66</v>
      </c>
      <c r="D82" s="61" t="s">
        <v>499</v>
      </c>
      <c r="E82" s="30">
        <v>42509.607708333337</v>
      </c>
      <c r="F82" s="30">
        <v>42509.609085648146</v>
      </c>
      <c r="G82" s="38">
        <v>1</v>
      </c>
      <c r="H82" s="30" t="s">
        <v>75</v>
      </c>
      <c r="I82" s="30">
        <v>42509.642418981479</v>
      </c>
      <c r="J82" s="61">
        <v>0</v>
      </c>
      <c r="K82" s="61" t="str">
        <f t="shared" si="17"/>
        <v>4039/4040</v>
      </c>
      <c r="L82" s="61" t="str">
        <f>VLOOKUP(A82,'Trips&amp;Operators'!$C$1:$E$9999,3,FALSE)</f>
        <v>STEWART</v>
      </c>
      <c r="M82" s="12">
        <f t="shared" si="18"/>
        <v>3.3333333332848269E-2</v>
      </c>
      <c r="N82" s="13">
        <f t="shared" si="5"/>
        <v>47.999999999301508</v>
      </c>
      <c r="O82" s="13"/>
      <c r="P82" s="13"/>
      <c r="Q82" s="62"/>
      <c r="R82" s="62"/>
      <c r="T8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14:34:06-0600',mode:absolute,to:'2016-05-19 15:26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2" s="74" t="str">
        <f t="shared" si="20"/>
        <v>N</v>
      </c>
      <c r="V82" s="74">
        <f t="shared" si="21"/>
        <v>1</v>
      </c>
      <c r="W82" s="74">
        <f t="shared" si="22"/>
        <v>23.298200000000001</v>
      </c>
      <c r="X82" s="74">
        <f t="shared" si="23"/>
        <v>1.4500000000000001E-2</v>
      </c>
      <c r="Y82" s="74">
        <f t="shared" si="24"/>
        <v>23.2837</v>
      </c>
      <c r="Z82" s="75" t="e">
        <f>VLOOKUP(A82,Enforcements!$C$3:$J$60,8,0)</f>
        <v>#N/A</v>
      </c>
      <c r="AA82" s="75" t="e">
        <f>VLOOKUP(A82,Enforcements!$C$3:$J$60,3,0)</f>
        <v>#N/A</v>
      </c>
    </row>
    <row r="83" spans="1:27" s="2" customFormat="1" hidden="1" x14ac:dyDescent="0.25">
      <c r="A83" s="61" t="s">
        <v>378</v>
      </c>
      <c r="B83" s="61">
        <v>4024</v>
      </c>
      <c r="C83" s="61" t="s">
        <v>66</v>
      </c>
      <c r="D83" s="61" t="s">
        <v>184</v>
      </c>
      <c r="E83" s="30">
        <v>42509.577719907407</v>
      </c>
      <c r="F83" s="30">
        <v>42509.578773148147</v>
      </c>
      <c r="G83" s="38">
        <v>1</v>
      </c>
      <c r="H83" s="30" t="s">
        <v>464</v>
      </c>
      <c r="I83" s="30">
        <v>42509.607476851852</v>
      </c>
      <c r="J83" s="61">
        <v>1</v>
      </c>
      <c r="K83" s="61" t="str">
        <f t="shared" si="17"/>
        <v>4023/4024</v>
      </c>
      <c r="L83" s="61" t="str">
        <f>VLOOKUP(A83,'Trips&amp;Operators'!$C$1:$E$9999,3,FALSE)</f>
        <v>COOLAHAN</v>
      </c>
      <c r="M83" s="12">
        <f t="shared" si="18"/>
        <v>2.8703703705104999E-2</v>
      </c>
      <c r="N83" s="13">
        <f t="shared" si="5"/>
        <v>41.333333335351199</v>
      </c>
      <c r="O83" s="13"/>
      <c r="P83" s="13"/>
      <c r="Q83" s="62"/>
      <c r="R83" s="62"/>
      <c r="T8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13:50:55-0600',mode:absolute,to:'2016-05-19 14:35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3" s="74" t="str">
        <f t="shared" si="20"/>
        <v>N</v>
      </c>
      <c r="V83" s="74">
        <f t="shared" si="21"/>
        <v>1</v>
      </c>
      <c r="W83" s="74">
        <f t="shared" si="22"/>
        <v>4.3999999999999997E-2</v>
      </c>
      <c r="X83" s="74">
        <f t="shared" si="23"/>
        <v>23.333200000000001</v>
      </c>
      <c r="Y83" s="74">
        <f t="shared" si="24"/>
        <v>23.289200000000001</v>
      </c>
      <c r="Z83" s="75">
        <f>VLOOKUP(A83,Enforcements!$C$3:$J$60,8,0)</f>
        <v>233491</v>
      </c>
      <c r="AA83" s="75" t="str">
        <f>VLOOKUP(A83,Enforcements!$C$3:$J$60,3,0)</f>
        <v>TRACK WARRANT AUTHORITY</v>
      </c>
    </row>
    <row r="84" spans="1:27" s="2" customFormat="1" x14ac:dyDescent="0.25">
      <c r="A84" s="61" t="s">
        <v>399</v>
      </c>
      <c r="B84" s="61">
        <v>4023</v>
      </c>
      <c r="C84" s="61" t="s">
        <v>66</v>
      </c>
      <c r="D84" s="61" t="s">
        <v>154</v>
      </c>
      <c r="E84" s="30">
        <v>42509.620578703703</v>
      </c>
      <c r="F84" s="30">
        <v>42509.62159722222</v>
      </c>
      <c r="G84" s="38">
        <v>1</v>
      </c>
      <c r="H84" s="30" t="s">
        <v>516</v>
      </c>
      <c r="I84" s="30">
        <v>42509.623368055552</v>
      </c>
      <c r="J84" s="61">
        <v>0</v>
      </c>
      <c r="K84" s="61" t="str">
        <f t="shared" si="17"/>
        <v>4023/4024</v>
      </c>
      <c r="L84" s="61" t="str">
        <f>VLOOKUP(A84,'Trips&amp;Operators'!$C$1:$E$9999,3,FALSE)</f>
        <v>COOLAHAN</v>
      </c>
      <c r="M84" s="12">
        <f t="shared" si="18"/>
        <v>1.7708333325572312E-3</v>
      </c>
      <c r="N84" s="13"/>
      <c r="O84" s="13"/>
      <c r="P84" s="13">
        <f t="shared" si="5"/>
        <v>2.5499999988824129</v>
      </c>
      <c r="Q84" s="62" t="s">
        <v>175</v>
      </c>
      <c r="R84" s="62" t="s">
        <v>541</v>
      </c>
      <c r="T8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14:52:38-0600',mode:absolute,to:'2016-05-19 14:58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4" s="74" t="str">
        <f t="shared" si="20"/>
        <v>Y</v>
      </c>
      <c r="V84" s="74">
        <f t="shared" si="21"/>
        <v>1</v>
      </c>
      <c r="W84" s="74">
        <f t="shared" si="22"/>
        <v>23.299299999999999</v>
      </c>
      <c r="X84" s="74">
        <f t="shared" si="23"/>
        <v>22.842400000000001</v>
      </c>
      <c r="Y84" s="74">
        <f t="shared" si="24"/>
        <v>0.45689999999999742</v>
      </c>
      <c r="Z84" s="75" t="e">
        <f>VLOOKUP(A84,Enforcements!$C$3:$J$60,8,0)</f>
        <v>#N/A</v>
      </c>
      <c r="AA84" s="75" t="e">
        <f>VLOOKUP(A84,Enforcements!$C$3:$J$60,3,0)</f>
        <v>#N/A</v>
      </c>
    </row>
    <row r="85" spans="1:27" s="2" customFormat="1" x14ac:dyDescent="0.25">
      <c r="A85" s="61" t="s">
        <v>343</v>
      </c>
      <c r="B85" s="61">
        <v>4011</v>
      </c>
      <c r="C85" s="61" t="s">
        <v>66</v>
      </c>
      <c r="D85" s="61" t="s">
        <v>107</v>
      </c>
      <c r="E85" s="30">
        <v>42509.585648148146</v>
      </c>
      <c r="F85" s="30">
        <v>42509.586909722224</v>
      </c>
      <c r="G85" s="38">
        <v>1</v>
      </c>
      <c r="H85" s="30" t="s">
        <v>517</v>
      </c>
      <c r="I85" s="30">
        <v>42509.601655092592</v>
      </c>
      <c r="J85" s="61">
        <v>0</v>
      </c>
      <c r="K85" s="61" t="str">
        <f t="shared" si="17"/>
        <v>4011/4012</v>
      </c>
      <c r="L85" s="61" t="str">
        <f>VLOOKUP(A85,'Trips&amp;Operators'!$C$1:$E$9999,3,FALSE)</f>
        <v>DE LA ROSA</v>
      </c>
      <c r="M85" s="12">
        <f t="shared" si="18"/>
        <v>1.4745370368473232E-2</v>
      </c>
      <c r="N85" s="13"/>
      <c r="O85" s="13"/>
      <c r="P85" s="13">
        <f>24*60*SUM($M85:$M86)</f>
        <v>44.683333322172984</v>
      </c>
      <c r="Q85" s="62" t="s">
        <v>175</v>
      </c>
      <c r="R85" s="62" t="s">
        <v>541</v>
      </c>
      <c r="T8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14:02:20-0600',mode:absolute,to:'2016-05-19 14:27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5" s="74" t="str">
        <f t="shared" si="20"/>
        <v>Y</v>
      </c>
      <c r="V85" s="74">
        <f t="shared" si="21"/>
        <v>1</v>
      </c>
      <c r="W85" s="74">
        <f t="shared" si="22"/>
        <v>4.6699999999999998E-2</v>
      </c>
      <c r="X85" s="74">
        <f t="shared" si="23"/>
        <v>4.6764000000000001</v>
      </c>
      <c r="Y85" s="74">
        <f t="shared" si="24"/>
        <v>4.6296999999999997</v>
      </c>
      <c r="Z85" s="75" t="e">
        <f>VLOOKUP(A85,Enforcements!$C$3:$J$60,8,0)</f>
        <v>#N/A</v>
      </c>
      <c r="AA85" s="75" t="e">
        <f>VLOOKUP(A85,Enforcements!$C$3:$J$60,3,0)</f>
        <v>#N/A</v>
      </c>
    </row>
    <row r="86" spans="1:27" s="2" customFormat="1" hidden="1" x14ac:dyDescent="0.25">
      <c r="A86" s="61" t="s">
        <v>343</v>
      </c>
      <c r="B86" s="61">
        <v>4011</v>
      </c>
      <c r="C86" s="61" t="s">
        <v>66</v>
      </c>
      <c r="D86" s="61" t="s">
        <v>518</v>
      </c>
      <c r="E86" s="30">
        <v>42509.605868055558</v>
      </c>
      <c r="F86" s="30">
        <v>42509.606585648151</v>
      </c>
      <c r="G86" s="38">
        <v>1</v>
      </c>
      <c r="H86" s="30" t="s">
        <v>519</v>
      </c>
      <c r="I86" s="30">
        <v>42509.622870370367</v>
      </c>
      <c r="J86" s="61">
        <v>0</v>
      </c>
      <c r="K86" s="61" t="str">
        <f t="shared" si="17"/>
        <v>4011/4012</v>
      </c>
      <c r="L86" s="61" t="str">
        <f>VLOOKUP(A86,'Trips&amp;Operators'!$C$1:$E$9999,3,FALSE)</f>
        <v>DE LA ROSA</v>
      </c>
      <c r="M86" s="12">
        <f t="shared" si="18"/>
        <v>1.6284722216369119E-2</v>
      </c>
      <c r="N86" s="13"/>
      <c r="O86" s="13"/>
      <c r="P86" s="13"/>
      <c r="Q86" s="62"/>
      <c r="R86" s="62"/>
      <c r="T8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14:31:27-0600',mode:absolute,to:'2016-05-19 14:57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6" s="74" t="str">
        <f t="shared" si="20"/>
        <v>Y</v>
      </c>
      <c r="V86" s="74">
        <f t="shared" si="21"/>
        <v>0</v>
      </c>
      <c r="W86" s="74">
        <f t="shared" si="22"/>
        <v>6.47</v>
      </c>
      <c r="X86" s="74">
        <f t="shared" si="23"/>
        <v>23.334499999999998</v>
      </c>
      <c r="Y86" s="74">
        <f t="shared" si="24"/>
        <v>16.8645</v>
      </c>
      <c r="Z86" s="75" t="e">
        <f>VLOOKUP(A86,Enforcements!$C$3:$J$60,8,0)</f>
        <v>#N/A</v>
      </c>
      <c r="AA86" s="75" t="e">
        <f>VLOOKUP(A86,Enforcements!$C$3:$J$60,3,0)</f>
        <v>#N/A</v>
      </c>
    </row>
    <row r="87" spans="1:27" s="2" customFormat="1" hidden="1" x14ac:dyDescent="0.25">
      <c r="A87" s="61" t="s">
        <v>329</v>
      </c>
      <c r="B87" s="61">
        <v>4012</v>
      </c>
      <c r="C87" s="61" t="s">
        <v>66</v>
      </c>
      <c r="D87" s="61" t="s">
        <v>97</v>
      </c>
      <c r="E87" s="30">
        <v>42509.633020833331</v>
      </c>
      <c r="F87" s="30">
        <v>42509.634143518517</v>
      </c>
      <c r="G87" s="38">
        <v>1</v>
      </c>
      <c r="H87" s="30" t="s">
        <v>71</v>
      </c>
      <c r="I87" s="30">
        <v>42509.660405092596</v>
      </c>
      <c r="J87" s="61">
        <v>1</v>
      </c>
      <c r="K87" s="61" t="str">
        <f t="shared" si="17"/>
        <v>4011/4012</v>
      </c>
      <c r="L87" s="61" t="str">
        <f>VLOOKUP(A87,'Trips&amp;Operators'!$C$1:$E$9999,3,FALSE)</f>
        <v>DE LA ROSA</v>
      </c>
      <c r="M87" s="12">
        <f t="shared" si="18"/>
        <v>2.6261574079398997E-2</v>
      </c>
      <c r="N87" s="13">
        <f t="shared" si="5"/>
        <v>37.816666674334556</v>
      </c>
      <c r="O87" s="13"/>
      <c r="P87" s="13"/>
      <c r="Q87" s="62"/>
      <c r="R87" s="62"/>
      <c r="T8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15:10:33-0600',mode:absolute,to:'2016-05-19 15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7" s="74" t="str">
        <f t="shared" si="20"/>
        <v>N</v>
      </c>
      <c r="V87" s="74">
        <f t="shared" si="21"/>
        <v>1</v>
      </c>
      <c r="W87" s="74">
        <f t="shared" si="22"/>
        <v>23.297499999999999</v>
      </c>
      <c r="X87" s="74">
        <f t="shared" si="23"/>
        <v>1.49E-2</v>
      </c>
      <c r="Y87" s="74">
        <f t="shared" si="24"/>
        <v>23.282599999999999</v>
      </c>
      <c r="Z87" s="75">
        <f>VLOOKUP(A87,Enforcements!$C$3:$J$60,8,0)</f>
        <v>1</v>
      </c>
      <c r="AA87" s="75" t="str">
        <f>VLOOKUP(A87,Enforcements!$C$3:$J$60,3,0)</f>
        <v>TRACK WARRANT AUTHORITY</v>
      </c>
    </row>
    <row r="88" spans="1:27" s="2" customFormat="1" hidden="1" x14ac:dyDescent="0.25">
      <c r="A88" s="61" t="s">
        <v>403</v>
      </c>
      <c r="B88" s="61">
        <v>4031</v>
      </c>
      <c r="C88" s="61" t="s">
        <v>66</v>
      </c>
      <c r="D88" s="61" t="s">
        <v>132</v>
      </c>
      <c r="E88" s="30">
        <v>42509.5940162037</v>
      </c>
      <c r="F88" s="30">
        <v>42509.595613425925</v>
      </c>
      <c r="G88" s="38">
        <v>2</v>
      </c>
      <c r="H88" s="30" t="s">
        <v>78</v>
      </c>
      <c r="I88" s="30">
        <v>42509.630810185183</v>
      </c>
      <c r="J88" s="61">
        <v>1</v>
      </c>
      <c r="K88" s="61" t="str">
        <f t="shared" si="17"/>
        <v>4031/4032</v>
      </c>
      <c r="L88" s="61" t="str">
        <f>VLOOKUP(A88,'Trips&amp;Operators'!$C$1:$E$9999,3,FALSE)</f>
        <v>BRUDER</v>
      </c>
      <c r="M88" s="12">
        <f t="shared" si="18"/>
        <v>3.5196759257814847E-2</v>
      </c>
      <c r="N88" s="13">
        <f t="shared" si="5"/>
        <v>50.68333333125338</v>
      </c>
      <c r="O88" s="13"/>
      <c r="P88" s="13"/>
      <c r="Q88" s="62"/>
      <c r="R88" s="62"/>
      <c r="T8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14:14:23-0600',mode:absolute,to:'2016-05-19 15:09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8" s="74" t="str">
        <f t="shared" si="20"/>
        <v>N</v>
      </c>
      <c r="V88" s="74">
        <f t="shared" si="21"/>
        <v>1</v>
      </c>
      <c r="W88" s="74">
        <f t="shared" si="22"/>
        <v>4.5999999999999999E-2</v>
      </c>
      <c r="X88" s="74">
        <f t="shared" si="23"/>
        <v>23.3308</v>
      </c>
      <c r="Y88" s="74">
        <f t="shared" si="24"/>
        <v>23.284800000000001</v>
      </c>
      <c r="Z88" s="75">
        <f>VLOOKUP(A88,Enforcements!$C$3:$J$60,8,0)</f>
        <v>233491</v>
      </c>
      <c r="AA88" s="75" t="str">
        <f>VLOOKUP(A88,Enforcements!$C$3:$J$60,3,0)</f>
        <v>TRACK WARRANT AUTHORITY</v>
      </c>
    </row>
    <row r="89" spans="1:27" s="2" customFormat="1" hidden="1" x14ac:dyDescent="0.25">
      <c r="A89" s="61" t="s">
        <v>412</v>
      </c>
      <c r="B89" s="61">
        <v>4032</v>
      </c>
      <c r="C89" s="61" t="s">
        <v>66</v>
      </c>
      <c r="D89" s="61" t="s">
        <v>154</v>
      </c>
      <c r="E89" s="30">
        <v>42509.641041666669</v>
      </c>
      <c r="F89" s="30">
        <v>42509.641805555555</v>
      </c>
      <c r="G89" s="38">
        <v>1</v>
      </c>
      <c r="H89" s="30" t="s">
        <v>75</v>
      </c>
      <c r="I89" s="30">
        <v>42509.669340277775</v>
      </c>
      <c r="J89" s="61">
        <v>0</v>
      </c>
      <c r="K89" s="61" t="str">
        <f t="shared" si="17"/>
        <v>4031/4032</v>
      </c>
      <c r="L89" s="61" t="str">
        <f>VLOOKUP(A89,'Trips&amp;Operators'!$C$1:$E$9999,3,FALSE)</f>
        <v>BRUDER</v>
      </c>
      <c r="M89" s="12">
        <f t="shared" si="18"/>
        <v>2.753472221957054E-2</v>
      </c>
      <c r="N89" s="13">
        <f t="shared" si="5"/>
        <v>39.649999996181577</v>
      </c>
      <c r="O89" s="13"/>
      <c r="P89" s="13"/>
      <c r="Q89" s="62"/>
      <c r="R89" s="62"/>
      <c r="T8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15:22:06-0600',mode:absolute,to:'2016-05-19 16:04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9" s="74" t="str">
        <f t="shared" si="20"/>
        <v>N</v>
      </c>
      <c r="V89" s="74">
        <f t="shared" si="21"/>
        <v>1</v>
      </c>
      <c r="W89" s="74">
        <f t="shared" si="22"/>
        <v>23.299299999999999</v>
      </c>
      <c r="X89" s="74">
        <f t="shared" si="23"/>
        <v>1.4500000000000001E-2</v>
      </c>
      <c r="Y89" s="74">
        <f t="shared" si="24"/>
        <v>23.284799999999997</v>
      </c>
      <c r="Z89" s="75" t="e">
        <f>VLOOKUP(A89,Enforcements!$C$3:$J$60,8,0)</f>
        <v>#N/A</v>
      </c>
      <c r="AA89" s="75" t="e">
        <f>VLOOKUP(A89,Enforcements!$C$3:$J$60,3,0)</f>
        <v>#N/A</v>
      </c>
    </row>
    <row r="90" spans="1:27" s="2" customFormat="1" hidden="1" x14ac:dyDescent="0.25">
      <c r="A90" s="61" t="s">
        <v>328</v>
      </c>
      <c r="B90" s="61">
        <v>4042</v>
      </c>
      <c r="C90" s="61" t="s">
        <v>66</v>
      </c>
      <c r="D90" s="61" t="s">
        <v>160</v>
      </c>
      <c r="E90" s="30">
        <v>42509.610636574071</v>
      </c>
      <c r="F90" s="30">
        <v>42509.611608796295</v>
      </c>
      <c r="G90" s="38">
        <v>1</v>
      </c>
      <c r="H90" s="30" t="s">
        <v>176</v>
      </c>
      <c r="I90" s="30">
        <v>42509.640752314815</v>
      </c>
      <c r="J90" s="61">
        <v>0</v>
      </c>
      <c r="K90" s="61" t="str">
        <f t="shared" si="17"/>
        <v>4041/4042</v>
      </c>
      <c r="L90" s="61" t="str">
        <f>VLOOKUP(A90,'Trips&amp;Operators'!$C$1:$E$9999,3,FALSE)</f>
        <v>YOUNG</v>
      </c>
      <c r="M90" s="12">
        <f t="shared" si="18"/>
        <v>2.9143518520868383E-2</v>
      </c>
      <c r="N90" s="13">
        <f t="shared" si="5"/>
        <v>41.966666670050472</v>
      </c>
      <c r="O90" s="13"/>
      <c r="P90" s="13"/>
      <c r="Q90" s="62"/>
      <c r="R90" s="62"/>
      <c r="T9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14:38:19-0600',mode:absolute,to:'2016-05-19 15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0" s="74" t="str">
        <f t="shared" si="20"/>
        <v>N</v>
      </c>
      <c r="V90" s="74">
        <f t="shared" si="21"/>
        <v>1</v>
      </c>
      <c r="W90" s="74">
        <f t="shared" si="22"/>
        <v>4.7699999999999999E-2</v>
      </c>
      <c r="X90" s="74">
        <f t="shared" si="23"/>
        <v>23.3291</v>
      </c>
      <c r="Y90" s="74">
        <f t="shared" si="24"/>
        <v>23.281400000000001</v>
      </c>
      <c r="Z90" s="75" t="e">
        <f>VLOOKUP(A90,Enforcements!$C$3:$J$60,8,0)</f>
        <v>#N/A</v>
      </c>
      <c r="AA90" s="75" t="e">
        <f>VLOOKUP(A90,Enforcements!$C$3:$J$60,3,0)</f>
        <v>#N/A</v>
      </c>
    </row>
    <row r="91" spans="1:27" s="2" customFormat="1" hidden="1" x14ac:dyDescent="0.25">
      <c r="A91" s="61" t="s">
        <v>341</v>
      </c>
      <c r="B91" s="61">
        <v>4029</v>
      </c>
      <c r="C91" s="61" t="s">
        <v>66</v>
      </c>
      <c r="D91" s="61" t="s">
        <v>107</v>
      </c>
      <c r="E91" s="30">
        <v>42509.620833333334</v>
      </c>
      <c r="F91" s="30">
        <v>42509.622164351851</v>
      </c>
      <c r="G91" s="38">
        <v>1</v>
      </c>
      <c r="H91" s="30" t="s">
        <v>152</v>
      </c>
      <c r="I91" s="30">
        <v>42509.650590277779</v>
      </c>
      <c r="J91" s="61">
        <v>0</v>
      </c>
      <c r="K91" s="61" t="str">
        <f t="shared" si="17"/>
        <v>4029/4030</v>
      </c>
      <c r="L91" s="61" t="str">
        <f>VLOOKUP(A91,'Trips&amp;Operators'!$C$1:$E$9999,3,FALSE)</f>
        <v>BARTLETT</v>
      </c>
      <c r="M91" s="12">
        <f t="shared" si="18"/>
        <v>2.842592592787696E-2</v>
      </c>
      <c r="N91" s="13">
        <f t="shared" si="5"/>
        <v>40.933333336142823</v>
      </c>
      <c r="O91" s="13"/>
      <c r="P91" s="13"/>
      <c r="Q91" s="62"/>
      <c r="R91" s="62"/>
      <c r="T9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14:53:00-0600',mode:absolute,to:'2016-05-19 15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1" s="74" t="str">
        <f t="shared" si="20"/>
        <v>N</v>
      </c>
      <c r="V91" s="74">
        <f t="shared" si="21"/>
        <v>2</v>
      </c>
      <c r="W91" s="74">
        <f t="shared" si="22"/>
        <v>4.6699999999999998E-2</v>
      </c>
      <c r="X91" s="74">
        <f t="shared" si="23"/>
        <v>23.331399999999999</v>
      </c>
      <c r="Y91" s="74">
        <f t="shared" si="24"/>
        <v>23.284699999999997</v>
      </c>
      <c r="Z91" s="75" t="e">
        <f>VLOOKUP(A91,Enforcements!$C$3:$J$60,8,0)</f>
        <v>#N/A</v>
      </c>
      <c r="AA91" s="75" t="e">
        <f>VLOOKUP(A91,Enforcements!$C$3:$J$60,3,0)</f>
        <v>#N/A</v>
      </c>
    </row>
    <row r="92" spans="1:27" s="2" customFormat="1" hidden="1" x14ac:dyDescent="0.25">
      <c r="A92" s="61" t="s">
        <v>381</v>
      </c>
      <c r="B92" s="61">
        <v>4030</v>
      </c>
      <c r="C92" s="61" t="s">
        <v>66</v>
      </c>
      <c r="D92" s="61" t="s">
        <v>85</v>
      </c>
      <c r="E92" s="30">
        <v>42509.659756944442</v>
      </c>
      <c r="F92" s="30">
        <v>42509.661226851851</v>
      </c>
      <c r="G92" s="38">
        <v>2</v>
      </c>
      <c r="H92" s="30" t="s">
        <v>70</v>
      </c>
      <c r="I92" s="30">
        <v>42509.690115740741</v>
      </c>
      <c r="J92" s="61">
        <v>0</v>
      </c>
      <c r="K92" s="61" t="str">
        <f t="shared" si="17"/>
        <v>4029/4030</v>
      </c>
      <c r="L92" s="61" t="str">
        <f>VLOOKUP(A92,'Trips&amp;Operators'!$C$1:$E$9999,3,FALSE)</f>
        <v>BARTLETT</v>
      </c>
      <c r="M92" s="12">
        <f t="shared" si="18"/>
        <v>2.8888888889923692E-2</v>
      </c>
      <c r="N92" s="13">
        <f t="shared" si="5"/>
        <v>41.600000001490116</v>
      </c>
      <c r="O92" s="13"/>
      <c r="P92" s="13"/>
      <c r="Q92" s="62"/>
      <c r="R92" s="62"/>
      <c r="T9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15:49:03-0600',mode:absolute,to:'2016-05-19 16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2" s="74" t="str">
        <f t="shared" si="20"/>
        <v>N</v>
      </c>
      <c r="V92" s="74">
        <f t="shared" si="21"/>
        <v>1</v>
      </c>
      <c r="W92" s="74">
        <f t="shared" si="22"/>
        <v>23.299399999999999</v>
      </c>
      <c r="X92" s="74">
        <f t="shared" si="23"/>
        <v>1.5599999999999999E-2</v>
      </c>
      <c r="Y92" s="74">
        <f t="shared" si="24"/>
        <v>23.283799999999999</v>
      </c>
      <c r="Z92" s="75" t="e">
        <f>VLOOKUP(A92,Enforcements!$C$3:$J$60,8,0)</f>
        <v>#N/A</v>
      </c>
      <c r="AA92" s="75" t="e">
        <f>VLOOKUP(A92,Enforcements!$C$3:$J$60,3,0)</f>
        <v>#N/A</v>
      </c>
    </row>
    <row r="93" spans="1:27" s="2" customFormat="1" hidden="1" x14ac:dyDescent="0.25">
      <c r="A93" s="61" t="s">
        <v>371</v>
      </c>
      <c r="B93" s="61">
        <v>4007</v>
      </c>
      <c r="C93" s="61" t="s">
        <v>66</v>
      </c>
      <c r="D93" s="61" t="s">
        <v>107</v>
      </c>
      <c r="E93" s="30">
        <v>42509.633796296293</v>
      </c>
      <c r="F93" s="30">
        <v>42509.634722222225</v>
      </c>
      <c r="G93" s="38">
        <v>1</v>
      </c>
      <c r="H93" s="30" t="s">
        <v>520</v>
      </c>
      <c r="I93" s="30">
        <v>42509.667708333334</v>
      </c>
      <c r="J93" s="61">
        <v>0</v>
      </c>
      <c r="K93" s="61" t="str">
        <f t="shared" si="17"/>
        <v>4007/4008</v>
      </c>
      <c r="L93" s="61" t="str">
        <f>VLOOKUP(A93,'Trips&amp;Operators'!$C$1:$E$9999,3,FALSE)</f>
        <v>SPECTOR</v>
      </c>
      <c r="M93" s="12">
        <f t="shared" si="18"/>
        <v>3.2986111109494232E-2</v>
      </c>
      <c r="N93" s="13">
        <f t="shared" si="5"/>
        <v>47.499999997671694</v>
      </c>
      <c r="O93" s="13"/>
      <c r="P93" s="13"/>
      <c r="Q93" s="62"/>
      <c r="R93" s="62"/>
      <c r="T9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15:11:40-0600',mode:absolute,to:'2016-05-19 16:02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3" s="74" t="str">
        <f t="shared" si="20"/>
        <v>N</v>
      </c>
      <c r="V93" s="74">
        <f t="shared" si="21"/>
        <v>1</v>
      </c>
      <c r="W93" s="74">
        <f t="shared" si="22"/>
        <v>4.6699999999999998E-2</v>
      </c>
      <c r="X93" s="74">
        <f t="shared" si="23"/>
        <v>23.3324</v>
      </c>
      <c r="Y93" s="74">
        <f t="shared" si="24"/>
        <v>23.285699999999999</v>
      </c>
      <c r="Z93" s="75" t="e">
        <f>VLOOKUP(A93,Enforcements!$C$3:$J$60,8,0)</f>
        <v>#N/A</v>
      </c>
      <c r="AA93" s="75" t="e">
        <f>VLOOKUP(A93,Enforcements!$C$3:$J$60,3,0)</f>
        <v>#N/A</v>
      </c>
    </row>
    <row r="94" spans="1:27" s="2" customFormat="1" hidden="1" x14ac:dyDescent="0.25">
      <c r="A94" s="61" t="s">
        <v>413</v>
      </c>
      <c r="B94" s="61">
        <v>4008</v>
      </c>
      <c r="C94" s="61" t="s">
        <v>66</v>
      </c>
      <c r="D94" s="61" t="s">
        <v>162</v>
      </c>
      <c r="E94" s="30">
        <v>42509.671342592592</v>
      </c>
      <c r="F94" s="30">
        <v>42509.672222222223</v>
      </c>
      <c r="G94" s="38">
        <v>1</v>
      </c>
      <c r="H94" s="30" t="s">
        <v>71</v>
      </c>
      <c r="I94" s="30">
        <v>42509.701747685183</v>
      </c>
      <c r="J94" s="61">
        <v>1</v>
      </c>
      <c r="K94" s="61" t="str">
        <f t="shared" si="17"/>
        <v>4007/4008</v>
      </c>
      <c r="L94" s="61" t="str">
        <f>VLOOKUP(A94,'Trips&amp;Operators'!$C$1:$E$9999,3,FALSE)</f>
        <v>SPECTOR</v>
      </c>
      <c r="M94" s="12">
        <f t="shared" si="18"/>
        <v>2.9525462960009463E-2</v>
      </c>
      <c r="N94" s="13">
        <f t="shared" si="5"/>
        <v>42.516666662413627</v>
      </c>
      <c r="O94" s="13"/>
      <c r="P94" s="13"/>
      <c r="Q94" s="62"/>
      <c r="R94" s="62"/>
      <c r="T9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16:05:44-0600',mode:absolute,to:'2016-05-19 16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4" s="74" t="str">
        <f t="shared" si="20"/>
        <v>N</v>
      </c>
      <c r="V94" s="74">
        <f t="shared" si="21"/>
        <v>1</v>
      </c>
      <c r="W94" s="74">
        <f t="shared" si="22"/>
        <v>23.297699999999999</v>
      </c>
      <c r="X94" s="74">
        <f t="shared" si="23"/>
        <v>1.49E-2</v>
      </c>
      <c r="Y94" s="74">
        <f t="shared" si="24"/>
        <v>23.282799999999998</v>
      </c>
      <c r="Z94" s="75">
        <f>VLOOKUP(A94,Enforcements!$C$3:$J$60,8,0)</f>
        <v>156300</v>
      </c>
      <c r="AA94" s="75" t="str">
        <f>VLOOKUP(A94,Enforcements!$C$3:$J$60,3,0)</f>
        <v>PERMANENT SPEED RESTRICTION</v>
      </c>
    </row>
    <row r="95" spans="1:27" s="2" customFormat="1" hidden="1" x14ac:dyDescent="0.25">
      <c r="A95" s="61" t="s">
        <v>401</v>
      </c>
      <c r="B95" s="61">
        <v>4040</v>
      </c>
      <c r="C95" s="61" t="s">
        <v>66</v>
      </c>
      <c r="D95" s="61" t="s">
        <v>109</v>
      </c>
      <c r="E95" s="30">
        <v>42509.645694444444</v>
      </c>
      <c r="F95" s="30">
        <v>42509.646689814814</v>
      </c>
      <c r="G95" s="38">
        <v>1</v>
      </c>
      <c r="H95" s="30" t="s">
        <v>78</v>
      </c>
      <c r="I95" s="30">
        <v>42509.671643518515</v>
      </c>
      <c r="J95" s="61">
        <v>0</v>
      </c>
      <c r="K95" s="61" t="str">
        <f t="shared" si="17"/>
        <v>4039/4040</v>
      </c>
      <c r="L95" s="61" t="str">
        <f>VLOOKUP(A95,'Trips&amp;Operators'!$C$1:$E$9999,3,FALSE)</f>
        <v>STEWART</v>
      </c>
      <c r="M95" s="12">
        <f t="shared" si="18"/>
        <v>2.495370370161254E-2</v>
      </c>
      <c r="N95" s="13">
        <f t="shared" si="5"/>
        <v>35.933333330322057</v>
      </c>
      <c r="O95" s="13"/>
      <c r="P95" s="13"/>
      <c r="Q95" s="62"/>
      <c r="R95" s="62"/>
      <c r="T9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15:28:48-0600',mode:absolute,to:'2016-05-19 16:08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5" s="74" t="str">
        <f t="shared" si="20"/>
        <v>N</v>
      </c>
      <c r="V95" s="74">
        <f t="shared" si="21"/>
        <v>1</v>
      </c>
      <c r="W95" s="74">
        <f t="shared" si="22"/>
        <v>4.58E-2</v>
      </c>
      <c r="X95" s="74">
        <f t="shared" si="23"/>
        <v>23.3308</v>
      </c>
      <c r="Y95" s="74">
        <f t="shared" si="24"/>
        <v>23.285</v>
      </c>
      <c r="Z95" s="75" t="e">
        <f>VLOOKUP(A95,Enforcements!$C$3:$J$60,8,0)</f>
        <v>#N/A</v>
      </c>
      <c r="AA95" s="75" t="e">
        <f>VLOOKUP(A95,Enforcements!$C$3:$J$60,3,0)</f>
        <v>#N/A</v>
      </c>
    </row>
    <row r="96" spans="1:27" s="2" customFormat="1" hidden="1" x14ac:dyDescent="0.25">
      <c r="A96" s="61" t="s">
        <v>453</v>
      </c>
      <c r="B96" s="61">
        <v>4039</v>
      </c>
      <c r="C96" s="61" t="s">
        <v>66</v>
      </c>
      <c r="D96" s="61" t="s">
        <v>161</v>
      </c>
      <c r="E96" s="30">
        <v>42509.681319444448</v>
      </c>
      <c r="F96" s="30">
        <v>42509.682395833333</v>
      </c>
      <c r="G96" s="38">
        <v>1</v>
      </c>
      <c r="H96" s="30" t="s">
        <v>75</v>
      </c>
      <c r="I96" s="30">
        <v>42509.711782407408</v>
      </c>
      <c r="J96" s="61">
        <v>0</v>
      </c>
      <c r="K96" s="61" t="str">
        <f t="shared" si="17"/>
        <v>4039/4040</v>
      </c>
      <c r="L96" s="61" t="str">
        <f>VLOOKUP(A96,'Trips&amp;Operators'!$C$1:$E$9999,3,FALSE)</f>
        <v>STEWART</v>
      </c>
      <c r="M96" s="12">
        <f t="shared" si="18"/>
        <v>2.9386574075033423E-2</v>
      </c>
      <c r="N96" s="13">
        <f t="shared" si="5"/>
        <v>42.316666668048128</v>
      </c>
      <c r="O96" s="13"/>
      <c r="P96" s="13"/>
      <c r="Q96" s="62"/>
      <c r="R96" s="62"/>
      <c r="T9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16:20:06-0600',mode:absolute,to:'2016-05-19 17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6" s="74" t="str">
        <f t="shared" si="20"/>
        <v>N</v>
      </c>
      <c r="V96" s="74">
        <f t="shared" si="21"/>
        <v>1</v>
      </c>
      <c r="W96" s="74">
        <f t="shared" si="22"/>
        <v>23.3002</v>
      </c>
      <c r="X96" s="74">
        <f t="shared" si="23"/>
        <v>1.4500000000000001E-2</v>
      </c>
      <c r="Y96" s="74">
        <f t="shared" si="24"/>
        <v>23.285699999999999</v>
      </c>
      <c r="Z96" s="75" t="e">
        <f>VLOOKUP(A96,Enforcements!$C$3:$J$60,8,0)</f>
        <v>#N/A</v>
      </c>
      <c r="AA96" s="75" t="e">
        <f>VLOOKUP(A96,Enforcements!$C$3:$J$60,3,0)</f>
        <v>#N/A</v>
      </c>
    </row>
    <row r="97" spans="1:27" s="2" customFormat="1" hidden="1" x14ac:dyDescent="0.25">
      <c r="A97" s="61" t="s">
        <v>339</v>
      </c>
      <c r="B97" s="61">
        <v>4024</v>
      </c>
      <c r="C97" s="61" t="s">
        <v>66</v>
      </c>
      <c r="D97" s="61" t="s">
        <v>521</v>
      </c>
      <c r="E97" s="30">
        <v>42509.655173611114</v>
      </c>
      <c r="F97" s="30">
        <v>42509.656076388892</v>
      </c>
      <c r="G97" s="38">
        <v>1</v>
      </c>
      <c r="H97" s="30" t="s">
        <v>179</v>
      </c>
      <c r="I97" s="30">
        <v>42509.680821759262</v>
      </c>
      <c r="J97" s="61">
        <v>0</v>
      </c>
      <c r="K97" s="61" t="str">
        <f t="shared" si="17"/>
        <v>4023/4024</v>
      </c>
      <c r="L97" s="61" t="str">
        <f>VLOOKUP(A97,'Trips&amp;Operators'!$C$1:$E$9999,3,FALSE)</f>
        <v>COOLAHAN</v>
      </c>
      <c r="M97" s="12">
        <f t="shared" si="18"/>
        <v>2.47453703705105E-2</v>
      </c>
      <c r="N97" s="13">
        <f t="shared" si="5"/>
        <v>35.63333333353512</v>
      </c>
      <c r="O97" s="13"/>
      <c r="P97" s="13"/>
      <c r="Q97" s="62"/>
      <c r="R97" s="62"/>
      <c r="T9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15:42:27-0600',mode:absolute,to:'2016-05-19 16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7" s="74" t="str">
        <f t="shared" si="20"/>
        <v>N</v>
      </c>
      <c r="V97" s="74">
        <f t="shared" si="21"/>
        <v>1</v>
      </c>
      <c r="W97" s="74">
        <f t="shared" si="22"/>
        <v>3.7499999999999999E-2</v>
      </c>
      <c r="X97" s="74">
        <f t="shared" si="23"/>
        <v>23.332000000000001</v>
      </c>
      <c r="Y97" s="74">
        <f t="shared" si="24"/>
        <v>23.294499999999999</v>
      </c>
      <c r="Z97" s="75" t="e">
        <f>VLOOKUP(A97,Enforcements!$C$3:$J$60,8,0)</f>
        <v>#N/A</v>
      </c>
      <c r="AA97" s="75" t="e">
        <f>VLOOKUP(A97,Enforcements!$C$3:$J$60,3,0)</f>
        <v>#N/A</v>
      </c>
    </row>
    <row r="98" spans="1:27" s="2" customFormat="1" hidden="1" x14ac:dyDescent="0.25">
      <c r="A98" s="61" t="s">
        <v>348</v>
      </c>
      <c r="B98" s="61">
        <v>4011</v>
      </c>
      <c r="C98" s="61" t="s">
        <v>66</v>
      </c>
      <c r="D98" s="61" t="s">
        <v>522</v>
      </c>
      <c r="E98" s="30">
        <v>42509.662453703706</v>
      </c>
      <c r="F98" s="30">
        <v>42509.664444444446</v>
      </c>
      <c r="G98" s="38">
        <v>2</v>
      </c>
      <c r="H98" s="30" t="s">
        <v>523</v>
      </c>
      <c r="I98" s="30">
        <v>42509.690810185188</v>
      </c>
      <c r="J98" s="61">
        <v>0</v>
      </c>
      <c r="K98" s="61" t="str">
        <f t="shared" si="17"/>
        <v>4011/4012</v>
      </c>
      <c r="L98" s="61" t="str">
        <f>VLOOKUP(A98,'Trips&amp;Operators'!$C$1:$E$9999,3,FALSE)</f>
        <v>DE LA ROSA</v>
      </c>
      <c r="M98" s="12">
        <f t="shared" si="18"/>
        <v>2.6365740741312038E-2</v>
      </c>
      <c r="N98" s="13">
        <f t="shared" si="5"/>
        <v>37.966666667489335</v>
      </c>
      <c r="O98" s="13"/>
      <c r="P98" s="13"/>
      <c r="Q98" s="62"/>
      <c r="R98" s="62"/>
      <c r="T98" s="74" t="str">
        <f t="shared" ref="T98:T103" si="25"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https://search-rtdc-monitor-bjffxe2xuh6vdkpspy63sjmuny.us-east-1.es.amazonaws.com/_plugin/kibana/#/discover/Steve-Slow-Train-Analysis-(2080s-and-2083s)?_g=(refreshInterval:(display:Off,section:0,value:0),time:(from:'2016-05-19 15:52:56-0600',mode:absolute,to:'2016-05-19 16:35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8" s="74" t="str">
        <f t="shared" ref="U98:U103" si="26">IF(Y98&lt;23,"Y","N")</f>
        <v>N</v>
      </c>
      <c r="V98" s="74">
        <f t="shared" ref="V98:V103" si="27">VALUE(LEFT(A98,3))-VALUE(LEFT(A97,3))</f>
        <v>2</v>
      </c>
      <c r="W98" s="74">
        <f t="shared" ref="W98:W103" si="28">RIGHT(D98,LEN(D98)-4)/10000</f>
        <v>4.5699999999999998E-2</v>
      </c>
      <c r="X98" s="74">
        <f t="shared" ref="X98:X103" si="29">RIGHT(H98,LEN(H98)-4)/10000</f>
        <v>23.335699999999999</v>
      </c>
      <c r="Y98" s="74">
        <f t="shared" ref="Y98:Y103" si="30">ABS(X98-W98)</f>
        <v>23.29</v>
      </c>
      <c r="Z98" s="75" t="e">
        <f>VLOOKUP(A98,Enforcements!$C$3:$J$60,8,0)</f>
        <v>#N/A</v>
      </c>
      <c r="AA98" s="75" t="e">
        <f>VLOOKUP(A98,Enforcements!$C$3:$J$60,3,0)</f>
        <v>#N/A</v>
      </c>
    </row>
    <row r="99" spans="1:27" s="2" customFormat="1" x14ac:dyDescent="0.25">
      <c r="A99" s="61" t="s">
        <v>418</v>
      </c>
      <c r="B99" s="61">
        <v>4012</v>
      </c>
      <c r="C99" s="61" t="s">
        <v>66</v>
      </c>
      <c r="D99" s="61" t="s">
        <v>524</v>
      </c>
      <c r="E99" s="30">
        <v>42509.701793981483</v>
      </c>
      <c r="F99" s="30">
        <v>42509.703055555554</v>
      </c>
      <c r="G99" s="38">
        <v>1</v>
      </c>
      <c r="H99" s="30" t="s">
        <v>75</v>
      </c>
      <c r="I99" s="30">
        <v>42509.734212962961</v>
      </c>
      <c r="J99" s="61">
        <v>0</v>
      </c>
      <c r="K99" s="61" t="str">
        <f t="shared" si="17"/>
        <v>4011/4012</v>
      </c>
      <c r="L99" s="61" t="str">
        <f>VLOOKUP(A99,'Trips&amp;Operators'!$C$1:$E$9999,3,FALSE)</f>
        <v>DE LA ROSA</v>
      </c>
      <c r="M99" s="12">
        <f t="shared" si="18"/>
        <v>3.1157407407590654E-2</v>
      </c>
      <c r="N99" s="13"/>
      <c r="O99" s="13">
        <f t="shared" si="5"/>
        <v>44.866666666930541</v>
      </c>
      <c r="P99" s="13"/>
      <c r="Q99" s="62" t="s">
        <v>175</v>
      </c>
      <c r="R99" s="62" t="s">
        <v>545</v>
      </c>
      <c r="T99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https://search-rtdc-monitor-bjffxe2xuh6vdkpspy63sjmuny.us-east-1.es.amazonaws.com/_plugin/kibana/#/discover/Steve-Slow-Train-Analysis-(2080s-and-2083s)?_g=(refreshInterval:(display:Off,section:0,value:0),time:(from:'2016-05-19 16:49:35-0600',mode:absolute,to:'2016-05-19 17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9" s="74" t="str">
        <f t="shared" si="26"/>
        <v>N</v>
      </c>
      <c r="V99" s="74">
        <f t="shared" si="27"/>
        <v>1</v>
      </c>
      <c r="W99" s="74">
        <f t="shared" si="28"/>
        <v>23.303799999999999</v>
      </c>
      <c r="X99" s="74">
        <f t="shared" si="29"/>
        <v>1.4500000000000001E-2</v>
      </c>
      <c r="Y99" s="74">
        <f t="shared" si="30"/>
        <v>23.289299999999997</v>
      </c>
      <c r="Z99" s="75" t="e">
        <f>VLOOKUP(A99,Enforcements!$C$3:$J$60,8,0)</f>
        <v>#N/A</v>
      </c>
      <c r="AA99" s="75" t="e">
        <f>VLOOKUP(A99,Enforcements!$C$3:$J$60,3,0)</f>
        <v>#N/A</v>
      </c>
    </row>
    <row r="100" spans="1:27" s="2" customFormat="1" hidden="1" x14ac:dyDescent="0.25">
      <c r="A100" s="61" t="s">
        <v>430</v>
      </c>
      <c r="B100" s="61">
        <v>4031</v>
      </c>
      <c r="C100" s="61" t="s">
        <v>66</v>
      </c>
      <c r="D100" s="61" t="s">
        <v>81</v>
      </c>
      <c r="E100" s="30">
        <v>42509.671574074076</v>
      </c>
      <c r="F100" s="30">
        <v>42509.67324074074</v>
      </c>
      <c r="G100" s="38">
        <v>2</v>
      </c>
      <c r="H100" s="30" t="s">
        <v>68</v>
      </c>
      <c r="I100" s="30">
        <v>42509.702615740738</v>
      </c>
      <c r="J100" s="61">
        <v>1</v>
      </c>
      <c r="K100" s="61" t="str">
        <f t="shared" si="17"/>
        <v>4031/4032</v>
      </c>
      <c r="L100" s="61" t="str">
        <f>VLOOKUP(A100,'Trips&amp;Operators'!$C$1:$E$9999,3,FALSE)</f>
        <v>BRUDER</v>
      </c>
      <c r="M100" s="12">
        <f t="shared" si="18"/>
        <v>2.937499999825377E-2</v>
      </c>
      <c r="N100" s="13">
        <f t="shared" si="5"/>
        <v>42.299999997485429</v>
      </c>
      <c r="O100" s="13"/>
      <c r="P100" s="13"/>
      <c r="Q100" s="62"/>
      <c r="R100" s="62"/>
      <c r="T100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https://search-rtdc-monitor-bjffxe2xuh6vdkpspy63sjmuny.us-east-1.es.amazonaws.com/_plugin/kibana/#/discover/Steve-Slow-Train-Analysis-(2080s-and-2083s)?_g=(refreshInterval:(display:Off,section:0,value:0),time:(from:'2016-05-19 16:06:04-0600',mode:absolute,to:'2016-05-19 16:52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0" s="74" t="str">
        <f t="shared" si="26"/>
        <v>N</v>
      </c>
      <c r="V100" s="74">
        <f t="shared" si="27"/>
        <v>1</v>
      </c>
      <c r="W100" s="74">
        <f t="shared" si="28"/>
        <v>4.53E-2</v>
      </c>
      <c r="X100" s="74">
        <f t="shared" si="29"/>
        <v>23.329499999999999</v>
      </c>
      <c r="Y100" s="74">
        <f t="shared" si="30"/>
        <v>23.284199999999998</v>
      </c>
      <c r="Z100" s="75">
        <f>VLOOKUP(A100,Enforcements!$C$3:$J$60,8,0)</f>
        <v>233491</v>
      </c>
      <c r="AA100" s="75" t="str">
        <f>VLOOKUP(A100,Enforcements!$C$3:$J$60,3,0)</f>
        <v>TRACK WARRANT AUTHORITY</v>
      </c>
    </row>
    <row r="101" spans="1:27" s="2" customFormat="1" hidden="1" x14ac:dyDescent="0.25">
      <c r="A101" s="61" t="s">
        <v>400</v>
      </c>
      <c r="B101" s="61">
        <v>4032</v>
      </c>
      <c r="C101" s="61" t="s">
        <v>66</v>
      </c>
      <c r="D101" s="61" t="s">
        <v>162</v>
      </c>
      <c r="E101" s="30">
        <v>42509.70621527778</v>
      </c>
      <c r="F101" s="30">
        <v>42509.707152777781</v>
      </c>
      <c r="G101" s="38">
        <v>1</v>
      </c>
      <c r="H101" s="30" t="s">
        <v>73</v>
      </c>
      <c r="I101" s="30">
        <v>42509.742673611108</v>
      </c>
      <c r="J101" s="61">
        <v>0</v>
      </c>
      <c r="K101" s="61" t="str">
        <f t="shared" si="17"/>
        <v>4031/4032</v>
      </c>
      <c r="L101" s="61" t="str">
        <f>VLOOKUP(A101,'Trips&amp;Operators'!$C$1:$E$9999,3,FALSE)</f>
        <v>BRUDER</v>
      </c>
      <c r="M101" s="12">
        <f t="shared" si="18"/>
        <v>3.552083332760958E-2</v>
      </c>
      <c r="N101" s="13">
        <f t="shared" ref="N101:P142" si="31">24*60*SUM($M101:$M101)</f>
        <v>51.149999991757795</v>
      </c>
      <c r="O101" s="13"/>
      <c r="P101" s="13"/>
      <c r="Q101" s="62"/>
      <c r="R101" s="62"/>
      <c r="T101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https://search-rtdc-monitor-bjffxe2xuh6vdkpspy63sjmuny.us-east-1.es.amazonaws.com/_plugin/kibana/#/discover/Steve-Slow-Train-Analysis-(2080s-and-2083s)?_g=(refreshInterval:(display:Off,section:0,value:0),time:(from:'2016-05-19 16:55:57-0600',mode:absolute,to:'2016-05-19 17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1" s="74" t="str">
        <f t="shared" si="26"/>
        <v>N</v>
      </c>
      <c r="V101" s="74">
        <f t="shared" si="27"/>
        <v>1</v>
      </c>
      <c r="W101" s="74">
        <f t="shared" si="28"/>
        <v>23.297699999999999</v>
      </c>
      <c r="X101" s="74">
        <f t="shared" si="29"/>
        <v>1.54E-2</v>
      </c>
      <c r="Y101" s="74">
        <f t="shared" si="30"/>
        <v>23.282299999999999</v>
      </c>
      <c r="Z101" s="75" t="e">
        <f>VLOOKUP(A101,Enforcements!$C$3:$J$60,8,0)</f>
        <v>#N/A</v>
      </c>
      <c r="AA101" s="75" t="e">
        <f>VLOOKUP(A101,Enforcements!$C$3:$J$60,3,0)</f>
        <v>#N/A</v>
      </c>
    </row>
    <row r="102" spans="1:27" s="2" customFormat="1" x14ac:dyDescent="0.25">
      <c r="A102" s="61" t="s">
        <v>384</v>
      </c>
      <c r="B102" s="61">
        <v>4042</v>
      </c>
      <c r="C102" s="61" t="s">
        <v>66</v>
      </c>
      <c r="D102" s="61" t="s">
        <v>525</v>
      </c>
      <c r="E102" s="30">
        <v>42509.693090277775</v>
      </c>
      <c r="F102" s="30">
        <v>42509.694004629629</v>
      </c>
      <c r="G102" s="38">
        <v>1</v>
      </c>
      <c r="H102" s="30" t="s">
        <v>150</v>
      </c>
      <c r="I102" s="30">
        <v>42509.71675925926</v>
      </c>
      <c r="J102" s="61">
        <v>1</v>
      </c>
      <c r="K102" s="61" t="str">
        <f t="shared" si="17"/>
        <v>4041/4042</v>
      </c>
      <c r="L102" s="61" t="str">
        <f>VLOOKUP(A102,'Trips&amp;Operators'!$C$1:$E$9999,3,FALSE)</f>
        <v>YOUNG</v>
      </c>
      <c r="M102" s="12">
        <f t="shared" si="18"/>
        <v>2.2754629630071577E-2</v>
      </c>
      <c r="N102" s="13"/>
      <c r="O102" s="13"/>
      <c r="P102" s="13">
        <f>24*60*SUM($M102:$M103)</f>
        <v>35.433333339169621</v>
      </c>
      <c r="Q102" s="62" t="s">
        <v>175</v>
      </c>
      <c r="R102" s="62" t="s">
        <v>546</v>
      </c>
      <c r="T102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https://search-rtdc-monitor-bjffxe2xuh6vdkpspy63sjmuny.us-east-1.es.amazonaws.com/_plugin/kibana/#/discover/Steve-Slow-Train-Analysis-(2080s-and-2083s)?_g=(refreshInterval:(display:Off,section:0,value:0),time:(from:'2016-05-19 16:37:03-0600',mode:absolute,to:'2016-05-19 17:13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02" s="74" t="str">
        <f t="shared" si="26"/>
        <v>Y</v>
      </c>
      <c r="V102" s="74">
        <f t="shared" si="27"/>
        <v>1</v>
      </c>
      <c r="W102" s="74">
        <f t="shared" si="28"/>
        <v>1.9129</v>
      </c>
      <c r="X102" s="74">
        <f t="shared" si="29"/>
        <v>23.3293</v>
      </c>
      <c r="Y102" s="74">
        <f t="shared" si="30"/>
        <v>21.416399999999999</v>
      </c>
      <c r="Z102" s="75">
        <f>VLOOKUP(A102,Enforcements!$C$3:$J$60,8,0)</f>
        <v>233491</v>
      </c>
      <c r="AA102" s="75" t="str">
        <f>VLOOKUP(A102,Enforcements!$C$3:$J$60,3,0)</f>
        <v>TRACK WARRANT AUTHORITY</v>
      </c>
    </row>
    <row r="103" spans="1:27" s="2" customFormat="1" hidden="1" x14ac:dyDescent="0.25">
      <c r="A103" s="61" t="s">
        <v>384</v>
      </c>
      <c r="B103" s="61">
        <v>4042</v>
      </c>
      <c r="C103" s="61" t="s">
        <v>66</v>
      </c>
      <c r="D103" s="61" t="s">
        <v>186</v>
      </c>
      <c r="E103" s="30">
        <v>42509.687083333331</v>
      </c>
      <c r="F103" s="30">
        <v>42509.688020833331</v>
      </c>
      <c r="G103" s="38">
        <v>1</v>
      </c>
      <c r="H103" s="30" t="s">
        <v>526</v>
      </c>
      <c r="I103" s="30">
        <v>42509.689872685187</v>
      </c>
      <c r="J103" s="61">
        <v>0</v>
      </c>
      <c r="K103" s="61" t="str">
        <f t="shared" si="17"/>
        <v>4041/4042</v>
      </c>
      <c r="L103" s="61" t="str">
        <f>VLOOKUP(A103,'Trips&amp;Operators'!$C$1:$E$9999,3,FALSE)</f>
        <v>YOUNG</v>
      </c>
      <c r="M103" s="12">
        <f t="shared" si="18"/>
        <v>1.8518518554628827E-3</v>
      </c>
      <c r="N103" s="13"/>
      <c r="O103" s="13"/>
      <c r="P103" s="13"/>
      <c r="Q103" s="62"/>
      <c r="R103" s="62"/>
      <c r="T103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https://search-rtdc-monitor-bjffxe2xuh6vdkpspy63sjmuny.us-east-1.es.amazonaws.com/_plugin/kibana/#/discover/Steve-Slow-Train-Analysis-(2080s-and-2083s)?_g=(refreshInterval:(display:Off,section:0,value:0),time:(from:'2016-05-19 16:28:24-0600',mode:absolute,to:'2016-05-19 16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03" s="74" t="str">
        <f t="shared" si="26"/>
        <v>Y</v>
      </c>
      <c r="V103" s="74">
        <f t="shared" si="27"/>
        <v>0</v>
      </c>
      <c r="W103" s="74">
        <f t="shared" si="28"/>
        <v>4.6199999999999998E-2</v>
      </c>
      <c r="X103" s="74">
        <f t="shared" si="29"/>
        <v>0.108</v>
      </c>
      <c r="Y103" s="74">
        <f t="shared" si="30"/>
        <v>6.1800000000000001E-2</v>
      </c>
      <c r="Z103" s="75">
        <f>VLOOKUP(A103,Enforcements!$C$3:$J$60,8,0)</f>
        <v>233491</v>
      </c>
      <c r="AA103" s="75" t="str">
        <f>VLOOKUP(A103,Enforcements!$C$3:$J$60,3,0)</f>
        <v>TRACK WARRANT AUTHORITY</v>
      </c>
    </row>
    <row r="104" spans="1:27" s="2" customFormat="1" hidden="1" x14ac:dyDescent="0.25">
      <c r="A104" s="61" t="s">
        <v>331</v>
      </c>
      <c r="B104" s="61">
        <v>4029</v>
      </c>
      <c r="C104" s="61" t="s">
        <v>66</v>
      </c>
      <c r="D104" s="61" t="s">
        <v>476</v>
      </c>
      <c r="E104" s="30">
        <v>42509.696956018517</v>
      </c>
      <c r="F104" s="30">
        <v>42509.697800925926</v>
      </c>
      <c r="G104" s="38">
        <v>1</v>
      </c>
      <c r="H104" s="30" t="s">
        <v>470</v>
      </c>
      <c r="I104" s="30">
        <v>42509.724409722221</v>
      </c>
      <c r="J104" s="61">
        <v>0</v>
      </c>
      <c r="K104" s="61" t="str">
        <f t="shared" si="17"/>
        <v>4029/4030</v>
      </c>
      <c r="L104" s="61" t="str">
        <f>VLOOKUP(A104,'Trips&amp;Operators'!$C$1:$E$9999,3,FALSE)</f>
        <v>BARTLETT</v>
      </c>
      <c r="M104" s="12">
        <f t="shared" si="18"/>
        <v>2.6608796295477077E-2</v>
      </c>
      <c r="N104" s="13">
        <f t="shared" si="31"/>
        <v>38.316666665486991</v>
      </c>
      <c r="O104" s="13"/>
      <c r="P104" s="13"/>
      <c r="Q104" s="62"/>
      <c r="R104" s="62"/>
      <c r="T10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16:42:37-0600',mode:absolute,to:'2016-05-19 17:24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04" s="74" t="str">
        <f t="shared" si="20"/>
        <v>N</v>
      </c>
      <c r="V104" s="74">
        <f t="shared" si="21"/>
        <v>2</v>
      </c>
      <c r="W104" s="74">
        <f t="shared" si="22"/>
        <v>4.7100000000000003E-2</v>
      </c>
      <c r="X104" s="74">
        <f t="shared" si="23"/>
        <v>23.328900000000001</v>
      </c>
      <c r="Y104" s="74">
        <f t="shared" si="24"/>
        <v>23.2818</v>
      </c>
      <c r="Z104" s="75" t="e">
        <f>VLOOKUP(A104,Enforcements!$C$3:$J$60,8,0)</f>
        <v>#N/A</v>
      </c>
      <c r="AA104" s="75" t="e">
        <f>VLOOKUP(A104,Enforcements!$C$3:$J$60,3,0)</f>
        <v>#N/A</v>
      </c>
    </row>
    <row r="105" spans="1:27" s="2" customFormat="1" x14ac:dyDescent="0.25">
      <c r="A105" s="61" t="s">
        <v>402</v>
      </c>
      <c r="B105" s="61">
        <v>4030</v>
      </c>
      <c r="C105" s="61" t="s">
        <v>66</v>
      </c>
      <c r="D105" s="61" t="s">
        <v>88</v>
      </c>
      <c r="E105" s="30">
        <v>42509.733530092592</v>
      </c>
      <c r="F105" s="30">
        <v>42509.734583333331</v>
      </c>
      <c r="G105" s="38">
        <v>1</v>
      </c>
      <c r="H105" s="30" t="s">
        <v>69</v>
      </c>
      <c r="I105" s="30">
        <v>42509.738842592589</v>
      </c>
      <c r="J105" s="61">
        <v>0</v>
      </c>
      <c r="K105" s="61" t="str">
        <f t="shared" si="17"/>
        <v>4029/4030</v>
      </c>
      <c r="L105" s="61" t="str">
        <f>VLOOKUP(A105,'Trips&amp;Operators'!$C$1:$E$9999,3,FALSE)</f>
        <v>BARTLETT</v>
      </c>
      <c r="M105" s="12">
        <f t="shared" si="18"/>
        <v>4.2592592581058852E-3</v>
      </c>
      <c r="N105" s="13"/>
      <c r="O105" s="13"/>
      <c r="P105" s="13">
        <f t="shared" si="31"/>
        <v>6.1333333316724747</v>
      </c>
      <c r="Q105" s="62" t="s">
        <v>175</v>
      </c>
      <c r="R105" s="62" t="s">
        <v>541</v>
      </c>
      <c r="T10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17:35:17-0600',mode:absolute,to:'2016-05-19 17:44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5" s="74" t="str">
        <f t="shared" si="20"/>
        <v>Y</v>
      </c>
      <c r="V105" s="74">
        <f t="shared" si="21"/>
        <v>1</v>
      </c>
      <c r="W105" s="74">
        <f t="shared" si="22"/>
        <v>23.297999999999998</v>
      </c>
      <c r="X105" s="74">
        <f t="shared" si="23"/>
        <v>23.297799999999999</v>
      </c>
      <c r="Y105" s="74">
        <f t="shared" si="24"/>
        <v>1.9999999999953388E-4</v>
      </c>
      <c r="Z105" s="75" t="e">
        <f>VLOOKUP(A105,Enforcements!$C$3:$J$60,8,0)</f>
        <v>#N/A</v>
      </c>
      <c r="AA105" s="75" t="e">
        <f>VLOOKUP(A105,Enforcements!$C$3:$J$60,3,0)</f>
        <v>#N/A</v>
      </c>
    </row>
    <row r="106" spans="1:27" s="2" customFormat="1" hidden="1" x14ac:dyDescent="0.25">
      <c r="A106" s="61" t="s">
        <v>389</v>
      </c>
      <c r="B106" s="61">
        <v>4007</v>
      </c>
      <c r="C106" s="61" t="s">
        <v>66</v>
      </c>
      <c r="D106" s="61" t="s">
        <v>527</v>
      </c>
      <c r="E106" s="30">
        <v>42509.704016203701</v>
      </c>
      <c r="F106" s="30">
        <v>42509.704942129632</v>
      </c>
      <c r="G106" s="38">
        <v>1</v>
      </c>
      <c r="H106" s="30" t="s">
        <v>164</v>
      </c>
      <c r="I106" s="30">
        <v>42509.734814814816</v>
      </c>
      <c r="J106" s="61">
        <v>0</v>
      </c>
      <c r="K106" s="61" t="str">
        <f t="shared" si="17"/>
        <v>4007/4008</v>
      </c>
      <c r="L106" s="61" t="str">
        <f>VLOOKUP(A106,'Trips&amp;Operators'!$C$1:$E$9999,3,FALSE)</f>
        <v>SPECTOR</v>
      </c>
      <c r="M106" s="12">
        <f t="shared" si="18"/>
        <v>2.9872685183363501E-2</v>
      </c>
      <c r="N106" s="13">
        <f t="shared" si="31"/>
        <v>43.016666664043441</v>
      </c>
      <c r="O106" s="13"/>
      <c r="P106" s="13"/>
      <c r="Q106" s="62"/>
      <c r="R106" s="62"/>
      <c r="T10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16:52:47-0600',mode:absolute,to:'2016-05-19 17:39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6" s="74" t="str">
        <f t="shared" si="20"/>
        <v>N</v>
      </c>
      <c r="V106" s="74">
        <f t="shared" si="21"/>
        <v>1</v>
      </c>
      <c r="W106" s="74">
        <f t="shared" si="22"/>
        <v>4.3700000000000003E-2</v>
      </c>
      <c r="X106" s="74">
        <f t="shared" si="23"/>
        <v>23.332699999999999</v>
      </c>
      <c r="Y106" s="74">
        <f t="shared" si="24"/>
        <v>23.288999999999998</v>
      </c>
      <c r="Z106" s="75" t="e">
        <f>VLOOKUP(A106,Enforcements!$C$3:$J$60,8,0)</f>
        <v>#N/A</v>
      </c>
      <c r="AA106" s="75" t="e">
        <f>VLOOKUP(A106,Enforcements!$C$3:$J$60,3,0)</f>
        <v>#N/A</v>
      </c>
    </row>
    <row r="107" spans="1:27" s="2" customFormat="1" hidden="1" x14ac:dyDescent="0.25">
      <c r="A107" s="61" t="s">
        <v>397</v>
      </c>
      <c r="B107" s="61">
        <v>4008</v>
      </c>
      <c r="C107" s="61" t="s">
        <v>66</v>
      </c>
      <c r="D107" s="61" t="s">
        <v>85</v>
      </c>
      <c r="E107" s="30">
        <v>42509.739861111113</v>
      </c>
      <c r="F107" s="30">
        <v>42509.740694444445</v>
      </c>
      <c r="G107" s="38">
        <v>1</v>
      </c>
      <c r="H107" s="30" t="s">
        <v>71</v>
      </c>
      <c r="I107" s="30">
        <v>42509.774791666663</v>
      </c>
      <c r="J107" s="61">
        <v>0</v>
      </c>
      <c r="K107" s="61" t="str">
        <f t="shared" si="17"/>
        <v>4007/4008</v>
      </c>
      <c r="L107" s="61" t="str">
        <f>VLOOKUP(A107,'Trips&amp;Operators'!$C$1:$E$9999,3,FALSE)</f>
        <v>SPECTOR</v>
      </c>
      <c r="M107" s="12">
        <f t="shared" si="18"/>
        <v>3.4097222218406387E-2</v>
      </c>
      <c r="N107" s="13">
        <f t="shared" si="31"/>
        <v>49.099999994505197</v>
      </c>
      <c r="O107" s="13"/>
      <c r="P107" s="13"/>
      <c r="Q107" s="62"/>
      <c r="R107" s="62"/>
      <c r="T10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17:44:24-0600',mode:absolute,to:'2016-05-19 18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7" s="74" t="str">
        <f t="shared" si="20"/>
        <v>N</v>
      </c>
      <c r="V107" s="74">
        <f t="shared" si="21"/>
        <v>1</v>
      </c>
      <c r="W107" s="74">
        <f t="shared" si="22"/>
        <v>23.299399999999999</v>
      </c>
      <c r="X107" s="74">
        <f t="shared" si="23"/>
        <v>1.49E-2</v>
      </c>
      <c r="Y107" s="74">
        <f t="shared" si="24"/>
        <v>23.284499999999998</v>
      </c>
      <c r="Z107" s="75" t="e">
        <f>VLOOKUP(A107,Enforcements!$C$3:$J$60,8,0)</f>
        <v>#N/A</v>
      </c>
      <c r="AA107" s="75" t="e">
        <f>VLOOKUP(A107,Enforcements!$C$3:$J$60,3,0)</f>
        <v>#N/A</v>
      </c>
    </row>
    <row r="108" spans="1:27" s="2" customFormat="1" hidden="1" x14ac:dyDescent="0.25">
      <c r="A108" s="61" t="s">
        <v>456</v>
      </c>
      <c r="B108" s="61">
        <v>4040</v>
      </c>
      <c r="C108" s="61" t="s">
        <v>66</v>
      </c>
      <c r="D108" s="61" t="s">
        <v>186</v>
      </c>
      <c r="E108" s="30">
        <v>42509.714942129627</v>
      </c>
      <c r="F108" s="30">
        <v>42509.715925925928</v>
      </c>
      <c r="G108" s="38">
        <v>1</v>
      </c>
      <c r="H108" s="30" t="s">
        <v>528</v>
      </c>
      <c r="I108" s="30">
        <v>42509.745150462964</v>
      </c>
      <c r="J108" s="61">
        <v>0</v>
      </c>
      <c r="K108" s="61" t="str">
        <f t="shared" si="17"/>
        <v>4039/4040</v>
      </c>
      <c r="L108" s="61" t="str">
        <f>VLOOKUP(A108,'Trips&amp;Operators'!$C$1:$E$9999,3,FALSE)</f>
        <v>YORK</v>
      </c>
      <c r="M108" s="12">
        <f t="shared" si="18"/>
        <v>2.9224537036498077E-2</v>
      </c>
      <c r="N108" s="13">
        <f t="shared" si="31"/>
        <v>42.083333332557231</v>
      </c>
      <c r="O108" s="13"/>
      <c r="P108" s="13"/>
      <c r="Q108" s="62"/>
      <c r="R108" s="62"/>
      <c r="T10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17:08:31-0600',mode:absolute,to:'2016-05-19 17:54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8" s="74" t="str">
        <f t="shared" si="20"/>
        <v>N</v>
      </c>
      <c r="V108" s="74">
        <f t="shared" si="21"/>
        <v>1</v>
      </c>
      <c r="W108" s="74">
        <f t="shared" si="22"/>
        <v>4.6199999999999998E-2</v>
      </c>
      <c r="X108" s="74">
        <f t="shared" si="23"/>
        <v>23.329699999999999</v>
      </c>
      <c r="Y108" s="74">
        <f t="shared" si="24"/>
        <v>23.2835</v>
      </c>
      <c r="Z108" s="75" t="e">
        <f>VLOOKUP(A108,Enforcements!$C$3:$J$60,8,0)</f>
        <v>#N/A</v>
      </c>
      <c r="AA108" s="75" t="e">
        <f>VLOOKUP(A108,Enforcements!$C$3:$J$60,3,0)</f>
        <v>#N/A</v>
      </c>
    </row>
    <row r="109" spans="1:27" s="2" customFormat="1" hidden="1" x14ac:dyDescent="0.25">
      <c r="A109" s="61" t="s">
        <v>404</v>
      </c>
      <c r="B109" s="61">
        <v>4039</v>
      </c>
      <c r="C109" s="61" t="s">
        <v>66</v>
      </c>
      <c r="D109" s="61" t="s">
        <v>97</v>
      </c>
      <c r="E109" s="30">
        <v>42509.750324074077</v>
      </c>
      <c r="F109" s="30">
        <v>42509.751307870371</v>
      </c>
      <c r="G109" s="38">
        <v>1</v>
      </c>
      <c r="H109" s="30" t="s">
        <v>75</v>
      </c>
      <c r="I109" s="30">
        <v>42509.785127314812</v>
      </c>
      <c r="J109" s="61">
        <v>1</v>
      </c>
      <c r="K109" s="61" t="str">
        <f t="shared" si="17"/>
        <v>4039/4040</v>
      </c>
      <c r="L109" s="61" t="str">
        <f>VLOOKUP(A109,'Trips&amp;Operators'!$C$1:$E$9999,3,FALSE)</f>
        <v>YORK</v>
      </c>
      <c r="M109" s="12">
        <f t="shared" si="18"/>
        <v>3.3819444441178348E-2</v>
      </c>
      <c r="N109" s="13">
        <f t="shared" si="31"/>
        <v>48.699999995296821</v>
      </c>
      <c r="O109" s="13"/>
      <c r="P109" s="13"/>
      <c r="Q109" s="62"/>
      <c r="R109" s="62"/>
      <c r="T10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17:59:28-0600',mode:absolute,to:'2016-05-19 18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9" s="74" t="str">
        <f t="shared" si="20"/>
        <v>N</v>
      </c>
      <c r="V109" s="74">
        <f t="shared" si="21"/>
        <v>1</v>
      </c>
      <c r="W109" s="74">
        <f t="shared" si="22"/>
        <v>23.297499999999999</v>
      </c>
      <c r="X109" s="74">
        <f t="shared" si="23"/>
        <v>1.4500000000000001E-2</v>
      </c>
      <c r="Y109" s="74">
        <f t="shared" si="24"/>
        <v>23.282999999999998</v>
      </c>
      <c r="Z109" s="75">
        <f>VLOOKUP(A109,Enforcements!$C$3:$J$60,8,0)</f>
        <v>126678</v>
      </c>
      <c r="AA109" s="75" t="str">
        <f>VLOOKUP(A109,Enforcements!$C$3:$J$60,3,0)</f>
        <v>EQUIPMENT RESTRICTION</v>
      </c>
    </row>
    <row r="110" spans="1:27" s="2" customFormat="1" hidden="1" x14ac:dyDescent="0.25">
      <c r="A110" s="61" t="s">
        <v>416</v>
      </c>
      <c r="B110" s="61">
        <v>4024</v>
      </c>
      <c r="C110" s="61" t="s">
        <v>66</v>
      </c>
      <c r="D110" s="61" t="s">
        <v>529</v>
      </c>
      <c r="E110" s="30">
        <v>42509.727083333331</v>
      </c>
      <c r="F110" s="30">
        <v>42509.728078703702</v>
      </c>
      <c r="G110" s="38">
        <v>1</v>
      </c>
      <c r="H110" s="30" t="s">
        <v>530</v>
      </c>
      <c r="I110" s="30">
        <v>42509.755312499998</v>
      </c>
      <c r="J110" s="61">
        <v>0</v>
      </c>
      <c r="K110" s="61" t="str">
        <f t="shared" si="17"/>
        <v>4023/4024</v>
      </c>
      <c r="L110" s="61" t="str">
        <f>VLOOKUP(A110,'Trips&amp;Operators'!$C$1:$E$9999,3,FALSE)</f>
        <v>COOLAHAN</v>
      </c>
      <c r="M110" s="12">
        <f t="shared" si="18"/>
        <v>2.7233796296059154E-2</v>
      </c>
      <c r="N110" s="13">
        <f t="shared" si="31"/>
        <v>39.216666666325182</v>
      </c>
      <c r="O110" s="13"/>
      <c r="P110" s="13"/>
      <c r="Q110" s="62"/>
      <c r="R110" s="62"/>
      <c r="T11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17:26:00-0600',mode:absolute,to:'2016-05-19 18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0" s="74" t="str">
        <f t="shared" si="20"/>
        <v>N</v>
      </c>
      <c r="V110" s="74">
        <f t="shared" si="21"/>
        <v>1</v>
      </c>
      <c r="W110" s="74">
        <f t="shared" si="22"/>
        <v>3.8899999999999997E-2</v>
      </c>
      <c r="X110" s="74">
        <f t="shared" si="23"/>
        <v>23.332899999999999</v>
      </c>
      <c r="Y110" s="74">
        <f t="shared" si="24"/>
        <v>23.293999999999997</v>
      </c>
      <c r="Z110" s="75" t="e">
        <f>VLOOKUP(A110,Enforcements!$C$3:$J$60,8,0)</f>
        <v>#N/A</v>
      </c>
      <c r="AA110" s="75" t="e">
        <f>VLOOKUP(A110,Enforcements!$C$3:$J$60,3,0)</f>
        <v>#N/A</v>
      </c>
    </row>
    <row r="111" spans="1:27" s="2" customFormat="1" hidden="1" x14ac:dyDescent="0.25">
      <c r="A111" s="61" t="s">
        <v>334</v>
      </c>
      <c r="B111" s="61">
        <v>4023</v>
      </c>
      <c r="C111" s="61" t="s">
        <v>66</v>
      </c>
      <c r="D111" s="61" t="s">
        <v>191</v>
      </c>
      <c r="E111" s="30">
        <v>42509.767118055555</v>
      </c>
      <c r="F111" s="30">
        <v>42509.768275462964</v>
      </c>
      <c r="G111" s="38">
        <v>1</v>
      </c>
      <c r="H111" s="30" t="s">
        <v>73</v>
      </c>
      <c r="I111" s="30">
        <v>42509.794351851851</v>
      </c>
      <c r="J111" s="61">
        <v>1</v>
      </c>
      <c r="K111" s="61" t="str">
        <f t="shared" si="17"/>
        <v>4023/4024</v>
      </c>
      <c r="L111" s="61" t="str">
        <f>VLOOKUP(A111,'Trips&amp;Operators'!$C$1:$E$9999,3,FALSE)</f>
        <v>COOLAHAN</v>
      </c>
      <c r="M111" s="12">
        <f t="shared" si="18"/>
        <v>2.6076388887304347E-2</v>
      </c>
      <c r="N111" s="13">
        <f t="shared" si="31"/>
        <v>37.54999999771826</v>
      </c>
      <c r="O111" s="13"/>
      <c r="P111" s="13"/>
      <c r="Q111" s="62"/>
      <c r="R111" s="62"/>
      <c r="T11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18:23:39-0600',mode:absolute,to:'2016-05-19 19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1" s="74" t="str">
        <f t="shared" si="20"/>
        <v>N</v>
      </c>
      <c r="V111" s="74">
        <f t="shared" si="21"/>
        <v>1</v>
      </c>
      <c r="W111" s="74">
        <f t="shared" si="22"/>
        <v>23.300599999999999</v>
      </c>
      <c r="X111" s="74">
        <f t="shared" si="23"/>
        <v>1.54E-2</v>
      </c>
      <c r="Y111" s="74">
        <f t="shared" si="24"/>
        <v>23.2852</v>
      </c>
      <c r="Z111" s="75">
        <f>VLOOKUP(A111,Enforcements!$C$3:$J$60,8,0)</f>
        <v>1</v>
      </c>
      <c r="AA111" s="75" t="str">
        <f>VLOOKUP(A111,Enforcements!$C$3:$J$60,3,0)</f>
        <v>TRACK WARRANT AUTHORITY</v>
      </c>
    </row>
    <row r="112" spans="1:27" s="2" customFormat="1" hidden="1" x14ac:dyDescent="0.25">
      <c r="A112" s="61" t="s">
        <v>398</v>
      </c>
      <c r="B112" s="61">
        <v>4011</v>
      </c>
      <c r="C112" s="61" t="s">
        <v>66</v>
      </c>
      <c r="D112" s="61" t="s">
        <v>80</v>
      </c>
      <c r="E112" s="30">
        <v>42509.738437499997</v>
      </c>
      <c r="F112" s="30">
        <v>42509.73945601852</v>
      </c>
      <c r="G112" s="38">
        <v>1</v>
      </c>
      <c r="H112" s="30" t="s">
        <v>72</v>
      </c>
      <c r="I112" s="30">
        <v>42509.766724537039</v>
      </c>
      <c r="J112" s="61">
        <v>0</v>
      </c>
      <c r="K112" s="61" t="str">
        <f t="shared" si="17"/>
        <v>4011/4012</v>
      </c>
      <c r="L112" s="61" t="str">
        <f>VLOOKUP(A112,'Trips&amp;Operators'!$C$1:$E$9999,3,FALSE)</f>
        <v>ADANE</v>
      </c>
      <c r="M112" s="12">
        <f t="shared" si="18"/>
        <v>2.7268518519122154E-2</v>
      </c>
      <c r="N112" s="13">
        <f t="shared" si="31"/>
        <v>39.266666667535901</v>
      </c>
      <c r="O112" s="13"/>
      <c r="P112" s="13"/>
      <c r="Q112" s="62"/>
      <c r="R112" s="62"/>
      <c r="T11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17:42:21-0600',mode:absolute,to:'2016-05-19 18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2" s="74" t="str">
        <f t="shared" si="20"/>
        <v>N</v>
      </c>
      <c r="V112" s="74">
        <f t="shared" si="21"/>
        <v>1</v>
      </c>
      <c r="W112" s="74">
        <f t="shared" si="22"/>
        <v>4.5100000000000001E-2</v>
      </c>
      <c r="X112" s="74">
        <f t="shared" si="23"/>
        <v>23.330300000000001</v>
      </c>
      <c r="Y112" s="74">
        <f t="shared" si="24"/>
        <v>23.2852</v>
      </c>
      <c r="Z112" s="75" t="e">
        <f>VLOOKUP(A112,Enforcements!$C$3:$J$60,8,0)</f>
        <v>#N/A</v>
      </c>
      <c r="AA112" s="75" t="e">
        <f>VLOOKUP(A112,Enforcements!$C$3:$J$60,3,0)</f>
        <v>#N/A</v>
      </c>
    </row>
    <row r="113" spans="1:27" s="2" customFormat="1" hidden="1" x14ac:dyDescent="0.25">
      <c r="A113" s="61" t="s">
        <v>335</v>
      </c>
      <c r="B113" s="61">
        <v>4012</v>
      </c>
      <c r="C113" s="61" t="s">
        <v>66</v>
      </c>
      <c r="D113" s="61" t="s">
        <v>162</v>
      </c>
      <c r="E113" s="30">
        <v>42509.772129629629</v>
      </c>
      <c r="F113" s="30">
        <v>42509.773379629631</v>
      </c>
      <c r="G113" s="38">
        <v>1</v>
      </c>
      <c r="H113" s="30" t="s">
        <v>531</v>
      </c>
      <c r="I113" s="30">
        <v>42509.807557870372</v>
      </c>
      <c r="J113" s="61">
        <v>1</v>
      </c>
      <c r="K113" s="61" t="str">
        <f t="shared" si="17"/>
        <v>4011/4012</v>
      </c>
      <c r="L113" s="61" t="str">
        <f>VLOOKUP(A113,'Trips&amp;Operators'!$C$1:$E$9999,3,FALSE)</f>
        <v>ADANE</v>
      </c>
      <c r="M113" s="12">
        <f t="shared" si="18"/>
        <v>3.4178240741312038E-2</v>
      </c>
      <c r="N113" s="13">
        <f t="shared" si="31"/>
        <v>49.216666667489335</v>
      </c>
      <c r="O113" s="13"/>
      <c r="P113" s="13"/>
      <c r="Q113" s="62"/>
      <c r="R113" s="62"/>
      <c r="T11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18:30:52-0600',mode:absolute,to:'2016-05-19 19:23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3" s="74" t="str">
        <f t="shared" si="20"/>
        <v>N</v>
      </c>
      <c r="V113" s="74">
        <f t="shared" si="21"/>
        <v>1</v>
      </c>
      <c r="W113" s="74">
        <f t="shared" si="22"/>
        <v>23.297699999999999</v>
      </c>
      <c r="X113" s="74">
        <f t="shared" si="23"/>
        <v>2.1600000000000001E-2</v>
      </c>
      <c r="Y113" s="74">
        <f t="shared" si="24"/>
        <v>23.2761</v>
      </c>
      <c r="Z113" s="75">
        <f>VLOOKUP(A113,Enforcements!$C$3:$J$60,8,0)</f>
        <v>1</v>
      </c>
      <c r="AA113" s="75" t="str">
        <f>VLOOKUP(A113,Enforcements!$C$3:$J$60,3,0)</f>
        <v>TRACK WARRANT AUTHORITY</v>
      </c>
    </row>
    <row r="114" spans="1:27" s="2" customFormat="1" hidden="1" x14ac:dyDescent="0.25">
      <c r="A114" s="61" t="s">
        <v>395</v>
      </c>
      <c r="B114" s="61">
        <v>4031</v>
      </c>
      <c r="C114" s="61" t="s">
        <v>66</v>
      </c>
      <c r="D114" s="61" t="s">
        <v>86</v>
      </c>
      <c r="E114" s="30">
        <v>42509.745821759258</v>
      </c>
      <c r="F114" s="30">
        <v>42509.746874999997</v>
      </c>
      <c r="G114" s="38">
        <v>1</v>
      </c>
      <c r="H114" s="30" t="s">
        <v>163</v>
      </c>
      <c r="I114" s="30">
        <v>42509.775000000001</v>
      </c>
      <c r="J114" s="61">
        <v>0</v>
      </c>
      <c r="K114" s="61" t="str">
        <f t="shared" si="17"/>
        <v>4031/4032</v>
      </c>
      <c r="L114" s="61" t="str">
        <f>VLOOKUP(A114,'Trips&amp;Operators'!$C$1:$E$9999,3,FALSE)</f>
        <v>BRUDER</v>
      </c>
      <c r="M114" s="12">
        <f t="shared" si="18"/>
        <v>2.8125000004365575E-2</v>
      </c>
      <c r="N114" s="13">
        <f t="shared" si="31"/>
        <v>40.500000006286427</v>
      </c>
      <c r="O114" s="13"/>
      <c r="P114" s="13"/>
      <c r="Q114" s="62"/>
      <c r="R114" s="62"/>
      <c r="T11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17:52:59-0600',mode:absolute,to:'2016-05-19 18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4" s="74" t="str">
        <f t="shared" si="20"/>
        <v>N</v>
      </c>
      <c r="V114" s="74">
        <f t="shared" si="21"/>
        <v>1</v>
      </c>
      <c r="W114" s="74">
        <f t="shared" si="22"/>
        <v>4.6399999999999997E-2</v>
      </c>
      <c r="X114" s="74">
        <f t="shared" si="23"/>
        <v>23.330400000000001</v>
      </c>
      <c r="Y114" s="74">
        <f t="shared" si="24"/>
        <v>23.284000000000002</v>
      </c>
      <c r="Z114" s="75" t="e">
        <f>VLOOKUP(A114,Enforcements!$C$3:$J$60,8,0)</f>
        <v>#N/A</v>
      </c>
      <c r="AA114" s="75" t="e">
        <f>VLOOKUP(A114,Enforcements!$C$3:$J$60,3,0)</f>
        <v>#N/A</v>
      </c>
    </row>
    <row r="115" spans="1:27" s="2" customFormat="1" x14ac:dyDescent="0.25">
      <c r="A115" s="61" t="s">
        <v>383</v>
      </c>
      <c r="B115" s="61">
        <v>4032</v>
      </c>
      <c r="C115" s="61" t="s">
        <v>66</v>
      </c>
      <c r="D115" s="61" t="s">
        <v>85</v>
      </c>
      <c r="E115" s="30">
        <v>42509.784791666665</v>
      </c>
      <c r="F115" s="30">
        <v>42509.785717592589</v>
      </c>
      <c r="G115" s="38">
        <v>1</v>
      </c>
      <c r="H115" s="30" t="s">
        <v>532</v>
      </c>
      <c r="I115" s="30">
        <v>42509.817488425928</v>
      </c>
      <c r="J115" s="61">
        <v>0</v>
      </c>
      <c r="K115" s="61" t="str">
        <f t="shared" si="17"/>
        <v>4031/4032</v>
      </c>
      <c r="L115" s="61" t="str">
        <f>VLOOKUP(A115,'Trips&amp;Operators'!$C$1:$E$9999,3,FALSE)</f>
        <v>BRUDER</v>
      </c>
      <c r="M115" s="12">
        <f t="shared" si="18"/>
        <v>3.1770833338669036E-2</v>
      </c>
      <c r="N115" s="13"/>
      <c r="O115" s="13"/>
      <c r="P115" s="13">
        <f t="shared" si="31"/>
        <v>45.750000007683411</v>
      </c>
      <c r="Q115" s="62" t="s">
        <v>175</v>
      </c>
      <c r="R115" s="62" t="s">
        <v>547</v>
      </c>
      <c r="T11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18:49:06-0600',mode:absolute,to:'2016-05-19 19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5" s="74" t="str">
        <f t="shared" si="20"/>
        <v>Y</v>
      </c>
      <c r="V115" s="74">
        <f t="shared" si="21"/>
        <v>1</v>
      </c>
      <c r="W115" s="74">
        <f t="shared" si="22"/>
        <v>23.299399999999999</v>
      </c>
      <c r="X115" s="74">
        <f t="shared" si="23"/>
        <v>1.8762000000000001</v>
      </c>
      <c r="Y115" s="74">
        <f t="shared" si="24"/>
        <v>21.423199999999998</v>
      </c>
      <c r="Z115" s="75" t="e">
        <f>VLOOKUP(A115,Enforcements!$C$3:$J$60,8,0)</f>
        <v>#N/A</v>
      </c>
      <c r="AA115" s="75" t="e">
        <f>VLOOKUP(A115,Enforcements!$C$3:$J$60,3,0)</f>
        <v>#N/A</v>
      </c>
    </row>
    <row r="116" spans="1:27" s="2" customFormat="1" hidden="1" x14ac:dyDescent="0.25">
      <c r="A116" s="61" t="s">
        <v>351</v>
      </c>
      <c r="B116" s="61">
        <v>4042</v>
      </c>
      <c r="C116" s="61" t="s">
        <v>66</v>
      </c>
      <c r="D116" s="61" t="s">
        <v>110</v>
      </c>
      <c r="E116" s="30">
        <v>42509.759479166663</v>
      </c>
      <c r="F116" s="30">
        <v>42509.760555555556</v>
      </c>
      <c r="G116" s="38">
        <v>1</v>
      </c>
      <c r="H116" s="30" t="s">
        <v>113</v>
      </c>
      <c r="I116" s="30">
        <v>42509.786527777775</v>
      </c>
      <c r="J116" s="61">
        <v>0</v>
      </c>
      <c r="K116" s="61" t="str">
        <f t="shared" si="17"/>
        <v>4041/4042</v>
      </c>
      <c r="L116" s="61" t="str">
        <f>VLOOKUP(A116,'Trips&amp;Operators'!$C$1:$E$9999,3,FALSE)</f>
        <v>CANFIELD</v>
      </c>
      <c r="M116" s="12">
        <f t="shared" si="18"/>
        <v>2.5972222218115348E-2</v>
      </c>
      <c r="N116" s="13">
        <f t="shared" si="31"/>
        <v>37.399999994086102</v>
      </c>
      <c r="O116" s="13"/>
      <c r="P116" s="13"/>
      <c r="Q116" s="62"/>
      <c r="R116" s="62"/>
      <c r="T1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18:12:39-0600',mode:absolute,to:'2016-05-19 18:53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16" s="74" t="str">
        <f t="shared" si="20"/>
        <v>N</v>
      </c>
      <c r="V116" s="74">
        <f t="shared" si="21"/>
        <v>1</v>
      </c>
      <c r="W116" s="74">
        <f t="shared" si="22"/>
        <v>4.6899999999999997E-2</v>
      </c>
      <c r="X116" s="74">
        <f t="shared" si="23"/>
        <v>23.3307</v>
      </c>
      <c r="Y116" s="74">
        <f t="shared" si="24"/>
        <v>23.283799999999999</v>
      </c>
      <c r="Z116" s="75" t="e">
        <f>VLOOKUP(A116,Enforcements!$C$3:$J$60,8,0)</f>
        <v>#N/A</v>
      </c>
      <c r="AA116" s="75" t="e">
        <f>VLOOKUP(A116,Enforcements!$C$3:$J$60,3,0)</f>
        <v>#N/A</v>
      </c>
    </row>
    <row r="117" spans="1:27" s="2" customFormat="1" hidden="1" x14ac:dyDescent="0.25">
      <c r="A117" s="61" t="s">
        <v>454</v>
      </c>
      <c r="B117" s="61">
        <v>4041</v>
      </c>
      <c r="C117" s="61" t="s">
        <v>66</v>
      </c>
      <c r="D117" s="61" t="s">
        <v>88</v>
      </c>
      <c r="E117" s="30">
        <v>42509.791932870372</v>
      </c>
      <c r="F117" s="30">
        <v>42509.793206018519</v>
      </c>
      <c r="G117" s="38">
        <v>1</v>
      </c>
      <c r="H117" s="30" t="s">
        <v>71</v>
      </c>
      <c r="I117" s="30">
        <v>42509.828923611109</v>
      </c>
      <c r="J117" s="61">
        <v>0</v>
      </c>
      <c r="K117" s="61" t="str">
        <f t="shared" si="17"/>
        <v>4041/4042</v>
      </c>
      <c r="L117" s="61" t="str">
        <f>VLOOKUP(A117,'Trips&amp;Operators'!$C$1:$E$9999,3,FALSE)</f>
        <v>CANFIELD</v>
      </c>
      <c r="M117" s="12">
        <f t="shared" si="18"/>
        <v>3.5717592589207925E-2</v>
      </c>
      <c r="N117" s="13">
        <f t="shared" si="31"/>
        <v>51.433333328459412</v>
      </c>
      <c r="O117" s="13"/>
      <c r="P117" s="13"/>
      <c r="Q117" s="62"/>
      <c r="R117" s="62"/>
      <c r="T1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18:59:23-0600',mode:absolute,to:'2016-05-19 19:54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7" s="74" t="str">
        <f t="shared" si="20"/>
        <v>N</v>
      </c>
      <c r="V117" s="74">
        <f t="shared" si="21"/>
        <v>1</v>
      </c>
      <c r="W117" s="74">
        <f t="shared" si="22"/>
        <v>23.297999999999998</v>
      </c>
      <c r="X117" s="74">
        <f t="shared" si="23"/>
        <v>1.49E-2</v>
      </c>
      <c r="Y117" s="74">
        <f t="shared" si="24"/>
        <v>23.283099999999997</v>
      </c>
      <c r="Z117" s="75" t="e">
        <f>VLOOKUP(A117,Enforcements!$C$3:$J$60,8,0)</f>
        <v>#N/A</v>
      </c>
      <c r="AA117" s="75" t="e">
        <f>VLOOKUP(A117,Enforcements!$C$3:$J$60,3,0)</f>
        <v>#N/A</v>
      </c>
    </row>
    <row r="118" spans="1:27" s="2" customFormat="1" hidden="1" x14ac:dyDescent="0.25">
      <c r="A118" s="61" t="s">
        <v>429</v>
      </c>
      <c r="B118" s="61">
        <v>4029</v>
      </c>
      <c r="C118" s="61" t="s">
        <v>66</v>
      </c>
      <c r="D118" s="61" t="s">
        <v>160</v>
      </c>
      <c r="E118" s="30">
        <v>42509.772523148145</v>
      </c>
      <c r="F118" s="30">
        <v>42509.773333333331</v>
      </c>
      <c r="G118" s="38">
        <v>1</v>
      </c>
      <c r="H118" s="30" t="s">
        <v>528</v>
      </c>
      <c r="I118" s="30">
        <v>42509.799305555556</v>
      </c>
      <c r="J118" s="61">
        <v>0</v>
      </c>
      <c r="K118" s="61" t="str">
        <f t="shared" si="17"/>
        <v>4029/4030</v>
      </c>
      <c r="L118" s="61" t="str">
        <f>VLOOKUP(A118,'Trips&amp;Operators'!$C$1:$E$9999,3,FALSE)</f>
        <v>NEWELL</v>
      </c>
      <c r="M118" s="12">
        <f t="shared" si="18"/>
        <v>2.5972222225391306E-2</v>
      </c>
      <c r="N118" s="13">
        <f t="shared" si="31"/>
        <v>37.400000004563481</v>
      </c>
      <c r="O118" s="13"/>
      <c r="P118" s="13"/>
      <c r="Q118" s="62"/>
      <c r="R118" s="62"/>
      <c r="T1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18:31:26-0600',mode:absolute,to:'2016-05-19 19:12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8" s="74" t="str">
        <f t="shared" si="20"/>
        <v>N</v>
      </c>
      <c r="V118" s="74">
        <f t="shared" si="21"/>
        <v>1</v>
      </c>
      <c r="W118" s="74">
        <f t="shared" si="22"/>
        <v>4.7699999999999999E-2</v>
      </c>
      <c r="X118" s="74">
        <f t="shared" si="23"/>
        <v>23.329699999999999</v>
      </c>
      <c r="Y118" s="74">
        <f t="shared" si="24"/>
        <v>23.282</v>
      </c>
      <c r="Z118" s="75" t="e">
        <f>VLOOKUP(A118,Enforcements!$C$3:$J$60,8,0)</f>
        <v>#N/A</v>
      </c>
      <c r="AA118" s="75" t="e">
        <f>VLOOKUP(A118,Enforcements!$C$3:$J$60,3,0)</f>
        <v>#N/A</v>
      </c>
    </row>
    <row r="119" spans="1:27" s="2" customFormat="1" hidden="1" x14ac:dyDescent="0.25">
      <c r="A119" s="61" t="s">
        <v>437</v>
      </c>
      <c r="B119" s="61">
        <v>4040</v>
      </c>
      <c r="C119" s="61" t="s">
        <v>66</v>
      </c>
      <c r="D119" s="61" t="s">
        <v>79</v>
      </c>
      <c r="E119" s="30">
        <v>42509.787303240744</v>
      </c>
      <c r="F119" s="30">
        <v>42509.788449074076</v>
      </c>
      <c r="G119" s="38">
        <v>1</v>
      </c>
      <c r="H119" s="30" t="s">
        <v>515</v>
      </c>
      <c r="I119" s="30">
        <v>42509.816122685188</v>
      </c>
      <c r="J119" s="61">
        <v>1</v>
      </c>
      <c r="K119" s="61" t="str">
        <f t="shared" si="17"/>
        <v>4039/4040</v>
      </c>
      <c r="L119" s="61" t="str">
        <f>VLOOKUP(A119,'Trips&amp;Operators'!$C$1:$E$9999,3,FALSE)</f>
        <v>YORK</v>
      </c>
      <c r="M119" s="12">
        <f t="shared" si="18"/>
        <v>2.7673611111822538E-2</v>
      </c>
      <c r="N119" s="13">
        <f t="shared" si="31"/>
        <v>39.850000001024455</v>
      </c>
      <c r="O119" s="13"/>
      <c r="P119" s="13"/>
      <c r="Q119" s="62"/>
      <c r="R119" s="62"/>
      <c r="T1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18:52:43-0600',mode:absolute,to:'2016-05-19 19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9" s="74" t="str">
        <f t="shared" si="20"/>
        <v>N</v>
      </c>
      <c r="V119" s="74">
        <f t="shared" si="21"/>
        <v>2</v>
      </c>
      <c r="W119" s="74">
        <f t="shared" si="22"/>
        <v>4.5499999999999999E-2</v>
      </c>
      <c r="X119" s="74">
        <f t="shared" si="23"/>
        <v>23.330100000000002</v>
      </c>
      <c r="Y119" s="74">
        <f t="shared" si="24"/>
        <v>23.284600000000001</v>
      </c>
      <c r="Z119" s="75">
        <f>VLOOKUP(A119,Enforcements!$C$3:$J$60,8,0)</f>
        <v>233491</v>
      </c>
      <c r="AA119" s="75" t="str">
        <f>VLOOKUP(A119,Enforcements!$C$3:$J$60,3,0)</f>
        <v>TRACK WARRANT AUTHORITY</v>
      </c>
    </row>
    <row r="120" spans="1:27" s="2" customFormat="1" x14ac:dyDescent="0.25">
      <c r="A120" s="61" t="s">
        <v>393</v>
      </c>
      <c r="B120" s="61">
        <v>4039</v>
      </c>
      <c r="C120" s="61" t="s">
        <v>66</v>
      </c>
      <c r="D120" s="61" t="s">
        <v>97</v>
      </c>
      <c r="E120" s="30">
        <v>42509.823414351849</v>
      </c>
      <c r="F120" s="30">
        <v>42509.826342592591</v>
      </c>
      <c r="G120" s="38">
        <v>4</v>
      </c>
      <c r="H120" s="30" t="s">
        <v>97</v>
      </c>
      <c r="I120" s="30">
        <v>42509.826342592591</v>
      </c>
      <c r="J120" s="61">
        <v>0</v>
      </c>
      <c r="K120" s="61" t="str">
        <f t="shared" si="17"/>
        <v>4039/4040</v>
      </c>
      <c r="L120" s="61" t="str">
        <f>VLOOKUP(A120,'Trips&amp;Operators'!$C$1:$E$9999,3,FALSE)</f>
        <v>YORK</v>
      </c>
      <c r="M120" s="12">
        <f t="shared" si="18"/>
        <v>0</v>
      </c>
      <c r="N120" s="13"/>
      <c r="O120" s="13"/>
      <c r="P120" s="13">
        <f>24*60*SUM($M120:$M120)+1</f>
        <v>1</v>
      </c>
      <c r="Q120" s="62" t="s">
        <v>175</v>
      </c>
      <c r="R120" s="62" t="s">
        <v>541</v>
      </c>
      <c r="T1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19:44:43-0600',mode:absolute,to:'2016-05-19 19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0" s="74" t="str">
        <f t="shared" si="20"/>
        <v>Y</v>
      </c>
      <c r="V120" s="74">
        <f t="shared" si="21"/>
        <v>1</v>
      </c>
      <c r="W120" s="74">
        <f t="shared" si="22"/>
        <v>23.297499999999999</v>
      </c>
      <c r="X120" s="74">
        <f t="shared" si="23"/>
        <v>23.297499999999999</v>
      </c>
      <c r="Y120" s="74">
        <f t="shared" si="24"/>
        <v>0</v>
      </c>
      <c r="Z120" s="75">
        <f>VLOOKUP(A120,Enforcements!$C$3:$J$60,8,0)</f>
        <v>1</v>
      </c>
      <c r="AA120" s="75" t="str">
        <f>VLOOKUP(A120,Enforcements!$C$3:$J$60,3,0)</f>
        <v>TRACK WARRANT AUTHORITY</v>
      </c>
    </row>
    <row r="121" spans="1:27" s="2" customFormat="1" hidden="1" x14ac:dyDescent="0.25">
      <c r="A121" s="61" t="s">
        <v>457</v>
      </c>
      <c r="B121" s="61">
        <v>4011</v>
      </c>
      <c r="C121" s="61" t="s">
        <v>66</v>
      </c>
      <c r="D121" s="61" t="s">
        <v>533</v>
      </c>
      <c r="E121" s="30">
        <v>42509.809074074074</v>
      </c>
      <c r="F121" s="30">
        <v>42509.810208333336</v>
      </c>
      <c r="G121" s="38">
        <v>1</v>
      </c>
      <c r="H121" s="30" t="s">
        <v>156</v>
      </c>
      <c r="I121" s="30">
        <v>42509.837372685186</v>
      </c>
      <c r="J121" s="61">
        <v>0</v>
      </c>
      <c r="K121" s="61" t="str">
        <f t="shared" si="17"/>
        <v>4011/4012</v>
      </c>
      <c r="L121" s="61" t="str">
        <f>VLOOKUP(A121,'Trips&amp;Operators'!$C$1:$E$9999,3,FALSE)</f>
        <v>ADANE</v>
      </c>
      <c r="M121" s="12">
        <f t="shared" si="18"/>
        <v>2.7164351849933155E-2</v>
      </c>
      <c r="N121" s="13">
        <f t="shared" si="31"/>
        <v>39.116666663903743</v>
      </c>
      <c r="O121" s="13"/>
      <c r="P121" s="13"/>
      <c r="Q121" s="62"/>
      <c r="R121" s="62"/>
      <c r="T1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19:24:04-0600',mode:absolute,to:'2016-05-19 20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1" s="74" t="str">
        <f t="shared" si="20"/>
        <v>N</v>
      </c>
      <c r="V121" s="74">
        <f t="shared" si="21"/>
        <v>1</v>
      </c>
      <c r="W121" s="74">
        <f t="shared" si="22"/>
        <v>5.33E-2</v>
      </c>
      <c r="X121" s="74">
        <f t="shared" si="23"/>
        <v>23.3278</v>
      </c>
      <c r="Y121" s="74">
        <f t="shared" si="24"/>
        <v>23.2745</v>
      </c>
      <c r="Z121" s="75" t="e">
        <f>VLOOKUP(A121,Enforcements!$C$3:$J$60,8,0)</f>
        <v>#N/A</v>
      </c>
      <c r="AA121" s="75" t="e">
        <f>VLOOKUP(A121,Enforcements!$C$3:$J$60,3,0)</f>
        <v>#N/A</v>
      </c>
    </row>
    <row r="122" spans="1:27" s="2" customFormat="1" hidden="1" x14ac:dyDescent="0.25">
      <c r="A122" s="61" t="s">
        <v>336</v>
      </c>
      <c r="B122" s="61">
        <v>4012</v>
      </c>
      <c r="C122" s="61" t="s">
        <v>66</v>
      </c>
      <c r="D122" s="61" t="s">
        <v>183</v>
      </c>
      <c r="E122" s="30">
        <v>42509.842731481483</v>
      </c>
      <c r="F122" s="30">
        <v>42509.845486111109</v>
      </c>
      <c r="G122" s="38">
        <v>3</v>
      </c>
      <c r="H122" s="30" t="s">
        <v>155</v>
      </c>
      <c r="I122" s="30">
        <v>42509.881516203706</v>
      </c>
      <c r="J122" s="61">
        <v>1</v>
      </c>
      <c r="K122" s="61" t="str">
        <f t="shared" si="17"/>
        <v>4011/4012</v>
      </c>
      <c r="L122" s="61" t="str">
        <f>VLOOKUP(A122,'Trips&amp;Operators'!$C$1:$E$9999,3,FALSE)</f>
        <v>ADANE</v>
      </c>
      <c r="M122" s="12">
        <f t="shared" si="18"/>
        <v>3.6030092596774921E-2</v>
      </c>
      <c r="N122" s="13">
        <f t="shared" si="31"/>
        <v>51.883333339355886</v>
      </c>
      <c r="O122" s="13"/>
      <c r="P122" s="13"/>
      <c r="Q122" s="62"/>
      <c r="R122" s="62"/>
      <c r="T1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20:12:32-0600',mode:absolute,to:'2016-05-19 21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2" s="74" t="str">
        <f t="shared" si="20"/>
        <v>N</v>
      </c>
      <c r="V122" s="74">
        <f t="shared" si="21"/>
        <v>1</v>
      </c>
      <c r="W122" s="74">
        <f t="shared" si="22"/>
        <v>23.296900000000001</v>
      </c>
      <c r="X122" s="74">
        <f t="shared" si="23"/>
        <v>4.7800000000000002E-2</v>
      </c>
      <c r="Y122" s="74">
        <f t="shared" si="24"/>
        <v>23.249100000000002</v>
      </c>
      <c r="Z122" s="75">
        <f>VLOOKUP(A122,Enforcements!$C$3:$J$60,8,0)</f>
        <v>1</v>
      </c>
      <c r="AA122" s="75" t="str">
        <f>VLOOKUP(A122,Enforcements!$C$3:$J$60,3,0)</f>
        <v>TRACK WARRANT AUTHORITY</v>
      </c>
    </row>
    <row r="123" spans="1:27" s="2" customFormat="1" hidden="1" x14ac:dyDescent="0.25">
      <c r="A123" s="61" t="s">
        <v>391</v>
      </c>
      <c r="B123" s="61">
        <v>4042</v>
      </c>
      <c r="C123" s="61" t="s">
        <v>66</v>
      </c>
      <c r="D123" s="61" t="s">
        <v>476</v>
      </c>
      <c r="E123" s="30">
        <v>42509.830706018518</v>
      </c>
      <c r="F123" s="30">
        <v>42509.831724537034</v>
      </c>
      <c r="G123" s="38">
        <v>1</v>
      </c>
      <c r="H123" s="30" t="s">
        <v>515</v>
      </c>
      <c r="I123" s="30">
        <v>42509.857997685183</v>
      </c>
      <c r="J123" s="61">
        <v>0</v>
      </c>
      <c r="K123" s="61" t="str">
        <f t="shared" si="17"/>
        <v>4041/4042</v>
      </c>
      <c r="L123" s="61" t="str">
        <f>VLOOKUP(A123,'Trips&amp;Operators'!$C$1:$E$9999,3,FALSE)</f>
        <v>CANFIELD</v>
      </c>
      <c r="M123" s="12">
        <f t="shared" si="18"/>
        <v>2.6273148148902692E-2</v>
      </c>
      <c r="N123" s="13">
        <f t="shared" si="31"/>
        <v>37.833333334419876</v>
      </c>
      <c r="O123" s="13"/>
      <c r="P123" s="13"/>
      <c r="Q123" s="62"/>
      <c r="R123" s="62"/>
      <c r="T1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19:55:13-0600',mode:absolute,to:'2016-05-19 20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3" s="74" t="str">
        <f t="shared" si="20"/>
        <v>N</v>
      </c>
      <c r="V123" s="74">
        <f t="shared" si="21"/>
        <v>1</v>
      </c>
      <c r="W123" s="74">
        <f t="shared" si="22"/>
        <v>4.7100000000000003E-2</v>
      </c>
      <c r="X123" s="74">
        <f t="shared" si="23"/>
        <v>23.330100000000002</v>
      </c>
      <c r="Y123" s="74">
        <f t="shared" si="24"/>
        <v>23.283000000000001</v>
      </c>
      <c r="Z123" s="75" t="e">
        <f>VLOOKUP(A123,Enforcements!$C$3:$J$60,8,0)</f>
        <v>#N/A</v>
      </c>
      <c r="AA123" s="75" t="e">
        <f>VLOOKUP(A123,Enforcements!$C$3:$J$60,3,0)</f>
        <v>#N/A</v>
      </c>
    </row>
    <row r="124" spans="1:27" s="2" customFormat="1" hidden="1" x14ac:dyDescent="0.25">
      <c r="A124" s="61" t="s">
        <v>332</v>
      </c>
      <c r="B124" s="61">
        <v>4041</v>
      </c>
      <c r="C124" s="61" t="s">
        <v>66</v>
      </c>
      <c r="D124" s="61" t="s">
        <v>97</v>
      </c>
      <c r="E124" s="30">
        <v>42509.86445601852</v>
      </c>
      <c r="F124" s="30">
        <v>42509.865474537037</v>
      </c>
      <c r="G124" s="38">
        <v>1</v>
      </c>
      <c r="H124" s="30" t="s">
        <v>71</v>
      </c>
      <c r="I124" s="30">
        <v>42509.903680555559</v>
      </c>
      <c r="J124" s="61">
        <v>1</v>
      </c>
      <c r="K124" s="61" t="str">
        <f t="shared" si="17"/>
        <v>4041/4042</v>
      </c>
      <c r="L124" s="61" t="str">
        <f>VLOOKUP(A124,'Trips&amp;Operators'!$C$1:$E$9999,3,FALSE)</f>
        <v>CANFIELD</v>
      </c>
      <c r="M124" s="12">
        <f t="shared" si="18"/>
        <v>3.8206018522032537E-2</v>
      </c>
      <c r="N124" s="13">
        <f t="shared" si="31"/>
        <v>55.016666671726853</v>
      </c>
      <c r="O124" s="13"/>
      <c r="P124" s="13"/>
      <c r="Q124" s="62"/>
      <c r="R124" s="62"/>
      <c r="T1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20:43:49-0600',mode:absolute,to:'2016-05-19 21:42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24" s="74" t="str">
        <f t="shared" si="20"/>
        <v>N</v>
      </c>
      <c r="V124" s="74">
        <f t="shared" si="21"/>
        <v>1</v>
      </c>
      <c r="W124" s="74">
        <f t="shared" si="22"/>
        <v>23.297499999999999</v>
      </c>
      <c r="X124" s="74">
        <f t="shared" si="23"/>
        <v>1.49E-2</v>
      </c>
      <c r="Y124" s="74">
        <f t="shared" si="24"/>
        <v>23.282599999999999</v>
      </c>
      <c r="Z124" s="75">
        <f>VLOOKUP(A124,Enforcements!$C$3:$J$60,8,0)</f>
        <v>191723</v>
      </c>
      <c r="AA124" s="75" t="str">
        <f>VLOOKUP(A124,Enforcements!$C$3:$J$60,3,0)</f>
        <v>SIGNAL</v>
      </c>
    </row>
    <row r="125" spans="1:27" s="2" customFormat="1" hidden="1" x14ac:dyDescent="0.25">
      <c r="A125" s="61" t="s">
        <v>458</v>
      </c>
      <c r="B125" s="61">
        <v>4044</v>
      </c>
      <c r="C125" s="61" t="s">
        <v>66</v>
      </c>
      <c r="D125" s="61" t="s">
        <v>76</v>
      </c>
      <c r="E125" s="30">
        <v>42509.848090277781</v>
      </c>
      <c r="F125" s="30">
        <v>42509.849236111113</v>
      </c>
      <c r="G125" s="38">
        <v>1</v>
      </c>
      <c r="H125" s="30" t="s">
        <v>181</v>
      </c>
      <c r="I125" s="30">
        <v>42509.880995370368</v>
      </c>
      <c r="J125" s="61">
        <v>0</v>
      </c>
      <c r="K125" s="61" t="str">
        <f t="shared" si="17"/>
        <v>4043/4044</v>
      </c>
      <c r="L125" s="61" t="str">
        <f>VLOOKUP(A125,'Trips&amp;Operators'!$C$1:$E$9999,3,FALSE)</f>
        <v>NEWELL</v>
      </c>
      <c r="M125" s="12">
        <f t="shared" si="18"/>
        <v>3.1759259254613426E-2</v>
      </c>
      <c r="N125" s="13">
        <f t="shared" si="31"/>
        <v>45.733333326643333</v>
      </c>
      <c r="O125" s="13"/>
      <c r="P125" s="13"/>
      <c r="Q125" s="62"/>
      <c r="R125" s="62"/>
      <c r="T1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20:20:15-0600',mode:absolute,to:'2016-05-19 21:09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5" s="74" t="str">
        <f t="shared" si="20"/>
        <v>N</v>
      </c>
      <c r="V125" s="74">
        <f t="shared" si="21"/>
        <v>1</v>
      </c>
      <c r="W125" s="74">
        <f t="shared" si="22"/>
        <v>4.4699999999999997E-2</v>
      </c>
      <c r="X125" s="74">
        <f t="shared" si="23"/>
        <v>23.328199999999999</v>
      </c>
      <c r="Y125" s="74">
        <f t="shared" si="24"/>
        <v>23.2835</v>
      </c>
      <c r="Z125" s="75">
        <f>VLOOKUP(A125,Enforcements!$C$3:$J$60,8,0)</f>
        <v>233491</v>
      </c>
      <c r="AA125" s="75" t="str">
        <f>VLOOKUP(A125,Enforcements!$C$3:$J$60,3,0)</f>
        <v>TRACK WARRANT AUTHORITY</v>
      </c>
    </row>
    <row r="126" spans="1:27" s="2" customFormat="1" hidden="1" x14ac:dyDescent="0.25">
      <c r="A126" s="61" t="s">
        <v>330</v>
      </c>
      <c r="B126" s="61">
        <v>4043</v>
      </c>
      <c r="C126" s="61" t="s">
        <v>66</v>
      </c>
      <c r="D126" s="61" t="s">
        <v>185</v>
      </c>
      <c r="E126" s="30">
        <v>42509.888877314814</v>
      </c>
      <c r="F126" s="30">
        <v>42509.890196759261</v>
      </c>
      <c r="G126" s="38">
        <v>1</v>
      </c>
      <c r="H126" s="30" t="s">
        <v>83</v>
      </c>
      <c r="I126" s="30">
        <v>42509.924525462964</v>
      </c>
      <c r="J126" s="61">
        <v>1</v>
      </c>
      <c r="K126" s="61" t="str">
        <f t="shared" si="17"/>
        <v>4043/4044</v>
      </c>
      <c r="L126" s="61" t="str">
        <f>VLOOKUP(A126,'Trips&amp;Operators'!$C$1:$E$9999,3,FALSE)</f>
        <v>NEWELL</v>
      </c>
      <c r="M126" s="12">
        <f t="shared" si="18"/>
        <v>3.4328703703067731E-2</v>
      </c>
      <c r="N126" s="13">
        <f t="shared" si="31"/>
        <v>49.433333332417533</v>
      </c>
      <c r="O126" s="13"/>
      <c r="P126" s="13"/>
      <c r="Q126" s="62"/>
      <c r="R126" s="62"/>
      <c r="T1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21:18:59-0600',mode:absolute,to:'2016-05-19 22:12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6" s="74" t="str">
        <f t="shared" si="20"/>
        <v>N</v>
      </c>
      <c r="V126" s="74">
        <f t="shared" si="21"/>
        <v>1</v>
      </c>
      <c r="W126" s="74">
        <f t="shared" si="22"/>
        <v>23.2971</v>
      </c>
      <c r="X126" s="74">
        <f t="shared" si="23"/>
        <v>1.52E-2</v>
      </c>
      <c r="Y126" s="74">
        <f t="shared" si="24"/>
        <v>23.2819</v>
      </c>
      <c r="Z126" s="75">
        <f>VLOOKUP(A126,Enforcements!$C$3:$J$60,8,0)</f>
        <v>1</v>
      </c>
      <c r="AA126" s="75" t="str">
        <f>VLOOKUP(A126,Enforcements!$C$3:$J$60,3,0)</f>
        <v>TRACK WARRANT AUTHORITY</v>
      </c>
    </row>
    <row r="127" spans="1:27" s="2" customFormat="1" hidden="1" x14ac:dyDescent="0.25">
      <c r="A127" s="61" t="s">
        <v>415</v>
      </c>
      <c r="B127" s="61">
        <v>4018</v>
      </c>
      <c r="C127" s="61" t="s">
        <v>66</v>
      </c>
      <c r="D127" s="61" t="s">
        <v>120</v>
      </c>
      <c r="E127" s="30">
        <v>42509.874872685185</v>
      </c>
      <c r="F127" s="30">
        <v>42509.876168981478</v>
      </c>
      <c r="G127" s="38">
        <v>1</v>
      </c>
      <c r="H127" s="30" t="s">
        <v>534</v>
      </c>
      <c r="I127" s="30">
        <v>42509.905486111114</v>
      </c>
      <c r="J127" s="61">
        <v>0</v>
      </c>
      <c r="K127" s="61" t="str">
        <f t="shared" si="17"/>
        <v>4017/4018</v>
      </c>
      <c r="L127" s="61" t="str">
        <f>VLOOKUP(A127,'Trips&amp;Operators'!$C$1:$E$9999,3,FALSE)</f>
        <v>YORK</v>
      </c>
      <c r="M127" s="12">
        <f t="shared" si="18"/>
        <v>2.9317129636183381E-2</v>
      </c>
      <c r="N127" s="13">
        <f t="shared" si="31"/>
        <v>42.216666676104069</v>
      </c>
      <c r="O127" s="13"/>
      <c r="P127" s="13"/>
      <c r="Q127" s="62"/>
      <c r="R127" s="62"/>
      <c r="T1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20:58:49-0600',mode:absolute,to:'2016-05-19 21:44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27" s="74" t="str">
        <f t="shared" si="20"/>
        <v>N</v>
      </c>
      <c r="V127" s="74">
        <f t="shared" si="21"/>
        <v>1</v>
      </c>
      <c r="W127" s="74">
        <f t="shared" si="22"/>
        <v>4.4400000000000002E-2</v>
      </c>
      <c r="X127" s="74">
        <f t="shared" si="23"/>
        <v>23.3184</v>
      </c>
      <c r="Y127" s="74">
        <f t="shared" si="24"/>
        <v>23.274000000000001</v>
      </c>
      <c r="Z127" s="75" t="e">
        <f>VLOOKUP(A127,Enforcements!$C$3:$J$60,8,0)</f>
        <v>#N/A</v>
      </c>
      <c r="AA127" s="75" t="e">
        <f>VLOOKUP(A127,Enforcements!$C$3:$J$60,3,0)</f>
        <v>#N/A</v>
      </c>
    </row>
    <row r="128" spans="1:27" s="2" customFormat="1" hidden="1" x14ac:dyDescent="0.25">
      <c r="A128" s="61" t="s">
        <v>352</v>
      </c>
      <c r="B128" s="61">
        <v>4017</v>
      </c>
      <c r="C128" s="61" t="s">
        <v>66</v>
      </c>
      <c r="D128" s="61" t="s">
        <v>535</v>
      </c>
      <c r="E128" s="30">
        <v>42509.908761574072</v>
      </c>
      <c r="F128" s="30">
        <v>42509.909791666665</v>
      </c>
      <c r="G128" s="38">
        <v>1</v>
      </c>
      <c r="H128" s="30" t="s">
        <v>87</v>
      </c>
      <c r="I128" s="30">
        <v>42509.944791666669</v>
      </c>
      <c r="J128" s="61">
        <v>0</v>
      </c>
      <c r="K128" s="61" t="str">
        <f t="shared" si="17"/>
        <v>4017/4018</v>
      </c>
      <c r="L128" s="61" t="str">
        <f>VLOOKUP(A128,'Trips&amp;Operators'!$C$1:$E$9999,3,FALSE)</f>
        <v>YORK</v>
      </c>
      <c r="M128" s="12">
        <f t="shared" si="18"/>
        <v>3.500000000349246E-2</v>
      </c>
      <c r="N128" s="13">
        <f t="shared" si="31"/>
        <v>50.400000005029142</v>
      </c>
      <c r="O128" s="13"/>
      <c r="P128" s="13"/>
      <c r="Q128" s="62"/>
      <c r="R128" s="62"/>
      <c r="T1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21:47:37-0600',mode:absolute,to:'2016-05-19 22:41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8" s="74" t="str">
        <f t="shared" si="20"/>
        <v>N</v>
      </c>
      <c r="V128" s="74">
        <f t="shared" si="21"/>
        <v>1</v>
      </c>
      <c r="W128" s="74">
        <f t="shared" si="22"/>
        <v>23.288799999999998</v>
      </c>
      <c r="X128" s="74">
        <f t="shared" si="23"/>
        <v>1.61E-2</v>
      </c>
      <c r="Y128" s="74">
        <f t="shared" si="24"/>
        <v>23.272699999999997</v>
      </c>
      <c r="Z128" s="75" t="e">
        <f>VLOOKUP(A128,Enforcements!$C$3:$J$60,8,0)</f>
        <v>#N/A</v>
      </c>
      <c r="AA128" s="75" t="e">
        <f>VLOOKUP(A128,Enforcements!$C$3:$J$60,3,0)</f>
        <v>#N/A</v>
      </c>
    </row>
    <row r="129" spans="1:27" s="2" customFormat="1" hidden="1" x14ac:dyDescent="0.25">
      <c r="A129" s="61" t="s">
        <v>450</v>
      </c>
      <c r="B129" s="61">
        <v>4011</v>
      </c>
      <c r="C129" s="61" t="s">
        <v>66</v>
      </c>
      <c r="D129" s="61" t="s">
        <v>536</v>
      </c>
      <c r="E129" s="30">
        <v>42509.894432870373</v>
      </c>
      <c r="F129" s="30">
        <v>42509.895300925928</v>
      </c>
      <c r="G129" s="38">
        <v>1</v>
      </c>
      <c r="H129" s="30" t="s">
        <v>181</v>
      </c>
      <c r="I129" s="30">
        <v>42509.923460648148</v>
      </c>
      <c r="J129" s="61">
        <v>0</v>
      </c>
      <c r="K129" s="61" t="str">
        <f t="shared" si="17"/>
        <v>4011/4012</v>
      </c>
      <c r="L129" s="61" t="str">
        <f>VLOOKUP(A129,'Trips&amp;Operators'!$C$1:$E$9999,3,FALSE)</f>
        <v>ADANE</v>
      </c>
      <c r="M129" s="12">
        <f t="shared" si="18"/>
        <v>2.8159722220152617E-2</v>
      </c>
      <c r="N129" s="13">
        <f t="shared" si="31"/>
        <v>40.549999997019768</v>
      </c>
      <c r="O129" s="13"/>
      <c r="P129" s="13"/>
      <c r="Q129" s="62"/>
      <c r="R129" s="62"/>
      <c r="T1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21:26:59-0600',mode:absolute,to:'2016-05-19 22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9" s="74" t="str">
        <f t="shared" si="20"/>
        <v>N</v>
      </c>
      <c r="V129" s="74">
        <f t="shared" si="21"/>
        <v>1</v>
      </c>
      <c r="W129" s="74">
        <f t="shared" si="22"/>
        <v>7.3400000000000007E-2</v>
      </c>
      <c r="X129" s="74">
        <f t="shared" si="23"/>
        <v>23.328199999999999</v>
      </c>
      <c r="Y129" s="74">
        <f t="shared" si="24"/>
        <v>23.254799999999999</v>
      </c>
      <c r="Z129" s="75" t="e">
        <f>VLOOKUP(A129,Enforcements!$C$3:$J$60,8,0)</f>
        <v>#N/A</v>
      </c>
      <c r="AA129" s="75" t="e">
        <f>VLOOKUP(A129,Enforcements!$C$3:$J$60,3,0)</f>
        <v>#N/A</v>
      </c>
    </row>
    <row r="130" spans="1:27" s="2" customFormat="1" hidden="1" x14ac:dyDescent="0.25">
      <c r="A130" s="61" t="s">
        <v>451</v>
      </c>
      <c r="B130" s="61">
        <v>4012</v>
      </c>
      <c r="C130" s="61" t="s">
        <v>66</v>
      </c>
      <c r="D130" s="61" t="s">
        <v>88</v>
      </c>
      <c r="E130" s="30">
        <v>42509.930092592593</v>
      </c>
      <c r="F130" s="30">
        <v>42509.931273148148</v>
      </c>
      <c r="G130" s="38">
        <v>1</v>
      </c>
      <c r="H130" s="30" t="s">
        <v>95</v>
      </c>
      <c r="I130" s="30">
        <v>42509.965057870373</v>
      </c>
      <c r="J130" s="61">
        <v>0</v>
      </c>
      <c r="K130" s="61" t="str">
        <f t="shared" si="17"/>
        <v>4011/4012</v>
      </c>
      <c r="L130" s="61" t="str">
        <f>VLOOKUP(A130,'Trips&amp;Operators'!$C$1:$E$9999,3,FALSE)</f>
        <v>ADANE</v>
      </c>
      <c r="M130" s="12">
        <f t="shared" si="18"/>
        <v>3.3784722225391306E-2</v>
      </c>
      <c r="N130" s="13">
        <f t="shared" si="31"/>
        <v>48.650000004563481</v>
      </c>
      <c r="O130" s="13"/>
      <c r="P130" s="13"/>
      <c r="Q130" s="62"/>
      <c r="R130" s="62"/>
      <c r="T1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22:18:20-0600',mode:absolute,to:'2016-05-19 23:10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0" s="74" t="str">
        <f t="shared" si="20"/>
        <v>N</v>
      </c>
      <c r="V130" s="74">
        <f t="shared" si="21"/>
        <v>1</v>
      </c>
      <c r="W130" s="74">
        <f t="shared" si="22"/>
        <v>23.297999999999998</v>
      </c>
      <c r="X130" s="74">
        <f t="shared" si="23"/>
        <v>1.41E-2</v>
      </c>
      <c r="Y130" s="74">
        <f t="shared" si="24"/>
        <v>23.283899999999999</v>
      </c>
      <c r="Z130" s="75" t="e">
        <f>VLOOKUP(A130,Enforcements!$C$3:$J$60,8,0)</f>
        <v>#N/A</v>
      </c>
      <c r="AA130" s="75" t="e">
        <f>VLOOKUP(A130,Enforcements!$C$3:$J$60,3,0)</f>
        <v>#N/A</v>
      </c>
    </row>
    <row r="131" spans="1:27" s="2" customFormat="1" hidden="1" x14ac:dyDescent="0.25">
      <c r="A131" s="61" t="s">
        <v>385</v>
      </c>
      <c r="B131" s="61">
        <v>4042</v>
      </c>
      <c r="C131" s="61" t="s">
        <v>66</v>
      </c>
      <c r="D131" s="61" t="s">
        <v>120</v>
      </c>
      <c r="E131" s="30">
        <v>42509.90556712963</v>
      </c>
      <c r="F131" s="30">
        <v>42509.906875000001</v>
      </c>
      <c r="G131" s="38">
        <v>1</v>
      </c>
      <c r="H131" s="30" t="s">
        <v>515</v>
      </c>
      <c r="I131" s="30">
        <v>42509.942280092589</v>
      </c>
      <c r="J131" s="61">
        <v>0</v>
      </c>
      <c r="K131" s="61" t="str">
        <f t="shared" ref="K131:K142" si="32">IF(ISEVEN(B131),(B131-1)&amp;"/"&amp;B131,B131&amp;"/"&amp;(B131+1))</f>
        <v>4041/4042</v>
      </c>
      <c r="L131" s="61" t="str">
        <f>VLOOKUP(A131,'Trips&amp;Operators'!$C$1:$E$9999,3,FALSE)</f>
        <v>CANFIELD</v>
      </c>
      <c r="M131" s="12">
        <f t="shared" ref="M131:M142" si="33">I131-F131</f>
        <v>3.5405092588916887E-2</v>
      </c>
      <c r="N131" s="13">
        <f t="shared" si="31"/>
        <v>50.983333328040317</v>
      </c>
      <c r="O131" s="13"/>
      <c r="P131" s="13"/>
      <c r="Q131" s="62"/>
      <c r="R131" s="62"/>
      <c r="T131" s="74" t="str">
        <f t="shared" ref="T131:T142" si="34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https://search-rtdc-monitor-bjffxe2xuh6vdkpspy63sjmuny.us-east-1.es.amazonaws.com/_plugin/kibana/#/discover/Steve-Slow-Train-Analysis-(2080s-and-2083s)?_g=(refreshInterval:(display:Off,section:0,value:0),time:(from:'2016-05-19 21:43:01-0600',mode:absolute,to:'2016-05-19 22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31" s="74" t="str">
        <f t="shared" ref="U131:U142" si="35">IF(Y131&lt;23,"Y","N")</f>
        <v>N</v>
      </c>
      <c r="V131" s="74">
        <f t="shared" ref="V131:V142" si="36">VALUE(LEFT(A131,3))-VALUE(LEFT(A130,3))</f>
        <v>1</v>
      </c>
      <c r="W131" s="74">
        <f t="shared" ref="W131:W142" si="37">RIGHT(D131,LEN(D131)-4)/10000</f>
        <v>4.4400000000000002E-2</v>
      </c>
      <c r="X131" s="74">
        <f t="shared" ref="X131:X142" si="38">RIGHT(H131,LEN(H131)-4)/10000</f>
        <v>23.330100000000002</v>
      </c>
      <c r="Y131" s="74">
        <f t="shared" ref="Y131:Y142" si="39">ABS(X131-W131)</f>
        <v>23.285700000000002</v>
      </c>
      <c r="Z131" s="75" t="e">
        <f>VLOOKUP(A131,Enforcements!$C$3:$J$60,8,0)</f>
        <v>#N/A</v>
      </c>
      <c r="AA131" s="75" t="e">
        <f>VLOOKUP(A131,Enforcements!$C$3:$J$60,3,0)</f>
        <v>#N/A</v>
      </c>
    </row>
    <row r="132" spans="1:27" s="2" customFormat="1" hidden="1" x14ac:dyDescent="0.25">
      <c r="A132" s="61" t="s">
        <v>405</v>
      </c>
      <c r="B132" s="61">
        <v>4041</v>
      </c>
      <c r="C132" s="61" t="s">
        <v>66</v>
      </c>
      <c r="D132" s="61" t="s">
        <v>97</v>
      </c>
      <c r="E132" s="30">
        <v>42509.945775462962</v>
      </c>
      <c r="F132" s="30">
        <v>42509.94672453704</v>
      </c>
      <c r="G132" s="38">
        <v>1</v>
      </c>
      <c r="H132" s="30" t="s">
        <v>101</v>
      </c>
      <c r="I132" s="30">
        <v>42509.983726851853</v>
      </c>
      <c r="J132" s="61">
        <v>0</v>
      </c>
      <c r="K132" s="61" t="str">
        <f t="shared" si="32"/>
        <v>4041/4042</v>
      </c>
      <c r="L132" s="61" t="str">
        <f>VLOOKUP(A132,'Trips&amp;Operators'!$C$1:$E$9999,3,FALSE)</f>
        <v>CANFIELD</v>
      </c>
      <c r="M132" s="12">
        <f t="shared" si="33"/>
        <v>3.7002314813435078E-2</v>
      </c>
      <c r="N132" s="13">
        <f t="shared" si="31"/>
        <v>53.283333331346512</v>
      </c>
      <c r="O132" s="13"/>
      <c r="P132" s="13"/>
      <c r="Q132" s="62"/>
      <c r="R132" s="62"/>
      <c r="T13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22:40:55-0600',mode:absolute,to:'2016-05-19 23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32" s="74" t="str">
        <f t="shared" si="35"/>
        <v>N</v>
      </c>
      <c r="V132" s="74">
        <f t="shared" si="36"/>
        <v>1</v>
      </c>
      <c r="W132" s="74">
        <f t="shared" si="37"/>
        <v>23.297499999999999</v>
      </c>
      <c r="X132" s="74">
        <f t="shared" si="38"/>
        <v>1.47E-2</v>
      </c>
      <c r="Y132" s="74">
        <f t="shared" si="39"/>
        <v>23.282799999999998</v>
      </c>
      <c r="Z132" s="75" t="e">
        <f>VLOOKUP(A132,Enforcements!$C$3:$J$60,8,0)</f>
        <v>#N/A</v>
      </c>
      <c r="AA132" s="75" t="e">
        <f>VLOOKUP(A132,Enforcements!$C$3:$J$60,3,0)</f>
        <v>#N/A</v>
      </c>
    </row>
    <row r="133" spans="1:27" s="2" customFormat="1" hidden="1" x14ac:dyDescent="0.25">
      <c r="A133" s="61" t="s">
        <v>443</v>
      </c>
      <c r="B133" s="61">
        <v>4044</v>
      </c>
      <c r="C133" s="61" t="s">
        <v>66</v>
      </c>
      <c r="D133" s="61" t="s">
        <v>76</v>
      </c>
      <c r="E133" s="30">
        <v>42509.931562500002</v>
      </c>
      <c r="F133" s="30">
        <v>42509.932500000003</v>
      </c>
      <c r="G133" s="38">
        <v>1</v>
      </c>
      <c r="H133" s="30" t="s">
        <v>68</v>
      </c>
      <c r="I133" s="30">
        <v>42509.963043981479</v>
      </c>
      <c r="J133" s="61">
        <v>1</v>
      </c>
      <c r="K133" s="61" t="str">
        <f t="shared" si="32"/>
        <v>4043/4044</v>
      </c>
      <c r="L133" s="61" t="str">
        <f>VLOOKUP(A133,'Trips&amp;Operators'!$C$1:$E$9999,3,FALSE)</f>
        <v>NEWELL</v>
      </c>
      <c r="M133" s="12">
        <f t="shared" si="33"/>
        <v>3.0543981476512272E-2</v>
      </c>
      <c r="N133" s="13">
        <f t="shared" si="31"/>
        <v>43.983333326177672</v>
      </c>
      <c r="O133" s="13"/>
      <c r="P133" s="13"/>
      <c r="Q133" s="62"/>
      <c r="R133" s="62"/>
      <c r="T13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22:20:27-0600',mode:absolute,to:'2016-05-19 23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3" s="74" t="str">
        <f t="shared" si="35"/>
        <v>N</v>
      </c>
      <c r="V133" s="74">
        <f t="shared" si="36"/>
        <v>1</v>
      </c>
      <c r="W133" s="74">
        <f t="shared" si="37"/>
        <v>4.4699999999999997E-2</v>
      </c>
      <c r="X133" s="74">
        <f t="shared" si="38"/>
        <v>23.329499999999999</v>
      </c>
      <c r="Y133" s="74">
        <f t="shared" si="39"/>
        <v>23.284800000000001</v>
      </c>
      <c r="Z133" s="75">
        <f>VLOOKUP(A133,Enforcements!$C$3:$J$60,8,0)</f>
        <v>233491</v>
      </c>
      <c r="AA133" s="75" t="str">
        <f>VLOOKUP(A133,Enforcements!$C$3:$J$60,3,0)</f>
        <v>TRACK WARRANT AUTHORITY</v>
      </c>
    </row>
    <row r="134" spans="1:27" s="2" customFormat="1" hidden="1" x14ac:dyDescent="0.25">
      <c r="A134" s="61" t="s">
        <v>414</v>
      </c>
      <c r="B134" s="61">
        <v>4043</v>
      </c>
      <c r="C134" s="61" t="s">
        <v>66</v>
      </c>
      <c r="D134" s="61" t="s">
        <v>162</v>
      </c>
      <c r="E134" s="30">
        <v>42509.968240740738</v>
      </c>
      <c r="F134" s="30">
        <v>42509.96912037037</v>
      </c>
      <c r="G134" s="38">
        <v>1</v>
      </c>
      <c r="H134" s="30" t="s">
        <v>75</v>
      </c>
      <c r="I134" s="30">
        <v>42510.002303240741</v>
      </c>
      <c r="J134" s="61">
        <v>0</v>
      </c>
      <c r="K134" s="61" t="str">
        <f t="shared" si="32"/>
        <v>4043/4044</v>
      </c>
      <c r="L134" s="61" t="str">
        <f>VLOOKUP(A134,'Trips&amp;Operators'!$C$1:$E$9999,3,FALSE)</f>
        <v>NEWELL</v>
      </c>
      <c r="M134" s="12">
        <f t="shared" si="33"/>
        <v>3.3182870371092577E-2</v>
      </c>
      <c r="N134" s="13">
        <f t="shared" si="31"/>
        <v>47.78333333437331</v>
      </c>
      <c r="O134" s="13"/>
      <c r="P134" s="13"/>
      <c r="Q134" s="62"/>
      <c r="R134" s="62"/>
      <c r="T13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23:13:16-0600',mode:absolute,to:'2016-05-20 00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4" s="74" t="str">
        <f t="shared" si="35"/>
        <v>N</v>
      </c>
      <c r="V134" s="74">
        <f t="shared" si="36"/>
        <v>1</v>
      </c>
      <c r="W134" s="74">
        <f t="shared" si="37"/>
        <v>23.297699999999999</v>
      </c>
      <c r="X134" s="74">
        <f t="shared" si="38"/>
        <v>1.4500000000000001E-2</v>
      </c>
      <c r="Y134" s="74">
        <f t="shared" si="39"/>
        <v>23.283199999999997</v>
      </c>
      <c r="Z134" s="75" t="e">
        <f>VLOOKUP(A134,Enforcements!$C$3:$J$60,8,0)</f>
        <v>#N/A</v>
      </c>
      <c r="AA134" s="75" t="e">
        <f>VLOOKUP(A134,Enforcements!$C$3:$J$60,3,0)</f>
        <v>#N/A</v>
      </c>
    </row>
    <row r="135" spans="1:27" s="2" customFormat="1" hidden="1" x14ac:dyDescent="0.25">
      <c r="A135" s="61" t="s">
        <v>338</v>
      </c>
      <c r="B135" s="61">
        <v>4018</v>
      </c>
      <c r="C135" s="61" t="s">
        <v>66</v>
      </c>
      <c r="D135" s="61" t="s">
        <v>537</v>
      </c>
      <c r="E135" s="30">
        <v>42509.949930555558</v>
      </c>
      <c r="F135" s="30">
        <v>42509.95417824074</v>
      </c>
      <c r="G135" s="38">
        <v>6</v>
      </c>
      <c r="H135" s="30" t="s">
        <v>498</v>
      </c>
      <c r="I135" s="30">
        <v>42509.982939814814</v>
      </c>
      <c r="J135" s="61">
        <v>1</v>
      </c>
      <c r="K135" s="61" t="str">
        <f t="shared" si="32"/>
        <v>4017/4018</v>
      </c>
      <c r="L135" s="61" t="str">
        <f>VLOOKUP(A135,'Trips&amp;Operators'!$C$1:$E$9999,3,FALSE)</f>
        <v>YORK</v>
      </c>
      <c r="M135" s="12">
        <f t="shared" si="33"/>
        <v>2.8761574074451346E-2</v>
      </c>
      <c r="N135" s="13">
        <f t="shared" si="31"/>
        <v>41.416666667209938</v>
      </c>
      <c r="O135" s="13"/>
      <c r="P135" s="13"/>
      <c r="Q135" s="62"/>
      <c r="R135" s="62"/>
      <c r="T13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22:46:54-0600',mode:absolute,to:'2016-05-19 23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5" s="74" t="str">
        <f t="shared" si="35"/>
        <v>N</v>
      </c>
      <c r="V135" s="74">
        <f t="shared" si="36"/>
        <v>1</v>
      </c>
      <c r="W135" s="74">
        <f t="shared" si="37"/>
        <v>4.82E-2</v>
      </c>
      <c r="X135" s="74">
        <f t="shared" si="38"/>
        <v>23.328600000000002</v>
      </c>
      <c r="Y135" s="74">
        <f t="shared" si="39"/>
        <v>23.2804</v>
      </c>
      <c r="Z135" s="75">
        <f>VLOOKUP(A135,Enforcements!$C$3:$J$60,8,0)</f>
        <v>233491</v>
      </c>
      <c r="AA135" s="75" t="str">
        <f>VLOOKUP(A135,Enforcements!$C$3:$J$60,3,0)</f>
        <v>TRACK WARRANT AUTHORITY</v>
      </c>
    </row>
    <row r="136" spans="1:27" s="2" customFormat="1" hidden="1" x14ac:dyDescent="0.25">
      <c r="A136" s="61" t="s">
        <v>442</v>
      </c>
      <c r="B136" s="61">
        <v>4017</v>
      </c>
      <c r="C136" s="61" t="s">
        <v>66</v>
      </c>
      <c r="D136" s="61" t="s">
        <v>122</v>
      </c>
      <c r="E136" s="30">
        <v>42509.986446759256</v>
      </c>
      <c r="F136" s="30">
        <v>42509.987662037034</v>
      </c>
      <c r="G136" s="38">
        <v>1</v>
      </c>
      <c r="H136" s="30" t="s">
        <v>71</v>
      </c>
      <c r="I136" s="30">
        <v>42510.025034722225</v>
      </c>
      <c r="J136" s="61">
        <v>1</v>
      </c>
      <c r="K136" s="61" t="str">
        <f t="shared" si="32"/>
        <v>4017/4018</v>
      </c>
      <c r="L136" s="61" t="str">
        <f>VLOOKUP(A136,'Trips&amp;Operators'!$C$1:$E$9999,3,FALSE)</f>
        <v>YORK</v>
      </c>
      <c r="M136" s="12">
        <f t="shared" si="33"/>
        <v>3.737268519034842E-2</v>
      </c>
      <c r="N136" s="13">
        <f t="shared" si="31"/>
        <v>53.816666674101725</v>
      </c>
      <c r="O136" s="13"/>
      <c r="P136" s="13"/>
      <c r="Q136" s="62"/>
      <c r="R136" s="62"/>
      <c r="T13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23:39:29-0600',mode:absolute,to:'2016-05-20 00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6" s="74" t="str">
        <f t="shared" si="35"/>
        <v>N</v>
      </c>
      <c r="V136" s="74">
        <f t="shared" si="36"/>
        <v>1</v>
      </c>
      <c r="W136" s="74">
        <f t="shared" si="37"/>
        <v>23.2973</v>
      </c>
      <c r="X136" s="74">
        <f t="shared" si="38"/>
        <v>1.49E-2</v>
      </c>
      <c r="Y136" s="74">
        <f t="shared" si="39"/>
        <v>23.282399999999999</v>
      </c>
      <c r="Z136" s="75">
        <f>VLOOKUP(A136,Enforcements!$C$3:$J$60,8,0)</f>
        <v>1</v>
      </c>
      <c r="AA136" s="75" t="str">
        <f>VLOOKUP(A136,Enforcements!$C$3:$J$60,3,0)</f>
        <v>TRACK WARRANT AUTHORITY</v>
      </c>
    </row>
    <row r="137" spans="1:27" s="2" customFormat="1" hidden="1" x14ac:dyDescent="0.25">
      <c r="A137" s="61" t="s">
        <v>363</v>
      </c>
      <c r="B137" s="61">
        <v>4011</v>
      </c>
      <c r="C137" s="61" t="s">
        <v>66</v>
      </c>
      <c r="D137" s="61" t="s">
        <v>522</v>
      </c>
      <c r="E137" s="30">
        <v>42509.971053240741</v>
      </c>
      <c r="F137" s="30">
        <v>42509.972048611111</v>
      </c>
      <c r="G137" s="38">
        <v>1</v>
      </c>
      <c r="H137" s="30" t="s">
        <v>538</v>
      </c>
      <c r="I137" s="30">
        <v>42510.004606481481</v>
      </c>
      <c r="J137" s="61">
        <v>1</v>
      </c>
      <c r="K137" s="61" t="str">
        <f t="shared" si="32"/>
        <v>4011/4012</v>
      </c>
      <c r="L137" s="61" t="str">
        <f>VLOOKUP(A137,'Trips&amp;Operators'!$C$1:$E$9999,3,FALSE)</f>
        <v>ADANE</v>
      </c>
      <c r="M137" s="12">
        <f t="shared" si="33"/>
        <v>3.25578703705105E-2</v>
      </c>
      <c r="N137" s="13">
        <f t="shared" si="31"/>
        <v>46.88333333353512</v>
      </c>
      <c r="O137" s="13"/>
      <c r="P137" s="13"/>
      <c r="Q137" s="62"/>
      <c r="R137" s="62"/>
      <c r="T13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23:17:19-0600',mode:absolute,to:'2016-05-20 00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7" s="74" t="str">
        <f t="shared" si="35"/>
        <v>N</v>
      </c>
      <c r="V137" s="74">
        <f t="shared" si="36"/>
        <v>1</v>
      </c>
      <c r="W137" s="74">
        <f t="shared" si="37"/>
        <v>4.5699999999999998E-2</v>
      </c>
      <c r="X137" s="74">
        <f t="shared" si="38"/>
        <v>23.3263</v>
      </c>
      <c r="Y137" s="74">
        <f t="shared" si="39"/>
        <v>23.2806</v>
      </c>
      <c r="Z137" s="75">
        <f>VLOOKUP(A137,Enforcements!$C$3:$J$60,8,0)</f>
        <v>233491</v>
      </c>
      <c r="AA137" s="75" t="str">
        <f>VLOOKUP(A137,Enforcements!$C$3:$J$60,3,0)</f>
        <v>TRACK WARRANT AUTHORITY</v>
      </c>
    </row>
    <row r="138" spans="1:27" s="2" customFormat="1" hidden="1" x14ac:dyDescent="0.25">
      <c r="A138" s="61" t="s">
        <v>444</v>
      </c>
      <c r="B138" s="61">
        <v>4012</v>
      </c>
      <c r="C138" s="61" t="s">
        <v>66</v>
      </c>
      <c r="D138" s="61" t="s">
        <v>539</v>
      </c>
      <c r="E138" s="30">
        <v>42510.012708333335</v>
      </c>
      <c r="F138" s="30">
        <v>42510.013807870368</v>
      </c>
      <c r="G138" s="38">
        <v>1</v>
      </c>
      <c r="H138" s="30" t="s">
        <v>540</v>
      </c>
      <c r="I138" s="30">
        <v>42510.044618055559</v>
      </c>
      <c r="J138" s="61">
        <v>0</v>
      </c>
      <c r="K138" s="61" t="str">
        <f t="shared" si="32"/>
        <v>4011/4012</v>
      </c>
      <c r="L138" s="61" t="str">
        <f>VLOOKUP(A138,'Trips&amp;Operators'!$C$1:$E$9999,3,FALSE)</f>
        <v>ADANE</v>
      </c>
      <c r="M138" s="12">
        <f t="shared" si="33"/>
        <v>3.0810185191512574E-2</v>
      </c>
      <c r="N138" s="13">
        <f t="shared" si="31"/>
        <v>44.366666675778106</v>
      </c>
      <c r="O138" s="13"/>
      <c r="P138" s="13"/>
      <c r="Q138" s="62"/>
      <c r="R138" s="62"/>
      <c r="T13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https://search-rtdc-monitor-bjffxe2xuh6vdkpspy63sjmuny.us-east-1.es.amazonaws.com/_plugin/kibana/#/discover/Steve-Slow-Train-Analysis-(2080s-and-2083s)?_g=(refreshInterval:(display:Off,section:0,value:0),time:(from:'2016-05-20 00:17:18-0600',mode:absolute,to:'2016-05-20 01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8" s="74" t="str">
        <f t="shared" si="35"/>
        <v>N</v>
      </c>
      <c r="V138" s="74">
        <f t="shared" si="36"/>
        <v>1</v>
      </c>
      <c r="W138" s="74">
        <f t="shared" si="37"/>
        <v>23.296500000000002</v>
      </c>
      <c r="X138" s="74">
        <f t="shared" si="38"/>
        <v>1.32E-2</v>
      </c>
      <c r="Y138" s="74">
        <f t="shared" si="39"/>
        <v>23.283300000000001</v>
      </c>
      <c r="Z138" s="75" t="e">
        <f>VLOOKUP(A138,Enforcements!$C$3:$J$60,8,0)</f>
        <v>#N/A</v>
      </c>
      <c r="AA138" s="75" t="e">
        <f>VLOOKUP(A138,Enforcements!$C$3:$J$60,3,0)</f>
        <v>#N/A</v>
      </c>
    </row>
    <row r="139" spans="1:27" s="2" customFormat="1" hidden="1" x14ac:dyDescent="0.25">
      <c r="A139" s="61" t="s">
        <v>390</v>
      </c>
      <c r="B139" s="61">
        <v>4042</v>
      </c>
      <c r="C139" s="61" t="s">
        <v>66</v>
      </c>
      <c r="D139" s="61" t="s">
        <v>86</v>
      </c>
      <c r="E139" s="30">
        <v>42509.985381944447</v>
      </c>
      <c r="F139" s="30">
        <v>42509.986331018517</v>
      </c>
      <c r="G139" s="38">
        <v>1</v>
      </c>
      <c r="H139" s="30" t="s">
        <v>187</v>
      </c>
      <c r="I139" s="30">
        <v>42510.025104166663</v>
      </c>
      <c r="J139" s="61">
        <v>0</v>
      </c>
      <c r="K139" s="61" t="str">
        <f t="shared" si="32"/>
        <v>4041/4042</v>
      </c>
      <c r="L139" s="61" t="str">
        <f>VLOOKUP(A139,'Trips&amp;Operators'!$C$1:$E$9999,3,FALSE)</f>
        <v>CANFIELD</v>
      </c>
      <c r="M139" s="12">
        <f t="shared" si="33"/>
        <v>3.8773148145992309E-2</v>
      </c>
      <c r="N139" s="13">
        <f t="shared" si="31"/>
        <v>55.833333330228925</v>
      </c>
      <c r="O139" s="13"/>
      <c r="P139" s="13"/>
      <c r="Q139" s="62"/>
      <c r="R139" s="62"/>
      <c r="T13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23:37:57-0600',mode:absolute,to:'2016-05-20 00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39" s="74" t="str">
        <f t="shared" si="35"/>
        <v>N</v>
      </c>
      <c r="V139" s="74">
        <f t="shared" si="36"/>
        <v>1</v>
      </c>
      <c r="W139" s="74">
        <f t="shared" si="37"/>
        <v>4.6399999999999997E-2</v>
      </c>
      <c r="X139" s="74">
        <f t="shared" si="38"/>
        <v>23.3309</v>
      </c>
      <c r="Y139" s="74">
        <f t="shared" si="39"/>
        <v>23.284500000000001</v>
      </c>
      <c r="Z139" s="75" t="e">
        <f>VLOOKUP(A139,Enforcements!$C$3:$J$60,8,0)</f>
        <v>#N/A</v>
      </c>
      <c r="AA139" s="75" t="e">
        <f>VLOOKUP(A139,Enforcements!$C$3:$J$60,3,0)</f>
        <v>#N/A</v>
      </c>
    </row>
    <row r="140" spans="1:27" s="2" customFormat="1" hidden="1" x14ac:dyDescent="0.25">
      <c r="A140" s="61" t="s">
        <v>369</v>
      </c>
      <c r="B140" s="61">
        <v>4041</v>
      </c>
      <c r="C140" s="61" t="s">
        <v>66</v>
      </c>
      <c r="D140" s="61" t="s">
        <v>102</v>
      </c>
      <c r="E140" s="30">
        <v>42510.028715277775</v>
      </c>
      <c r="F140" s="30">
        <v>42510.029664351852</v>
      </c>
      <c r="G140" s="38">
        <v>1</v>
      </c>
      <c r="H140" s="30" t="s">
        <v>83</v>
      </c>
      <c r="I140" s="30">
        <v>42510.064432870371</v>
      </c>
      <c r="J140" s="61">
        <v>0</v>
      </c>
      <c r="K140" s="61" t="str">
        <f t="shared" si="32"/>
        <v>4041/4042</v>
      </c>
      <c r="L140" s="61" t="str">
        <f>VLOOKUP(A140,'Trips&amp;Operators'!$C$1:$E$9999,3,FALSE)</f>
        <v>CANFIELD</v>
      </c>
      <c r="M140" s="12">
        <f t="shared" si="33"/>
        <v>3.4768518518831115E-2</v>
      </c>
      <c r="N140" s="13">
        <f t="shared" si="31"/>
        <v>50.066666667116806</v>
      </c>
      <c r="O140" s="13"/>
      <c r="P140" s="13"/>
      <c r="Q140" s="62"/>
      <c r="R140" s="62"/>
      <c r="T14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https://search-rtdc-monitor-bjffxe2xuh6vdkpspy63sjmuny.us-east-1.es.amazonaws.com/_plugin/kibana/#/discover/Steve-Slow-Train-Analysis-(2080s-and-2083s)?_g=(refreshInterval:(display:Off,section:0,value:0),time:(from:'2016-05-20 00:40:21-0600',mode:absolute,to:'2016-05-20 01:33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40" s="74" t="str">
        <f t="shared" si="35"/>
        <v>N</v>
      </c>
      <c r="V140" s="74">
        <f t="shared" si="36"/>
        <v>1</v>
      </c>
      <c r="W140" s="74">
        <f t="shared" si="37"/>
        <v>23.2986</v>
      </c>
      <c r="X140" s="74">
        <f t="shared" si="38"/>
        <v>1.52E-2</v>
      </c>
      <c r="Y140" s="74">
        <f t="shared" si="39"/>
        <v>23.2834</v>
      </c>
      <c r="Z140" s="75" t="e">
        <f>VLOOKUP(A140,Enforcements!$C$3:$J$60,8,0)</f>
        <v>#N/A</v>
      </c>
      <c r="AA140" s="75" t="e">
        <f>VLOOKUP(A140,Enforcements!$C$3:$J$60,3,0)</f>
        <v>#N/A</v>
      </c>
    </row>
    <row r="141" spans="1:27" s="2" customFormat="1" hidden="1" x14ac:dyDescent="0.25">
      <c r="A141" s="61" t="s">
        <v>428</v>
      </c>
      <c r="B141" s="61">
        <v>4044</v>
      </c>
      <c r="C141" s="61" t="s">
        <v>66</v>
      </c>
      <c r="D141" s="61" t="s">
        <v>522</v>
      </c>
      <c r="E141" s="30">
        <v>42510.016782407409</v>
      </c>
      <c r="F141" s="30">
        <v>42510.018101851849</v>
      </c>
      <c r="G141" s="38">
        <v>1</v>
      </c>
      <c r="H141" s="30" t="s">
        <v>167</v>
      </c>
      <c r="I141" s="30">
        <v>42510.045624999999</v>
      </c>
      <c r="J141" s="61">
        <v>0</v>
      </c>
      <c r="K141" s="61" t="str">
        <f t="shared" si="32"/>
        <v>4043/4044</v>
      </c>
      <c r="L141" s="61" t="str">
        <f>VLOOKUP(A141,'Trips&amp;Operators'!$C$1:$E$9999,3,FALSE)</f>
        <v>NEWELL</v>
      </c>
      <c r="M141" s="12">
        <f t="shared" si="33"/>
        <v>2.7523148150066845E-2</v>
      </c>
      <c r="N141" s="13">
        <f t="shared" si="31"/>
        <v>39.633333336096257</v>
      </c>
      <c r="O141" s="13"/>
      <c r="P141" s="13"/>
      <c r="Q141" s="62"/>
      <c r="R141" s="62"/>
      <c r="T14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https://search-rtdc-monitor-bjffxe2xuh6vdkpspy63sjmuny.us-east-1.es.amazonaws.com/_plugin/kibana/#/discover/Steve-Slow-Train-Analysis-(2080s-and-2083s)?_g=(refreshInterval:(display:Off,section:0,value:0),time:(from:'2016-05-20 00:23:10-0600',mode:absolute,to:'2016-05-20 01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1" s="74" t="str">
        <f t="shared" si="35"/>
        <v>N</v>
      </c>
      <c r="V141" s="74">
        <f t="shared" si="36"/>
        <v>1</v>
      </c>
      <c r="W141" s="74">
        <f t="shared" si="37"/>
        <v>4.5699999999999998E-2</v>
      </c>
      <c r="X141" s="74">
        <f t="shared" si="38"/>
        <v>23.328399999999998</v>
      </c>
      <c r="Y141" s="74">
        <f t="shared" si="39"/>
        <v>23.282699999999998</v>
      </c>
      <c r="Z141" s="75" t="e">
        <f>VLOOKUP(A141,Enforcements!$C$3:$J$60,8,0)</f>
        <v>#N/A</v>
      </c>
      <c r="AA141" s="75" t="e">
        <f>VLOOKUP(A141,Enforcements!$C$3:$J$60,3,0)</f>
        <v>#N/A</v>
      </c>
    </row>
    <row r="142" spans="1:27" s="2" customFormat="1" hidden="1" x14ac:dyDescent="0.25">
      <c r="A142" s="61" t="s">
        <v>362</v>
      </c>
      <c r="B142" s="61">
        <v>4043</v>
      </c>
      <c r="C142" s="61" t="s">
        <v>66</v>
      </c>
      <c r="D142" s="61" t="s">
        <v>158</v>
      </c>
      <c r="E142" s="30">
        <v>42510.056585648148</v>
      </c>
      <c r="F142" s="30">
        <v>42510.057638888888</v>
      </c>
      <c r="G142" s="38">
        <v>1</v>
      </c>
      <c r="H142" s="30" t="s">
        <v>73</v>
      </c>
      <c r="I142" s="30">
        <v>42510.085486111115</v>
      </c>
      <c r="J142" s="61">
        <v>0</v>
      </c>
      <c r="K142" s="61" t="str">
        <f t="shared" si="32"/>
        <v>4043/4044</v>
      </c>
      <c r="L142" s="61" t="str">
        <f>VLOOKUP(A142,'Trips&amp;Operators'!$C$1:$E$9999,3,FALSE)</f>
        <v>NEWELL</v>
      </c>
      <c r="M142" s="12">
        <f t="shared" si="33"/>
        <v>2.7847222227137536E-2</v>
      </c>
      <c r="N142" s="13">
        <f t="shared" si="31"/>
        <v>40.100000007078052</v>
      </c>
      <c r="O142" s="13"/>
      <c r="P142" s="13"/>
      <c r="Q142" s="62"/>
      <c r="R142" s="62"/>
      <c r="T14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https://search-rtdc-monitor-bjffxe2xuh6vdkpspy63sjmuny.us-east-1.es.amazonaws.com/_plugin/kibana/#/discover/Steve-Slow-Train-Analysis-(2080s-and-2083s)?_g=(refreshInterval:(display:Off,section:0,value:0),time:(from:'2016-05-20 01:20:29-0600',mode:absolute,to:'2016-05-20 02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2" s="74" t="str">
        <f t="shared" si="35"/>
        <v>N</v>
      </c>
      <c r="V142" s="74">
        <f t="shared" si="36"/>
        <v>1</v>
      </c>
      <c r="W142" s="74">
        <f t="shared" si="37"/>
        <v>23.296299999999999</v>
      </c>
      <c r="X142" s="74">
        <f t="shared" si="38"/>
        <v>1.54E-2</v>
      </c>
      <c r="Y142" s="74">
        <f t="shared" si="39"/>
        <v>23.280899999999999</v>
      </c>
      <c r="Z142" s="75" t="e">
        <f>VLOOKUP(A142,Enforcements!$C$3:$J$60,8,0)</f>
        <v>#N/A</v>
      </c>
      <c r="AA142" s="75" t="e">
        <f>VLOOKUP(A142,Enforcements!$C$3:$J$60,3,0)</f>
        <v>#N/A</v>
      </c>
    </row>
    <row r="143" spans="1:27" s="2" customFormat="1" ht="15.75" thickBot="1" x14ac:dyDescent="0.3">
      <c r="A143" s="63"/>
      <c r="B143" s="63"/>
      <c r="C143" s="63"/>
      <c r="D143" s="63"/>
      <c r="E143" s="64"/>
      <c r="F143" s="64"/>
      <c r="G143" s="65"/>
      <c r="H143" s="64"/>
      <c r="I143" s="64"/>
      <c r="J143" s="63"/>
      <c r="K143" s="63"/>
      <c r="L143" s="63"/>
      <c r="M143" s="66"/>
      <c r="N143" s="67"/>
      <c r="O143" s="67"/>
      <c r="P143" s="67"/>
      <c r="Q143" s="68"/>
      <c r="R143" s="68"/>
      <c r="T143" s="69"/>
      <c r="U143" s="69"/>
      <c r="V143" s="69"/>
      <c r="W143" s="69"/>
      <c r="X143" s="69"/>
      <c r="Y143" s="69"/>
      <c r="Z143" s="70"/>
      <c r="AA143" s="70"/>
    </row>
    <row r="144" spans="1:27" s="2" customFormat="1" ht="15.75" thickBot="1" x14ac:dyDescent="0.3">
      <c r="E144" s="31"/>
      <c r="F144" s="31"/>
      <c r="G144" s="39"/>
      <c r="H144" s="31"/>
      <c r="I144" s="84">
        <f>Variables!A2</f>
        <v>42509</v>
      </c>
      <c r="J144" s="85"/>
      <c r="K144" s="76"/>
      <c r="L144" s="76"/>
      <c r="M144" s="86" t="s">
        <v>8</v>
      </c>
      <c r="N144" s="87"/>
      <c r="O144" s="88"/>
      <c r="P144" s="5"/>
      <c r="T144" s="57"/>
      <c r="U144" s="57"/>
      <c r="V144" s="57"/>
      <c r="W144" s="57"/>
      <c r="X144" s="57"/>
      <c r="Y144" s="57"/>
      <c r="Z144" s="58"/>
      <c r="AA144" s="58"/>
    </row>
    <row r="145" spans="2:27" s="2" customFormat="1" ht="15.75" thickBot="1" x14ac:dyDescent="0.3">
      <c r="E145" s="31"/>
      <c r="F145" s="31"/>
      <c r="G145" s="39"/>
      <c r="H145" s="31"/>
      <c r="I145" s="89" t="s">
        <v>10</v>
      </c>
      <c r="J145" s="90"/>
      <c r="K145" s="35"/>
      <c r="L145" s="59"/>
      <c r="M145" s="9" t="s">
        <v>11</v>
      </c>
      <c r="N145" s="6" t="s">
        <v>12</v>
      </c>
      <c r="O145" s="7" t="s">
        <v>13</v>
      </c>
      <c r="P145" s="5"/>
      <c r="T145" s="57"/>
      <c r="U145" s="57"/>
      <c r="V145" s="57"/>
      <c r="W145" s="57"/>
      <c r="X145" s="57"/>
      <c r="Y145" s="57"/>
      <c r="Z145" s="58"/>
      <c r="AA145" s="58"/>
    </row>
    <row r="146" spans="2:27" s="2" customFormat="1" ht="15.75" thickBot="1" x14ac:dyDescent="0.3">
      <c r="E146" s="31"/>
      <c r="F146" s="31"/>
      <c r="G146" s="39"/>
      <c r="H146" s="31"/>
      <c r="I146" s="32" t="s">
        <v>14</v>
      </c>
      <c r="J146" s="3">
        <f>COUNT(N3:P142)</f>
        <v>135</v>
      </c>
      <c r="K146" s="3"/>
      <c r="L146" s="3"/>
      <c r="M146" s="71" t="s">
        <v>15</v>
      </c>
      <c r="N146" s="6" t="s">
        <v>15</v>
      </c>
      <c r="O146" s="7" t="s">
        <v>15</v>
      </c>
      <c r="P146" s="5"/>
      <c r="T146" s="57"/>
      <c r="U146" s="57"/>
      <c r="V146" s="57"/>
      <c r="W146" s="57"/>
      <c r="X146" s="57"/>
      <c r="Y146" s="57"/>
      <c r="Z146" s="58"/>
      <c r="AA146" s="58"/>
    </row>
    <row r="147" spans="2:27" s="2" customFormat="1" ht="15.75" thickBot="1" x14ac:dyDescent="0.3">
      <c r="E147" s="31"/>
      <c r="F147" s="31"/>
      <c r="G147" s="39"/>
      <c r="H147" s="31"/>
      <c r="I147" s="32" t="s">
        <v>17</v>
      </c>
      <c r="J147" s="3">
        <f>COUNT(N3:N142)</f>
        <v>122</v>
      </c>
      <c r="K147" s="3"/>
      <c r="L147" s="3"/>
      <c r="M147" s="71">
        <f>AVERAGE(N3:N142)</f>
        <v>44.25587431732832</v>
      </c>
      <c r="N147" s="6">
        <f>MIN(N3:N142)</f>
        <v>35.399999998044223</v>
      </c>
      <c r="O147" s="7">
        <f>MAX(N3:N142)</f>
        <v>61.166666663484648</v>
      </c>
      <c r="P147" s="5"/>
      <c r="T147" s="57"/>
      <c r="U147" s="57"/>
      <c r="V147" s="57"/>
      <c r="W147" s="57"/>
      <c r="X147" s="57"/>
      <c r="Y147" s="57"/>
      <c r="Z147" s="58"/>
      <c r="AA147" s="58"/>
    </row>
    <row r="148" spans="2:27" s="2" customFormat="1" ht="15.75" thickBot="1" x14ac:dyDescent="0.3">
      <c r="B148" s="60"/>
      <c r="C148" s="60"/>
      <c r="D148" s="60"/>
      <c r="E148" s="14"/>
      <c r="F148" s="14"/>
      <c r="G148" s="40"/>
      <c r="H148" s="14"/>
      <c r="I148" s="33" t="s">
        <v>45</v>
      </c>
      <c r="J148" s="3">
        <f>COUNT(O3:O142)</f>
        <v>1</v>
      </c>
      <c r="K148" s="3"/>
      <c r="L148" s="3"/>
      <c r="M148" s="71">
        <f>IFERROR(AVERAGE(O3:O142),0)</f>
        <v>44.866666666930541</v>
      </c>
      <c r="N148" s="6">
        <f>MIN(O3:O142)</f>
        <v>44.866666666930541</v>
      </c>
      <c r="O148" s="7">
        <f>MAX(O3:O142)</f>
        <v>44.866666666930541</v>
      </c>
      <c r="P148" s="4"/>
      <c r="Q148"/>
      <c r="R148"/>
      <c r="S148"/>
      <c r="T148" s="55"/>
      <c r="U148" s="55"/>
      <c r="V148" s="55"/>
      <c r="W148" s="55"/>
      <c r="X148" s="55"/>
      <c r="Y148" s="55"/>
      <c r="Z148" s="56"/>
      <c r="AA148" s="56"/>
    </row>
    <row r="149" spans="2:27" s="2" customFormat="1" ht="15.75" thickBot="1" x14ac:dyDescent="0.3">
      <c r="B149" s="60"/>
      <c r="C149" s="60"/>
      <c r="D149" s="60"/>
      <c r="E149" s="14"/>
      <c r="F149" s="14"/>
      <c r="G149" s="40"/>
      <c r="H149" s="14"/>
      <c r="I149" s="34" t="s">
        <v>9</v>
      </c>
      <c r="J149" s="3">
        <f>COUNT(P3:P142)</f>
        <v>12</v>
      </c>
      <c r="K149" s="3"/>
      <c r="L149" s="3"/>
      <c r="M149" s="71" t="s">
        <v>15</v>
      </c>
      <c r="N149" s="6" t="s">
        <v>15</v>
      </c>
      <c r="O149" s="7" t="s">
        <v>15</v>
      </c>
      <c r="P149" s="4"/>
      <c r="Q149"/>
      <c r="R149"/>
      <c r="S149"/>
      <c r="T149" s="55"/>
      <c r="U149" s="55"/>
      <c r="V149" s="55"/>
      <c r="W149" s="55"/>
      <c r="X149" s="55"/>
      <c r="Y149" s="55"/>
      <c r="Z149" s="56"/>
      <c r="AA149" s="56"/>
    </row>
    <row r="150" spans="2:27" s="2" customFormat="1" ht="30.75" thickBot="1" x14ac:dyDescent="0.3">
      <c r="E150" s="31"/>
      <c r="F150" s="31"/>
      <c r="G150" s="39"/>
      <c r="H150" s="31"/>
      <c r="I150" s="32" t="s">
        <v>16</v>
      </c>
      <c r="J150" s="3">
        <f>COUNT(N3:O142)</f>
        <v>123</v>
      </c>
      <c r="K150" s="3"/>
      <c r="L150" s="3"/>
      <c r="M150" s="71">
        <f>AVERAGE(N3:P142)</f>
        <v>42.520864197882581</v>
      </c>
      <c r="N150" s="6">
        <f>MIN(N3:O142)</f>
        <v>35.399999998044223</v>
      </c>
      <c r="O150" s="7">
        <f>MAX(N3:O142)</f>
        <v>61.166666663484648</v>
      </c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2:27" s="2" customFormat="1" ht="30.75" thickBot="1" x14ac:dyDescent="0.3">
      <c r="B151" s="60"/>
      <c r="C151" s="60"/>
      <c r="D151" s="60"/>
      <c r="E151" s="14"/>
      <c r="F151" s="14"/>
      <c r="G151" s="40"/>
      <c r="H151" s="14"/>
      <c r="I151" s="32" t="s">
        <v>19</v>
      </c>
      <c r="J151" s="8">
        <f>J150/J146</f>
        <v>0.91111111111111109</v>
      </c>
      <c r="K151" s="8"/>
      <c r="L151" s="8"/>
      <c r="M151" s="1"/>
      <c r="N151" s="4"/>
      <c r="O151" s="4"/>
      <c r="P151" s="4"/>
      <c r="Q151"/>
      <c r="R151"/>
      <c r="S151"/>
      <c r="T151" s="55"/>
      <c r="U151" s="55"/>
      <c r="V151" s="55"/>
      <c r="W151" s="55"/>
      <c r="X151" s="55"/>
      <c r="Y151" s="55"/>
      <c r="Z151" s="56"/>
      <c r="AA151" s="56"/>
    </row>
    <row r="152" spans="2:27" s="2" customFormat="1" x14ac:dyDescent="0.25">
      <c r="B152" s="60"/>
      <c r="C152" s="60"/>
      <c r="D152" s="60"/>
      <c r="E152" s="14"/>
      <c r="F152" s="14"/>
      <c r="G152" s="40"/>
      <c r="H152" s="14"/>
      <c r="I152" s="14"/>
      <c r="J152" s="60"/>
      <c r="K152"/>
      <c r="L152" s="60"/>
      <c r="M152" s="1"/>
      <c r="N152" s="4"/>
      <c r="O152" s="4"/>
      <c r="P152" s="4"/>
      <c r="Q152"/>
      <c r="R152"/>
      <c r="S152"/>
      <c r="T152" s="55"/>
      <c r="U152" s="55"/>
      <c r="V152" s="55"/>
      <c r="W152" s="55"/>
      <c r="X152" s="55"/>
      <c r="Y152" s="55"/>
      <c r="Z152" s="56"/>
      <c r="AA152" s="56"/>
    </row>
    <row r="153" spans="2:27" s="2" customFormat="1" x14ac:dyDescent="0.25">
      <c r="B153"/>
      <c r="C153"/>
      <c r="D153"/>
      <c r="E153" s="14"/>
      <c r="F153" s="14"/>
      <c r="G153" s="40"/>
      <c r="H153" s="14"/>
      <c r="I153" s="14"/>
      <c r="J153"/>
      <c r="K153"/>
      <c r="L153" s="60"/>
      <c r="M153" s="1"/>
      <c r="N153" s="4"/>
      <c r="O153" s="4"/>
      <c r="P153" s="4"/>
      <c r="Q153"/>
      <c r="R153"/>
      <c r="S153"/>
      <c r="T153" s="55"/>
      <c r="U153" s="55"/>
      <c r="V153" s="55"/>
      <c r="W153" s="55"/>
      <c r="X153" s="55"/>
      <c r="Y153" s="55"/>
      <c r="Z153" s="56"/>
      <c r="AA153" s="56"/>
    </row>
    <row r="154" spans="2:27" s="2" customFormat="1" x14ac:dyDescent="0.25">
      <c r="B154"/>
      <c r="C154"/>
      <c r="D154"/>
      <c r="E154" s="14"/>
      <c r="F154" s="14"/>
      <c r="G154" s="40"/>
      <c r="H154" s="14"/>
      <c r="I154" s="14"/>
      <c r="J154"/>
      <c r="K154"/>
      <c r="L154" s="60"/>
      <c r="M154" s="1"/>
      <c r="N154" s="4"/>
      <c r="O154" s="4"/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  <row r="155" spans="2:27" s="2" customFormat="1" x14ac:dyDescent="0.25">
      <c r="B155"/>
      <c r="C155"/>
      <c r="D155"/>
      <c r="E155" s="14"/>
      <c r="F155" s="14"/>
      <c r="G155" s="40"/>
      <c r="H155" s="14"/>
      <c r="I155" s="14"/>
      <c r="J155"/>
      <c r="K155"/>
      <c r="L155" s="60"/>
      <c r="M155" s="1"/>
      <c r="N155" s="4"/>
      <c r="O155" s="4"/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2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9" spans="2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</sheetData>
  <autoFilter ref="A2:AA142">
    <filterColumn colId="17">
      <customFilters>
        <customFilter operator="notEqual" val=" "/>
      </customFilters>
    </filterColumn>
  </autoFilter>
  <sortState ref="A3:Y144">
    <sortCondition ref="A3:A144"/>
  </sortState>
  <mergeCells count="4">
    <mergeCell ref="I144:J144"/>
    <mergeCell ref="M144:O144"/>
    <mergeCell ref="I145:J145"/>
    <mergeCell ref="A1:P1"/>
  </mergeCells>
  <conditionalFormatting sqref="U1:U2 U3:V1048576">
    <cfRule type="cellIs" dxfId="9" priority="21" operator="equal">
      <formula>"Y"</formula>
    </cfRule>
  </conditionalFormatting>
  <conditionalFormatting sqref="V3:V1048576">
    <cfRule type="cellIs" dxfId="8" priority="4" operator="greaterThan">
      <formula>1</formula>
    </cfRule>
  </conditionalFormatting>
  <conditionalFormatting sqref="A143:P143 A3:R142">
    <cfRule type="expression" dxfId="7" priority="35">
      <formula>$P3&gt;0</formula>
    </cfRule>
    <cfRule type="expression" dxfId="6" priority="36">
      <formula>$O3&gt;0</formula>
    </cfRule>
  </conditionalFormatting>
  <conditionalFormatting sqref="Q143:R143">
    <cfRule type="expression" dxfId="5" priority="77">
      <formula>$P143&gt;0</formula>
    </cfRule>
    <cfRule type="expression" dxfId="4" priority="78">
      <formula>$O162&gt;0</formula>
    </cfRule>
  </conditionalFormatting>
  <conditionalFormatting sqref="V2:V1048576">
    <cfRule type="cellIs" dxfId="3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showGridLines="0" topLeftCell="A28" zoomScale="85" zoomScaleNormal="85" workbookViewId="0">
      <selection activeCell="N20" sqref="N20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2"/>
  </cols>
  <sheetData>
    <row r="1" spans="1:16" s="26" customFormat="1" ht="15" customHeight="1" x14ac:dyDescent="0.25">
      <c r="A1" s="92" t="str">
        <f>"Eagle P3 Braking Events - "&amp;TEXT(Variables!$A$2,"YYYY-mm-dd")</f>
        <v>Eagle P3 Braking Events - 2016-05-19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27"/>
      <c r="P1" s="80"/>
    </row>
    <row r="2" spans="1:16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3" t="s">
        <v>252</v>
      </c>
    </row>
    <row r="3" spans="1:16" s="19" customFormat="1" x14ac:dyDescent="0.25">
      <c r="A3" s="23">
        <v>42509.31212962963</v>
      </c>
      <c r="B3" s="22" t="s">
        <v>112</v>
      </c>
      <c r="C3" s="22" t="s">
        <v>342</v>
      </c>
      <c r="D3" s="22" t="s">
        <v>57</v>
      </c>
      <c r="E3" s="22" t="s">
        <v>460</v>
      </c>
      <c r="F3" s="22">
        <v>790</v>
      </c>
      <c r="G3" s="22">
        <v>840</v>
      </c>
      <c r="H3" s="22">
        <v>97491</v>
      </c>
      <c r="I3" s="22" t="s">
        <v>61</v>
      </c>
      <c r="J3" s="22">
        <v>126678</v>
      </c>
      <c r="K3" s="21" t="s">
        <v>56</v>
      </c>
      <c r="L3" s="21" t="str">
        <f>VLOOKUP(C3,'Trips&amp;Operators'!$C$1:$E$9999,3,FALSE)</f>
        <v>STRICKLAND</v>
      </c>
      <c r="M3" s="20" t="s">
        <v>89</v>
      </c>
      <c r="N3" s="21"/>
      <c r="P3" s="81" t="str">
        <f>VLOOKUP(C3,'Train Runs'!$A$3:$T$251,20,0)</f>
        <v>https://search-rtdc-monitor-bjffxe2xuh6vdkpspy63sjmuny.us-east-1.es.amazonaws.com/_plugin/kibana/#/discover/Steve-Slow-Train-Analysis-(2080s-and-2083s)?_g=(refreshInterval:(display:Off,section:0,value:0),time:(from:'2016-05-19 07:05:07-0600',mode:absolute,to:'2016-05-19 07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4" spans="1:16" s="19" customFormat="1" x14ac:dyDescent="0.25">
      <c r="A4" s="23">
        <v>42509.5703125</v>
      </c>
      <c r="B4" s="22" t="s">
        <v>147</v>
      </c>
      <c r="C4" s="22" t="s">
        <v>347</v>
      </c>
      <c r="D4" s="22" t="s">
        <v>52</v>
      </c>
      <c r="E4" s="22" t="s">
        <v>460</v>
      </c>
      <c r="F4" s="22">
        <v>790</v>
      </c>
      <c r="G4" s="22">
        <v>155</v>
      </c>
      <c r="H4" s="22">
        <v>55169</v>
      </c>
      <c r="I4" s="22" t="s">
        <v>61</v>
      </c>
      <c r="J4" s="22">
        <v>103864</v>
      </c>
      <c r="K4" s="21" t="s">
        <v>56</v>
      </c>
      <c r="L4" s="21" t="str">
        <f>VLOOKUP(C4,'Trips&amp;Operators'!$C$1:$E$9999,3,FALSE)</f>
        <v>YOUNG</v>
      </c>
      <c r="M4" s="20" t="s">
        <v>149</v>
      </c>
      <c r="N4" s="21" t="s">
        <v>253</v>
      </c>
      <c r="P4" s="81" t="str">
        <f>VLOOKUP(C4,'Train Runs'!$A$3:$T$251,20,0)</f>
        <v>https://search-rtdc-monitor-bjffxe2xuh6vdkpspy63sjmuny.us-east-1.es.amazonaws.com/_plugin/kibana/#/discover/Steve-Slow-Train-Analysis-(2080s-and-2083s)?_g=(refreshInterval:(display:Off,section:0,value:0),time:(from:'2016-05-19 13:37:01-0600',mode:absolute,to:'2016-05-19 13:43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</row>
    <row r="5" spans="1:16" s="19" customFormat="1" x14ac:dyDescent="0.25">
      <c r="A5" s="23">
        <v>42509.77175925926</v>
      </c>
      <c r="B5" s="22" t="s">
        <v>112</v>
      </c>
      <c r="C5" s="22" t="s">
        <v>404</v>
      </c>
      <c r="D5" s="22" t="s">
        <v>57</v>
      </c>
      <c r="E5" s="22" t="s">
        <v>460</v>
      </c>
      <c r="F5" s="22">
        <v>790</v>
      </c>
      <c r="G5" s="22">
        <v>841</v>
      </c>
      <c r="H5" s="22">
        <v>99062</v>
      </c>
      <c r="I5" s="22" t="s">
        <v>61</v>
      </c>
      <c r="J5" s="22">
        <v>126678</v>
      </c>
      <c r="K5" s="21" t="s">
        <v>56</v>
      </c>
      <c r="L5" s="21" t="str">
        <f>VLOOKUP(C5,'Trips&amp;Operators'!$C$1:$E$9999,3,FALSE)</f>
        <v>YORK</v>
      </c>
      <c r="M5" s="20" t="s">
        <v>89</v>
      </c>
      <c r="N5" s="21"/>
      <c r="P5" s="81" t="str">
        <f>VLOOKUP(C5,'Train Runs'!$A$3:$T$251,20,0)</f>
        <v>https://search-rtdc-monitor-bjffxe2xuh6vdkpspy63sjmuny.us-east-1.es.amazonaws.com/_plugin/kibana/#/discover/Steve-Slow-Train-Analysis-(2080s-and-2083s)?_g=(refreshInterval:(display:Off,section:0,value:0),time:(from:'2016-05-19 17:59:28-0600',mode:absolute,to:'2016-05-19 18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6" spans="1:16" s="19" customFormat="1" x14ac:dyDescent="0.25">
      <c r="A6" s="23">
        <v>42509.337777777779</v>
      </c>
      <c r="B6" s="22" t="s">
        <v>138</v>
      </c>
      <c r="C6" s="22" t="s">
        <v>441</v>
      </c>
      <c r="D6" s="22" t="s">
        <v>52</v>
      </c>
      <c r="E6" s="22" t="s">
        <v>142</v>
      </c>
      <c r="F6" s="22">
        <v>210</v>
      </c>
      <c r="G6" s="22">
        <v>503</v>
      </c>
      <c r="H6" s="22">
        <v>126439</v>
      </c>
      <c r="I6" s="22" t="s">
        <v>143</v>
      </c>
      <c r="J6" s="22">
        <v>127562</v>
      </c>
      <c r="K6" s="21" t="s">
        <v>55</v>
      </c>
      <c r="L6" s="21" t="str">
        <f>VLOOKUP(C6,'Trips&amp;Operators'!$C$1:$E$9999,3,FALSE)</f>
        <v>LEDERHAUSE</v>
      </c>
      <c r="M6" s="20" t="s">
        <v>149</v>
      </c>
      <c r="N6" s="21" t="s">
        <v>253</v>
      </c>
      <c r="P6" s="81" t="str">
        <f>VLOOKUP(C6,'Train Runs'!$A$3:$T$251,20,0)</f>
        <v>https://search-rtdc-monitor-bjffxe2xuh6vdkpspy63sjmuny.us-east-1.es.amazonaws.com/_plugin/kibana/#/discover/Steve-Slow-Train-Analysis-(2080s-and-2083s)?_g=(refreshInterval:(display:Off,section:0,value:0),time:(from:'2016-05-19 07:34:51-0600',mode:absolute,to:'2016-05-19 08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</row>
    <row r="7" spans="1:16" s="19" customFormat="1" x14ac:dyDescent="0.25">
      <c r="A7" s="23">
        <v>42509.506550925929</v>
      </c>
      <c r="B7" s="22" t="s">
        <v>123</v>
      </c>
      <c r="C7" s="22" t="s">
        <v>326</v>
      </c>
      <c r="D7" s="22" t="s">
        <v>52</v>
      </c>
      <c r="E7" s="22" t="s">
        <v>142</v>
      </c>
      <c r="F7" s="22">
        <v>0</v>
      </c>
      <c r="G7" s="22">
        <v>76</v>
      </c>
      <c r="H7" s="22">
        <v>52858</v>
      </c>
      <c r="I7" s="22" t="s">
        <v>143</v>
      </c>
      <c r="J7" s="22">
        <v>53155</v>
      </c>
      <c r="K7" s="21" t="s">
        <v>55</v>
      </c>
      <c r="L7" s="21" t="str">
        <f>VLOOKUP(C7,'Trips&amp;Operators'!$C$1:$E$9999,3,FALSE)</f>
        <v>COOLAHAN</v>
      </c>
      <c r="M7" s="20" t="s">
        <v>89</v>
      </c>
      <c r="N7" s="21" t="s">
        <v>548</v>
      </c>
      <c r="P7" s="81" t="str">
        <f>VLOOKUP(C7,'Train Runs'!$A$3:$T$251,20,0)</f>
        <v>https://search-rtdc-monitor-bjffxe2xuh6vdkpspy63sjmuny.us-east-1.es.amazonaws.com/_plugin/kibana/#/discover/Steve-Slow-Train-Analysis-(2080s-and-2083s)?_g=(refreshInterval:(display:Off,section:0,value:0),time:(from:'2016-05-19 11:51:36-0600',mode:absolute,to:'2016-05-19 12:43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</row>
    <row r="8" spans="1:16" s="19" customFormat="1" x14ac:dyDescent="0.25">
      <c r="A8" s="23">
        <v>42509.216851851852</v>
      </c>
      <c r="B8" s="22" t="s">
        <v>126</v>
      </c>
      <c r="C8" s="22" t="s">
        <v>246</v>
      </c>
      <c r="D8" s="22" t="s">
        <v>52</v>
      </c>
      <c r="E8" s="22" t="s">
        <v>60</v>
      </c>
      <c r="F8" s="22">
        <v>300</v>
      </c>
      <c r="G8" s="22">
        <v>429</v>
      </c>
      <c r="H8" s="22">
        <v>23607</v>
      </c>
      <c r="I8" s="22" t="s">
        <v>61</v>
      </c>
      <c r="J8" s="22">
        <v>21848</v>
      </c>
      <c r="K8" s="21" t="s">
        <v>56</v>
      </c>
      <c r="L8" s="21" t="str">
        <f>VLOOKUP(C8,'Trips&amp;Operators'!$C$1:$E$9999,3,FALSE)</f>
        <v>STARKS</v>
      </c>
      <c r="M8" s="20" t="s">
        <v>89</v>
      </c>
      <c r="N8" s="21"/>
      <c r="P8" s="81" t="str">
        <f>VLOOKUP(C8,'Train Runs'!$A$3:$T$251,20,0)</f>
        <v>https://search-rtdc-monitor-bjffxe2xuh6vdkpspy63sjmuny.us-east-1.es.amazonaws.com/_plugin/kibana/#/discover/Steve-Slow-Train-Analysis-(2080s-and-2083s)?_g=(refreshInterval:(display:Off,section:0,value:0),time:(from:'2016-05-19 04:38:08-0600',mode:absolute,to:'2016-05-19 05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9" spans="1:16" s="19" customFormat="1" x14ac:dyDescent="0.25">
      <c r="A9" s="23">
        <v>42509.220231481479</v>
      </c>
      <c r="B9" s="22" t="s">
        <v>126</v>
      </c>
      <c r="C9" s="22" t="s">
        <v>246</v>
      </c>
      <c r="D9" s="22" t="s">
        <v>52</v>
      </c>
      <c r="E9" s="22" t="s">
        <v>60</v>
      </c>
      <c r="F9" s="22">
        <v>150</v>
      </c>
      <c r="G9" s="22">
        <v>177</v>
      </c>
      <c r="H9" s="22">
        <v>5104</v>
      </c>
      <c r="I9" s="22" t="s">
        <v>61</v>
      </c>
      <c r="J9" s="22">
        <v>4677</v>
      </c>
      <c r="K9" s="21" t="s">
        <v>56</v>
      </c>
      <c r="L9" s="21" t="str">
        <f>VLOOKUP(C9,'Trips&amp;Operators'!$C$1:$E$9999,3,FALSE)</f>
        <v>STARKS</v>
      </c>
      <c r="M9" s="20" t="s">
        <v>89</v>
      </c>
      <c r="N9" s="21"/>
      <c r="P9" s="81" t="str">
        <f>VLOOKUP(C9,'Train Runs'!$A$3:$T$251,20,0)</f>
        <v>https://search-rtdc-monitor-bjffxe2xuh6vdkpspy63sjmuny.us-east-1.es.amazonaws.com/_plugin/kibana/#/discover/Steve-Slow-Train-Analysis-(2080s-and-2083s)?_g=(refreshInterval:(display:Off,section:0,value:0),time:(from:'2016-05-19 04:38:08-0600',mode:absolute,to:'2016-05-19 05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10" spans="1:16" s="19" customFormat="1" x14ac:dyDescent="0.25">
      <c r="A10" s="23">
        <v>42509.250810185185</v>
      </c>
      <c r="B10" s="22" t="s">
        <v>138</v>
      </c>
      <c r="C10" s="22" t="s">
        <v>234</v>
      </c>
      <c r="D10" s="22" t="s">
        <v>52</v>
      </c>
      <c r="E10" s="22" t="s">
        <v>60</v>
      </c>
      <c r="F10" s="22">
        <v>150</v>
      </c>
      <c r="G10" s="22">
        <v>132</v>
      </c>
      <c r="H10" s="22">
        <v>1978</v>
      </c>
      <c r="I10" s="22" t="s">
        <v>61</v>
      </c>
      <c r="J10" s="22">
        <v>2096</v>
      </c>
      <c r="K10" s="21" t="s">
        <v>55</v>
      </c>
      <c r="L10" s="21" t="str">
        <f>VLOOKUP(C10,'Trips&amp;Operators'!$C$1:$E$9999,3,FALSE)</f>
        <v>LEDERHAUSE</v>
      </c>
      <c r="M10" s="20" t="s">
        <v>89</v>
      </c>
      <c r="N10" s="21"/>
      <c r="P10" s="81" t="str">
        <f>VLOOKUP(C10,'Train Runs'!$A$3:$T$251,20,0)</f>
        <v>https://search-rtdc-monitor-bjffxe2xuh6vdkpspy63sjmuny.us-east-1.es.amazonaws.com/_plugin/kibana/#/discover/Steve-Slow-Train-Analysis-(2080s-and-2083s)?_g=(refreshInterval:(display:Off,section:0,value:0),time:(from:'2016-05-19 05:51:50-0600',mode:absolute,to:'2016-05-19 06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</row>
    <row r="11" spans="1:16" s="19" customFormat="1" x14ac:dyDescent="0.25">
      <c r="A11" s="23">
        <v>42509.257534722223</v>
      </c>
      <c r="B11" s="22" t="s">
        <v>140</v>
      </c>
      <c r="C11" s="22" t="s">
        <v>228</v>
      </c>
      <c r="D11" s="22" t="s">
        <v>52</v>
      </c>
      <c r="E11" s="22" t="s">
        <v>60</v>
      </c>
      <c r="F11" s="22">
        <v>200</v>
      </c>
      <c r="G11" s="22">
        <v>296</v>
      </c>
      <c r="H11" s="22">
        <v>31480</v>
      </c>
      <c r="I11" s="22" t="s">
        <v>61</v>
      </c>
      <c r="J11" s="22">
        <v>30562</v>
      </c>
      <c r="K11" s="21" t="s">
        <v>56</v>
      </c>
      <c r="L11" s="21" t="str">
        <f>VLOOKUP(C11,'Trips&amp;Operators'!$C$1:$E$9999,3,FALSE)</f>
        <v>CHANDLER</v>
      </c>
      <c r="M11" s="20" t="s">
        <v>89</v>
      </c>
      <c r="N11" s="21"/>
      <c r="P11" s="81" t="str">
        <f>VLOOKUP(C11,'Train Runs'!$A$3:$T$251,20,0)</f>
        <v>https://search-rtdc-monitor-bjffxe2xuh6vdkpspy63sjmuny.us-east-1.es.amazonaws.com/_plugin/kibana/#/discover/Steve-Slow-Train-Analysis-(2080s-and-2083s)?_g=(refreshInterval:(display:Off,section:0,value:0),time:(from:'2016-05-19 05:30:00-0600',mode:absolute,to:'2016-05-19 06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</row>
    <row r="12" spans="1:16" s="19" customFormat="1" x14ac:dyDescent="0.25">
      <c r="A12" s="23">
        <v>42509.262326388889</v>
      </c>
      <c r="B12" s="22" t="s">
        <v>111</v>
      </c>
      <c r="C12" s="22" t="s">
        <v>224</v>
      </c>
      <c r="D12" s="22" t="s">
        <v>57</v>
      </c>
      <c r="E12" s="22" t="s">
        <v>60</v>
      </c>
      <c r="F12" s="22">
        <v>200</v>
      </c>
      <c r="G12" s="22">
        <v>250</v>
      </c>
      <c r="H12" s="22">
        <v>5278</v>
      </c>
      <c r="I12" s="22" t="s">
        <v>61</v>
      </c>
      <c r="J12" s="22">
        <v>4677</v>
      </c>
      <c r="K12" s="21" t="s">
        <v>55</v>
      </c>
      <c r="L12" s="21" t="str">
        <f>VLOOKUP(C12,'Trips&amp;Operators'!$C$1:$E$9999,3,FALSE)</f>
        <v>STRICKLAND</v>
      </c>
      <c r="M12" s="20" t="s">
        <v>89</v>
      </c>
      <c r="N12" s="21"/>
      <c r="P12" s="81" t="str">
        <f>VLOOKUP(C12,'Train Runs'!$A$3:$T$251,20,0)</f>
        <v>https://search-rtdc-monitor-bjffxe2xuh6vdkpspy63sjmuny.us-east-1.es.amazonaws.com/_plugin/kibana/#/discover/Steve-Slow-Train-Analysis-(2080s-and-2083s)?_g=(refreshInterval:(display:Off,section:0,value:0),time:(from:'2016-05-19 06:05:20-0600',mode:absolute,to:'2016-05-19 06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</row>
    <row r="13" spans="1:16" s="19" customFormat="1" x14ac:dyDescent="0.25">
      <c r="A13" s="23">
        <v>42509.267106481479</v>
      </c>
      <c r="B13" s="22" t="s">
        <v>124</v>
      </c>
      <c r="C13" s="22" t="s">
        <v>235</v>
      </c>
      <c r="D13" s="22" t="s">
        <v>52</v>
      </c>
      <c r="E13" s="22" t="s">
        <v>60</v>
      </c>
      <c r="F13" s="22">
        <v>200</v>
      </c>
      <c r="G13" s="22">
        <v>201</v>
      </c>
      <c r="H13" s="22">
        <v>30790</v>
      </c>
      <c r="I13" s="22" t="s">
        <v>61</v>
      </c>
      <c r="J13" s="22">
        <v>30562</v>
      </c>
      <c r="K13" s="21" t="s">
        <v>56</v>
      </c>
      <c r="L13" s="21" t="str">
        <f>VLOOKUP(C13,'Trips&amp;Operators'!$C$1:$E$9999,3,FALSE)</f>
        <v>GEBRETEKLE</v>
      </c>
      <c r="M13" s="20" t="s">
        <v>89</v>
      </c>
      <c r="N13" s="21"/>
      <c r="P13" s="81" t="str">
        <f>VLOOKUP(C13,'Train Runs'!$A$3:$T$251,20,0)</f>
        <v>https://search-rtdc-monitor-bjffxe2xuh6vdkpspy63sjmuny.us-east-1.es.amazonaws.com/_plugin/kibana/#/discover/Steve-Slow-Train-Analysis-(2080s-and-2083s)?_g=(refreshInterval:(display:Off,section:0,value:0),time:(from:'2016-05-19 05:51:05-0600',mode:absolute,to:'2016-05-19 06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14" spans="1:16" s="19" customFormat="1" x14ac:dyDescent="0.25">
      <c r="A14" s="23">
        <v>42509.281863425924</v>
      </c>
      <c r="B14" s="22" t="s">
        <v>111</v>
      </c>
      <c r="C14" s="22" t="s">
        <v>224</v>
      </c>
      <c r="D14" s="22" t="s">
        <v>57</v>
      </c>
      <c r="E14" s="22" t="s">
        <v>60</v>
      </c>
      <c r="F14" s="22">
        <v>600</v>
      </c>
      <c r="G14" s="22">
        <v>657</v>
      </c>
      <c r="H14" s="22">
        <v>191152</v>
      </c>
      <c r="I14" s="22" t="s">
        <v>61</v>
      </c>
      <c r="J14" s="22">
        <v>183829</v>
      </c>
      <c r="K14" s="21" t="s">
        <v>55</v>
      </c>
      <c r="L14" s="21" t="str">
        <f>VLOOKUP(C14,'Trips&amp;Operators'!$C$1:$E$9999,3,FALSE)</f>
        <v>STRICKLAND</v>
      </c>
      <c r="M14" s="20" t="s">
        <v>89</v>
      </c>
      <c r="N14" s="21"/>
      <c r="P14" s="81" t="str">
        <f>VLOOKUP(C14,'Train Runs'!$A$3:$T$251,20,0)</f>
        <v>https://search-rtdc-monitor-bjffxe2xuh6vdkpspy63sjmuny.us-east-1.es.amazonaws.com/_plugin/kibana/#/discover/Steve-Slow-Train-Analysis-(2080s-and-2083s)?_g=(refreshInterval:(display:Off,section:0,value:0),time:(from:'2016-05-19 06:05:20-0600',mode:absolute,to:'2016-05-19 06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</row>
    <row r="15" spans="1:16" s="19" customFormat="1" x14ac:dyDescent="0.25">
      <c r="A15" s="23">
        <v>42509.325729166667</v>
      </c>
      <c r="B15" s="22" t="s">
        <v>112</v>
      </c>
      <c r="C15" s="22" t="s">
        <v>342</v>
      </c>
      <c r="D15" s="22" t="s">
        <v>52</v>
      </c>
      <c r="E15" s="22" t="s">
        <v>60</v>
      </c>
      <c r="F15" s="22">
        <v>150</v>
      </c>
      <c r="G15" s="22">
        <v>177</v>
      </c>
      <c r="H15" s="22">
        <v>4860</v>
      </c>
      <c r="I15" s="22" t="s">
        <v>61</v>
      </c>
      <c r="J15" s="22">
        <v>4677</v>
      </c>
      <c r="K15" s="21" t="s">
        <v>56</v>
      </c>
      <c r="L15" s="21" t="str">
        <f>VLOOKUP(C15,'Trips&amp;Operators'!$C$1:$E$9999,3,FALSE)</f>
        <v>STRICKLAND</v>
      </c>
      <c r="M15" s="20" t="s">
        <v>89</v>
      </c>
      <c r="N15" s="21"/>
      <c r="P15" s="81" t="str">
        <f>VLOOKUP(C15,'Train Runs'!$A$3:$T$251,20,0)</f>
        <v>https://search-rtdc-monitor-bjffxe2xuh6vdkpspy63sjmuny.us-east-1.es.amazonaws.com/_plugin/kibana/#/discover/Steve-Slow-Train-Analysis-(2080s-and-2083s)?_g=(refreshInterval:(display:Off,section:0,value:0),time:(from:'2016-05-19 07:05:07-0600',mode:absolute,to:'2016-05-19 07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16" spans="1:16" s="19" customFormat="1" x14ac:dyDescent="0.25">
      <c r="A16" s="23">
        <v>42509.385023148148</v>
      </c>
      <c r="B16" s="22" t="s">
        <v>140</v>
      </c>
      <c r="C16" s="22" t="s">
        <v>434</v>
      </c>
      <c r="D16" s="22" t="s">
        <v>57</v>
      </c>
      <c r="E16" s="22" t="s">
        <v>60</v>
      </c>
      <c r="F16" s="22">
        <v>350</v>
      </c>
      <c r="G16" s="22">
        <v>401</v>
      </c>
      <c r="H16" s="22">
        <v>224786</v>
      </c>
      <c r="I16" s="22" t="s">
        <v>61</v>
      </c>
      <c r="J16" s="22">
        <v>228668</v>
      </c>
      <c r="K16" s="21" t="s">
        <v>56</v>
      </c>
      <c r="L16" s="21" t="str">
        <f>VLOOKUP(C16,'Trips&amp;Operators'!$C$1:$E$9999,3,FALSE)</f>
        <v>CHANDLER</v>
      </c>
      <c r="M16" s="20" t="s">
        <v>89</v>
      </c>
      <c r="N16" s="21"/>
      <c r="P16" s="81" t="str">
        <f>VLOOKUP(C16,'Train Runs'!$A$3:$T$251,20,0)</f>
        <v>https://search-rtdc-monitor-bjffxe2xuh6vdkpspy63sjmuny.us-east-1.es.amazonaws.com/_plugin/kibana/#/discover/Steve-Slow-Train-Analysis-(2080s-and-2083s)?_g=(refreshInterval:(display:Off,section:0,value:0),time:(from:'2016-05-19 09:03:03-0600',mode:absolute,to:'2016-05-19 09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</row>
    <row r="17" spans="1:16" s="19" customFormat="1" x14ac:dyDescent="0.25">
      <c r="A17" s="23">
        <v>42509.419629629629</v>
      </c>
      <c r="B17" s="22" t="s">
        <v>138</v>
      </c>
      <c r="C17" s="22" t="s">
        <v>426</v>
      </c>
      <c r="D17" s="22" t="s">
        <v>57</v>
      </c>
      <c r="E17" s="22" t="s">
        <v>60</v>
      </c>
      <c r="F17" s="22">
        <v>350</v>
      </c>
      <c r="G17" s="22">
        <v>403</v>
      </c>
      <c r="H17" s="22">
        <v>227379</v>
      </c>
      <c r="I17" s="22" t="s">
        <v>61</v>
      </c>
      <c r="J17" s="22">
        <v>224578</v>
      </c>
      <c r="K17" s="21" t="s">
        <v>55</v>
      </c>
      <c r="L17" s="21" t="str">
        <f>VLOOKUP(C17,'Trips&amp;Operators'!$C$1:$E$9999,3,FALSE)</f>
        <v>LEDERHAUSE</v>
      </c>
      <c r="M17" s="20" t="s">
        <v>89</v>
      </c>
      <c r="N17" s="21"/>
      <c r="P17" s="81" t="str">
        <f>VLOOKUP(C17,'Train Runs'!$A$3:$T$251,20,0)</f>
        <v>https://search-rtdc-monitor-bjffxe2xuh6vdkpspy63sjmuny.us-east-1.es.amazonaws.com/_plugin/kibana/#/discover/Steve-Slow-Train-Analysis-(2080s-and-2083s)?_g=(refreshInterval:(display:Off,section:0,value:0),time:(from:'2016-05-19 09:19:40-0600',mode:absolute,to:'2016-05-19 10:09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</row>
    <row r="18" spans="1:16" s="19" customFormat="1" x14ac:dyDescent="0.25">
      <c r="A18" s="23">
        <v>42509.428356481483</v>
      </c>
      <c r="B18" s="22" t="s">
        <v>126</v>
      </c>
      <c r="C18" s="22" t="s">
        <v>394</v>
      </c>
      <c r="D18" s="22" t="s">
        <v>52</v>
      </c>
      <c r="E18" s="22" t="s">
        <v>60</v>
      </c>
      <c r="F18" s="22">
        <v>750</v>
      </c>
      <c r="G18" s="22">
        <v>793</v>
      </c>
      <c r="H18" s="22">
        <v>202564</v>
      </c>
      <c r="I18" s="22" t="s">
        <v>61</v>
      </c>
      <c r="J18" s="22">
        <v>200464</v>
      </c>
      <c r="K18" s="21" t="s">
        <v>56</v>
      </c>
      <c r="L18" s="21" t="str">
        <f>VLOOKUP(C18,'Trips&amp;Operators'!$C$1:$E$9999,3,FALSE)</f>
        <v>STARKS</v>
      </c>
      <c r="M18" s="20" t="s">
        <v>89</v>
      </c>
      <c r="N18" s="21"/>
      <c r="P18" s="81" t="str">
        <f>VLOOKUP(C18,'Train Runs'!$A$3:$T$251,20,0)</f>
        <v>https://search-rtdc-monitor-bjffxe2xuh6vdkpspy63sjmuny.us-east-1.es.amazonaws.com/_plugin/kibana/#/discover/Steve-Slow-Train-Analysis-(2080s-and-2083s)?_g=(refreshInterval:(display:Off,section:0,value:0),time:(from:'2016-05-19 10:08:54-0600',mode:absolute,to:'2016-05-19 10:56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19" spans="1:16" s="19" customFormat="1" x14ac:dyDescent="0.25">
      <c r="A19" s="23">
        <v>42509.428969907407</v>
      </c>
      <c r="B19" s="22" t="s">
        <v>147</v>
      </c>
      <c r="C19" s="22" t="s">
        <v>421</v>
      </c>
      <c r="D19" s="22" t="s">
        <v>52</v>
      </c>
      <c r="E19" s="22" t="s">
        <v>60</v>
      </c>
      <c r="F19" s="22">
        <v>600</v>
      </c>
      <c r="G19" s="22">
        <v>79</v>
      </c>
      <c r="H19" s="22">
        <v>86266</v>
      </c>
      <c r="I19" s="22" t="s">
        <v>61</v>
      </c>
      <c r="J19" s="22">
        <v>126678</v>
      </c>
      <c r="K19" s="21" t="s">
        <v>56</v>
      </c>
      <c r="L19" s="21" t="str">
        <f>VLOOKUP(C19,'Trips&amp;Operators'!$C$1:$E$9999,3,FALSE)</f>
        <v>CUSHING</v>
      </c>
      <c r="M19" s="20" t="s">
        <v>89</v>
      </c>
      <c r="N19" s="21"/>
      <c r="P19" s="81" t="str">
        <f>VLOOKUP(C19,'Train Runs'!$A$3:$T$251,20,0)</f>
        <v>https://search-rtdc-monitor-bjffxe2xuh6vdkpspy63sjmuny.us-east-1.es.amazonaws.com/_plugin/kibana/#/discover/Steve-Slow-Train-Analysis-(2080s-and-2083s)?_g=(refreshInterval:(display:Off,section:0,value:0),time:(from:'2016-05-19 09:47:15-0600',mode:absolute,to:'2016-05-19 10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</row>
    <row r="20" spans="1:16" s="19" customFormat="1" x14ac:dyDescent="0.25">
      <c r="A20" s="23">
        <v>42509.428969907407</v>
      </c>
      <c r="B20" s="22" t="s">
        <v>147</v>
      </c>
      <c r="C20" s="22" t="s">
        <v>421</v>
      </c>
      <c r="D20" s="22" t="s">
        <v>52</v>
      </c>
      <c r="E20" s="22" t="s">
        <v>60</v>
      </c>
      <c r="F20" s="22">
        <v>600</v>
      </c>
      <c r="G20" s="22">
        <v>79</v>
      </c>
      <c r="H20" s="22">
        <v>86266</v>
      </c>
      <c r="I20" s="22" t="s">
        <v>61</v>
      </c>
      <c r="J20" s="22">
        <v>126678</v>
      </c>
      <c r="K20" s="21" t="s">
        <v>56</v>
      </c>
      <c r="L20" s="21" t="str">
        <f>VLOOKUP(C20,'Trips&amp;Operators'!$C$1:$E$9999,3,FALSE)</f>
        <v>CUSHING</v>
      </c>
      <c r="M20" s="20" t="s">
        <v>89</v>
      </c>
      <c r="N20" s="21"/>
      <c r="P20" s="81" t="str">
        <f>VLOOKUP(C20,'Train Runs'!$A$3:$T$251,20,0)</f>
        <v>https://search-rtdc-monitor-bjffxe2xuh6vdkpspy63sjmuny.us-east-1.es.amazonaws.com/_plugin/kibana/#/discover/Steve-Slow-Train-Analysis-(2080s-and-2083s)?_g=(refreshInterval:(display:Off,section:0,value:0),time:(from:'2016-05-19 09:47:15-0600',mode:absolute,to:'2016-05-19 10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</row>
    <row r="21" spans="1:16" s="19" customFormat="1" x14ac:dyDescent="0.25">
      <c r="A21" s="23">
        <v>42509.439675925925</v>
      </c>
      <c r="B21" s="22" t="s">
        <v>112</v>
      </c>
      <c r="C21" s="22" t="s">
        <v>325</v>
      </c>
      <c r="D21" s="22" t="s">
        <v>57</v>
      </c>
      <c r="E21" s="22" t="s">
        <v>60</v>
      </c>
      <c r="F21" s="22">
        <v>550</v>
      </c>
      <c r="G21" s="22">
        <v>604</v>
      </c>
      <c r="H21" s="22">
        <v>222345</v>
      </c>
      <c r="I21" s="22" t="s">
        <v>61</v>
      </c>
      <c r="J21" s="22">
        <v>224581</v>
      </c>
      <c r="K21" s="21" t="s">
        <v>56</v>
      </c>
      <c r="L21" s="21" t="str">
        <f>VLOOKUP(C21,'Trips&amp;Operators'!$C$1:$E$9999,3,FALSE)</f>
        <v>LEDERHAUSE</v>
      </c>
      <c r="M21" s="20" t="s">
        <v>89</v>
      </c>
      <c r="N21" s="21"/>
      <c r="P21" s="81" t="str">
        <f>VLOOKUP(C21,'Train Runs'!$A$3:$T$251,20,0)</f>
        <v>https://search-rtdc-monitor-bjffxe2xuh6vdkpspy63sjmuny.us-east-1.es.amazonaws.com/_plugin/kibana/#/discover/Steve-Slow-Train-Analysis-(2080s-and-2083s)?_g=(refreshInterval:(display:Off,section:0,value:0),time:(from:'2016-05-19 10:24:59-0600',mode:absolute,to:'2016-05-19 11:15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22" spans="1:16" s="19" customFormat="1" x14ac:dyDescent="0.25">
      <c r="A22" s="23">
        <v>42509.456956018519</v>
      </c>
      <c r="B22" s="22" t="s">
        <v>140</v>
      </c>
      <c r="C22" s="22" t="s">
        <v>420</v>
      </c>
      <c r="D22" s="22" t="s">
        <v>57</v>
      </c>
      <c r="E22" s="22" t="s">
        <v>60</v>
      </c>
      <c r="F22" s="22">
        <v>700</v>
      </c>
      <c r="G22" s="22">
        <v>751</v>
      </c>
      <c r="H22" s="22">
        <v>176465</v>
      </c>
      <c r="I22" s="22" t="s">
        <v>61</v>
      </c>
      <c r="J22" s="22">
        <v>183829</v>
      </c>
      <c r="K22" s="21" t="s">
        <v>56</v>
      </c>
      <c r="L22" s="21" t="str">
        <f>VLOOKUP(C22,'Trips&amp;Operators'!$C$1:$E$9999,3,FALSE)</f>
        <v>STRICKLAND</v>
      </c>
      <c r="M22" s="20" t="s">
        <v>89</v>
      </c>
      <c r="N22" s="21"/>
      <c r="P22" s="81" t="str">
        <f>VLOOKUP(C22,'Train Runs'!$A$3:$T$251,20,0)</f>
        <v>https://search-rtdc-monitor-bjffxe2xuh6vdkpspy63sjmuny.us-east-1.es.amazonaws.com/_plugin/kibana/#/discover/Steve-Slow-Train-Analysis-(2080s-and-2083s)?_g=(refreshInterval:(display:Off,section:0,value:0),time:(from:'2016-05-19 10:41:56-0600',mode:absolute,to:'2016-05-19 11:32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</row>
    <row r="23" spans="1:16" s="19" customFormat="1" x14ac:dyDescent="0.25">
      <c r="A23" s="23">
        <v>42509.52685185185</v>
      </c>
      <c r="B23" s="22" t="s">
        <v>112</v>
      </c>
      <c r="C23" s="22" t="s">
        <v>346</v>
      </c>
      <c r="D23" s="22" t="s">
        <v>57</v>
      </c>
      <c r="E23" s="22" t="s">
        <v>60</v>
      </c>
      <c r="F23" s="22">
        <v>600</v>
      </c>
      <c r="G23" s="22">
        <v>651</v>
      </c>
      <c r="H23" s="22">
        <v>184051</v>
      </c>
      <c r="I23" s="22" t="s">
        <v>61</v>
      </c>
      <c r="J23" s="22">
        <v>190834</v>
      </c>
      <c r="K23" s="21" t="s">
        <v>56</v>
      </c>
      <c r="L23" s="21" t="str">
        <f>VLOOKUP(C23,'Trips&amp;Operators'!$C$1:$E$9999,3,FALSE)</f>
        <v>STEWART</v>
      </c>
      <c r="M23" s="20" t="s">
        <v>89</v>
      </c>
      <c r="N23" s="21"/>
      <c r="P23" s="81" t="str">
        <f>VLOOKUP(C23,'Train Runs'!$A$3:$T$251,20,0)</f>
        <v>https://search-rtdc-monitor-bjffxe2xuh6vdkpspy63sjmuny.us-east-1.es.amazonaws.com/_plugin/kibana/#/discover/Steve-Slow-Train-Analysis-(2080s-and-2083s)?_g=(refreshInterval:(display:Off,section:0,value:0),time:(from:'2016-05-19 12:20:59-0600',mode:absolute,to:'2016-05-19 12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24" spans="1:16" s="19" customFormat="1" x14ac:dyDescent="0.25">
      <c r="A24" s="23">
        <v>42509.681122685186</v>
      </c>
      <c r="B24" s="22" t="s">
        <v>93</v>
      </c>
      <c r="C24" s="22" t="s">
        <v>413</v>
      </c>
      <c r="D24" s="22" t="s">
        <v>52</v>
      </c>
      <c r="E24" s="22" t="s">
        <v>60</v>
      </c>
      <c r="F24" s="22">
        <v>450</v>
      </c>
      <c r="G24" s="22">
        <v>548</v>
      </c>
      <c r="H24" s="22">
        <v>158466</v>
      </c>
      <c r="I24" s="22" t="s">
        <v>61</v>
      </c>
      <c r="J24" s="22">
        <v>156300</v>
      </c>
      <c r="K24" s="21" t="s">
        <v>56</v>
      </c>
      <c r="L24" s="21" t="str">
        <f>VLOOKUP(C24,'Trips&amp;Operators'!$C$1:$E$9999,3,FALSE)</f>
        <v>SPECTOR</v>
      </c>
      <c r="M24" s="20" t="s">
        <v>89</v>
      </c>
      <c r="N24" s="21"/>
      <c r="P24" s="81" t="str">
        <f>VLOOKUP(C24,'Train Runs'!$A$3:$T$251,20,0)</f>
        <v>https://search-rtdc-monitor-bjffxe2xuh6vdkpspy63sjmuny.us-east-1.es.amazonaws.com/_plugin/kibana/#/discover/Steve-Slow-Train-Analysis-(2080s-and-2083s)?_g=(refreshInterval:(display:Off,section:0,value:0),time:(from:'2016-05-19 16:05:44-0600',mode:absolute,to:'2016-05-19 16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</row>
    <row r="25" spans="1:16" s="19" customFormat="1" x14ac:dyDescent="0.25">
      <c r="A25" s="23">
        <v>42509.434560185182</v>
      </c>
      <c r="B25" s="22" t="s">
        <v>126</v>
      </c>
      <c r="C25" s="22" t="s">
        <v>394</v>
      </c>
      <c r="D25" s="22" t="s">
        <v>52</v>
      </c>
      <c r="E25" s="22" t="s">
        <v>58</v>
      </c>
      <c r="F25" s="22">
        <v>0</v>
      </c>
      <c r="G25" s="22">
        <v>419</v>
      </c>
      <c r="H25" s="22">
        <v>130337</v>
      </c>
      <c r="I25" s="22" t="s">
        <v>59</v>
      </c>
      <c r="J25" s="22">
        <v>127587</v>
      </c>
      <c r="K25" s="21" t="s">
        <v>56</v>
      </c>
      <c r="L25" s="21" t="str">
        <f>VLOOKUP(C25,'Trips&amp;Operators'!$C$1:$E$9999,3,FALSE)</f>
        <v>STARKS</v>
      </c>
      <c r="M25" s="20" t="s">
        <v>89</v>
      </c>
      <c r="N25" s="21" t="s">
        <v>549</v>
      </c>
      <c r="P25" s="81" t="str">
        <f>VLOOKUP(C25,'Train Runs'!$A$3:$T$251,20,0)</f>
        <v>https://search-rtdc-monitor-bjffxe2xuh6vdkpspy63sjmuny.us-east-1.es.amazonaws.com/_plugin/kibana/#/discover/Steve-Slow-Train-Analysis-(2080s-and-2083s)?_g=(refreshInterval:(display:Off,section:0,value:0),time:(from:'2016-05-19 10:08:54-0600',mode:absolute,to:'2016-05-19 10:56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26" spans="1:16" s="19" customFormat="1" x14ac:dyDescent="0.25">
      <c r="A26" s="23">
        <v>42509.876597222225</v>
      </c>
      <c r="B26" s="22" t="s">
        <v>147</v>
      </c>
      <c r="C26" s="22" t="s">
        <v>332</v>
      </c>
      <c r="D26" s="22" t="s">
        <v>52</v>
      </c>
      <c r="E26" s="22" t="s">
        <v>58</v>
      </c>
      <c r="F26" s="22">
        <v>0</v>
      </c>
      <c r="G26" s="22">
        <v>330</v>
      </c>
      <c r="H26" s="22">
        <v>193338</v>
      </c>
      <c r="I26" s="22" t="s">
        <v>59</v>
      </c>
      <c r="J26" s="22">
        <v>191723</v>
      </c>
      <c r="K26" s="21" t="s">
        <v>56</v>
      </c>
      <c r="L26" s="21" t="str">
        <f>VLOOKUP(C26,'Trips&amp;Operators'!$C$1:$E$9999,3,FALSE)</f>
        <v>CANFIELD</v>
      </c>
      <c r="M26" s="20" t="s">
        <v>89</v>
      </c>
      <c r="N26" s="21" t="s">
        <v>550</v>
      </c>
      <c r="P26" s="81" t="str">
        <f>VLOOKUP(C26,'Train Runs'!$A$3:$T$251,20,0)</f>
        <v>https://search-rtdc-monitor-bjffxe2xuh6vdkpspy63sjmuny.us-east-1.es.amazonaws.com/_plugin/kibana/#/discover/Steve-Slow-Train-Analysis-(2080s-and-2083s)?_g=(refreshInterval:(display:Off,section:0,value:0),time:(from:'2016-05-19 20:43:49-0600',mode:absolute,to:'2016-05-19 21:42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</row>
    <row r="27" spans="1:16" s="19" customFormat="1" x14ac:dyDescent="0.25">
      <c r="A27" s="23">
        <v>42509.202025462961</v>
      </c>
      <c r="B27" s="22" t="s">
        <v>138</v>
      </c>
      <c r="C27" s="22" t="s">
        <v>232</v>
      </c>
      <c r="D27" s="22" t="s">
        <v>52</v>
      </c>
      <c r="E27" s="22" t="s">
        <v>53</v>
      </c>
      <c r="F27" s="22">
        <v>0</v>
      </c>
      <c r="G27" s="22">
        <v>9</v>
      </c>
      <c r="H27" s="22">
        <v>233340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LEDERHAUSE</v>
      </c>
      <c r="M27" s="20" t="s">
        <v>89</v>
      </c>
      <c r="N27" s="21"/>
      <c r="P27" s="81" t="str">
        <f>VLOOKUP(C27,'Train Runs'!$A$3:$T$251,20,0)</f>
        <v>https://search-rtdc-monitor-bjffxe2xuh6vdkpspy63sjmuny.us-east-1.es.amazonaws.com/_plugin/kibana/#/discover/Steve-Slow-Train-Analysis-(2080s-and-2083s)?_g=(refreshInterval:(display:Off,section:0,value:0),time:(from:'2016-05-19 04:01:10-0600',mode:absolute,to:'2016-05-19 04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</row>
    <row r="28" spans="1:16" s="19" customFormat="1" x14ac:dyDescent="0.25">
      <c r="A28" s="23">
        <v>42509.221909722219</v>
      </c>
      <c r="B28" s="22" t="s">
        <v>126</v>
      </c>
      <c r="C28" s="22" t="s">
        <v>246</v>
      </c>
      <c r="D28" s="22" t="s">
        <v>52</v>
      </c>
      <c r="E28" s="22" t="s">
        <v>53</v>
      </c>
      <c r="F28" s="22">
        <v>0</v>
      </c>
      <c r="G28" s="22">
        <v>87</v>
      </c>
      <c r="H28" s="22">
        <v>409</v>
      </c>
      <c r="I28" s="22" t="s">
        <v>54</v>
      </c>
      <c r="J28" s="22">
        <v>1</v>
      </c>
      <c r="K28" s="21" t="s">
        <v>56</v>
      </c>
      <c r="L28" s="21" t="str">
        <f>VLOOKUP(C28,'Trips&amp;Operators'!$C$1:$E$9999,3,FALSE)</f>
        <v>STARKS</v>
      </c>
      <c r="M28" s="20" t="s">
        <v>89</v>
      </c>
      <c r="N28" s="21"/>
      <c r="P28" s="81" t="str">
        <f>VLOOKUP(C28,'Train Runs'!$A$3:$T$251,20,0)</f>
        <v>https://search-rtdc-monitor-bjffxe2xuh6vdkpspy63sjmuny.us-east-1.es.amazonaws.com/_plugin/kibana/#/discover/Steve-Slow-Train-Analysis-(2080s-and-2083s)?_g=(refreshInterval:(display:Off,section:0,value:0),time:(from:'2016-05-19 04:38:08-0600',mode:absolute,to:'2016-05-19 05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29" spans="1:16" s="19" customFormat="1" x14ac:dyDescent="0.25">
      <c r="A29" s="23">
        <v>42509.222546296296</v>
      </c>
      <c r="B29" s="22" t="s">
        <v>126</v>
      </c>
      <c r="C29" s="22" t="s">
        <v>246</v>
      </c>
      <c r="D29" s="22" t="s">
        <v>52</v>
      </c>
      <c r="E29" s="22" t="s">
        <v>53</v>
      </c>
      <c r="F29" s="22">
        <v>0</v>
      </c>
      <c r="G29" s="22">
        <v>76</v>
      </c>
      <c r="H29" s="22">
        <v>262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STARKS</v>
      </c>
      <c r="M29" s="20" t="s">
        <v>89</v>
      </c>
      <c r="N29" s="21"/>
      <c r="P29" s="81" t="str">
        <f>VLOOKUP(C29,'Train Runs'!$A$3:$T$251,20,0)</f>
        <v>https://search-rtdc-monitor-bjffxe2xuh6vdkpspy63sjmuny.us-east-1.es.amazonaws.com/_plugin/kibana/#/discover/Steve-Slow-Train-Analysis-(2080s-and-2083s)?_g=(refreshInterval:(display:Off,section:0,value:0),time:(from:'2016-05-19 04:38:08-0600',mode:absolute,to:'2016-05-19 05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30" spans="1:16" s="19" customFormat="1" x14ac:dyDescent="0.25">
      <c r="A30" s="23">
        <v>42509.223275462966</v>
      </c>
      <c r="B30" s="22" t="s">
        <v>141</v>
      </c>
      <c r="C30" s="22" t="s">
        <v>243</v>
      </c>
      <c r="D30" s="22" t="s">
        <v>52</v>
      </c>
      <c r="E30" s="22" t="s">
        <v>53</v>
      </c>
      <c r="F30" s="22">
        <v>0</v>
      </c>
      <c r="G30" s="22">
        <v>9</v>
      </c>
      <c r="H30" s="22">
        <v>233334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CHANDLER</v>
      </c>
      <c r="M30" s="20" t="s">
        <v>89</v>
      </c>
      <c r="N30" s="21"/>
      <c r="P30" s="81" t="str">
        <f>VLOOKUP(C30,'Train Runs'!$A$3:$T$251,20,0)</f>
        <v>https://search-rtdc-monitor-bjffxe2xuh6vdkpspy63sjmuny.us-east-1.es.amazonaws.com/_plugin/kibana/#/discover/Steve-Slow-Train-Analysis-(2080s-and-2083s)?_g=(refreshInterval:(display:Off,section:0,value:0),time:(from:'2016-05-19 04:32:47-0600',mode:absolute,to:'2016-05-19 05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31" spans="1:16" s="19" customFormat="1" x14ac:dyDescent="0.25">
      <c r="A31" s="23">
        <v>42509.26390046296</v>
      </c>
      <c r="B31" s="22" t="s">
        <v>140</v>
      </c>
      <c r="C31" s="22" t="s">
        <v>228</v>
      </c>
      <c r="D31" s="22" t="s">
        <v>52</v>
      </c>
      <c r="E31" s="22" t="s">
        <v>53</v>
      </c>
      <c r="F31" s="22">
        <v>0</v>
      </c>
      <c r="G31" s="22">
        <v>7</v>
      </c>
      <c r="H31" s="22">
        <v>143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CHANDLER</v>
      </c>
      <c r="M31" s="20" t="s">
        <v>89</v>
      </c>
      <c r="N31" s="21"/>
      <c r="P31" s="81" t="str">
        <f>VLOOKUP(C31,'Train Runs'!$A$3:$T$251,20,0)</f>
        <v>https://search-rtdc-monitor-bjffxe2xuh6vdkpspy63sjmuny.us-east-1.es.amazonaws.com/_plugin/kibana/#/discover/Steve-Slow-Train-Analysis-(2080s-and-2083s)?_g=(refreshInterval:(display:Off,section:0,value:0),time:(from:'2016-05-19 05:30:00-0600',mode:absolute,to:'2016-05-19 06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</row>
    <row r="32" spans="1:16" s="19" customFormat="1" x14ac:dyDescent="0.25">
      <c r="A32" s="23">
        <v>42509.265567129631</v>
      </c>
      <c r="B32" s="22" t="s">
        <v>127</v>
      </c>
      <c r="C32" s="22" t="s">
        <v>226</v>
      </c>
      <c r="D32" s="22" t="s">
        <v>52</v>
      </c>
      <c r="E32" s="22" t="s">
        <v>53</v>
      </c>
      <c r="F32" s="22">
        <v>0</v>
      </c>
      <c r="G32" s="22">
        <v>33</v>
      </c>
      <c r="H32" s="22">
        <v>233389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STARKS</v>
      </c>
      <c r="M32" s="20" t="s">
        <v>89</v>
      </c>
      <c r="N32" s="21"/>
      <c r="P32" s="81" t="str">
        <f>VLOOKUP(C32,'Train Runs'!$A$3:$T$251,20,0)</f>
        <v>https://search-rtdc-monitor-bjffxe2xuh6vdkpspy63sjmuny.us-east-1.es.amazonaws.com/_plugin/kibana/#/discover/Steve-Slow-Train-Analysis-(2080s-and-2083s)?_g=(refreshInterval:(display:Off,section:0,value:0),time:(from:'2016-05-19 05:33:03-0600',mode:absolute,to:'2016-05-19 06:23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</row>
    <row r="33" spans="1:16" s="19" customFormat="1" x14ac:dyDescent="0.25">
      <c r="A33" s="23">
        <v>42509.293749999997</v>
      </c>
      <c r="B33" s="22" t="s">
        <v>147</v>
      </c>
      <c r="C33" s="22" t="s">
        <v>230</v>
      </c>
      <c r="D33" s="22" t="s">
        <v>52</v>
      </c>
      <c r="E33" s="22" t="s">
        <v>53</v>
      </c>
      <c r="F33" s="22">
        <v>0</v>
      </c>
      <c r="G33" s="22">
        <v>6</v>
      </c>
      <c r="H33" s="22">
        <v>161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CUSHING</v>
      </c>
      <c r="M33" s="20" t="s">
        <v>89</v>
      </c>
      <c r="N33" s="21"/>
      <c r="P33" s="81" t="str">
        <f>VLOOKUP(C33,'Train Runs'!$A$3:$T$251,20,0)</f>
        <v>https://search-rtdc-monitor-bjffxe2xuh6vdkpspy63sjmuny.us-east-1.es.amazonaws.com/_plugin/kibana/#/discover/Steve-Slow-Train-Analysis-(2080s-and-2083s)?_g=(refreshInterval:(display:Off,section:0,value:0),time:(from:'2016-05-19 06:16:28-0600',mode:absolute,to:'2016-05-19 07:04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</row>
    <row r="34" spans="1:16" s="19" customFormat="1" x14ac:dyDescent="0.25">
      <c r="A34" s="23">
        <v>42509.304861111108</v>
      </c>
      <c r="B34" s="22" t="s">
        <v>126</v>
      </c>
      <c r="C34" s="22" t="s">
        <v>248</v>
      </c>
      <c r="D34" s="22" t="s">
        <v>52</v>
      </c>
      <c r="E34" s="22" t="s">
        <v>53</v>
      </c>
      <c r="F34" s="22">
        <v>0</v>
      </c>
      <c r="G34" s="22">
        <v>3</v>
      </c>
      <c r="H34" s="22">
        <v>96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STARKS</v>
      </c>
      <c r="M34" s="20" t="s">
        <v>89</v>
      </c>
      <c r="N34" s="21"/>
      <c r="P34" s="81" t="str">
        <f>VLOOKUP(C34,'Train Runs'!$A$3:$T$251,20,0)</f>
        <v>https://search-rtdc-monitor-bjffxe2xuh6vdkpspy63sjmuny.us-east-1.es.amazonaws.com/_plugin/kibana/#/discover/Steve-Slow-Train-Analysis-(2080s-and-2083s)?_g=(refreshInterval:(display:Off,section:0,value:0),time:(from:'2016-05-19 06:36:31-0600',mode:absolute,to:'2016-05-19 07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35" spans="1:16" s="19" customFormat="1" x14ac:dyDescent="0.25">
      <c r="A35" s="23">
        <v>42509.30541666667</v>
      </c>
      <c r="B35" s="22" t="s">
        <v>126</v>
      </c>
      <c r="C35" s="22" t="s">
        <v>248</v>
      </c>
      <c r="D35" s="22" t="s">
        <v>52</v>
      </c>
      <c r="E35" s="22" t="s">
        <v>53</v>
      </c>
      <c r="F35" s="22">
        <v>0</v>
      </c>
      <c r="G35" s="22">
        <v>4</v>
      </c>
      <c r="H35" s="22">
        <v>90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STARKS</v>
      </c>
      <c r="M35" s="20" t="s">
        <v>89</v>
      </c>
      <c r="N35" s="21"/>
      <c r="P35" s="81" t="str">
        <f>VLOOKUP(C35,'Train Runs'!$A$3:$T$251,20,0)</f>
        <v>https://search-rtdc-monitor-bjffxe2xuh6vdkpspy63sjmuny.us-east-1.es.amazonaws.com/_plugin/kibana/#/discover/Steve-Slow-Train-Analysis-(2080s-and-2083s)?_g=(refreshInterval:(display:Off,section:0,value:0),time:(from:'2016-05-19 06:36:31-0600',mode:absolute,to:'2016-05-19 07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36" spans="1:16" s="19" customFormat="1" x14ac:dyDescent="0.25">
      <c r="A36" s="23">
        <v>42509.305937500001</v>
      </c>
      <c r="B36" s="22" t="s">
        <v>123</v>
      </c>
      <c r="C36" s="22" t="s">
        <v>227</v>
      </c>
      <c r="D36" s="22" t="s">
        <v>52</v>
      </c>
      <c r="E36" s="22" t="s">
        <v>53</v>
      </c>
      <c r="F36" s="22">
        <v>0</v>
      </c>
      <c r="G36" s="22">
        <v>4</v>
      </c>
      <c r="H36" s="22">
        <v>233332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GEBRETEKLE</v>
      </c>
      <c r="M36" s="20" t="s">
        <v>89</v>
      </c>
      <c r="N36" s="21"/>
      <c r="P36" s="81" t="str">
        <f>VLOOKUP(C36,'Train Runs'!$A$3:$T$251,20,0)</f>
        <v>https://search-rtdc-monitor-bjffxe2xuh6vdkpspy63sjmuny.us-east-1.es.amazonaws.com/_plugin/kibana/#/discover/Steve-Slow-Train-Analysis-(2080s-and-2083s)?_g=(refreshInterval:(display:Off,section:0,value:0),time:(from:'2016-05-19 06:41:12-0600',mode:absolute,to:'2016-05-19 07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</row>
    <row r="37" spans="1:16" s="19" customFormat="1" x14ac:dyDescent="0.25">
      <c r="A37" s="23">
        <v>42509.327581018515</v>
      </c>
      <c r="B37" s="22" t="s">
        <v>112</v>
      </c>
      <c r="C37" s="22" t="s">
        <v>342</v>
      </c>
      <c r="D37" s="22" t="s">
        <v>52</v>
      </c>
      <c r="E37" s="22" t="s">
        <v>53</v>
      </c>
      <c r="F37" s="22">
        <v>0</v>
      </c>
      <c r="G37" s="22">
        <v>37</v>
      </c>
      <c r="H37" s="22">
        <v>176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STRICKLAND</v>
      </c>
      <c r="M37" s="20" t="s">
        <v>89</v>
      </c>
      <c r="N37" s="21"/>
      <c r="P37" s="81" t="str">
        <f>VLOOKUP(C37,'Train Runs'!$A$3:$T$251,20,0)</f>
        <v>https://search-rtdc-monitor-bjffxe2xuh6vdkpspy63sjmuny.us-east-1.es.amazonaws.com/_plugin/kibana/#/discover/Steve-Slow-Train-Analysis-(2080s-and-2083s)?_g=(refreshInterval:(display:Off,section:0,value:0),time:(from:'2016-05-19 07:05:07-0600',mode:absolute,to:'2016-05-19 07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38" spans="1:16" s="19" customFormat="1" x14ac:dyDescent="0.25">
      <c r="A38" s="23">
        <v>42509.345219907409</v>
      </c>
      <c r="B38" s="22" t="s">
        <v>124</v>
      </c>
      <c r="C38" s="22" t="s">
        <v>427</v>
      </c>
      <c r="D38" s="22" t="s">
        <v>52</v>
      </c>
      <c r="E38" s="22" t="s">
        <v>53</v>
      </c>
      <c r="F38" s="22">
        <v>0</v>
      </c>
      <c r="G38" s="22">
        <v>46</v>
      </c>
      <c r="H38" s="22">
        <v>178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GEBRETEKLE</v>
      </c>
      <c r="M38" s="20" t="s">
        <v>89</v>
      </c>
      <c r="N38" s="21"/>
      <c r="P38" s="81" t="str">
        <f>VLOOKUP(C38,'Train Runs'!$A$3:$T$251,20,0)</f>
        <v>https://search-rtdc-monitor-bjffxe2xuh6vdkpspy63sjmuny.us-east-1.es.amazonaws.com/_plugin/kibana/#/discover/Steve-Slow-Train-Analysis-(2080s-and-2083s)?_g=(refreshInterval:(display:Off,section:0,value:0),time:(from:'2016-05-19 07:30:55-0600',mode:absolute,to:'2016-05-19 08:18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39" spans="1:16" s="19" customFormat="1" x14ac:dyDescent="0.25">
      <c r="A39" s="23">
        <v>42509.397986111115</v>
      </c>
      <c r="B39" s="22" t="s">
        <v>112</v>
      </c>
      <c r="C39" s="22" t="s">
        <v>344</v>
      </c>
      <c r="D39" s="22" t="s">
        <v>52</v>
      </c>
      <c r="E39" s="22" t="s">
        <v>53</v>
      </c>
      <c r="F39" s="22">
        <v>0</v>
      </c>
      <c r="G39" s="22">
        <v>9</v>
      </c>
      <c r="H39" s="22">
        <v>139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STRICKLAND</v>
      </c>
      <c r="M39" s="20" t="s">
        <v>89</v>
      </c>
      <c r="N39" s="21"/>
      <c r="P39" s="81" t="str">
        <f>VLOOKUP(C39,'Train Runs'!$A$3:$T$251,20,0)</f>
        <v>https://search-rtdc-monitor-bjffxe2xuh6vdkpspy63sjmuny.us-east-1.es.amazonaws.com/_plugin/kibana/#/discover/Steve-Slow-Train-Analysis-(2080s-and-2083s)?_g=(refreshInterval:(display:Off,section:0,value:0),time:(from:'2016-05-19 08:52:24-0600',mode:absolute,to:'2016-05-19 09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40" spans="1:16" s="19" customFormat="1" x14ac:dyDescent="0.25">
      <c r="A40" s="23">
        <v>42509.458425925928</v>
      </c>
      <c r="B40" s="22" t="s">
        <v>123</v>
      </c>
      <c r="C40" s="22" t="s">
        <v>419</v>
      </c>
      <c r="D40" s="22" t="s">
        <v>52</v>
      </c>
      <c r="E40" s="22" t="s">
        <v>53</v>
      </c>
      <c r="F40" s="22">
        <v>0</v>
      </c>
      <c r="G40" s="22">
        <v>4</v>
      </c>
      <c r="H40" s="22">
        <v>233322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BRUDER</v>
      </c>
      <c r="M40" s="20" t="s">
        <v>89</v>
      </c>
      <c r="N40" s="21"/>
      <c r="P40" s="81" t="str">
        <f>VLOOKUP(C40,'Train Runs'!$A$3:$T$251,20,0)</f>
        <v>https://search-rtdc-monitor-bjffxe2xuh6vdkpspy63sjmuny.us-east-1.es.amazonaws.com/_plugin/kibana/#/discover/Steve-Slow-Train-Analysis-(2080s-and-2083s)?_g=(refreshInterval:(display:Off,section:0,value:0),time:(from:'2016-05-19 10:10:45-0600',mode:absolute,to:'2016-05-19 11:01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</row>
    <row r="41" spans="1:16" s="19" customFormat="1" x14ac:dyDescent="0.25">
      <c r="A41" s="23">
        <v>42509.466840277775</v>
      </c>
      <c r="B41" s="22" t="s">
        <v>112</v>
      </c>
      <c r="C41" s="22" t="s">
        <v>325</v>
      </c>
      <c r="D41" s="22" t="s">
        <v>52</v>
      </c>
      <c r="E41" s="22" t="s">
        <v>53</v>
      </c>
      <c r="F41" s="22">
        <v>0</v>
      </c>
      <c r="G41" s="22">
        <v>43</v>
      </c>
      <c r="H41" s="22">
        <v>958</v>
      </c>
      <c r="I41" s="22" t="s">
        <v>54</v>
      </c>
      <c r="J41" s="22">
        <v>839</v>
      </c>
      <c r="K41" s="21" t="s">
        <v>56</v>
      </c>
      <c r="L41" s="21" t="str">
        <f>VLOOKUP(C41,'Trips&amp;Operators'!$C$1:$E$9999,3,FALSE)</f>
        <v>LEDERHAUSE</v>
      </c>
      <c r="M41" s="20" t="s">
        <v>89</v>
      </c>
      <c r="N41" s="21"/>
      <c r="P41" s="81" t="str">
        <f>VLOOKUP(C41,'Train Runs'!$A$3:$T$251,20,0)</f>
        <v>https://search-rtdc-monitor-bjffxe2xuh6vdkpspy63sjmuny.us-east-1.es.amazonaws.com/_plugin/kibana/#/discover/Steve-Slow-Train-Analysis-(2080s-and-2083s)?_g=(refreshInterval:(display:Off,section:0,value:0),time:(from:'2016-05-19 10:24:59-0600',mode:absolute,to:'2016-05-19 11:15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42" spans="1:16" s="19" customFormat="1" x14ac:dyDescent="0.25">
      <c r="A42" s="23">
        <v>42509.490266203706</v>
      </c>
      <c r="B42" s="22" t="s">
        <v>124</v>
      </c>
      <c r="C42" s="22" t="s">
        <v>407</v>
      </c>
      <c r="D42" s="22" t="s">
        <v>52</v>
      </c>
      <c r="E42" s="22" t="s">
        <v>53</v>
      </c>
      <c r="F42" s="22">
        <v>0</v>
      </c>
      <c r="G42" s="22">
        <v>7</v>
      </c>
      <c r="H42" s="22">
        <v>136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CHANDLER</v>
      </c>
      <c r="M42" s="20" t="s">
        <v>89</v>
      </c>
      <c r="N42" s="21"/>
      <c r="P42" s="81" t="str">
        <f>VLOOKUP(C42,'Train Runs'!$A$3:$T$251,20,0)</f>
        <v>https://search-rtdc-monitor-bjffxe2xuh6vdkpspy63sjmuny.us-east-1.es.amazonaws.com/_plugin/kibana/#/discover/Steve-Slow-Train-Analysis-(2080s-and-2083s)?_g=(refreshInterval:(display:Off,section:0,value:0),time:(from:'2016-05-19 11:02:33-0600',mode:absolute,to:'2016-05-19 11:47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43" spans="1:16" s="19" customFormat="1" x14ac:dyDescent="0.25">
      <c r="A43" s="23">
        <v>42509.543854166666</v>
      </c>
      <c r="B43" s="22" t="s">
        <v>125</v>
      </c>
      <c r="C43" s="22" t="s">
        <v>448</v>
      </c>
      <c r="D43" s="22" t="s">
        <v>52</v>
      </c>
      <c r="E43" s="22" t="s">
        <v>53</v>
      </c>
      <c r="F43" s="22">
        <v>0</v>
      </c>
      <c r="G43" s="22">
        <v>9</v>
      </c>
      <c r="H43" s="22">
        <v>233330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BRUDER</v>
      </c>
      <c r="M43" s="20" t="s">
        <v>89</v>
      </c>
      <c r="N43" s="21"/>
      <c r="P43" s="81" t="str">
        <f>VLOOKUP(C43,'Train Runs'!$A$3:$T$251,20,0)</f>
        <v>https://search-rtdc-monitor-bjffxe2xuh6vdkpspy63sjmuny.us-east-1.es.amazonaws.com/_plugin/kibana/#/discover/Steve-Slow-Train-Analysis-(2080s-and-2083s)?_g=(refreshInterval:(display:Off,section:0,value:0),time:(from:'2016-05-19 12:12:17-0600',mode:absolute,to:'2016-05-19 13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</row>
    <row r="44" spans="1:16" s="19" customFormat="1" x14ac:dyDescent="0.25">
      <c r="A44" s="23">
        <v>42509.588113425925</v>
      </c>
      <c r="B44" s="22" t="s">
        <v>94</v>
      </c>
      <c r="C44" s="22" t="s">
        <v>377</v>
      </c>
      <c r="D44" s="22" t="s">
        <v>52</v>
      </c>
      <c r="E44" s="22" t="s">
        <v>53</v>
      </c>
      <c r="F44" s="22">
        <v>0</v>
      </c>
      <c r="G44" s="22">
        <v>8</v>
      </c>
      <c r="H44" s="22">
        <v>233334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SPECTOR</v>
      </c>
      <c r="M44" s="20" t="s">
        <v>89</v>
      </c>
      <c r="N44" s="21"/>
      <c r="P44" s="81" t="str">
        <f>VLOOKUP(C44,'Train Runs'!$A$3:$T$251,20,0)</f>
        <v>https://search-rtdc-monitor-bjffxe2xuh6vdkpspy63sjmuny.us-east-1.es.amazonaws.com/_plugin/kibana/#/discover/Steve-Slow-Train-Analysis-(2080s-and-2083s)?_g=(refreshInterval:(display:Off,section:0,value:0),time:(from:'2016-05-19 13:15:02-0600',mode:absolute,to:'2016-05-19 14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</row>
    <row r="45" spans="1:16" s="19" customFormat="1" x14ac:dyDescent="0.25">
      <c r="A45" s="23">
        <v>42509.607372685183</v>
      </c>
      <c r="B45" s="22" t="s">
        <v>123</v>
      </c>
      <c r="C45" s="22" t="s">
        <v>378</v>
      </c>
      <c r="D45" s="22" t="s">
        <v>52</v>
      </c>
      <c r="E45" s="22" t="s">
        <v>53</v>
      </c>
      <c r="F45" s="22">
        <v>0</v>
      </c>
      <c r="G45" s="22">
        <v>61</v>
      </c>
      <c r="H45" s="22">
        <v>233315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COOLAHAN</v>
      </c>
      <c r="M45" s="20" t="s">
        <v>89</v>
      </c>
      <c r="N45" s="21"/>
      <c r="P45" s="81" t="str">
        <f>VLOOKUP(C45,'Train Runs'!$A$3:$T$251,20,0)</f>
        <v>https://search-rtdc-monitor-bjffxe2xuh6vdkpspy63sjmuny.us-east-1.es.amazonaws.com/_plugin/kibana/#/discover/Steve-Slow-Train-Analysis-(2080s-and-2083s)?_g=(refreshInterval:(display:Off,section:0,value:0),time:(from:'2016-05-19 13:50:55-0600',mode:absolute,to:'2016-05-19 14:35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</row>
    <row r="46" spans="1:16" s="19" customFormat="1" x14ac:dyDescent="0.25">
      <c r="A46" s="23">
        <v>42509.63071759259</v>
      </c>
      <c r="B46" s="22" t="s">
        <v>125</v>
      </c>
      <c r="C46" s="22" t="s">
        <v>403</v>
      </c>
      <c r="D46" s="22" t="s">
        <v>52</v>
      </c>
      <c r="E46" s="22" t="s">
        <v>53</v>
      </c>
      <c r="F46" s="22">
        <v>0</v>
      </c>
      <c r="G46" s="22">
        <v>9</v>
      </c>
      <c r="H46" s="22">
        <v>233336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BRUDER</v>
      </c>
      <c r="M46" s="20" t="s">
        <v>89</v>
      </c>
      <c r="N46" s="21"/>
      <c r="P46" s="81" t="str">
        <f>VLOOKUP(C46,'Train Runs'!$A$3:$T$251,20,0)</f>
        <v>https://search-rtdc-monitor-bjffxe2xuh6vdkpspy63sjmuny.us-east-1.es.amazonaws.com/_plugin/kibana/#/discover/Steve-Slow-Train-Analysis-(2080s-and-2083s)?_g=(refreshInterval:(display:Off,section:0,value:0),time:(from:'2016-05-19 14:14:23-0600',mode:absolute,to:'2016-05-19 15:09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</row>
    <row r="47" spans="1:16" s="19" customFormat="1" x14ac:dyDescent="0.25">
      <c r="A47" s="23">
        <v>42509.660254629627</v>
      </c>
      <c r="B47" s="22" t="s">
        <v>137</v>
      </c>
      <c r="C47" s="22" t="s">
        <v>329</v>
      </c>
      <c r="D47" s="22" t="s">
        <v>52</v>
      </c>
      <c r="E47" s="22" t="s">
        <v>53</v>
      </c>
      <c r="F47" s="22">
        <v>0</v>
      </c>
      <c r="G47" s="22">
        <v>7</v>
      </c>
      <c r="H47" s="22">
        <v>116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DE LA ROSA</v>
      </c>
      <c r="M47" s="20" t="s">
        <v>89</v>
      </c>
      <c r="N47" s="21"/>
      <c r="P47" s="81" t="str">
        <f>VLOOKUP(C47,'Train Runs'!$A$3:$T$251,20,0)</f>
        <v>https://search-rtdc-monitor-bjffxe2xuh6vdkpspy63sjmuny.us-east-1.es.amazonaws.com/_plugin/kibana/#/discover/Steve-Slow-Train-Analysis-(2080s-and-2083s)?_g=(refreshInterval:(display:Off,section:0,value:0),time:(from:'2016-05-19 15:10:33-0600',mode:absolute,to:'2016-05-19 15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</row>
    <row r="48" spans="1:16" s="19" customFormat="1" x14ac:dyDescent="0.25">
      <c r="A48" s="23">
        <v>42509.702303240738</v>
      </c>
      <c r="B48" s="22" t="s">
        <v>125</v>
      </c>
      <c r="C48" s="22" t="s">
        <v>430</v>
      </c>
      <c r="D48" s="22" t="s">
        <v>52</v>
      </c>
      <c r="E48" s="22" t="s">
        <v>53</v>
      </c>
      <c r="F48" s="22">
        <v>0</v>
      </c>
      <c r="G48" s="22">
        <v>5</v>
      </c>
      <c r="H48" s="22">
        <v>233324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BRUDER</v>
      </c>
      <c r="M48" s="20" t="s">
        <v>89</v>
      </c>
      <c r="N48" s="21"/>
      <c r="P48" s="81" t="str">
        <f>VLOOKUP(C48,'Train Runs'!$A$3:$T$251,20,0)</f>
        <v>https://search-rtdc-monitor-bjffxe2xuh6vdkpspy63sjmuny.us-east-1.es.amazonaws.com/_plugin/kibana/#/discover/Steve-Slow-Train-Analysis-(2080s-and-2083s)?_g=(refreshInterval:(display:Off,section:0,value:0),time:(from:'2016-05-19 16:06:04-0600',mode:absolute,to:'2016-05-19 16:52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</row>
    <row r="49" spans="1:16" s="19" customFormat="1" x14ac:dyDescent="0.25">
      <c r="A49" s="23">
        <v>42509.716643518521</v>
      </c>
      <c r="B49" s="22" t="s">
        <v>144</v>
      </c>
      <c r="C49" s="22" t="s">
        <v>384</v>
      </c>
      <c r="D49" s="22" t="s">
        <v>52</v>
      </c>
      <c r="E49" s="22" t="s">
        <v>53</v>
      </c>
      <c r="F49" s="22">
        <v>0</v>
      </c>
      <c r="G49" s="22">
        <v>52</v>
      </c>
      <c r="H49" s="22">
        <v>233249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YOUNG</v>
      </c>
      <c r="M49" s="20" t="s">
        <v>89</v>
      </c>
      <c r="N49" s="21"/>
      <c r="P49" s="81" t="str">
        <f>VLOOKUP(C49,'Train Runs'!$A$3:$T$251,20,0)</f>
        <v>https://search-rtdc-monitor-bjffxe2xuh6vdkpspy63sjmuny.us-east-1.es.amazonaws.com/_plugin/kibana/#/discover/Steve-Slow-Train-Analysis-(2080s-and-2083s)?_g=(refreshInterval:(display:Off,section:0,value:0),time:(from:'2016-05-19 16:37:03-0600',mode:absolute,to:'2016-05-19 17:13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</row>
    <row r="50" spans="1:16" s="19" customFormat="1" x14ac:dyDescent="0.25">
      <c r="A50" s="23">
        <v>42509.79346064815</v>
      </c>
      <c r="B50" s="22" t="s">
        <v>124</v>
      </c>
      <c r="C50" s="22" t="s">
        <v>334</v>
      </c>
      <c r="D50" s="22" t="s">
        <v>52</v>
      </c>
      <c r="E50" s="22" t="s">
        <v>53</v>
      </c>
      <c r="F50" s="22">
        <v>0</v>
      </c>
      <c r="G50" s="22">
        <v>53</v>
      </c>
      <c r="H50" s="22">
        <v>156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COOLAHAN</v>
      </c>
      <c r="M50" s="20" t="s">
        <v>89</v>
      </c>
      <c r="N50" s="21"/>
      <c r="P50" s="81" t="str">
        <f>VLOOKUP(C50,'Train Runs'!$A$3:$T$251,20,0)</f>
        <v>https://search-rtdc-monitor-bjffxe2xuh6vdkpspy63sjmuny.us-east-1.es.amazonaws.com/_plugin/kibana/#/discover/Steve-Slow-Train-Analysis-(2080s-and-2083s)?_g=(refreshInterval:(display:Off,section:0,value:0),time:(from:'2016-05-19 18:23:39-0600',mode:absolute,to:'2016-05-19 19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51" spans="1:16" s="19" customFormat="1" x14ac:dyDescent="0.25">
      <c r="A51" s="23">
        <v>42509.807280092595</v>
      </c>
      <c r="B51" s="22" t="s">
        <v>137</v>
      </c>
      <c r="C51" s="22" t="s">
        <v>335</v>
      </c>
      <c r="D51" s="22" t="s">
        <v>52</v>
      </c>
      <c r="E51" s="22" t="s">
        <v>53</v>
      </c>
      <c r="F51" s="22">
        <v>0</v>
      </c>
      <c r="G51" s="22">
        <v>76</v>
      </c>
      <c r="H51" s="22">
        <v>271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ADANE</v>
      </c>
      <c r="M51" s="20" t="s">
        <v>89</v>
      </c>
      <c r="N51" s="21"/>
      <c r="P51" s="81" t="str">
        <f>VLOOKUP(C51,'Train Runs'!$A$3:$T$251,20,0)</f>
        <v>https://search-rtdc-monitor-bjffxe2xuh6vdkpspy63sjmuny.us-east-1.es.amazonaws.com/_plugin/kibana/#/discover/Steve-Slow-Train-Analysis-(2080s-and-2083s)?_g=(refreshInterval:(display:Off,section:0,value:0),time:(from:'2016-05-19 18:30:52-0600',mode:absolute,to:'2016-05-19 19:23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</row>
    <row r="52" spans="1:16" s="19" customFormat="1" x14ac:dyDescent="0.25">
      <c r="A52" s="23">
        <v>42509.816018518519</v>
      </c>
      <c r="B52" s="22" t="s">
        <v>111</v>
      </c>
      <c r="C52" s="22" t="s">
        <v>437</v>
      </c>
      <c r="D52" s="22" t="s">
        <v>52</v>
      </c>
      <c r="E52" s="22" t="s">
        <v>53</v>
      </c>
      <c r="F52" s="22">
        <v>0</v>
      </c>
      <c r="G52" s="22">
        <v>7</v>
      </c>
      <c r="H52" s="22">
        <v>233332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YORK</v>
      </c>
      <c r="M52" s="20" t="s">
        <v>89</v>
      </c>
      <c r="N52" s="21"/>
      <c r="P52" s="81" t="str">
        <f>VLOOKUP(C52,'Train Runs'!$A$3:$T$251,20,0)</f>
        <v>https://search-rtdc-monitor-bjffxe2xuh6vdkpspy63sjmuny.us-east-1.es.amazonaws.com/_plugin/kibana/#/discover/Steve-Slow-Train-Analysis-(2080s-and-2083s)?_g=(refreshInterval:(display:Off,section:0,value:0),time:(from:'2016-05-19 18:52:43-0600',mode:absolute,to:'2016-05-19 19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</row>
    <row r="53" spans="1:16" s="19" customFormat="1" x14ac:dyDescent="0.25">
      <c r="A53" s="23">
        <v>42509.856030092589</v>
      </c>
      <c r="B53" s="22" t="s">
        <v>112</v>
      </c>
      <c r="C53" s="22" t="s">
        <v>393</v>
      </c>
      <c r="D53" s="22" t="s">
        <v>52</v>
      </c>
      <c r="E53" s="22" t="s">
        <v>53</v>
      </c>
      <c r="F53" s="22">
        <v>0</v>
      </c>
      <c r="G53" s="22">
        <v>8</v>
      </c>
      <c r="H53" s="22">
        <v>119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YORK</v>
      </c>
      <c r="M53" s="20" t="s">
        <v>89</v>
      </c>
      <c r="N53" s="21"/>
      <c r="P53" s="81" t="str">
        <f>VLOOKUP(C53,'Train Runs'!$A$3:$T$251,20,0)</f>
        <v>https://search-rtdc-monitor-bjffxe2xuh6vdkpspy63sjmuny.us-east-1.es.amazonaws.com/_plugin/kibana/#/discover/Steve-Slow-Train-Analysis-(2080s-and-2083s)?_g=(refreshInterval:(display:Off,section:0,value:0),time:(from:'2016-05-19 19:44:43-0600',mode:absolute,to:'2016-05-19 19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54" spans="1:16" s="19" customFormat="1" x14ac:dyDescent="0.25">
      <c r="A54" s="23">
        <v>42509.880949074075</v>
      </c>
      <c r="B54" s="22" t="s">
        <v>141</v>
      </c>
      <c r="C54" s="22" t="s">
        <v>458</v>
      </c>
      <c r="D54" s="22" t="s">
        <v>52</v>
      </c>
      <c r="E54" s="22" t="s">
        <v>53</v>
      </c>
      <c r="F54" s="22">
        <v>0</v>
      </c>
      <c r="G54" s="22">
        <v>7</v>
      </c>
      <c r="H54" s="22">
        <v>233314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NEWELL</v>
      </c>
      <c r="M54" s="20" t="s">
        <v>89</v>
      </c>
      <c r="N54" s="21"/>
      <c r="P54" s="81" t="str">
        <f>VLOOKUP(C54,'Train Runs'!$A$3:$T$251,20,0)</f>
        <v>https://search-rtdc-monitor-bjffxe2xuh6vdkpspy63sjmuny.us-east-1.es.amazonaws.com/_plugin/kibana/#/discover/Steve-Slow-Train-Analysis-(2080s-and-2083s)?_g=(refreshInterval:(display:Off,section:0,value:0),time:(from:'2016-05-19 20:20:15-0600',mode:absolute,to:'2016-05-19 21:09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55" spans="1:16" s="19" customFormat="1" x14ac:dyDescent="0.25">
      <c r="A55" s="23">
        <v>42509.881354166668</v>
      </c>
      <c r="B55" s="22" t="s">
        <v>137</v>
      </c>
      <c r="C55" s="22" t="s">
        <v>336</v>
      </c>
      <c r="D55" s="22" t="s">
        <v>52</v>
      </c>
      <c r="E55" s="22" t="s">
        <v>53</v>
      </c>
      <c r="F55" s="22">
        <v>0</v>
      </c>
      <c r="G55" s="22">
        <v>9</v>
      </c>
      <c r="H55" s="22">
        <v>462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ADANE</v>
      </c>
      <c r="M55" s="20" t="s">
        <v>89</v>
      </c>
      <c r="N55" s="21"/>
      <c r="P55" s="81" t="str">
        <f>VLOOKUP(C55,'Train Runs'!$A$3:$T$251,20,0)</f>
        <v>https://search-rtdc-monitor-bjffxe2xuh6vdkpspy63sjmuny.us-east-1.es.amazonaws.com/_plugin/kibana/#/discover/Steve-Slow-Train-Analysis-(2080s-and-2083s)?_g=(refreshInterval:(display:Off,section:0,value:0),time:(from:'2016-05-19 20:12:32-0600',mode:absolute,to:'2016-05-19 21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</row>
    <row r="56" spans="1:16" s="19" customFormat="1" x14ac:dyDescent="0.25">
      <c r="A56" s="23">
        <v>42509.924421296295</v>
      </c>
      <c r="B56" s="22" t="s">
        <v>140</v>
      </c>
      <c r="C56" s="22" t="s">
        <v>330</v>
      </c>
      <c r="D56" s="22" t="s">
        <v>52</v>
      </c>
      <c r="E56" s="22" t="s">
        <v>53</v>
      </c>
      <c r="F56" s="22">
        <v>0</v>
      </c>
      <c r="G56" s="22">
        <v>5</v>
      </c>
      <c r="H56" s="22">
        <v>123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NEWELL</v>
      </c>
      <c r="M56" s="20" t="s">
        <v>89</v>
      </c>
      <c r="N56" s="21"/>
      <c r="P56" s="81" t="str">
        <f>VLOOKUP(C56,'Train Runs'!$A$3:$T$251,20,0)</f>
        <v>https://search-rtdc-monitor-bjffxe2xuh6vdkpspy63sjmuny.us-east-1.es.amazonaws.com/_plugin/kibana/#/discover/Steve-Slow-Train-Analysis-(2080s-and-2083s)?_g=(refreshInterval:(display:Off,section:0,value:0),time:(from:'2016-05-19 21:18:59-0600',mode:absolute,to:'2016-05-19 22:12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</row>
    <row r="57" spans="1:16" s="19" customFormat="1" x14ac:dyDescent="0.25">
      <c r="A57" s="23">
        <v>42509.962939814817</v>
      </c>
      <c r="B57" s="22" t="s">
        <v>141</v>
      </c>
      <c r="C57" s="22" t="s">
        <v>443</v>
      </c>
      <c r="D57" s="22" t="s">
        <v>52</v>
      </c>
      <c r="E57" s="22" t="s">
        <v>53</v>
      </c>
      <c r="F57" s="22">
        <v>0</v>
      </c>
      <c r="G57" s="22">
        <v>9</v>
      </c>
      <c r="H57" s="22">
        <v>233324</v>
      </c>
      <c r="I57" s="22" t="s">
        <v>54</v>
      </c>
      <c r="J57" s="22">
        <v>233491</v>
      </c>
      <c r="K57" s="21" t="s">
        <v>55</v>
      </c>
      <c r="L57" s="21" t="str">
        <f>VLOOKUP(C57,'Trips&amp;Operators'!$C$1:$E$9999,3,FALSE)</f>
        <v>NEWELL</v>
      </c>
      <c r="M57" s="20" t="s">
        <v>89</v>
      </c>
      <c r="N57" s="21"/>
      <c r="P57" s="81" t="str">
        <f>VLOOKUP(C57,'Train Runs'!$A$3:$T$251,20,0)</f>
        <v>https://search-rtdc-monitor-bjffxe2xuh6vdkpspy63sjmuny.us-east-1.es.amazonaws.com/_plugin/kibana/#/discover/Steve-Slow-Train-Analysis-(2080s-and-2083s)?_g=(refreshInterval:(display:Off,section:0,value:0),time:(from:'2016-05-19 22:20:27-0600',mode:absolute,to:'2016-05-19 23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58" spans="1:16" s="19" customFormat="1" x14ac:dyDescent="0.25">
      <c r="A58" s="23">
        <v>42509.982835648145</v>
      </c>
      <c r="B58" s="22" t="s">
        <v>121</v>
      </c>
      <c r="C58" s="22" t="s">
        <v>338</v>
      </c>
      <c r="D58" s="22" t="s">
        <v>52</v>
      </c>
      <c r="E58" s="22" t="s">
        <v>53</v>
      </c>
      <c r="F58" s="22">
        <v>0</v>
      </c>
      <c r="G58" s="22">
        <v>6</v>
      </c>
      <c r="H58" s="22">
        <v>233328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YORK</v>
      </c>
      <c r="M58" s="20" t="s">
        <v>89</v>
      </c>
      <c r="N58" s="21"/>
      <c r="P58" s="81" t="str">
        <f>VLOOKUP(C58,'Train Runs'!$A$3:$T$251,20,0)</f>
        <v>https://search-rtdc-monitor-bjffxe2xuh6vdkpspy63sjmuny.us-east-1.es.amazonaws.com/_plugin/kibana/#/discover/Steve-Slow-Train-Analysis-(2080s-and-2083s)?_g=(refreshInterval:(display:Off,section:0,value:0),time:(from:'2016-05-19 22:46:54-0600',mode:absolute,to:'2016-05-19 23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</row>
    <row r="59" spans="1:16" s="19" customFormat="1" x14ac:dyDescent="0.25">
      <c r="A59" s="23">
        <v>42510.004363425927</v>
      </c>
      <c r="B59" s="22" t="s">
        <v>138</v>
      </c>
      <c r="C59" s="22" t="s">
        <v>363</v>
      </c>
      <c r="D59" s="22" t="s">
        <v>52</v>
      </c>
      <c r="E59" s="22" t="s">
        <v>53</v>
      </c>
      <c r="F59" s="22">
        <v>0</v>
      </c>
      <c r="G59" s="22">
        <v>5</v>
      </c>
      <c r="H59" s="22">
        <v>233320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ADANE</v>
      </c>
      <c r="M59" s="20" t="s">
        <v>89</v>
      </c>
      <c r="N59" s="21"/>
      <c r="P59" s="81" t="str">
        <f>VLOOKUP(C59,'Train Runs'!$A$3:$T$251,20,0)</f>
        <v>https://search-rtdc-monitor-bjffxe2xuh6vdkpspy63sjmuny.us-east-1.es.amazonaws.com/_plugin/kibana/#/discover/Steve-Slow-Train-Analysis-(2080s-and-2083s)?_g=(refreshInterval:(display:Off,section:0,value:0),time:(from:'2016-05-19 23:17:19-0600',mode:absolute,to:'2016-05-20 00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</row>
    <row r="60" spans="1:16" s="19" customFormat="1" x14ac:dyDescent="0.25">
      <c r="A60" s="23">
        <v>42510.024918981479</v>
      </c>
      <c r="B60" s="22" t="s">
        <v>117</v>
      </c>
      <c r="C60" s="22" t="s">
        <v>442</v>
      </c>
      <c r="D60" s="22" t="s">
        <v>52</v>
      </c>
      <c r="E60" s="22" t="s">
        <v>53</v>
      </c>
      <c r="F60" s="22">
        <v>0</v>
      </c>
      <c r="G60" s="22">
        <v>8</v>
      </c>
      <c r="H60" s="22">
        <v>118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YORK</v>
      </c>
      <c r="M60" s="20" t="s">
        <v>89</v>
      </c>
      <c r="N60" s="21"/>
      <c r="P60" s="81" t="str">
        <f>VLOOKUP(C60,'Train Runs'!$A$3:$T$251,20,0)</f>
        <v>https://search-rtdc-monitor-bjffxe2xuh6vdkpspy63sjmuny.us-east-1.es.amazonaws.com/_plugin/kibana/#/discover/Steve-Slow-Train-Analysis-(2080s-and-2083s)?_g=(refreshInterval:(display:Off,section:0,value:0),time:(from:'2016-05-19 23:39:29-0600',mode:absolute,to:'2016-05-20 00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</row>
    <row r="61" spans="1:16" s="19" customFormat="1" ht="15.75" thickBot="1" x14ac:dyDescent="0.3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3"/>
      <c r="L61" s="43"/>
      <c r="M61" s="44"/>
      <c r="N61" s="43"/>
      <c r="P61" s="81"/>
    </row>
    <row r="62" spans="1:16" ht="30" x14ac:dyDescent="0.25">
      <c r="B62" s="60"/>
      <c r="C62" s="60"/>
      <c r="D62" s="60"/>
      <c r="E62" s="60"/>
      <c r="F62" s="60"/>
      <c r="G62" s="60"/>
      <c r="H62" s="60"/>
      <c r="I62" s="60"/>
      <c r="J62" s="60"/>
      <c r="K62" s="18" t="s">
        <v>28</v>
      </c>
      <c r="L62" s="53"/>
      <c r="M62" s="17">
        <f>COUNTIF(M3:M60,"=Y")</f>
        <v>2</v>
      </c>
    </row>
    <row r="63" spans="1:16" ht="15.75" thickBot="1" x14ac:dyDescent="0.3">
      <c r="B63" s="60"/>
      <c r="C63" s="60"/>
      <c r="D63" s="60"/>
      <c r="E63" s="60"/>
      <c r="F63" s="60"/>
      <c r="G63" s="60"/>
      <c r="H63" s="60"/>
      <c r="I63" s="60"/>
      <c r="J63" s="60"/>
      <c r="K63" s="16" t="s">
        <v>27</v>
      </c>
      <c r="L63" s="54"/>
      <c r="M63" s="15">
        <f>COUNTA(M3:M60)-M62</f>
        <v>56</v>
      </c>
    </row>
  </sheetData>
  <autoFilter ref="A2:N60"/>
  <sortState ref="A3:N63">
    <sortCondition ref="E3:E63"/>
  </sortState>
  <mergeCells count="1">
    <mergeCell ref="A1:M1"/>
  </mergeCells>
  <conditionalFormatting sqref="N2 P2 M2:M1048576">
    <cfRule type="cellIs" dxfId="1" priority="7" operator="equal">
      <formula>"Y"</formula>
    </cfRule>
  </conditionalFormatting>
  <conditionalFormatting sqref="B3:N61">
    <cfRule type="expression" dxfId="0" priority="6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2016-05-19</v>
      </c>
      <c r="B1" s="78"/>
    </row>
    <row r="2" spans="1:2" x14ac:dyDescent="0.25">
      <c r="A2" s="78" t="s">
        <v>551</v>
      </c>
      <c r="B2" s="78" t="s">
        <v>251</v>
      </c>
    </row>
    <row r="3" spans="1:2" x14ac:dyDescent="0.25">
      <c r="A3" s="78" t="s">
        <v>552</v>
      </c>
      <c r="B3" s="78" t="s">
        <v>251</v>
      </c>
    </row>
    <row r="4" spans="1:2" x14ac:dyDescent="0.25">
      <c r="A4" s="78" t="s">
        <v>553</v>
      </c>
      <c r="B4" s="78" t="s">
        <v>251</v>
      </c>
    </row>
    <row r="5" spans="1:2" x14ac:dyDescent="0.25">
      <c r="A5" s="79" t="s">
        <v>554</v>
      </c>
      <c r="B5" s="78" t="s">
        <v>251</v>
      </c>
    </row>
    <row r="6" spans="1:2" x14ac:dyDescent="0.25">
      <c r="A6" s="79" t="s">
        <v>349</v>
      </c>
      <c r="B6" s="78" t="s">
        <v>251</v>
      </c>
    </row>
    <row r="7" spans="1:2" x14ac:dyDescent="0.25">
      <c r="A7" s="79" t="s">
        <v>555</v>
      </c>
      <c r="B7" s="78" t="s">
        <v>251</v>
      </c>
    </row>
    <row r="8" spans="1:2" x14ac:dyDescent="0.25">
      <c r="A8" s="79" t="s">
        <v>556</v>
      </c>
      <c r="B8" s="78" t="s">
        <v>251</v>
      </c>
    </row>
    <row r="9" spans="1:2" x14ac:dyDescent="0.25">
      <c r="A9" s="79" t="s">
        <v>350</v>
      </c>
      <c r="B9" s="79" t="s">
        <v>558</v>
      </c>
    </row>
    <row r="10" spans="1:2" x14ac:dyDescent="0.25">
      <c r="A10" s="79" t="s">
        <v>337</v>
      </c>
      <c r="B10" s="79" t="s">
        <v>558</v>
      </c>
    </row>
    <row r="11" spans="1:2" x14ac:dyDescent="0.25">
      <c r="A11" s="79" t="s">
        <v>557</v>
      </c>
      <c r="B11" s="78" t="s">
        <v>251</v>
      </c>
    </row>
    <row r="12" spans="1:2" x14ac:dyDescent="0.25">
      <c r="A12" s="79"/>
      <c r="B12" s="78"/>
    </row>
    <row r="13" spans="1:2" x14ac:dyDescent="0.25">
      <c r="A13" s="79"/>
      <c r="B13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E342"/>
  <sheetViews>
    <sheetView workbookViewId="0">
      <selection sqref="A1:E343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2" spans="1:1" x14ac:dyDescent="0.25">
      <c r="A2" s="14" t="s">
        <v>254</v>
      </c>
    </row>
    <row r="3" spans="1:1" x14ac:dyDescent="0.25">
      <c r="A3" s="14" t="s">
        <v>255</v>
      </c>
    </row>
    <row r="4" spans="1:1" x14ac:dyDescent="0.25">
      <c r="A4" s="14" t="s">
        <v>256</v>
      </c>
    </row>
    <row r="5" spans="1:1" x14ac:dyDescent="0.25">
      <c r="A5" s="14" t="s">
        <v>257</v>
      </c>
    </row>
    <row r="6" spans="1:1" x14ac:dyDescent="0.25">
      <c r="A6" s="14" t="s">
        <v>258</v>
      </c>
    </row>
    <row r="7" spans="1:1" x14ac:dyDescent="0.25">
      <c r="A7" s="14" t="s">
        <v>259</v>
      </c>
    </row>
    <row r="8" spans="1:1" x14ac:dyDescent="0.25">
      <c r="A8" s="14" t="s">
        <v>260</v>
      </c>
    </row>
    <row r="10" spans="1:1" x14ac:dyDescent="0.25">
      <c r="A10" s="14" t="s">
        <v>261</v>
      </c>
    </row>
    <row r="11" spans="1:1" x14ac:dyDescent="0.25">
      <c r="A11" s="14" t="s">
        <v>262</v>
      </c>
    </row>
    <row r="12" spans="1:1" x14ac:dyDescent="0.25">
      <c r="A12" s="14" t="s">
        <v>263</v>
      </c>
    </row>
    <row r="13" spans="1:1" x14ac:dyDescent="0.25">
      <c r="A13" s="14" t="s">
        <v>264</v>
      </c>
    </row>
    <row r="15" spans="1:1" x14ac:dyDescent="0.25">
      <c r="A15" s="14">
        <v>36</v>
      </c>
    </row>
    <row r="16" spans="1:1" x14ac:dyDescent="0.25">
      <c r="A16" s="14" t="s">
        <v>265</v>
      </c>
    </row>
    <row r="17" spans="1:1" x14ac:dyDescent="0.25">
      <c r="A17" s="14" t="s">
        <v>266</v>
      </c>
    </row>
    <row r="18" spans="1:1" x14ac:dyDescent="0.25">
      <c r="A18" s="14" t="s">
        <v>267</v>
      </c>
    </row>
    <row r="20" spans="1:1" x14ac:dyDescent="0.25">
      <c r="A20" s="14" t="s">
        <v>268</v>
      </c>
    </row>
    <row r="21" spans="1:1" x14ac:dyDescent="0.25">
      <c r="A21" s="14" t="s">
        <v>269</v>
      </c>
    </row>
    <row r="22" spans="1:1" x14ac:dyDescent="0.25">
      <c r="A22" s="14" t="s">
        <v>270</v>
      </c>
    </row>
    <row r="23" spans="1:1" x14ac:dyDescent="0.25">
      <c r="A23" s="14" t="s">
        <v>271</v>
      </c>
    </row>
    <row r="24" spans="1:1" x14ac:dyDescent="0.25">
      <c r="A24" s="14" t="s">
        <v>272</v>
      </c>
    </row>
    <row r="30" spans="1:1" x14ac:dyDescent="0.25">
      <c r="A30" s="14" t="s">
        <v>273</v>
      </c>
    </row>
    <row r="31" spans="1:1" x14ac:dyDescent="0.25">
      <c r="A31" s="14" t="s">
        <v>274</v>
      </c>
    </row>
    <row r="33" spans="1:1" x14ac:dyDescent="0.25">
      <c r="A33" s="14" t="s">
        <v>275</v>
      </c>
    </row>
    <row r="34" spans="1:1" x14ac:dyDescent="0.25">
      <c r="A34" s="14" t="s">
        <v>276</v>
      </c>
    </row>
    <row r="35" spans="1:1" x14ac:dyDescent="0.25">
      <c r="A35" s="14" t="s">
        <v>277</v>
      </c>
    </row>
    <row r="36" spans="1:1" x14ac:dyDescent="0.25">
      <c r="A36" s="14" t="s">
        <v>278</v>
      </c>
    </row>
    <row r="37" spans="1:1" x14ac:dyDescent="0.25">
      <c r="A37" s="14" t="s">
        <v>279</v>
      </c>
    </row>
    <row r="39" spans="1:1" x14ac:dyDescent="0.25">
      <c r="A39" s="14" t="s">
        <v>280</v>
      </c>
    </row>
    <row r="41" spans="1:1" x14ac:dyDescent="0.25">
      <c r="A41" s="14" t="s">
        <v>281</v>
      </c>
    </row>
    <row r="42" spans="1:1" x14ac:dyDescent="0.25">
      <c r="A42" s="14" t="s">
        <v>282</v>
      </c>
    </row>
    <row r="43" spans="1:1" x14ac:dyDescent="0.25">
      <c r="A43" s="14" t="s">
        <v>283</v>
      </c>
    </row>
    <row r="44" spans="1:1" x14ac:dyDescent="0.25">
      <c r="A44" s="14" t="s">
        <v>284</v>
      </c>
    </row>
    <row r="45" spans="1:1" x14ac:dyDescent="0.25">
      <c r="A45" s="14" t="s">
        <v>285</v>
      </c>
    </row>
    <row r="46" spans="1:1" x14ac:dyDescent="0.25">
      <c r="A46" s="14" t="s">
        <v>286</v>
      </c>
    </row>
    <row r="47" spans="1:1" x14ac:dyDescent="0.25">
      <c r="A47" s="14" t="s">
        <v>287</v>
      </c>
    </row>
    <row r="48" spans="1:1" x14ac:dyDescent="0.25">
      <c r="A48" s="14" t="s">
        <v>288</v>
      </c>
    </row>
    <row r="49" spans="1:1" x14ac:dyDescent="0.25">
      <c r="A49" s="14" t="s">
        <v>289</v>
      </c>
    </row>
    <row r="50" spans="1:1" x14ac:dyDescent="0.25">
      <c r="A50" s="14" t="s">
        <v>290</v>
      </c>
    </row>
    <row r="51" spans="1:1" x14ac:dyDescent="0.25">
      <c r="A51" s="14" t="s">
        <v>291</v>
      </c>
    </row>
    <row r="52" spans="1:1" x14ac:dyDescent="0.25">
      <c r="A52" s="14" t="s">
        <v>292</v>
      </c>
    </row>
    <row r="53" spans="1:1" x14ac:dyDescent="0.25">
      <c r="A53" s="14" t="s">
        <v>293</v>
      </c>
    </row>
    <row r="54" spans="1:1" x14ac:dyDescent="0.25">
      <c r="A54" s="14" t="s">
        <v>294</v>
      </c>
    </row>
    <row r="55" spans="1:1" x14ac:dyDescent="0.25">
      <c r="A55" s="14" t="s">
        <v>295</v>
      </c>
    </row>
    <row r="56" spans="1:1" x14ac:dyDescent="0.25">
      <c r="A56" s="14" t="s">
        <v>296</v>
      </c>
    </row>
    <row r="57" spans="1:1" x14ac:dyDescent="0.25">
      <c r="A57" s="14" t="s">
        <v>297</v>
      </c>
    </row>
    <row r="58" spans="1:1" x14ac:dyDescent="0.25">
      <c r="A58" s="14" t="s">
        <v>298</v>
      </c>
    </row>
    <row r="59" spans="1:1" x14ac:dyDescent="0.25">
      <c r="A59" s="14" t="s">
        <v>299</v>
      </c>
    </row>
    <row r="60" spans="1:1" x14ac:dyDescent="0.25">
      <c r="A60" s="14" t="s">
        <v>300</v>
      </c>
    </row>
    <row r="61" spans="1:1" x14ac:dyDescent="0.25">
      <c r="A61" s="14" t="s">
        <v>301</v>
      </c>
    </row>
    <row r="62" spans="1:1" x14ac:dyDescent="0.25">
      <c r="A62" s="14" t="s">
        <v>302</v>
      </c>
    </row>
    <row r="63" spans="1:1" x14ac:dyDescent="0.25">
      <c r="A63" s="14" t="s">
        <v>303</v>
      </c>
    </row>
    <row r="64" spans="1:1" x14ac:dyDescent="0.25">
      <c r="A64" s="14" t="s">
        <v>304</v>
      </c>
    </row>
    <row r="65" spans="1:1" x14ac:dyDescent="0.25">
      <c r="A65" s="14" t="s">
        <v>305</v>
      </c>
    </row>
    <row r="66" spans="1:1" x14ac:dyDescent="0.25">
      <c r="A66" s="14" t="s">
        <v>306</v>
      </c>
    </row>
    <row r="67" spans="1:1" x14ac:dyDescent="0.25">
      <c r="A67" s="14" t="s">
        <v>307</v>
      </c>
    </row>
    <row r="68" spans="1:1" x14ac:dyDescent="0.25">
      <c r="A68" s="14" t="s">
        <v>308</v>
      </c>
    </row>
    <row r="69" spans="1:1" x14ac:dyDescent="0.25">
      <c r="A69" s="14" t="s">
        <v>309</v>
      </c>
    </row>
    <row r="70" spans="1:1" x14ac:dyDescent="0.25">
      <c r="A70" s="14" t="s">
        <v>310</v>
      </c>
    </row>
    <row r="71" spans="1:1" x14ac:dyDescent="0.25">
      <c r="A71" s="14" t="s">
        <v>311</v>
      </c>
    </row>
    <row r="72" spans="1:1" x14ac:dyDescent="0.25">
      <c r="A72" s="14" t="s">
        <v>312</v>
      </c>
    </row>
    <row r="73" spans="1:1" x14ac:dyDescent="0.25">
      <c r="A73" s="14" t="s">
        <v>313</v>
      </c>
    </row>
    <row r="74" spans="1:1" x14ac:dyDescent="0.25">
      <c r="A74" s="14" t="s">
        <v>314</v>
      </c>
    </row>
    <row r="75" spans="1:1" x14ac:dyDescent="0.25">
      <c r="A75" s="14" t="s">
        <v>315</v>
      </c>
    </row>
    <row r="76" spans="1:1" x14ac:dyDescent="0.25">
      <c r="A76" s="14" t="s">
        <v>316</v>
      </c>
    </row>
    <row r="77" spans="1:1" x14ac:dyDescent="0.25">
      <c r="A77" s="14">
        <v>0</v>
      </c>
    </row>
    <row r="78" spans="1:1" x14ac:dyDescent="0.25">
      <c r="A78" s="14">
        <v>2</v>
      </c>
    </row>
    <row r="79" spans="1:1" x14ac:dyDescent="0.25">
      <c r="A79" s="14">
        <v>4</v>
      </c>
    </row>
    <row r="80" spans="1:1" x14ac:dyDescent="0.25">
      <c r="A80" s="14">
        <v>6</v>
      </c>
    </row>
    <row r="81" spans="1:5" x14ac:dyDescent="0.25">
      <c r="A81" s="14">
        <v>8</v>
      </c>
    </row>
    <row r="82" spans="1:5" x14ac:dyDescent="0.25">
      <c r="A82" s="14">
        <v>10</v>
      </c>
    </row>
    <row r="83" spans="1:5" x14ac:dyDescent="0.25">
      <c r="A83" s="14">
        <v>0.875</v>
      </c>
    </row>
    <row r="84" spans="1:5" x14ac:dyDescent="0.25">
      <c r="A84" s="14">
        <v>0</v>
      </c>
    </row>
    <row r="85" spans="1:5" x14ac:dyDescent="0.25">
      <c r="A85" s="14">
        <v>0.125</v>
      </c>
    </row>
    <row r="86" spans="1:5" x14ac:dyDescent="0.25">
      <c r="A86" s="14">
        <v>0.25</v>
      </c>
    </row>
    <row r="87" spans="1:5" x14ac:dyDescent="0.25">
      <c r="A87" s="14">
        <v>0.375</v>
      </c>
    </row>
    <row r="88" spans="1:5" x14ac:dyDescent="0.25">
      <c r="A88" s="14">
        <v>0.5</v>
      </c>
    </row>
    <row r="89" spans="1:5" x14ac:dyDescent="0.25">
      <c r="A89" s="14">
        <v>0.625</v>
      </c>
    </row>
    <row r="90" spans="1:5" x14ac:dyDescent="0.25">
      <c r="A90" s="14">
        <v>0.75</v>
      </c>
    </row>
    <row r="91" spans="1:5" x14ac:dyDescent="0.25">
      <c r="A91" s="14">
        <v>0.875</v>
      </c>
    </row>
    <row r="92" spans="1:5" x14ac:dyDescent="0.25">
      <c r="A92" s="14">
        <v>0</v>
      </c>
    </row>
    <row r="93" spans="1:5" x14ac:dyDescent="0.25">
      <c r="A93" s="14">
        <v>0.125</v>
      </c>
    </row>
    <row r="94" spans="1:5" x14ac:dyDescent="0.25">
      <c r="A94" s="14">
        <v>0.25</v>
      </c>
    </row>
    <row r="95" spans="1:5" x14ac:dyDescent="0.25">
      <c r="A95" s="14" t="s">
        <v>317</v>
      </c>
    </row>
    <row r="96" spans="1:5" x14ac:dyDescent="0.25">
      <c r="A96" s="14" t="s">
        <v>40</v>
      </c>
      <c r="B96" t="s">
        <v>318</v>
      </c>
      <c r="C96" t="s">
        <v>319</v>
      </c>
      <c r="D96" t="s">
        <v>320</v>
      </c>
      <c r="E96" t="s">
        <v>321</v>
      </c>
    </row>
    <row r="97" spans="1:5" x14ac:dyDescent="0.25">
      <c r="A97" s="14">
        <v>42508.893425925926</v>
      </c>
      <c r="B97" t="s">
        <v>141</v>
      </c>
      <c r="C97" t="s">
        <v>207</v>
      </c>
      <c r="D97">
        <v>1820000</v>
      </c>
      <c r="E97" t="s">
        <v>146</v>
      </c>
    </row>
    <row r="98" spans="1:5" x14ac:dyDescent="0.25">
      <c r="A98" s="14">
        <v>42509.029386574075</v>
      </c>
      <c r="B98" t="s">
        <v>112</v>
      </c>
      <c r="C98" t="s">
        <v>218</v>
      </c>
      <c r="D98">
        <v>1410000</v>
      </c>
      <c r="E98" t="s">
        <v>171</v>
      </c>
    </row>
    <row r="99" spans="1:5" x14ac:dyDescent="0.25">
      <c r="A99" s="14">
        <v>42509.279687499999</v>
      </c>
      <c r="B99" t="s">
        <v>123</v>
      </c>
      <c r="C99" t="s">
        <v>227</v>
      </c>
      <c r="D99">
        <v>1100000</v>
      </c>
      <c r="E99" t="s">
        <v>134</v>
      </c>
    </row>
    <row r="100" spans="1:5" x14ac:dyDescent="0.25">
      <c r="A100" s="14">
        <v>42509.304976851854</v>
      </c>
      <c r="B100" t="s">
        <v>140</v>
      </c>
      <c r="C100" t="s">
        <v>322</v>
      </c>
      <c r="D100">
        <v>1800000</v>
      </c>
      <c r="E100" t="s">
        <v>104</v>
      </c>
    </row>
    <row r="101" spans="1:5" x14ac:dyDescent="0.25">
      <c r="A101" s="14">
        <v>42509.334988425922</v>
      </c>
      <c r="B101" t="s">
        <v>147</v>
      </c>
      <c r="C101" t="s">
        <v>323</v>
      </c>
      <c r="D101">
        <v>1200000</v>
      </c>
      <c r="E101" t="s">
        <v>231</v>
      </c>
    </row>
    <row r="102" spans="1:5" x14ac:dyDescent="0.25">
      <c r="A102" s="14">
        <v>42510.194212962961</v>
      </c>
      <c r="B102" t="s">
        <v>124</v>
      </c>
      <c r="C102" t="s">
        <v>324</v>
      </c>
      <c r="D102">
        <v>1480000</v>
      </c>
      <c r="E102" t="s">
        <v>139</v>
      </c>
    </row>
    <row r="103" spans="1:5" x14ac:dyDescent="0.25">
      <c r="A103" s="14">
        <v>42509.435312499998</v>
      </c>
      <c r="B103" t="s">
        <v>112</v>
      </c>
      <c r="C103" t="s">
        <v>325</v>
      </c>
      <c r="D103">
        <v>1430000</v>
      </c>
      <c r="E103" t="s">
        <v>135</v>
      </c>
    </row>
    <row r="104" spans="1:5" x14ac:dyDescent="0.25">
      <c r="A104" s="14">
        <v>42509.496550925927</v>
      </c>
      <c r="B104" t="s">
        <v>123</v>
      </c>
      <c r="C104" t="s">
        <v>326</v>
      </c>
      <c r="D104">
        <v>1290000</v>
      </c>
      <c r="E104" t="s">
        <v>172</v>
      </c>
    </row>
    <row r="105" spans="1:5" x14ac:dyDescent="0.25">
      <c r="A105" s="14">
        <v>42509.545370370368</v>
      </c>
      <c r="B105" t="s">
        <v>127</v>
      </c>
      <c r="C105" t="s">
        <v>327</v>
      </c>
      <c r="D105">
        <v>1280000</v>
      </c>
      <c r="E105" t="s">
        <v>63</v>
      </c>
    </row>
    <row r="106" spans="1:5" x14ac:dyDescent="0.25">
      <c r="A106" s="14">
        <v>42509.611018518517</v>
      </c>
      <c r="B106" t="s">
        <v>144</v>
      </c>
      <c r="C106" t="s">
        <v>328</v>
      </c>
      <c r="D106">
        <v>1140000</v>
      </c>
      <c r="E106" t="s">
        <v>62</v>
      </c>
    </row>
    <row r="107" spans="1:5" x14ac:dyDescent="0.25">
      <c r="A107" s="14">
        <v>42509.633564814816</v>
      </c>
      <c r="B107" t="s">
        <v>137</v>
      </c>
      <c r="C107" t="s">
        <v>329</v>
      </c>
      <c r="D107">
        <v>1780000</v>
      </c>
      <c r="E107" t="s">
        <v>115</v>
      </c>
    </row>
    <row r="108" spans="1:5" x14ac:dyDescent="0.25">
      <c r="A108" s="14">
        <v>42509.88957175926</v>
      </c>
      <c r="B108" t="s">
        <v>140</v>
      </c>
      <c r="C108" t="s">
        <v>330</v>
      </c>
      <c r="D108">
        <v>1810000</v>
      </c>
      <c r="E108" t="s">
        <v>170</v>
      </c>
    </row>
    <row r="109" spans="1:5" x14ac:dyDescent="0.25">
      <c r="A109" s="14">
        <v>42509.696053240739</v>
      </c>
      <c r="B109" t="s">
        <v>127</v>
      </c>
      <c r="C109" t="s">
        <v>331</v>
      </c>
      <c r="D109">
        <v>1280000</v>
      </c>
      <c r="E109" t="s">
        <v>63</v>
      </c>
    </row>
    <row r="110" spans="1:5" x14ac:dyDescent="0.25">
      <c r="A110" s="14">
        <v>42509.864895833336</v>
      </c>
      <c r="B110" t="s">
        <v>147</v>
      </c>
      <c r="C110" t="s">
        <v>332</v>
      </c>
      <c r="D110">
        <v>1840000</v>
      </c>
      <c r="E110" t="s">
        <v>333</v>
      </c>
    </row>
    <row r="111" spans="1:5" x14ac:dyDescent="0.25">
      <c r="A111" s="14">
        <v>42509.764236111114</v>
      </c>
      <c r="B111" t="s">
        <v>124</v>
      </c>
      <c r="C111" t="s">
        <v>334</v>
      </c>
      <c r="D111">
        <v>1290000</v>
      </c>
      <c r="E111" t="s">
        <v>172</v>
      </c>
    </row>
    <row r="112" spans="1:5" x14ac:dyDescent="0.25">
      <c r="A112" s="14">
        <v>42509.772870370369</v>
      </c>
      <c r="B112" t="s">
        <v>137</v>
      </c>
      <c r="C112" t="s">
        <v>335</v>
      </c>
      <c r="D112">
        <v>1820000</v>
      </c>
      <c r="E112" t="s">
        <v>146</v>
      </c>
    </row>
    <row r="113" spans="1:5" x14ac:dyDescent="0.25">
      <c r="A113" s="14">
        <v>42509.844918981478</v>
      </c>
      <c r="B113" t="s">
        <v>137</v>
      </c>
      <c r="C113" t="s">
        <v>336</v>
      </c>
      <c r="D113">
        <v>1820000</v>
      </c>
      <c r="E113" t="s">
        <v>146</v>
      </c>
    </row>
    <row r="114" spans="1:5" x14ac:dyDescent="0.25">
      <c r="A114" s="14">
        <v>42509.735000000001</v>
      </c>
      <c r="B114" t="s">
        <v>147</v>
      </c>
      <c r="C114" t="s">
        <v>337</v>
      </c>
      <c r="D114">
        <v>1140000</v>
      </c>
      <c r="E114" t="s">
        <v>62</v>
      </c>
    </row>
    <row r="115" spans="1:5" x14ac:dyDescent="0.25">
      <c r="A115" s="14">
        <v>42509.95039351852</v>
      </c>
      <c r="B115" t="s">
        <v>121</v>
      </c>
      <c r="C115" t="s">
        <v>338</v>
      </c>
      <c r="D115">
        <v>1830000</v>
      </c>
      <c r="E115" t="s">
        <v>145</v>
      </c>
    </row>
    <row r="116" spans="1:5" x14ac:dyDescent="0.25">
      <c r="A116" s="14">
        <v>42509.655624999999</v>
      </c>
      <c r="B116" t="s">
        <v>123</v>
      </c>
      <c r="C116" t="s">
        <v>339</v>
      </c>
      <c r="D116">
        <v>1290000</v>
      </c>
      <c r="E116" t="s">
        <v>172</v>
      </c>
    </row>
    <row r="117" spans="1:5" x14ac:dyDescent="0.25">
      <c r="A117" s="14">
        <v>42510.129606481481</v>
      </c>
      <c r="B117" t="s">
        <v>173</v>
      </c>
      <c r="C117" t="s">
        <v>340</v>
      </c>
      <c r="D117">
        <v>1430000</v>
      </c>
      <c r="E117" t="s">
        <v>135</v>
      </c>
    </row>
    <row r="118" spans="1:5" x14ac:dyDescent="0.25">
      <c r="A118" s="14">
        <v>42509.621678240743</v>
      </c>
      <c r="B118" t="s">
        <v>127</v>
      </c>
      <c r="C118" t="s">
        <v>341</v>
      </c>
      <c r="D118">
        <v>1280000</v>
      </c>
      <c r="E118" t="s">
        <v>63</v>
      </c>
    </row>
    <row r="119" spans="1:5" x14ac:dyDescent="0.25">
      <c r="A119" s="14">
        <v>42509.296493055554</v>
      </c>
      <c r="B119" t="s">
        <v>112</v>
      </c>
      <c r="C119" t="s">
        <v>342</v>
      </c>
      <c r="D119">
        <v>1760000</v>
      </c>
      <c r="E119" t="s">
        <v>148</v>
      </c>
    </row>
    <row r="120" spans="1:5" x14ac:dyDescent="0.25">
      <c r="A120" s="14">
        <v>42509.606238425928</v>
      </c>
      <c r="B120" t="s">
        <v>138</v>
      </c>
      <c r="C120" t="s">
        <v>343</v>
      </c>
      <c r="D120">
        <v>1780000</v>
      </c>
      <c r="E120" t="s">
        <v>115</v>
      </c>
    </row>
    <row r="121" spans="1:5" x14ac:dyDescent="0.25">
      <c r="A121" s="14">
        <v>42509.370949074073</v>
      </c>
      <c r="B121" t="s">
        <v>112</v>
      </c>
      <c r="C121" t="s">
        <v>344</v>
      </c>
      <c r="D121">
        <v>1760000</v>
      </c>
      <c r="E121" t="s">
        <v>148</v>
      </c>
    </row>
    <row r="122" spans="1:5" x14ac:dyDescent="0.25">
      <c r="A122" s="14">
        <v>42509.595810185187</v>
      </c>
      <c r="B122" t="s">
        <v>93</v>
      </c>
      <c r="C122" t="s">
        <v>345</v>
      </c>
      <c r="D122">
        <v>1090000</v>
      </c>
      <c r="E122" t="s">
        <v>222</v>
      </c>
    </row>
    <row r="123" spans="1:5" x14ac:dyDescent="0.25">
      <c r="A123" s="14">
        <v>42509.516238425924</v>
      </c>
      <c r="B123" t="s">
        <v>112</v>
      </c>
      <c r="C123" t="s">
        <v>346</v>
      </c>
      <c r="D123">
        <v>880000</v>
      </c>
      <c r="E123" t="s">
        <v>114</v>
      </c>
    </row>
    <row r="124" spans="1:5" x14ac:dyDescent="0.25">
      <c r="A124" s="14">
        <v>42509.584131944444</v>
      </c>
      <c r="B124" t="s">
        <v>138</v>
      </c>
      <c r="C124" t="s">
        <v>343</v>
      </c>
      <c r="D124">
        <v>1780000</v>
      </c>
      <c r="E124" t="s">
        <v>115</v>
      </c>
    </row>
    <row r="125" spans="1:5" x14ac:dyDescent="0.25">
      <c r="A125" s="14">
        <v>42509.629652777781</v>
      </c>
      <c r="B125" t="s">
        <v>137</v>
      </c>
      <c r="C125" t="s">
        <v>329</v>
      </c>
      <c r="D125">
        <v>1780000</v>
      </c>
      <c r="E125" t="s">
        <v>115</v>
      </c>
    </row>
    <row r="126" spans="1:5" x14ac:dyDescent="0.25">
      <c r="A126" s="14">
        <v>42509.574976851851</v>
      </c>
      <c r="B126" t="s">
        <v>147</v>
      </c>
      <c r="C126" t="s">
        <v>347</v>
      </c>
      <c r="D126">
        <v>1140000</v>
      </c>
      <c r="E126" t="s">
        <v>62</v>
      </c>
    </row>
    <row r="127" spans="1:5" x14ac:dyDescent="0.25">
      <c r="A127" s="14">
        <v>42509.663217592592</v>
      </c>
      <c r="B127" t="s">
        <v>138</v>
      </c>
      <c r="C127" t="s">
        <v>348</v>
      </c>
      <c r="D127">
        <v>1780000</v>
      </c>
      <c r="E127" t="s">
        <v>115</v>
      </c>
    </row>
    <row r="128" spans="1:5" x14ac:dyDescent="0.25">
      <c r="A128" s="14">
        <v>42509.548043981478</v>
      </c>
      <c r="B128" t="s">
        <v>94</v>
      </c>
      <c r="C128" t="s">
        <v>349</v>
      </c>
      <c r="D128">
        <v>1090000</v>
      </c>
      <c r="E128" t="s">
        <v>222</v>
      </c>
    </row>
    <row r="129" spans="1:5" x14ac:dyDescent="0.25">
      <c r="A129" s="14">
        <v>42509.692280092589</v>
      </c>
      <c r="B129" t="s">
        <v>124</v>
      </c>
      <c r="C129" t="s">
        <v>350</v>
      </c>
      <c r="D129">
        <v>1290000</v>
      </c>
      <c r="E129" t="s">
        <v>172</v>
      </c>
    </row>
    <row r="130" spans="1:5" x14ac:dyDescent="0.25">
      <c r="A130" s="14">
        <v>42509.539409722223</v>
      </c>
      <c r="B130" t="s">
        <v>112</v>
      </c>
      <c r="C130" t="s">
        <v>346</v>
      </c>
      <c r="D130">
        <v>880000</v>
      </c>
      <c r="E130" t="s">
        <v>114</v>
      </c>
    </row>
    <row r="131" spans="1:5" x14ac:dyDescent="0.25">
      <c r="A131" s="14">
        <v>42509.694930555554</v>
      </c>
      <c r="B131" t="s">
        <v>124</v>
      </c>
      <c r="C131" t="s">
        <v>350</v>
      </c>
      <c r="D131">
        <v>1290000</v>
      </c>
      <c r="E131" t="s">
        <v>172</v>
      </c>
    </row>
    <row r="132" spans="1:5" x14ac:dyDescent="0.25">
      <c r="A132" s="14">
        <v>42509.232766203706</v>
      </c>
      <c r="B132" t="s">
        <v>127</v>
      </c>
      <c r="C132" t="s">
        <v>226</v>
      </c>
      <c r="D132">
        <v>1110000</v>
      </c>
      <c r="E132" t="s">
        <v>133</v>
      </c>
    </row>
    <row r="133" spans="1:5" x14ac:dyDescent="0.25">
      <c r="A133" s="14">
        <v>42509.255127314813</v>
      </c>
      <c r="B133" t="s">
        <v>111</v>
      </c>
      <c r="C133" t="s">
        <v>224</v>
      </c>
      <c r="D133">
        <v>1760000</v>
      </c>
      <c r="E133" t="s">
        <v>148</v>
      </c>
    </row>
    <row r="134" spans="1:5" x14ac:dyDescent="0.25">
      <c r="A134" s="14">
        <v>42509.21398148148</v>
      </c>
      <c r="B134" t="s">
        <v>93</v>
      </c>
      <c r="C134" t="s">
        <v>223</v>
      </c>
      <c r="D134">
        <v>1430000</v>
      </c>
      <c r="E134" t="s">
        <v>135</v>
      </c>
    </row>
    <row r="135" spans="1:5" x14ac:dyDescent="0.25">
      <c r="A135" s="14">
        <v>42509.73841435185</v>
      </c>
      <c r="B135" t="s">
        <v>147</v>
      </c>
      <c r="C135" t="s">
        <v>337</v>
      </c>
      <c r="D135">
        <v>1140000</v>
      </c>
      <c r="E135" t="s">
        <v>62</v>
      </c>
    </row>
    <row r="136" spans="1:5" x14ac:dyDescent="0.25">
      <c r="A136" s="14">
        <v>42508.951122685183</v>
      </c>
      <c r="B136" t="s">
        <v>173</v>
      </c>
      <c r="C136" t="s">
        <v>213</v>
      </c>
      <c r="D136">
        <v>1280000</v>
      </c>
      <c r="E136" t="s">
        <v>63</v>
      </c>
    </row>
    <row r="137" spans="1:5" x14ac:dyDescent="0.25">
      <c r="A137" s="14">
        <v>42509.759942129633</v>
      </c>
      <c r="B137" t="s">
        <v>144</v>
      </c>
      <c r="C137" t="s">
        <v>351</v>
      </c>
      <c r="D137">
        <v>1840000</v>
      </c>
      <c r="E137" t="s">
        <v>333</v>
      </c>
    </row>
    <row r="138" spans="1:5" x14ac:dyDescent="0.25">
      <c r="A138" s="14">
        <v>42508.911215277774</v>
      </c>
      <c r="B138" t="s">
        <v>174</v>
      </c>
      <c r="C138" t="s">
        <v>206</v>
      </c>
      <c r="D138">
        <v>1280000</v>
      </c>
      <c r="E138" t="s">
        <v>63</v>
      </c>
    </row>
    <row r="139" spans="1:5" x14ac:dyDescent="0.25">
      <c r="A139" s="14">
        <v>42509.909317129626</v>
      </c>
      <c r="B139" t="s">
        <v>117</v>
      </c>
      <c r="C139" t="s">
        <v>352</v>
      </c>
      <c r="D139">
        <v>1830000</v>
      </c>
      <c r="E139" t="s">
        <v>145</v>
      </c>
    </row>
    <row r="140" spans="1:5" x14ac:dyDescent="0.25">
      <c r="A140" s="14">
        <v>42508.864502314813</v>
      </c>
      <c r="B140" t="s">
        <v>173</v>
      </c>
      <c r="C140" t="s">
        <v>205</v>
      </c>
      <c r="D140">
        <v>1280000</v>
      </c>
      <c r="E140" t="s">
        <v>63</v>
      </c>
    </row>
    <row r="141" spans="1:5" x14ac:dyDescent="0.25">
      <c r="A141" s="14">
        <v>42510.192129629628</v>
      </c>
      <c r="B141" t="s">
        <v>141</v>
      </c>
      <c r="C141" t="s">
        <v>353</v>
      </c>
      <c r="D141">
        <v>1750000</v>
      </c>
      <c r="E141" t="s">
        <v>108</v>
      </c>
    </row>
    <row r="142" spans="1:5" x14ac:dyDescent="0.25">
      <c r="A142" s="14">
        <v>42508.824374999997</v>
      </c>
      <c r="B142" t="s">
        <v>174</v>
      </c>
      <c r="C142" t="s">
        <v>197</v>
      </c>
      <c r="D142">
        <v>1280000</v>
      </c>
      <c r="E142" t="s">
        <v>63</v>
      </c>
    </row>
    <row r="143" spans="1:5" x14ac:dyDescent="0.25">
      <c r="A143" s="14">
        <v>42510.256469907406</v>
      </c>
      <c r="B143" t="s">
        <v>144</v>
      </c>
      <c r="C143" t="s">
        <v>354</v>
      </c>
      <c r="D143">
        <v>1110000</v>
      </c>
      <c r="E143" t="s">
        <v>133</v>
      </c>
    </row>
    <row r="144" spans="1:5" x14ac:dyDescent="0.25">
      <c r="A144" s="14">
        <v>42508.771145833336</v>
      </c>
      <c r="B144" t="s">
        <v>64</v>
      </c>
      <c r="C144" t="s">
        <v>194</v>
      </c>
      <c r="D144">
        <v>1810000</v>
      </c>
      <c r="E144" t="s">
        <v>170</v>
      </c>
    </row>
    <row r="145" spans="1:5" x14ac:dyDescent="0.25">
      <c r="A145" s="14">
        <v>42510.266805555555</v>
      </c>
      <c r="B145" t="s">
        <v>141</v>
      </c>
      <c r="C145" t="s">
        <v>355</v>
      </c>
      <c r="D145">
        <v>1750000</v>
      </c>
      <c r="E145" t="s">
        <v>108</v>
      </c>
    </row>
    <row r="146" spans="1:5" x14ac:dyDescent="0.25">
      <c r="A146" s="14">
        <v>42508.84783564815</v>
      </c>
      <c r="B146" t="s">
        <v>140</v>
      </c>
      <c r="C146" t="s">
        <v>200</v>
      </c>
      <c r="D146">
        <v>1820000</v>
      </c>
      <c r="E146" t="s">
        <v>146</v>
      </c>
    </row>
    <row r="147" spans="1:5" x14ac:dyDescent="0.25">
      <c r="A147" s="14">
        <v>42510.209791666668</v>
      </c>
      <c r="B147" t="s">
        <v>94</v>
      </c>
      <c r="C147" t="s">
        <v>356</v>
      </c>
      <c r="D147">
        <v>1430000</v>
      </c>
      <c r="E147" t="s">
        <v>135</v>
      </c>
    </row>
    <row r="148" spans="1:5" x14ac:dyDescent="0.25">
      <c r="A148" s="14">
        <v>42508.94809027778</v>
      </c>
      <c r="B148" t="s">
        <v>112</v>
      </c>
      <c r="C148" t="s">
        <v>210</v>
      </c>
      <c r="D148">
        <v>1410000</v>
      </c>
      <c r="E148" t="s">
        <v>171</v>
      </c>
    </row>
    <row r="149" spans="1:5" x14ac:dyDescent="0.25">
      <c r="A149" s="14">
        <v>42510.228587962964</v>
      </c>
      <c r="B149" t="s">
        <v>127</v>
      </c>
      <c r="C149" t="s">
        <v>357</v>
      </c>
      <c r="D149">
        <v>1360000</v>
      </c>
      <c r="E149" t="s">
        <v>358</v>
      </c>
    </row>
    <row r="150" spans="1:5" x14ac:dyDescent="0.25">
      <c r="A150" s="14">
        <v>42508.908576388887</v>
      </c>
      <c r="B150" t="s">
        <v>111</v>
      </c>
      <c r="C150" t="s">
        <v>209</v>
      </c>
      <c r="D150">
        <v>1410000</v>
      </c>
      <c r="E150" t="s">
        <v>171</v>
      </c>
    </row>
    <row r="151" spans="1:5" x14ac:dyDescent="0.25">
      <c r="A151" s="14">
        <v>42508.805358796293</v>
      </c>
      <c r="B151" t="s">
        <v>65</v>
      </c>
      <c r="C151" t="s">
        <v>195</v>
      </c>
      <c r="D151">
        <v>1810000</v>
      </c>
      <c r="E151" t="s">
        <v>170</v>
      </c>
    </row>
    <row r="152" spans="1:5" x14ac:dyDescent="0.25">
      <c r="A152" s="14">
        <v>42508.968854166669</v>
      </c>
      <c r="B152" t="s">
        <v>65</v>
      </c>
      <c r="C152" t="s">
        <v>212</v>
      </c>
      <c r="D152">
        <v>1810000</v>
      </c>
      <c r="E152" t="s">
        <v>170</v>
      </c>
    </row>
    <row r="153" spans="1:5" x14ac:dyDescent="0.25">
      <c r="A153" s="14">
        <v>42508.888460648152</v>
      </c>
      <c r="B153" t="s">
        <v>65</v>
      </c>
      <c r="C153" t="s">
        <v>204</v>
      </c>
      <c r="D153">
        <v>1810000</v>
      </c>
      <c r="E153" t="s">
        <v>170</v>
      </c>
    </row>
    <row r="154" spans="1:5" x14ac:dyDescent="0.25">
      <c r="A154" s="14">
        <v>42508.782916666663</v>
      </c>
      <c r="B154" t="s">
        <v>117</v>
      </c>
      <c r="C154" t="s">
        <v>190</v>
      </c>
      <c r="D154">
        <v>1290000</v>
      </c>
      <c r="E154" t="s">
        <v>172</v>
      </c>
    </row>
    <row r="155" spans="1:5" x14ac:dyDescent="0.25">
      <c r="A155" s="14">
        <v>42509.168726851851</v>
      </c>
      <c r="B155" t="s">
        <v>138</v>
      </c>
      <c r="C155" t="s">
        <v>232</v>
      </c>
      <c r="D155">
        <v>1430000</v>
      </c>
      <c r="E155" t="s">
        <v>135</v>
      </c>
    </row>
    <row r="156" spans="1:5" x14ac:dyDescent="0.25">
      <c r="A156" s="14">
        <v>42510.211087962962</v>
      </c>
      <c r="B156" t="s">
        <v>359</v>
      </c>
      <c r="C156" t="s">
        <v>360</v>
      </c>
      <c r="D156">
        <v>1740000</v>
      </c>
      <c r="E156" t="s">
        <v>105</v>
      </c>
    </row>
    <row r="157" spans="1:5" x14ac:dyDescent="0.25">
      <c r="A157" s="14">
        <v>42509.245150462964</v>
      </c>
      <c r="B157" t="s">
        <v>124</v>
      </c>
      <c r="C157" t="s">
        <v>235</v>
      </c>
      <c r="D157">
        <v>1100000</v>
      </c>
      <c r="E157" t="s">
        <v>134</v>
      </c>
    </row>
    <row r="158" spans="1:5" x14ac:dyDescent="0.25">
      <c r="A158" s="14">
        <v>42510.151458333334</v>
      </c>
      <c r="B158" t="s">
        <v>127</v>
      </c>
      <c r="C158" t="s">
        <v>361</v>
      </c>
      <c r="D158">
        <v>1480000</v>
      </c>
      <c r="E158" t="s">
        <v>139</v>
      </c>
    </row>
    <row r="159" spans="1:5" x14ac:dyDescent="0.25">
      <c r="A159" s="14">
        <v>42509.249930555554</v>
      </c>
      <c r="B159" t="s">
        <v>136</v>
      </c>
      <c r="C159" t="s">
        <v>236</v>
      </c>
      <c r="D159">
        <v>1300000</v>
      </c>
      <c r="E159" t="s">
        <v>116</v>
      </c>
    </row>
    <row r="160" spans="1:5" x14ac:dyDescent="0.25">
      <c r="A160" s="14">
        <v>42510.05704861111</v>
      </c>
      <c r="B160" t="s">
        <v>140</v>
      </c>
      <c r="C160" t="s">
        <v>362</v>
      </c>
      <c r="D160">
        <v>1810000</v>
      </c>
      <c r="E160" t="s">
        <v>170</v>
      </c>
    </row>
    <row r="161" spans="1:5" x14ac:dyDescent="0.25">
      <c r="A161" s="14">
        <v>42508.775937500002</v>
      </c>
      <c r="B161" t="s">
        <v>140</v>
      </c>
      <c r="C161" t="s">
        <v>229</v>
      </c>
      <c r="D161">
        <v>1820000</v>
      </c>
      <c r="E161" t="s">
        <v>146</v>
      </c>
    </row>
    <row r="162" spans="1:5" x14ac:dyDescent="0.25">
      <c r="A162" s="14">
        <v>42509.971458333333</v>
      </c>
      <c r="B162" t="s">
        <v>138</v>
      </c>
      <c r="C162" t="s">
        <v>363</v>
      </c>
      <c r="D162">
        <v>1820000</v>
      </c>
      <c r="E162" t="s">
        <v>146</v>
      </c>
    </row>
    <row r="163" spans="1:5" x14ac:dyDescent="0.25">
      <c r="A163" s="14">
        <v>42509.330949074072</v>
      </c>
      <c r="B163" t="s">
        <v>111</v>
      </c>
      <c r="C163" t="s">
        <v>364</v>
      </c>
      <c r="D163">
        <v>1760000</v>
      </c>
      <c r="E163" t="s">
        <v>148</v>
      </c>
    </row>
    <row r="164" spans="1:5" x14ac:dyDescent="0.25">
      <c r="A164" s="14">
        <v>42510.250798611109</v>
      </c>
      <c r="B164" t="s">
        <v>138</v>
      </c>
      <c r="C164" t="s">
        <v>365</v>
      </c>
      <c r="D164">
        <v>1740000</v>
      </c>
      <c r="E164" t="s">
        <v>105</v>
      </c>
    </row>
    <row r="165" spans="1:5" x14ac:dyDescent="0.25">
      <c r="A165" s="14">
        <v>42508.864351851851</v>
      </c>
      <c r="B165" t="s">
        <v>112</v>
      </c>
      <c r="C165" t="s">
        <v>202</v>
      </c>
      <c r="D165">
        <v>1410000</v>
      </c>
      <c r="E165" t="s">
        <v>171</v>
      </c>
    </row>
    <row r="166" spans="1:5" x14ac:dyDescent="0.25">
      <c r="A166" s="14">
        <v>42510.244120370371</v>
      </c>
      <c r="B166" t="s">
        <v>174</v>
      </c>
      <c r="C166" t="s">
        <v>366</v>
      </c>
      <c r="D166">
        <v>1760000</v>
      </c>
      <c r="E166" t="s">
        <v>148</v>
      </c>
    </row>
    <row r="167" spans="1:5" x14ac:dyDescent="0.25">
      <c r="A167" s="14">
        <v>42509.245405092595</v>
      </c>
      <c r="B167" t="s">
        <v>138</v>
      </c>
      <c r="C167" t="s">
        <v>234</v>
      </c>
      <c r="D167">
        <v>1430000</v>
      </c>
      <c r="E167" t="s">
        <v>135</v>
      </c>
    </row>
    <row r="168" spans="1:5" x14ac:dyDescent="0.25">
      <c r="A168" s="14">
        <v>42510.212129629632</v>
      </c>
      <c r="B168" t="s">
        <v>359</v>
      </c>
      <c r="C168" t="s">
        <v>360</v>
      </c>
      <c r="D168">
        <v>1740000</v>
      </c>
      <c r="E168" t="s">
        <v>105</v>
      </c>
    </row>
    <row r="169" spans="1:5" x14ac:dyDescent="0.25">
      <c r="A169" s="14">
        <v>42509.262824074074</v>
      </c>
      <c r="B169" t="s">
        <v>147</v>
      </c>
      <c r="C169" t="s">
        <v>230</v>
      </c>
      <c r="D169">
        <v>1200000</v>
      </c>
      <c r="E169" t="s">
        <v>231</v>
      </c>
    </row>
    <row r="170" spans="1:5" x14ac:dyDescent="0.25">
      <c r="A170" s="14">
        <v>42510.169953703706</v>
      </c>
      <c r="B170" t="s">
        <v>93</v>
      </c>
      <c r="C170" t="s">
        <v>367</v>
      </c>
      <c r="D170">
        <v>1430000</v>
      </c>
      <c r="E170" t="s">
        <v>135</v>
      </c>
    </row>
    <row r="171" spans="1:5" x14ac:dyDescent="0.25">
      <c r="A171" s="14">
        <v>42509.34065972222</v>
      </c>
      <c r="B171" t="s">
        <v>141</v>
      </c>
      <c r="C171" t="s">
        <v>368</v>
      </c>
      <c r="D171">
        <v>1800000</v>
      </c>
      <c r="E171" t="s">
        <v>104</v>
      </c>
    </row>
    <row r="172" spans="1:5" x14ac:dyDescent="0.25">
      <c r="A172" s="14">
        <v>42510.029108796298</v>
      </c>
      <c r="B172" t="s">
        <v>147</v>
      </c>
      <c r="C172" t="s">
        <v>369</v>
      </c>
      <c r="D172">
        <v>1840000</v>
      </c>
      <c r="E172" t="s">
        <v>333</v>
      </c>
    </row>
    <row r="173" spans="1:5" x14ac:dyDescent="0.25">
      <c r="A173" s="14">
        <v>42508.809976851851</v>
      </c>
      <c r="B173" t="s">
        <v>141</v>
      </c>
      <c r="C173" t="s">
        <v>198</v>
      </c>
      <c r="D173">
        <v>1820000</v>
      </c>
      <c r="E173" t="s">
        <v>146</v>
      </c>
    </row>
    <row r="174" spans="1:5" x14ac:dyDescent="0.25">
      <c r="A174" s="14">
        <v>42509.948599537034</v>
      </c>
      <c r="B174" t="s">
        <v>121</v>
      </c>
      <c r="C174" t="s">
        <v>338</v>
      </c>
      <c r="D174">
        <v>1830000</v>
      </c>
      <c r="E174" t="s">
        <v>145</v>
      </c>
    </row>
    <row r="175" spans="1:5" x14ac:dyDescent="0.25">
      <c r="A175" s="14">
        <v>42509.267337962963</v>
      </c>
      <c r="B175" t="s">
        <v>141</v>
      </c>
      <c r="C175" t="s">
        <v>237</v>
      </c>
      <c r="D175">
        <v>1800000</v>
      </c>
      <c r="E175" t="s">
        <v>104</v>
      </c>
    </row>
    <row r="176" spans="1:5" x14ac:dyDescent="0.25">
      <c r="A176" s="14">
        <v>42509.697476851848</v>
      </c>
      <c r="B176" t="s">
        <v>127</v>
      </c>
      <c r="C176" t="s">
        <v>331</v>
      </c>
      <c r="D176">
        <v>1280000</v>
      </c>
      <c r="E176" t="s">
        <v>63</v>
      </c>
    </row>
    <row r="177" spans="1:5" x14ac:dyDescent="0.25">
      <c r="A177" s="14">
        <v>42509.433298611111</v>
      </c>
      <c r="B177" t="s">
        <v>125</v>
      </c>
      <c r="C177" t="s">
        <v>370</v>
      </c>
      <c r="D177">
        <v>1100000</v>
      </c>
      <c r="E177" t="s">
        <v>134</v>
      </c>
    </row>
    <row r="178" spans="1:5" x14ac:dyDescent="0.25">
      <c r="A178" s="14">
        <v>42509.634351851855</v>
      </c>
      <c r="B178" t="s">
        <v>94</v>
      </c>
      <c r="C178" t="s">
        <v>371</v>
      </c>
      <c r="D178">
        <v>1090000</v>
      </c>
      <c r="E178" t="s">
        <v>222</v>
      </c>
    </row>
    <row r="179" spans="1:5" x14ac:dyDescent="0.25">
      <c r="A179" s="14">
        <v>42509.457905092589</v>
      </c>
      <c r="B179" t="s">
        <v>127</v>
      </c>
      <c r="C179" t="s">
        <v>372</v>
      </c>
      <c r="D179">
        <v>1200000</v>
      </c>
      <c r="E179" t="s">
        <v>231</v>
      </c>
    </row>
    <row r="180" spans="1:5" x14ac:dyDescent="0.25">
      <c r="A180" s="14">
        <v>42509.608472222222</v>
      </c>
      <c r="B180" t="s">
        <v>112</v>
      </c>
      <c r="C180" t="s">
        <v>373</v>
      </c>
      <c r="D180">
        <v>880000</v>
      </c>
      <c r="E180" t="s">
        <v>114</v>
      </c>
    </row>
    <row r="181" spans="1:5" x14ac:dyDescent="0.25">
      <c r="A181" s="14">
        <v>42509.482222222221</v>
      </c>
      <c r="B181" t="s">
        <v>147</v>
      </c>
      <c r="C181" t="s">
        <v>374</v>
      </c>
      <c r="D181">
        <v>1100000</v>
      </c>
      <c r="E181" t="s">
        <v>134</v>
      </c>
    </row>
    <row r="182" spans="1:5" x14ac:dyDescent="0.25">
      <c r="A182" s="14">
        <v>42509.588854166665</v>
      </c>
      <c r="B182" t="s">
        <v>126</v>
      </c>
      <c r="C182" t="s">
        <v>375</v>
      </c>
      <c r="D182">
        <v>1280000</v>
      </c>
      <c r="E182" t="s">
        <v>63</v>
      </c>
    </row>
    <row r="183" spans="1:5" x14ac:dyDescent="0.25">
      <c r="A183" s="14">
        <v>42509.554016203707</v>
      </c>
      <c r="B183" t="s">
        <v>136</v>
      </c>
      <c r="C183" t="s">
        <v>376</v>
      </c>
      <c r="D183">
        <v>1770000</v>
      </c>
      <c r="E183" t="s">
        <v>103</v>
      </c>
    </row>
    <row r="184" spans="1:5" x14ac:dyDescent="0.25">
      <c r="A184" s="14">
        <v>42509.553287037037</v>
      </c>
      <c r="B184" t="s">
        <v>94</v>
      </c>
      <c r="C184" t="s">
        <v>377</v>
      </c>
      <c r="D184">
        <v>1090000</v>
      </c>
      <c r="E184" t="s">
        <v>222</v>
      </c>
    </row>
    <row r="185" spans="1:5" x14ac:dyDescent="0.25">
      <c r="A185" s="14">
        <v>42509.578263888892</v>
      </c>
      <c r="B185" t="s">
        <v>123</v>
      </c>
      <c r="C185" t="s">
        <v>378</v>
      </c>
      <c r="D185">
        <v>1290000</v>
      </c>
      <c r="E185" t="s">
        <v>172</v>
      </c>
    </row>
    <row r="186" spans="1:5" x14ac:dyDescent="0.25">
      <c r="A186" s="14">
        <v>42509.550243055557</v>
      </c>
      <c r="B186" t="s">
        <v>137</v>
      </c>
      <c r="C186" t="s">
        <v>379</v>
      </c>
      <c r="D186">
        <v>1750000</v>
      </c>
      <c r="E186" t="s">
        <v>108</v>
      </c>
    </row>
    <row r="187" spans="1:5" x14ac:dyDescent="0.25">
      <c r="A187" s="14">
        <v>42509.586018518516</v>
      </c>
      <c r="B187" t="s">
        <v>138</v>
      </c>
      <c r="C187" t="s">
        <v>343</v>
      </c>
      <c r="D187">
        <v>1780000</v>
      </c>
      <c r="E187" t="s">
        <v>115</v>
      </c>
    </row>
    <row r="188" spans="1:5" x14ac:dyDescent="0.25">
      <c r="A188" s="14">
        <v>42509.526863425926</v>
      </c>
      <c r="B188" t="s">
        <v>144</v>
      </c>
      <c r="C188" t="s">
        <v>380</v>
      </c>
      <c r="D188">
        <v>1140000</v>
      </c>
      <c r="E188" t="s">
        <v>62</v>
      </c>
    </row>
    <row r="189" spans="1:5" x14ac:dyDescent="0.25">
      <c r="A189" s="14">
        <v>42509.660694444443</v>
      </c>
      <c r="B189" t="s">
        <v>126</v>
      </c>
      <c r="C189" t="s">
        <v>381</v>
      </c>
      <c r="D189">
        <v>1280000</v>
      </c>
      <c r="E189" t="s">
        <v>63</v>
      </c>
    </row>
    <row r="190" spans="1:5" x14ac:dyDescent="0.25">
      <c r="A190" s="14">
        <v>42509.50712962963</v>
      </c>
      <c r="B190" t="s">
        <v>93</v>
      </c>
      <c r="C190" t="s">
        <v>382</v>
      </c>
      <c r="D190">
        <v>1090000</v>
      </c>
      <c r="E190" t="s">
        <v>222</v>
      </c>
    </row>
    <row r="191" spans="1:5" x14ac:dyDescent="0.25">
      <c r="A191" s="14">
        <v>42509.690671296295</v>
      </c>
      <c r="B191" t="s">
        <v>124</v>
      </c>
      <c r="C191" t="s">
        <v>350</v>
      </c>
      <c r="D191">
        <v>1290000</v>
      </c>
      <c r="E191" t="s">
        <v>172</v>
      </c>
    </row>
    <row r="192" spans="1:5" x14ac:dyDescent="0.25">
      <c r="A192" s="14">
        <v>42509.494108796294</v>
      </c>
      <c r="B192" t="s">
        <v>126</v>
      </c>
      <c r="C192" t="s">
        <v>372</v>
      </c>
      <c r="D192">
        <v>1200000</v>
      </c>
      <c r="E192" t="s">
        <v>231</v>
      </c>
    </row>
    <row r="193" spans="1:5" x14ac:dyDescent="0.25">
      <c r="A193" s="14">
        <v>42509.703530092593</v>
      </c>
      <c r="B193" t="s">
        <v>124</v>
      </c>
      <c r="C193" t="s">
        <v>350</v>
      </c>
      <c r="D193">
        <v>1290000</v>
      </c>
      <c r="E193" t="s">
        <v>172</v>
      </c>
    </row>
    <row r="194" spans="1:5" x14ac:dyDescent="0.25">
      <c r="A194" s="14">
        <v>42509.722222222219</v>
      </c>
      <c r="B194" t="s">
        <v>147</v>
      </c>
      <c r="C194" t="s">
        <v>337</v>
      </c>
      <c r="D194">
        <v>1140000</v>
      </c>
      <c r="E194" t="s">
        <v>62</v>
      </c>
    </row>
    <row r="195" spans="1:5" x14ac:dyDescent="0.25">
      <c r="A195" s="14">
        <v>42509.819861111115</v>
      </c>
      <c r="B195" t="s">
        <v>136</v>
      </c>
      <c r="C195" t="s">
        <v>383</v>
      </c>
      <c r="D195">
        <v>1770000</v>
      </c>
      <c r="E195" t="s">
        <v>103</v>
      </c>
    </row>
    <row r="196" spans="1:5" x14ac:dyDescent="0.25">
      <c r="A196" s="14">
        <v>42509.687442129631</v>
      </c>
      <c r="B196" t="s">
        <v>144</v>
      </c>
      <c r="C196" t="s">
        <v>384</v>
      </c>
      <c r="D196">
        <v>1140000</v>
      </c>
      <c r="E196" t="s">
        <v>62</v>
      </c>
    </row>
    <row r="197" spans="1:5" x14ac:dyDescent="0.25">
      <c r="A197" s="14">
        <v>42509.906284722223</v>
      </c>
      <c r="B197" t="s">
        <v>144</v>
      </c>
      <c r="C197" t="s">
        <v>385</v>
      </c>
      <c r="D197">
        <v>1840000</v>
      </c>
      <c r="E197" t="s">
        <v>333</v>
      </c>
    </row>
    <row r="198" spans="1:5" x14ac:dyDescent="0.25">
      <c r="A198" s="14">
        <v>42509.630902777775</v>
      </c>
      <c r="B198" t="s">
        <v>137</v>
      </c>
      <c r="C198" t="s">
        <v>329</v>
      </c>
      <c r="D198">
        <v>1780000</v>
      </c>
      <c r="E198" t="s">
        <v>115</v>
      </c>
    </row>
    <row r="199" spans="1:5" x14ac:dyDescent="0.25">
      <c r="A199" s="14">
        <v>42510.224629629629</v>
      </c>
      <c r="B199" t="s">
        <v>147</v>
      </c>
      <c r="C199" t="s">
        <v>386</v>
      </c>
      <c r="D199">
        <v>1110000</v>
      </c>
      <c r="E199" t="s">
        <v>133</v>
      </c>
    </row>
    <row r="200" spans="1:5" x14ac:dyDescent="0.25">
      <c r="A200" s="14">
        <v>42509.35659722222</v>
      </c>
      <c r="B200" t="s">
        <v>137</v>
      </c>
      <c r="C200" t="s">
        <v>387</v>
      </c>
      <c r="D200">
        <v>1430000</v>
      </c>
      <c r="E200" t="s">
        <v>135</v>
      </c>
    </row>
    <row r="201" spans="1:5" x14ac:dyDescent="0.25">
      <c r="A201" s="14">
        <v>42510.264085648145</v>
      </c>
      <c r="B201" t="s">
        <v>126</v>
      </c>
      <c r="C201" t="s">
        <v>388</v>
      </c>
      <c r="D201">
        <v>1360000</v>
      </c>
      <c r="E201" t="s">
        <v>358</v>
      </c>
    </row>
    <row r="202" spans="1:5" x14ac:dyDescent="0.25">
      <c r="A202" s="14">
        <v>42509.168993055559</v>
      </c>
      <c r="B202" t="s">
        <v>136</v>
      </c>
      <c r="C202" t="s">
        <v>238</v>
      </c>
      <c r="D202">
        <v>1300000</v>
      </c>
      <c r="E202" t="s">
        <v>116</v>
      </c>
    </row>
    <row r="203" spans="1:5" x14ac:dyDescent="0.25">
      <c r="A203" s="14">
        <v>42509.575937499998</v>
      </c>
      <c r="B203" t="s">
        <v>147</v>
      </c>
      <c r="C203" t="s">
        <v>347</v>
      </c>
      <c r="D203">
        <v>1140000</v>
      </c>
      <c r="E203" t="s">
        <v>62</v>
      </c>
    </row>
    <row r="204" spans="1:5" x14ac:dyDescent="0.25">
      <c r="A204" s="14">
        <v>42509.156747685185</v>
      </c>
      <c r="B204" t="s">
        <v>144</v>
      </c>
      <c r="C204" t="s">
        <v>233</v>
      </c>
      <c r="D204">
        <v>1110000</v>
      </c>
      <c r="E204" t="s">
        <v>133</v>
      </c>
    </row>
    <row r="205" spans="1:5" x14ac:dyDescent="0.25">
      <c r="A205" s="14">
        <v>42509.704363425924</v>
      </c>
      <c r="B205" t="s">
        <v>94</v>
      </c>
      <c r="C205" t="s">
        <v>389</v>
      </c>
      <c r="D205">
        <v>1090000</v>
      </c>
      <c r="E205" t="s">
        <v>222</v>
      </c>
    </row>
    <row r="206" spans="1:5" x14ac:dyDescent="0.25">
      <c r="A206" s="14">
        <v>42509.86346064815</v>
      </c>
      <c r="B206" t="s">
        <v>147</v>
      </c>
      <c r="C206" t="s">
        <v>332</v>
      </c>
      <c r="D206">
        <v>1840000</v>
      </c>
      <c r="E206" t="s">
        <v>333</v>
      </c>
    </row>
    <row r="207" spans="1:5" x14ac:dyDescent="0.25">
      <c r="A207" s="14">
        <v>42509.98578703704</v>
      </c>
      <c r="B207" t="s">
        <v>144</v>
      </c>
      <c r="C207" t="s">
        <v>390</v>
      </c>
      <c r="D207">
        <v>1840000</v>
      </c>
      <c r="E207" t="s">
        <v>333</v>
      </c>
    </row>
    <row r="208" spans="1:5" x14ac:dyDescent="0.25">
      <c r="A208" s="14">
        <v>42509.831250000003</v>
      </c>
      <c r="B208" t="s">
        <v>144</v>
      </c>
      <c r="C208" t="s">
        <v>391</v>
      </c>
      <c r="D208">
        <v>1840000</v>
      </c>
      <c r="E208" t="s">
        <v>333</v>
      </c>
    </row>
    <row r="209" spans="1:5" x14ac:dyDescent="0.25">
      <c r="A209" s="14">
        <v>42510.047488425924</v>
      </c>
      <c r="B209" t="s">
        <v>138</v>
      </c>
      <c r="C209" t="s">
        <v>392</v>
      </c>
      <c r="D209">
        <v>1820000</v>
      </c>
      <c r="E209" t="s">
        <v>146</v>
      </c>
    </row>
    <row r="210" spans="1:5" x14ac:dyDescent="0.25">
      <c r="A210" s="14">
        <v>42509.824340277781</v>
      </c>
      <c r="B210" t="s">
        <v>112</v>
      </c>
      <c r="C210" t="s">
        <v>393</v>
      </c>
      <c r="D210">
        <v>1830000</v>
      </c>
      <c r="E210" t="s">
        <v>145</v>
      </c>
    </row>
    <row r="211" spans="1:5" x14ac:dyDescent="0.25">
      <c r="A211" s="14">
        <v>42509.421967592592</v>
      </c>
      <c r="B211" t="s">
        <v>126</v>
      </c>
      <c r="C211" t="s">
        <v>394</v>
      </c>
      <c r="D211">
        <v>1110000</v>
      </c>
      <c r="E211" t="s">
        <v>133</v>
      </c>
    </row>
    <row r="212" spans="1:5" x14ac:dyDescent="0.25">
      <c r="A212" s="14">
        <v>42509.785219907404</v>
      </c>
      <c r="B212" t="s">
        <v>136</v>
      </c>
      <c r="C212" t="s">
        <v>383</v>
      </c>
      <c r="D212">
        <v>1770000</v>
      </c>
      <c r="E212" t="s">
        <v>103</v>
      </c>
    </row>
    <row r="213" spans="1:5" x14ac:dyDescent="0.25">
      <c r="A213" s="14">
        <v>42509.423877314817</v>
      </c>
      <c r="B213" t="s">
        <v>126</v>
      </c>
      <c r="C213" t="s">
        <v>394</v>
      </c>
      <c r="D213">
        <v>1110000</v>
      </c>
      <c r="E213" t="s">
        <v>133</v>
      </c>
    </row>
    <row r="214" spans="1:5" x14ac:dyDescent="0.25">
      <c r="A214" s="14">
        <v>42509.74628472222</v>
      </c>
      <c r="B214" t="s">
        <v>125</v>
      </c>
      <c r="C214" t="s">
        <v>395</v>
      </c>
      <c r="D214">
        <v>1770000</v>
      </c>
      <c r="E214" t="s">
        <v>103</v>
      </c>
    </row>
    <row r="215" spans="1:5" x14ac:dyDescent="0.25">
      <c r="A215" s="14">
        <v>42509.528900462959</v>
      </c>
      <c r="B215" t="s">
        <v>140</v>
      </c>
      <c r="C215" t="s">
        <v>396</v>
      </c>
      <c r="D215">
        <v>1780000</v>
      </c>
      <c r="E215" t="s">
        <v>115</v>
      </c>
    </row>
    <row r="216" spans="1:5" x14ac:dyDescent="0.25">
      <c r="A216" s="14">
        <v>42509.740300925929</v>
      </c>
      <c r="B216" t="s">
        <v>93</v>
      </c>
      <c r="C216" t="s">
        <v>397</v>
      </c>
      <c r="D216">
        <v>1090000</v>
      </c>
      <c r="E216" t="s">
        <v>222</v>
      </c>
    </row>
    <row r="217" spans="1:5" x14ac:dyDescent="0.25">
      <c r="A217" s="14">
        <v>42509.594467592593</v>
      </c>
      <c r="B217" t="s">
        <v>93</v>
      </c>
      <c r="C217" t="s">
        <v>345</v>
      </c>
      <c r="D217">
        <v>1090000</v>
      </c>
      <c r="E217" t="s">
        <v>222</v>
      </c>
    </row>
    <row r="218" spans="1:5" x14ac:dyDescent="0.25">
      <c r="A218" s="14">
        <v>42509.739085648151</v>
      </c>
      <c r="B218" t="s">
        <v>138</v>
      </c>
      <c r="C218" t="s">
        <v>398</v>
      </c>
      <c r="D218">
        <v>1820000</v>
      </c>
      <c r="E218" t="s">
        <v>146</v>
      </c>
    </row>
    <row r="219" spans="1:5" x14ac:dyDescent="0.25">
      <c r="A219" s="14">
        <v>42509.621006944442</v>
      </c>
      <c r="B219" t="s">
        <v>124</v>
      </c>
      <c r="C219" t="s">
        <v>399</v>
      </c>
      <c r="D219">
        <v>1290000</v>
      </c>
      <c r="E219" t="s">
        <v>172</v>
      </c>
    </row>
    <row r="220" spans="1:5" x14ac:dyDescent="0.25">
      <c r="A220" s="14">
        <v>42509.706655092596</v>
      </c>
      <c r="B220" t="s">
        <v>136</v>
      </c>
      <c r="C220" t="s">
        <v>400</v>
      </c>
      <c r="D220">
        <v>1770000</v>
      </c>
      <c r="E220" t="s">
        <v>103</v>
      </c>
    </row>
    <row r="221" spans="1:5" x14ac:dyDescent="0.25">
      <c r="A221" s="14">
        <v>42509.631932870368</v>
      </c>
      <c r="B221" t="s">
        <v>137</v>
      </c>
      <c r="C221" t="s">
        <v>329</v>
      </c>
      <c r="D221">
        <v>1780000</v>
      </c>
      <c r="E221" t="s">
        <v>115</v>
      </c>
    </row>
    <row r="222" spans="1:5" x14ac:dyDescent="0.25">
      <c r="A222" s="14">
        <v>42509.646122685182</v>
      </c>
      <c r="B222" t="s">
        <v>111</v>
      </c>
      <c r="C222" t="s">
        <v>401</v>
      </c>
      <c r="D222">
        <v>880000</v>
      </c>
      <c r="E222" t="s">
        <v>114</v>
      </c>
    </row>
    <row r="223" spans="1:5" x14ac:dyDescent="0.25">
      <c r="A223" s="14">
        <v>42509.644942129627</v>
      </c>
      <c r="B223" t="s">
        <v>111</v>
      </c>
      <c r="C223" t="s">
        <v>401</v>
      </c>
      <c r="D223">
        <v>880000</v>
      </c>
      <c r="E223" t="s">
        <v>114</v>
      </c>
    </row>
    <row r="224" spans="1:5" x14ac:dyDescent="0.25">
      <c r="A224" s="14">
        <v>42509.619189814817</v>
      </c>
      <c r="B224" t="s">
        <v>124</v>
      </c>
      <c r="C224" t="s">
        <v>399</v>
      </c>
      <c r="D224">
        <v>1290000</v>
      </c>
      <c r="E224" t="s">
        <v>172</v>
      </c>
    </row>
    <row r="225" spans="1:5" x14ac:dyDescent="0.25">
      <c r="A225" s="14">
        <v>42509.733993055554</v>
      </c>
      <c r="B225" t="s">
        <v>126</v>
      </c>
      <c r="C225" t="s">
        <v>402</v>
      </c>
      <c r="D225">
        <v>1280000</v>
      </c>
      <c r="E225" t="s">
        <v>63</v>
      </c>
    </row>
    <row r="226" spans="1:5" x14ac:dyDescent="0.25">
      <c r="A226" s="14">
        <v>42509.595000000001</v>
      </c>
      <c r="B226" t="s">
        <v>125</v>
      </c>
      <c r="C226" t="s">
        <v>403</v>
      </c>
      <c r="D226">
        <v>1770000</v>
      </c>
      <c r="E226" t="s">
        <v>103</v>
      </c>
    </row>
    <row r="227" spans="1:5" x14ac:dyDescent="0.25">
      <c r="A227" s="14">
        <v>42509.750925925924</v>
      </c>
      <c r="B227" t="s">
        <v>112</v>
      </c>
      <c r="C227" t="s">
        <v>404</v>
      </c>
      <c r="D227">
        <v>1830000</v>
      </c>
      <c r="E227" t="s">
        <v>145</v>
      </c>
    </row>
    <row r="228" spans="1:5" x14ac:dyDescent="0.25">
      <c r="A228" s="14">
        <v>42509.56863425926</v>
      </c>
      <c r="B228" t="s">
        <v>147</v>
      </c>
      <c r="C228" t="s">
        <v>347</v>
      </c>
      <c r="D228">
        <v>1140000</v>
      </c>
      <c r="E228" t="s">
        <v>62</v>
      </c>
    </row>
    <row r="229" spans="1:5" x14ac:dyDescent="0.25">
      <c r="A229" s="14">
        <v>42509.946145833332</v>
      </c>
      <c r="B229" t="s">
        <v>147</v>
      </c>
      <c r="C229" t="s">
        <v>405</v>
      </c>
      <c r="D229">
        <v>1840000</v>
      </c>
      <c r="E229" t="s">
        <v>333</v>
      </c>
    </row>
    <row r="230" spans="1:5" x14ac:dyDescent="0.25">
      <c r="A230" s="14">
        <v>42509.534085648149</v>
      </c>
      <c r="B230" t="s">
        <v>124</v>
      </c>
      <c r="C230" t="s">
        <v>406</v>
      </c>
      <c r="D230">
        <v>1290000</v>
      </c>
      <c r="E230" t="s">
        <v>172</v>
      </c>
    </row>
    <row r="231" spans="1:5" x14ac:dyDescent="0.25">
      <c r="A231" s="14">
        <v>42510.028043981481</v>
      </c>
      <c r="B231" t="s">
        <v>147</v>
      </c>
      <c r="C231" t="s">
        <v>369</v>
      </c>
      <c r="D231">
        <v>1840000</v>
      </c>
      <c r="E231" t="s">
        <v>333</v>
      </c>
    </row>
    <row r="232" spans="1:5" x14ac:dyDescent="0.25">
      <c r="A232" s="14">
        <v>42509.4612037037</v>
      </c>
      <c r="B232" t="s">
        <v>124</v>
      </c>
      <c r="C232" t="s">
        <v>407</v>
      </c>
      <c r="D232">
        <v>1800000</v>
      </c>
      <c r="E232" t="s">
        <v>104</v>
      </c>
    </row>
    <row r="233" spans="1:5" x14ac:dyDescent="0.25">
      <c r="A233" s="14">
        <v>42510.170173611114</v>
      </c>
      <c r="B233" t="s">
        <v>138</v>
      </c>
      <c r="C233" t="s">
        <v>408</v>
      </c>
      <c r="D233">
        <v>1740000</v>
      </c>
      <c r="E233" t="s">
        <v>105</v>
      </c>
    </row>
    <row r="234" spans="1:5" x14ac:dyDescent="0.25">
      <c r="A234" s="14">
        <v>42509.349814814814</v>
      </c>
      <c r="B234" t="s">
        <v>123</v>
      </c>
      <c r="C234" t="s">
        <v>409</v>
      </c>
      <c r="D234">
        <v>1100000</v>
      </c>
      <c r="E234" t="s">
        <v>134</v>
      </c>
    </row>
    <row r="235" spans="1:5" x14ac:dyDescent="0.25">
      <c r="A235" s="14">
        <v>42508.843541666669</v>
      </c>
      <c r="B235" t="s">
        <v>140</v>
      </c>
      <c r="C235" t="s">
        <v>200</v>
      </c>
      <c r="D235">
        <v>1820000</v>
      </c>
      <c r="E235" t="s">
        <v>146</v>
      </c>
    </row>
    <row r="236" spans="1:5" x14ac:dyDescent="0.25">
      <c r="A236" s="14">
        <v>42509.230567129627</v>
      </c>
      <c r="B236" t="s">
        <v>140</v>
      </c>
      <c r="C236" t="s">
        <v>228</v>
      </c>
      <c r="D236">
        <v>1800000</v>
      </c>
      <c r="E236" t="s">
        <v>104</v>
      </c>
    </row>
    <row r="237" spans="1:5" x14ac:dyDescent="0.25">
      <c r="A237" s="14">
        <v>42509.155497685184</v>
      </c>
      <c r="B237" t="s">
        <v>144</v>
      </c>
      <c r="C237" t="s">
        <v>233</v>
      </c>
      <c r="D237">
        <v>1110000</v>
      </c>
      <c r="E237" t="s">
        <v>133</v>
      </c>
    </row>
    <row r="238" spans="1:5" x14ac:dyDescent="0.25">
      <c r="A238" s="14">
        <v>42509.016562500001</v>
      </c>
      <c r="B238" t="s">
        <v>64</v>
      </c>
      <c r="C238" t="s">
        <v>219</v>
      </c>
      <c r="D238">
        <v>1810000</v>
      </c>
      <c r="E238" t="s">
        <v>170</v>
      </c>
    </row>
    <row r="239" spans="1:5" x14ac:dyDescent="0.25">
      <c r="A239" s="14">
        <v>42509.276435185187</v>
      </c>
      <c r="B239" t="s">
        <v>126</v>
      </c>
      <c r="C239" t="s">
        <v>248</v>
      </c>
      <c r="D239">
        <v>1110000</v>
      </c>
      <c r="E239" t="s">
        <v>133</v>
      </c>
    </row>
    <row r="240" spans="1:5" x14ac:dyDescent="0.25">
      <c r="A240" s="14">
        <v>42508.80091435185</v>
      </c>
      <c r="B240" t="s">
        <v>123</v>
      </c>
      <c r="C240" t="s">
        <v>221</v>
      </c>
      <c r="D240">
        <v>970000</v>
      </c>
      <c r="E240" t="s">
        <v>225</v>
      </c>
    </row>
    <row r="241" spans="1:5" x14ac:dyDescent="0.25">
      <c r="A241" s="14">
        <v>42509.286458333336</v>
      </c>
      <c r="B241" t="s">
        <v>137</v>
      </c>
      <c r="C241" t="s">
        <v>244</v>
      </c>
      <c r="D241">
        <v>1430000</v>
      </c>
      <c r="E241" t="s">
        <v>135</v>
      </c>
    </row>
    <row r="242" spans="1:5" x14ac:dyDescent="0.25">
      <c r="A242" s="14">
        <v>42508.777453703704</v>
      </c>
      <c r="B242" t="s">
        <v>140</v>
      </c>
      <c r="C242" t="s">
        <v>229</v>
      </c>
      <c r="D242">
        <v>1820000</v>
      </c>
      <c r="E242" t="s">
        <v>146</v>
      </c>
    </row>
    <row r="243" spans="1:5" x14ac:dyDescent="0.25">
      <c r="A243" s="14">
        <v>42509.396412037036</v>
      </c>
      <c r="B243" t="s">
        <v>136</v>
      </c>
      <c r="C243" t="s">
        <v>410</v>
      </c>
      <c r="D243">
        <v>1300000</v>
      </c>
      <c r="E243" t="s">
        <v>116</v>
      </c>
    </row>
    <row r="244" spans="1:5" x14ac:dyDescent="0.25">
      <c r="A244" s="14">
        <v>42508.778773148151</v>
      </c>
      <c r="B244" t="s">
        <v>140</v>
      </c>
      <c r="C244" t="s">
        <v>229</v>
      </c>
      <c r="D244">
        <v>1820000</v>
      </c>
      <c r="E244" t="s">
        <v>146</v>
      </c>
    </row>
    <row r="245" spans="1:5" x14ac:dyDescent="0.25">
      <c r="A245" s="14">
        <v>42509.446099537039</v>
      </c>
      <c r="B245" t="s">
        <v>144</v>
      </c>
      <c r="C245" t="s">
        <v>411</v>
      </c>
      <c r="D245">
        <v>880000</v>
      </c>
      <c r="E245" t="s">
        <v>114</v>
      </c>
    </row>
    <row r="246" spans="1:5" x14ac:dyDescent="0.25">
      <c r="A246" s="14">
        <v>42509.122523148151</v>
      </c>
      <c r="B246" t="s">
        <v>123</v>
      </c>
      <c r="C246" t="s">
        <v>239</v>
      </c>
      <c r="D246">
        <v>1300000</v>
      </c>
      <c r="E246" t="s">
        <v>116</v>
      </c>
    </row>
    <row r="247" spans="1:5" x14ac:dyDescent="0.25">
      <c r="A247" s="14">
        <v>42509.639918981484</v>
      </c>
      <c r="B247" t="s">
        <v>136</v>
      </c>
      <c r="C247" t="s">
        <v>412</v>
      </c>
      <c r="D247">
        <v>1770000</v>
      </c>
      <c r="E247" t="s">
        <v>103</v>
      </c>
    </row>
    <row r="248" spans="1:5" x14ac:dyDescent="0.25">
      <c r="A248" s="14">
        <v>42508.829155092593</v>
      </c>
      <c r="B248" t="s">
        <v>111</v>
      </c>
      <c r="C248" t="s">
        <v>201</v>
      </c>
      <c r="D248">
        <v>1410000</v>
      </c>
      <c r="E248" t="s">
        <v>171</v>
      </c>
    </row>
    <row r="249" spans="1:5" x14ac:dyDescent="0.25">
      <c r="A249" s="14">
        <v>42509.671724537038</v>
      </c>
      <c r="B249" t="s">
        <v>93</v>
      </c>
      <c r="C249" t="s">
        <v>413</v>
      </c>
      <c r="D249">
        <v>1090000</v>
      </c>
      <c r="E249" t="s">
        <v>222</v>
      </c>
    </row>
    <row r="250" spans="1:5" x14ac:dyDescent="0.25">
      <c r="A250" s="14">
        <v>42509.968634259261</v>
      </c>
      <c r="B250" t="s">
        <v>140</v>
      </c>
      <c r="C250" t="s">
        <v>414</v>
      </c>
      <c r="D250">
        <v>1810000</v>
      </c>
      <c r="E250" t="s">
        <v>170</v>
      </c>
    </row>
    <row r="251" spans="1:5" x14ac:dyDescent="0.25">
      <c r="A251" s="14">
        <v>42508.79178240741</v>
      </c>
      <c r="B251" t="s">
        <v>112</v>
      </c>
      <c r="C251" t="s">
        <v>193</v>
      </c>
      <c r="D251">
        <v>1410000</v>
      </c>
      <c r="E251" t="s">
        <v>171</v>
      </c>
    </row>
    <row r="252" spans="1:5" x14ac:dyDescent="0.25">
      <c r="A252" s="14">
        <v>42509.875578703701</v>
      </c>
      <c r="B252" t="s">
        <v>121</v>
      </c>
      <c r="C252" t="s">
        <v>415</v>
      </c>
      <c r="D252">
        <v>1830000</v>
      </c>
      <c r="E252" t="s">
        <v>145</v>
      </c>
    </row>
    <row r="253" spans="1:5" x14ac:dyDescent="0.25">
      <c r="A253" s="14">
        <v>42509.194305555553</v>
      </c>
      <c r="B253" t="s">
        <v>126</v>
      </c>
      <c r="C253" t="s">
        <v>246</v>
      </c>
      <c r="D253">
        <v>1110000</v>
      </c>
      <c r="E253" t="s">
        <v>133</v>
      </c>
    </row>
    <row r="254" spans="1:5" x14ac:dyDescent="0.25">
      <c r="A254" s="14">
        <v>42509.72755787037</v>
      </c>
      <c r="B254" t="s">
        <v>123</v>
      </c>
      <c r="C254" t="s">
        <v>416</v>
      </c>
      <c r="D254">
        <v>1290000</v>
      </c>
      <c r="E254" t="s">
        <v>172</v>
      </c>
    </row>
    <row r="255" spans="1:5" x14ac:dyDescent="0.25">
      <c r="A255" s="14">
        <v>42509.30840277778</v>
      </c>
      <c r="B255" t="s">
        <v>127</v>
      </c>
      <c r="C255" t="s">
        <v>417</v>
      </c>
      <c r="D255">
        <v>1110000</v>
      </c>
      <c r="E255" t="s">
        <v>133</v>
      </c>
    </row>
    <row r="256" spans="1:5" x14ac:dyDescent="0.25">
      <c r="A256" s="14">
        <v>42509.712037037039</v>
      </c>
      <c r="B256" t="s">
        <v>137</v>
      </c>
      <c r="C256" t="s">
        <v>418</v>
      </c>
      <c r="D256">
        <v>1780000</v>
      </c>
      <c r="E256" t="s">
        <v>115</v>
      </c>
    </row>
    <row r="257" spans="1:5" x14ac:dyDescent="0.25">
      <c r="A257" s="14">
        <v>42509.425613425927</v>
      </c>
      <c r="B257" t="s">
        <v>123</v>
      </c>
      <c r="C257" t="s">
        <v>419</v>
      </c>
      <c r="D257">
        <v>1770000</v>
      </c>
      <c r="E257" t="s">
        <v>103</v>
      </c>
    </row>
    <row r="258" spans="1:5" x14ac:dyDescent="0.25">
      <c r="A258" s="14">
        <v>42509.590057870373</v>
      </c>
      <c r="B258" t="s">
        <v>126</v>
      </c>
      <c r="C258" t="s">
        <v>375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140</v>
      </c>
      <c r="C259" t="s">
        <v>420</v>
      </c>
      <c r="D259">
        <v>1760000</v>
      </c>
      <c r="E259" t="s">
        <v>148</v>
      </c>
    </row>
    <row r="260" spans="1:5" x14ac:dyDescent="0.25">
      <c r="A260" s="14">
        <v>42509.46974537037</v>
      </c>
      <c r="B260" t="s">
        <v>111</v>
      </c>
      <c r="C260" t="s">
        <v>379</v>
      </c>
      <c r="D260">
        <v>1750000</v>
      </c>
      <c r="E260" t="s">
        <v>108</v>
      </c>
    </row>
    <row r="261" spans="1:5" x14ac:dyDescent="0.25">
      <c r="A261" s="14">
        <v>42509.460173611114</v>
      </c>
      <c r="B261" t="s">
        <v>124</v>
      </c>
      <c r="C261" t="s">
        <v>407</v>
      </c>
      <c r="D261">
        <v>1800000</v>
      </c>
      <c r="E261" t="s">
        <v>104</v>
      </c>
    </row>
    <row r="262" spans="1:5" x14ac:dyDescent="0.25">
      <c r="A262" s="14">
        <v>42509.408865740741</v>
      </c>
      <c r="B262" t="s">
        <v>147</v>
      </c>
      <c r="C262" t="s">
        <v>421</v>
      </c>
      <c r="D262">
        <v>1200000</v>
      </c>
      <c r="E262" t="s">
        <v>231</v>
      </c>
    </row>
    <row r="263" spans="1:5" x14ac:dyDescent="0.25">
      <c r="A263" s="14">
        <v>42509.470752314817</v>
      </c>
      <c r="B263" t="s">
        <v>136</v>
      </c>
      <c r="C263" t="s">
        <v>422</v>
      </c>
      <c r="D263">
        <v>1770000</v>
      </c>
      <c r="E263" t="s">
        <v>103</v>
      </c>
    </row>
    <row r="264" spans="1:5" x14ac:dyDescent="0.25">
      <c r="A264" s="14">
        <v>42509.403020833335</v>
      </c>
      <c r="B264" t="s">
        <v>111</v>
      </c>
      <c r="C264" t="s">
        <v>423</v>
      </c>
      <c r="D264">
        <v>1760000</v>
      </c>
      <c r="E264" t="s">
        <v>148</v>
      </c>
    </row>
    <row r="265" spans="1:5" x14ac:dyDescent="0.25">
      <c r="A265" s="14">
        <v>42509.575057870374</v>
      </c>
      <c r="B265" t="s">
        <v>136</v>
      </c>
      <c r="C265" t="s">
        <v>376</v>
      </c>
      <c r="D265">
        <v>1770000</v>
      </c>
      <c r="E265" t="s">
        <v>103</v>
      </c>
    </row>
    <row r="266" spans="1:5" x14ac:dyDescent="0.25">
      <c r="A266" s="14">
        <v>42509.381666666668</v>
      </c>
      <c r="B266" t="s">
        <v>127</v>
      </c>
      <c r="C266" t="s">
        <v>424</v>
      </c>
      <c r="D266">
        <v>1110000</v>
      </c>
      <c r="E266" t="s">
        <v>133</v>
      </c>
    </row>
    <row r="267" spans="1:5" x14ac:dyDescent="0.25">
      <c r="A267" s="14">
        <v>42508.989918981482</v>
      </c>
      <c r="B267" t="s">
        <v>111</v>
      </c>
      <c r="C267" t="s">
        <v>217</v>
      </c>
      <c r="D267">
        <v>1410000</v>
      </c>
      <c r="E267" t="s">
        <v>171</v>
      </c>
    </row>
    <row r="268" spans="1:5" x14ac:dyDescent="0.25">
      <c r="A268" s="14">
        <v>42509.361203703702</v>
      </c>
      <c r="B268" t="s">
        <v>125</v>
      </c>
      <c r="C268" t="s">
        <v>425</v>
      </c>
      <c r="D268">
        <v>1300000</v>
      </c>
      <c r="E268" t="s">
        <v>116</v>
      </c>
    </row>
    <row r="269" spans="1:5" x14ac:dyDescent="0.25">
      <c r="A269" s="14">
        <v>42509.389791666668</v>
      </c>
      <c r="B269" t="s">
        <v>138</v>
      </c>
      <c r="C269" t="s">
        <v>426</v>
      </c>
      <c r="D269">
        <v>1430000</v>
      </c>
      <c r="E269" t="s">
        <v>135</v>
      </c>
    </row>
    <row r="270" spans="1:5" x14ac:dyDescent="0.25">
      <c r="A270" s="14">
        <v>42509.314201388886</v>
      </c>
      <c r="B270" t="s">
        <v>124</v>
      </c>
      <c r="C270" t="s">
        <v>427</v>
      </c>
      <c r="D270">
        <v>1100000</v>
      </c>
      <c r="E270" t="s">
        <v>134</v>
      </c>
    </row>
    <row r="271" spans="1:5" x14ac:dyDescent="0.25">
      <c r="A271" s="14">
        <v>42509.422743055555</v>
      </c>
      <c r="B271" t="s">
        <v>126</v>
      </c>
      <c r="C271" t="s">
        <v>394</v>
      </c>
      <c r="D271">
        <v>1110000</v>
      </c>
      <c r="E271" t="s">
        <v>133</v>
      </c>
    </row>
    <row r="272" spans="1:5" x14ac:dyDescent="0.25">
      <c r="A272" s="14">
        <v>42509.182106481479</v>
      </c>
      <c r="B272" t="s">
        <v>111</v>
      </c>
      <c r="C272" t="s">
        <v>241</v>
      </c>
      <c r="D272">
        <v>1760000</v>
      </c>
      <c r="E272" t="s">
        <v>148</v>
      </c>
    </row>
    <row r="273" spans="1:5" x14ac:dyDescent="0.25">
      <c r="A273" s="14">
        <v>42509.546886574077</v>
      </c>
      <c r="B273" t="s">
        <v>137</v>
      </c>
      <c r="C273" t="s">
        <v>379</v>
      </c>
      <c r="D273">
        <v>1750000</v>
      </c>
      <c r="E273" t="s">
        <v>108</v>
      </c>
    </row>
    <row r="274" spans="1:5" x14ac:dyDescent="0.25">
      <c r="A274" s="14">
        <v>42510.017488425925</v>
      </c>
      <c r="B274" t="s">
        <v>141</v>
      </c>
      <c r="C274" t="s">
        <v>428</v>
      </c>
      <c r="D274">
        <v>1810000</v>
      </c>
      <c r="E274" t="s">
        <v>170</v>
      </c>
    </row>
    <row r="275" spans="1:5" x14ac:dyDescent="0.25">
      <c r="A275" s="14">
        <v>42509.632696759261</v>
      </c>
      <c r="B275" t="s">
        <v>137</v>
      </c>
      <c r="C275" t="s">
        <v>329</v>
      </c>
      <c r="D275">
        <v>1780000</v>
      </c>
      <c r="E275" t="s">
        <v>115</v>
      </c>
    </row>
    <row r="276" spans="1:5" x14ac:dyDescent="0.25">
      <c r="A276" s="14">
        <v>42509.771354166667</v>
      </c>
      <c r="B276" t="s">
        <v>127</v>
      </c>
      <c r="C276" t="s">
        <v>429</v>
      </c>
      <c r="D276">
        <v>1810000</v>
      </c>
      <c r="E276" t="s">
        <v>170</v>
      </c>
    </row>
    <row r="277" spans="1:5" x14ac:dyDescent="0.25">
      <c r="A277" s="14">
        <v>42509.641446759262</v>
      </c>
      <c r="B277" t="s">
        <v>136</v>
      </c>
      <c r="C277" t="s">
        <v>412</v>
      </c>
      <c r="D277">
        <v>1770000</v>
      </c>
      <c r="E277" t="s">
        <v>103</v>
      </c>
    </row>
    <row r="278" spans="1:5" x14ac:dyDescent="0.25">
      <c r="A278" s="14">
        <v>42509.771990740737</v>
      </c>
      <c r="B278" t="s">
        <v>127</v>
      </c>
      <c r="C278" t="s">
        <v>429</v>
      </c>
      <c r="D278">
        <v>1810000</v>
      </c>
      <c r="E278" t="s">
        <v>170</v>
      </c>
    </row>
    <row r="279" spans="1:5" x14ac:dyDescent="0.25">
      <c r="A279" s="14">
        <v>42508.975185185183</v>
      </c>
      <c r="B279" t="s">
        <v>141</v>
      </c>
      <c r="C279" t="s">
        <v>215</v>
      </c>
      <c r="D279">
        <v>1820000</v>
      </c>
      <c r="E279" t="s">
        <v>146</v>
      </c>
    </row>
    <row r="280" spans="1:5" x14ac:dyDescent="0.25">
      <c r="A280" s="14">
        <v>42509.767534722225</v>
      </c>
      <c r="B280" t="s">
        <v>124</v>
      </c>
      <c r="C280" t="s">
        <v>334</v>
      </c>
      <c r="D280">
        <v>1290000</v>
      </c>
      <c r="E280" t="s">
        <v>172</v>
      </c>
    </row>
    <row r="281" spans="1:5" x14ac:dyDescent="0.25">
      <c r="A281" s="14">
        <v>42509.175011574072</v>
      </c>
      <c r="B281" t="s">
        <v>140</v>
      </c>
      <c r="C281" t="s">
        <v>250</v>
      </c>
      <c r="D281">
        <v>1800000</v>
      </c>
      <c r="E281" t="s">
        <v>104</v>
      </c>
    </row>
    <row r="282" spans="1:5" x14ac:dyDescent="0.25">
      <c r="A282" s="14">
        <v>42509.672662037039</v>
      </c>
      <c r="B282" t="s">
        <v>125</v>
      </c>
      <c r="C282" t="s">
        <v>430</v>
      </c>
      <c r="D282">
        <v>1770000</v>
      </c>
      <c r="E282" t="s">
        <v>103</v>
      </c>
    </row>
    <row r="283" spans="1:5" x14ac:dyDescent="0.25">
      <c r="A283" s="14">
        <v>42509.191099537034</v>
      </c>
      <c r="B283" t="s">
        <v>141</v>
      </c>
      <c r="C283" t="s">
        <v>243</v>
      </c>
      <c r="D283">
        <v>1800000</v>
      </c>
      <c r="E283" t="s">
        <v>104</v>
      </c>
    </row>
    <row r="284" spans="1:5" x14ac:dyDescent="0.25">
      <c r="A284" s="14">
        <v>42509.503958333335</v>
      </c>
      <c r="B284" t="s">
        <v>126</v>
      </c>
      <c r="C284" t="s">
        <v>431</v>
      </c>
      <c r="D284">
        <v>1200000</v>
      </c>
      <c r="E284" t="s">
        <v>231</v>
      </c>
    </row>
    <row r="285" spans="1:5" x14ac:dyDescent="0.25">
      <c r="A285" s="14">
        <v>42509.287094907406</v>
      </c>
      <c r="B285" t="s">
        <v>125</v>
      </c>
      <c r="C285" t="s">
        <v>245</v>
      </c>
      <c r="D285">
        <v>1300000</v>
      </c>
      <c r="E285" t="s">
        <v>116</v>
      </c>
    </row>
    <row r="286" spans="1:5" x14ac:dyDescent="0.25">
      <c r="A286" s="14">
        <v>42509.467650462961</v>
      </c>
      <c r="B286" t="s">
        <v>94</v>
      </c>
      <c r="C286" t="s">
        <v>432</v>
      </c>
      <c r="D286">
        <v>1090000</v>
      </c>
      <c r="E286" t="s">
        <v>222</v>
      </c>
    </row>
    <row r="287" spans="1:5" x14ac:dyDescent="0.25">
      <c r="A287" s="14">
        <v>42509.296412037038</v>
      </c>
      <c r="B287" t="s">
        <v>144</v>
      </c>
      <c r="C287" t="s">
        <v>433</v>
      </c>
      <c r="D287">
        <v>1200000</v>
      </c>
      <c r="E287" t="s">
        <v>231</v>
      </c>
    </row>
    <row r="288" spans="1:5" x14ac:dyDescent="0.25">
      <c r="A288" s="14">
        <v>42509.378287037034</v>
      </c>
      <c r="B288" t="s">
        <v>140</v>
      </c>
      <c r="C288" t="s">
        <v>434</v>
      </c>
      <c r="D288">
        <v>1800000</v>
      </c>
      <c r="E288" t="s">
        <v>104</v>
      </c>
    </row>
    <row r="289" spans="1:5" x14ac:dyDescent="0.25">
      <c r="A289" s="14">
        <v>42509.371157407404</v>
      </c>
      <c r="B289" t="s">
        <v>144</v>
      </c>
      <c r="C289" t="s">
        <v>435</v>
      </c>
      <c r="D289">
        <v>1200000</v>
      </c>
      <c r="E289" t="s">
        <v>231</v>
      </c>
    </row>
    <row r="290" spans="1:5" x14ac:dyDescent="0.25">
      <c r="A290" s="14">
        <v>42510.235601851855</v>
      </c>
      <c r="B290" t="s">
        <v>140</v>
      </c>
      <c r="C290" t="s">
        <v>436</v>
      </c>
      <c r="D290">
        <v>1750000</v>
      </c>
      <c r="E290" t="s">
        <v>108</v>
      </c>
    </row>
    <row r="291" spans="1:5" x14ac:dyDescent="0.25">
      <c r="A291" s="14">
        <v>42508.927499999998</v>
      </c>
      <c r="B291" t="s">
        <v>64</v>
      </c>
      <c r="C291" t="s">
        <v>211</v>
      </c>
      <c r="D291">
        <v>1810000</v>
      </c>
      <c r="E291" t="s">
        <v>170</v>
      </c>
    </row>
    <row r="292" spans="1:5" x14ac:dyDescent="0.25">
      <c r="A292" s="14">
        <v>42510.226886574077</v>
      </c>
      <c r="B292" t="s">
        <v>127</v>
      </c>
      <c r="C292" t="s">
        <v>357</v>
      </c>
      <c r="D292">
        <v>1360000</v>
      </c>
      <c r="E292" t="s">
        <v>358</v>
      </c>
    </row>
    <row r="293" spans="1:5" x14ac:dyDescent="0.25">
      <c r="A293" s="14">
        <v>42509.207384259258</v>
      </c>
      <c r="B293" t="s">
        <v>123</v>
      </c>
      <c r="C293" t="s">
        <v>249</v>
      </c>
      <c r="D293">
        <v>1100000</v>
      </c>
      <c r="E293" t="s">
        <v>134</v>
      </c>
    </row>
    <row r="294" spans="1:5" x14ac:dyDescent="0.25">
      <c r="A294" s="14">
        <v>42509.78765046296</v>
      </c>
      <c r="B294" t="s">
        <v>111</v>
      </c>
      <c r="C294" t="s">
        <v>437</v>
      </c>
      <c r="D294">
        <v>1830000</v>
      </c>
      <c r="E294" t="s">
        <v>145</v>
      </c>
    </row>
    <row r="295" spans="1:5" x14ac:dyDescent="0.25">
      <c r="A295" s="14">
        <v>42509.228668981479</v>
      </c>
      <c r="B295" t="s">
        <v>144</v>
      </c>
      <c r="C295" t="s">
        <v>247</v>
      </c>
      <c r="D295">
        <v>1200000</v>
      </c>
      <c r="E295" t="s">
        <v>231</v>
      </c>
    </row>
    <row r="296" spans="1:5" x14ac:dyDescent="0.25">
      <c r="A296" s="14">
        <v>42509.34888888889</v>
      </c>
      <c r="B296" t="s">
        <v>126</v>
      </c>
      <c r="C296" t="s">
        <v>438</v>
      </c>
      <c r="D296">
        <v>1110000</v>
      </c>
      <c r="E296" t="s">
        <v>133</v>
      </c>
    </row>
    <row r="297" spans="1:5" x14ac:dyDescent="0.25">
      <c r="A297" s="14">
        <v>42509.349814814814</v>
      </c>
      <c r="B297" t="s">
        <v>126</v>
      </c>
      <c r="C297" t="s">
        <v>438</v>
      </c>
      <c r="D297">
        <v>1110000</v>
      </c>
      <c r="E297" t="s">
        <v>133</v>
      </c>
    </row>
    <row r="298" spans="1:5" x14ac:dyDescent="0.25">
      <c r="A298" s="14">
        <v>42509.325428240743</v>
      </c>
      <c r="B298" t="s">
        <v>136</v>
      </c>
      <c r="C298" t="s">
        <v>439</v>
      </c>
      <c r="D298">
        <v>1300000</v>
      </c>
      <c r="E298" t="s">
        <v>116</v>
      </c>
    </row>
    <row r="299" spans="1:5" x14ac:dyDescent="0.25">
      <c r="A299" s="14">
        <v>42509.386817129627</v>
      </c>
      <c r="B299" t="s">
        <v>124</v>
      </c>
      <c r="C299" t="s">
        <v>440</v>
      </c>
      <c r="D299">
        <v>1100000</v>
      </c>
      <c r="E299" t="s">
        <v>134</v>
      </c>
    </row>
    <row r="300" spans="1:5" x14ac:dyDescent="0.25">
      <c r="A300" s="14">
        <v>42509.317013888889</v>
      </c>
      <c r="B300" t="s">
        <v>138</v>
      </c>
      <c r="C300" t="s">
        <v>441</v>
      </c>
      <c r="D300">
        <v>1430000</v>
      </c>
      <c r="E300" t="s">
        <v>135</v>
      </c>
    </row>
    <row r="301" spans="1:5" x14ac:dyDescent="0.25">
      <c r="A301" s="14">
        <v>42509.465474537035</v>
      </c>
      <c r="B301" t="s">
        <v>94</v>
      </c>
      <c r="C301" t="s">
        <v>432</v>
      </c>
      <c r="D301">
        <v>1090000</v>
      </c>
      <c r="E301" t="s">
        <v>222</v>
      </c>
    </row>
    <row r="302" spans="1:5" x14ac:dyDescent="0.25">
      <c r="A302" s="14">
        <v>42509.053877314815</v>
      </c>
      <c r="B302" t="s">
        <v>65</v>
      </c>
      <c r="C302" t="s">
        <v>220</v>
      </c>
      <c r="D302">
        <v>1810000</v>
      </c>
      <c r="E302" t="s">
        <v>170</v>
      </c>
    </row>
    <row r="303" spans="1:5" x14ac:dyDescent="0.25">
      <c r="A303" s="14">
        <v>42509.495740740742</v>
      </c>
      <c r="B303" t="s">
        <v>126</v>
      </c>
      <c r="C303" t="s">
        <v>431</v>
      </c>
      <c r="D303">
        <v>1200000</v>
      </c>
      <c r="E303" t="s">
        <v>231</v>
      </c>
    </row>
    <row r="304" spans="1:5" x14ac:dyDescent="0.25">
      <c r="A304" s="14">
        <v>42509.986886574072</v>
      </c>
      <c r="B304" t="s">
        <v>117</v>
      </c>
      <c r="C304" t="s">
        <v>442</v>
      </c>
      <c r="D304">
        <v>1830000</v>
      </c>
      <c r="E304" t="s">
        <v>145</v>
      </c>
    </row>
    <row r="305" spans="1:5" x14ac:dyDescent="0.25">
      <c r="A305" s="14">
        <v>42509.693414351852</v>
      </c>
      <c r="B305" t="s">
        <v>144</v>
      </c>
      <c r="C305" t="s">
        <v>384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141</v>
      </c>
      <c r="C306" t="s">
        <v>443</v>
      </c>
      <c r="D306">
        <v>1810000</v>
      </c>
      <c r="E306" t="s">
        <v>170</v>
      </c>
    </row>
    <row r="307" spans="1:5" x14ac:dyDescent="0.25">
      <c r="A307" s="14">
        <v>42510.013171296298</v>
      </c>
      <c r="B307" t="s">
        <v>137</v>
      </c>
      <c r="C307" t="s">
        <v>444</v>
      </c>
      <c r="D307">
        <v>1820000</v>
      </c>
      <c r="E307" t="s">
        <v>146</v>
      </c>
    </row>
    <row r="308" spans="1:5" x14ac:dyDescent="0.25">
      <c r="A308" s="14">
        <v>42509.721388888887</v>
      </c>
      <c r="B308" t="s">
        <v>147</v>
      </c>
      <c r="C308" t="s">
        <v>337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144</v>
      </c>
      <c r="C309" t="s">
        <v>445</v>
      </c>
      <c r="D309">
        <v>1110000</v>
      </c>
      <c r="E309" t="s">
        <v>133</v>
      </c>
    </row>
    <row r="310" spans="1:5" x14ac:dyDescent="0.25">
      <c r="A310" s="14">
        <v>42509.56449074074</v>
      </c>
      <c r="B310" t="s">
        <v>111</v>
      </c>
      <c r="C310" t="s">
        <v>446</v>
      </c>
      <c r="D310">
        <v>880000</v>
      </c>
      <c r="E310" t="s">
        <v>114</v>
      </c>
    </row>
    <row r="311" spans="1:5" x14ac:dyDescent="0.25">
      <c r="A311" s="14">
        <v>42510.206967592596</v>
      </c>
      <c r="B311" t="s">
        <v>173</v>
      </c>
      <c r="C311" t="s">
        <v>447</v>
      </c>
      <c r="D311">
        <v>1760000</v>
      </c>
      <c r="E311" t="s">
        <v>148</v>
      </c>
    </row>
    <row r="312" spans="1:5" x14ac:dyDescent="0.25">
      <c r="A312" s="14">
        <v>42509.544525462959</v>
      </c>
      <c r="B312" t="s">
        <v>127</v>
      </c>
      <c r="C312" t="s">
        <v>327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147</v>
      </c>
      <c r="C313" t="s">
        <v>337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125</v>
      </c>
      <c r="C314" t="s">
        <v>448</v>
      </c>
      <c r="D314">
        <v>1770000</v>
      </c>
      <c r="E314" t="s">
        <v>103</v>
      </c>
    </row>
    <row r="315" spans="1:5" x14ac:dyDescent="0.25">
      <c r="A315" s="14">
        <v>42509.783726851849</v>
      </c>
      <c r="B315" t="s">
        <v>136</v>
      </c>
      <c r="C315" t="s">
        <v>383</v>
      </c>
      <c r="D315">
        <v>1770000</v>
      </c>
      <c r="E315" t="s">
        <v>103</v>
      </c>
    </row>
    <row r="316" spans="1:5" x14ac:dyDescent="0.25">
      <c r="A316" s="14">
        <v>42509.483263888891</v>
      </c>
      <c r="B316" t="s">
        <v>141</v>
      </c>
      <c r="C316" t="s">
        <v>449</v>
      </c>
      <c r="D316">
        <v>1780000</v>
      </c>
      <c r="E316" t="s">
        <v>115</v>
      </c>
    </row>
    <row r="317" spans="1:5" x14ac:dyDescent="0.25">
      <c r="A317" s="14">
        <v>42509.894861111112</v>
      </c>
      <c r="B317" t="s">
        <v>138</v>
      </c>
      <c r="C317" t="s">
        <v>450</v>
      </c>
      <c r="D317">
        <v>1820000</v>
      </c>
      <c r="E317" t="s">
        <v>146</v>
      </c>
    </row>
    <row r="318" spans="1:5" x14ac:dyDescent="0.25">
      <c r="A318" s="14">
        <v>42509.014467592591</v>
      </c>
      <c r="B318" t="s">
        <v>140</v>
      </c>
      <c r="C318" t="s">
        <v>216</v>
      </c>
      <c r="D318">
        <v>1820000</v>
      </c>
      <c r="E318" t="s">
        <v>146</v>
      </c>
    </row>
    <row r="319" spans="1:5" x14ac:dyDescent="0.25">
      <c r="A319" s="14">
        <v>42509.930706018517</v>
      </c>
      <c r="B319" t="s">
        <v>137</v>
      </c>
      <c r="C319" t="s">
        <v>451</v>
      </c>
      <c r="D319">
        <v>1820000</v>
      </c>
      <c r="E319" t="s">
        <v>146</v>
      </c>
    </row>
    <row r="320" spans="1:5" x14ac:dyDescent="0.25">
      <c r="A320" s="14">
        <v>42510.193611111114</v>
      </c>
      <c r="B320" t="s">
        <v>124</v>
      </c>
      <c r="C320" t="s">
        <v>361</v>
      </c>
      <c r="D320">
        <v>1480000</v>
      </c>
      <c r="E320" t="s">
        <v>139</v>
      </c>
    </row>
    <row r="321" spans="1:5" x14ac:dyDescent="0.25">
      <c r="A321" s="14">
        <v>42510.233148148145</v>
      </c>
      <c r="B321" t="s">
        <v>123</v>
      </c>
      <c r="C321" t="s">
        <v>452</v>
      </c>
      <c r="D321">
        <v>1480000</v>
      </c>
      <c r="E321" t="s">
        <v>139</v>
      </c>
    </row>
    <row r="322" spans="1:5" x14ac:dyDescent="0.25">
      <c r="A322" s="14">
        <v>42509.720069444447</v>
      </c>
      <c r="B322" t="s">
        <v>147</v>
      </c>
      <c r="C322" t="s">
        <v>337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137</v>
      </c>
      <c r="C323" t="s">
        <v>418</v>
      </c>
      <c r="D323">
        <v>1780000</v>
      </c>
      <c r="E323" t="s">
        <v>115</v>
      </c>
    </row>
    <row r="324" spans="1:5" x14ac:dyDescent="0.25">
      <c r="A324" s="14">
        <v>42509.681979166664</v>
      </c>
      <c r="B324" t="s">
        <v>112</v>
      </c>
      <c r="C324" t="s">
        <v>453</v>
      </c>
      <c r="D324">
        <v>880000</v>
      </c>
      <c r="E324" t="s">
        <v>114</v>
      </c>
    </row>
    <row r="325" spans="1:5" x14ac:dyDescent="0.25">
      <c r="A325" s="14">
        <v>42509.766018518516</v>
      </c>
      <c r="B325" t="s">
        <v>124</v>
      </c>
      <c r="C325" t="s">
        <v>334</v>
      </c>
      <c r="D325">
        <v>1290000</v>
      </c>
      <c r="E325" t="s">
        <v>172</v>
      </c>
    </row>
    <row r="326" spans="1:5" x14ac:dyDescent="0.25">
      <c r="A326" s="14">
        <v>42509.565706018519</v>
      </c>
      <c r="B326" t="s">
        <v>111</v>
      </c>
      <c r="C326" t="s">
        <v>446</v>
      </c>
      <c r="D326">
        <v>880000</v>
      </c>
      <c r="E326" t="s">
        <v>114</v>
      </c>
    </row>
    <row r="327" spans="1:5" x14ac:dyDescent="0.25">
      <c r="A327" s="14">
        <v>42509.791203703702</v>
      </c>
      <c r="B327" t="s">
        <v>147</v>
      </c>
      <c r="C327" t="s">
        <v>454</v>
      </c>
      <c r="D327">
        <v>1840000</v>
      </c>
      <c r="E327" t="s">
        <v>333</v>
      </c>
    </row>
    <row r="328" spans="1:5" x14ac:dyDescent="0.25">
      <c r="A328" s="14">
        <v>42509.528067129628</v>
      </c>
      <c r="B328" t="s">
        <v>144</v>
      </c>
      <c r="C328" t="s">
        <v>380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147</v>
      </c>
      <c r="C329" t="s">
        <v>454</v>
      </c>
      <c r="D329">
        <v>1840000</v>
      </c>
      <c r="E329" t="s">
        <v>333</v>
      </c>
    </row>
    <row r="330" spans="1:5" x14ac:dyDescent="0.25">
      <c r="A330" s="14">
        <v>42509.226018518515</v>
      </c>
      <c r="B330" t="s">
        <v>112</v>
      </c>
      <c r="C330" t="s">
        <v>240</v>
      </c>
      <c r="D330">
        <v>1760000</v>
      </c>
      <c r="E330" t="s">
        <v>148</v>
      </c>
    </row>
    <row r="331" spans="1:5" x14ac:dyDescent="0.25">
      <c r="A331" s="14">
        <v>42510.254224537035</v>
      </c>
      <c r="B331" t="s">
        <v>93</v>
      </c>
      <c r="C331" t="s">
        <v>455</v>
      </c>
      <c r="D331">
        <v>1430000</v>
      </c>
      <c r="E331" t="s">
        <v>135</v>
      </c>
    </row>
    <row r="332" spans="1:5" x14ac:dyDescent="0.25">
      <c r="A332" s="14">
        <v>42509.20952546296</v>
      </c>
      <c r="B332" t="s">
        <v>125</v>
      </c>
      <c r="C332" t="s">
        <v>242</v>
      </c>
      <c r="D332">
        <v>1300000</v>
      </c>
      <c r="E332" t="s">
        <v>116</v>
      </c>
    </row>
    <row r="333" spans="1:5" x14ac:dyDescent="0.25">
      <c r="A333" s="14">
        <v>42509.715451388889</v>
      </c>
      <c r="B333" t="s">
        <v>111</v>
      </c>
      <c r="C333" t="s">
        <v>456</v>
      </c>
      <c r="D333">
        <v>1830000</v>
      </c>
      <c r="E333" t="s">
        <v>145</v>
      </c>
    </row>
    <row r="334" spans="1:5" x14ac:dyDescent="0.25">
      <c r="A334" s="14">
        <v>42508.994432870371</v>
      </c>
      <c r="B334" t="s">
        <v>174</v>
      </c>
      <c r="C334" t="s">
        <v>214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127</v>
      </c>
      <c r="C335" t="s">
        <v>429</v>
      </c>
      <c r="D335">
        <v>1810000</v>
      </c>
      <c r="E335" t="s">
        <v>170</v>
      </c>
    </row>
    <row r="336" spans="1:5" x14ac:dyDescent="0.25">
      <c r="A336" s="14">
        <v>42508.93136574074</v>
      </c>
      <c r="B336" t="s">
        <v>140</v>
      </c>
      <c r="C336" t="s">
        <v>208</v>
      </c>
      <c r="D336">
        <v>1820000</v>
      </c>
      <c r="E336" t="s">
        <v>146</v>
      </c>
    </row>
    <row r="337" spans="1:5" x14ac:dyDescent="0.25">
      <c r="A337" s="14">
        <v>42509.789884259262</v>
      </c>
      <c r="B337" t="s">
        <v>147</v>
      </c>
      <c r="C337" t="s">
        <v>454</v>
      </c>
      <c r="D337">
        <v>1840000</v>
      </c>
      <c r="E337" t="s">
        <v>333</v>
      </c>
    </row>
    <row r="338" spans="1:5" x14ac:dyDescent="0.25">
      <c r="A338" s="14">
        <v>42508.848796296297</v>
      </c>
      <c r="B338" t="s">
        <v>64</v>
      </c>
      <c r="C338" t="s">
        <v>203</v>
      </c>
      <c r="D338">
        <v>1810000</v>
      </c>
      <c r="E338" t="s">
        <v>170</v>
      </c>
    </row>
    <row r="339" spans="1:5" x14ac:dyDescent="0.25">
      <c r="A339" s="14">
        <v>42509.809479166666</v>
      </c>
      <c r="B339" t="s">
        <v>138</v>
      </c>
      <c r="C339" t="s">
        <v>457</v>
      </c>
      <c r="D339">
        <v>1820000</v>
      </c>
      <c r="E339" t="s">
        <v>146</v>
      </c>
    </row>
    <row r="340" spans="1:5" x14ac:dyDescent="0.25">
      <c r="A340" s="14">
        <v>42508.785601851851</v>
      </c>
      <c r="B340" t="s">
        <v>173</v>
      </c>
      <c r="C340" t="s">
        <v>196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141</v>
      </c>
      <c r="C341" t="s">
        <v>458</v>
      </c>
      <c r="D341">
        <v>1810000</v>
      </c>
      <c r="E341" t="s">
        <v>170</v>
      </c>
    </row>
    <row r="342" spans="1:5" x14ac:dyDescent="0.25">
      <c r="A342" s="14">
        <v>42509.412430555552</v>
      </c>
      <c r="B342" t="s">
        <v>141</v>
      </c>
      <c r="C342" t="s">
        <v>459</v>
      </c>
      <c r="D342">
        <v>1800000</v>
      </c>
      <c r="E342" t="s">
        <v>104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42509</v>
      </c>
      <c r="B2" s="10"/>
      <c r="C2" s="37">
        <v>50</v>
      </c>
      <c r="F2" t="s">
        <v>90</v>
      </c>
    </row>
    <row r="3" spans="1:6" x14ac:dyDescent="0.25">
      <c r="F3" t="s">
        <v>91</v>
      </c>
    </row>
    <row r="4" spans="1:6" x14ac:dyDescent="0.25">
      <c r="F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2016-05-23T21:11:54Z</dcterms:modified>
</cp:coreProperties>
</file>