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0490" windowHeight="790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Enforcements!$A$2:$N$55</definedName>
    <definedName name="_xlnm._FilterDatabase" localSheetId="0" hidden="1">'Train Runs'!$A$2:$AA$134</definedName>
    <definedName name="Denver_Train_Runs_04122016" localSheetId="0">'Train Runs'!$A$2:$J$139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8" i="1" l="1"/>
  <c r="M68" i="1"/>
  <c r="N68" i="1" s="1"/>
  <c r="L68" i="1"/>
  <c r="K68" i="1"/>
  <c r="T104" i="1" l="1"/>
  <c r="V104" i="1"/>
  <c r="W104" i="1"/>
  <c r="X104" i="1"/>
  <c r="Z104" i="1"/>
  <c r="AA104" i="1"/>
  <c r="T105" i="1"/>
  <c r="V105" i="1"/>
  <c r="W105" i="1"/>
  <c r="X105" i="1"/>
  <c r="Z105" i="1"/>
  <c r="AA105" i="1"/>
  <c r="T106" i="1"/>
  <c r="V106" i="1"/>
  <c r="W106" i="1"/>
  <c r="X106" i="1"/>
  <c r="Z106" i="1"/>
  <c r="AA106" i="1"/>
  <c r="T107" i="1"/>
  <c r="V107" i="1"/>
  <c r="W107" i="1"/>
  <c r="X107" i="1"/>
  <c r="Z107" i="1"/>
  <c r="AA107" i="1"/>
  <c r="T108" i="1"/>
  <c r="V108" i="1"/>
  <c r="W108" i="1"/>
  <c r="X108" i="1"/>
  <c r="Z108" i="1"/>
  <c r="AA108" i="1"/>
  <c r="T109" i="1"/>
  <c r="V109" i="1"/>
  <c r="W109" i="1"/>
  <c r="X109" i="1"/>
  <c r="Z109" i="1"/>
  <c r="AA109" i="1"/>
  <c r="T110" i="1"/>
  <c r="V110" i="1"/>
  <c r="W110" i="1"/>
  <c r="X110" i="1"/>
  <c r="Z110" i="1"/>
  <c r="AA110" i="1"/>
  <c r="T111" i="1"/>
  <c r="V111" i="1"/>
  <c r="W111" i="1"/>
  <c r="X111" i="1"/>
  <c r="Z111" i="1"/>
  <c r="AA111" i="1"/>
  <c r="T112" i="1"/>
  <c r="V112" i="1"/>
  <c r="W112" i="1"/>
  <c r="X112" i="1"/>
  <c r="Z112" i="1"/>
  <c r="AA112" i="1"/>
  <c r="T113" i="1"/>
  <c r="V113" i="1"/>
  <c r="W113" i="1"/>
  <c r="X113" i="1"/>
  <c r="Z113" i="1"/>
  <c r="AA113" i="1"/>
  <c r="T114" i="1"/>
  <c r="V114" i="1"/>
  <c r="W114" i="1"/>
  <c r="X114" i="1"/>
  <c r="Z114" i="1"/>
  <c r="AA114" i="1"/>
  <c r="Y114" i="1" l="1"/>
  <c r="U114" i="1" s="1"/>
  <c r="Y112" i="1"/>
  <c r="U112" i="1" s="1"/>
  <c r="Y110" i="1"/>
  <c r="U110" i="1" s="1"/>
  <c r="Y108" i="1"/>
  <c r="U108" i="1" s="1"/>
  <c r="Y106" i="1"/>
  <c r="U106" i="1" s="1"/>
  <c r="Y104" i="1"/>
  <c r="U104" i="1" s="1"/>
  <c r="Y113" i="1"/>
  <c r="U113" i="1" s="1"/>
  <c r="Y111" i="1"/>
  <c r="U111" i="1" s="1"/>
  <c r="Y109" i="1"/>
  <c r="U109" i="1" s="1"/>
  <c r="Y107" i="1"/>
  <c r="U107" i="1" s="1"/>
  <c r="Y105" i="1"/>
  <c r="U105" i="1" s="1"/>
  <c r="K5" i="1"/>
  <c r="L5" i="1"/>
  <c r="M5" i="1"/>
  <c r="N5" i="1" s="1"/>
  <c r="T5" i="1"/>
  <c r="V5" i="1"/>
  <c r="W5" i="1"/>
  <c r="X5" i="1"/>
  <c r="Z5" i="1"/>
  <c r="AA5" i="1"/>
  <c r="K6" i="1"/>
  <c r="L6" i="1"/>
  <c r="M6" i="1"/>
  <c r="N6" i="1" s="1"/>
  <c r="T6" i="1"/>
  <c r="V6" i="1"/>
  <c r="W6" i="1"/>
  <c r="X6" i="1"/>
  <c r="Z6" i="1"/>
  <c r="AA6" i="1"/>
  <c r="K7" i="1"/>
  <c r="L7" i="1"/>
  <c r="M7" i="1"/>
  <c r="N7" i="1" s="1"/>
  <c r="T7" i="1"/>
  <c r="V7" i="1"/>
  <c r="W7" i="1"/>
  <c r="X7" i="1"/>
  <c r="Z7" i="1"/>
  <c r="AA7" i="1"/>
  <c r="K8" i="1"/>
  <c r="L8" i="1"/>
  <c r="M8" i="1"/>
  <c r="N8" i="1" s="1"/>
  <c r="T8" i="1"/>
  <c r="V8" i="1"/>
  <c r="W8" i="1"/>
  <c r="X8" i="1"/>
  <c r="Y8" i="1" s="1"/>
  <c r="U8" i="1" s="1"/>
  <c r="Z8" i="1"/>
  <c r="AA8" i="1"/>
  <c r="K9" i="1"/>
  <c r="L9" i="1"/>
  <c r="M9" i="1"/>
  <c r="N9" i="1" s="1"/>
  <c r="T9" i="1"/>
  <c r="V9" i="1"/>
  <c r="W9" i="1"/>
  <c r="X9" i="1"/>
  <c r="Z9" i="1"/>
  <c r="AA9" i="1"/>
  <c r="K10" i="1"/>
  <c r="L10" i="1"/>
  <c r="M10" i="1"/>
  <c r="N10" i="1" s="1"/>
  <c r="T10" i="1"/>
  <c r="V10" i="1"/>
  <c r="W10" i="1"/>
  <c r="X10" i="1"/>
  <c r="Z10" i="1"/>
  <c r="AA10" i="1"/>
  <c r="K11" i="1"/>
  <c r="L11" i="1"/>
  <c r="M11" i="1"/>
  <c r="N11" i="1" s="1"/>
  <c r="T11" i="1"/>
  <c r="V11" i="1"/>
  <c r="W11" i="1"/>
  <c r="X11" i="1"/>
  <c r="Z11" i="1"/>
  <c r="AA11" i="1"/>
  <c r="K12" i="1"/>
  <c r="L12" i="1"/>
  <c r="M12" i="1"/>
  <c r="N12" i="1" s="1"/>
  <c r="T12" i="1"/>
  <c r="V12" i="1"/>
  <c r="W12" i="1"/>
  <c r="X12" i="1"/>
  <c r="Z12" i="1"/>
  <c r="AA12" i="1"/>
  <c r="K13" i="1"/>
  <c r="L13" i="1"/>
  <c r="M13" i="1"/>
  <c r="N13" i="1" s="1"/>
  <c r="T13" i="1"/>
  <c r="V13" i="1"/>
  <c r="W13" i="1"/>
  <c r="X13" i="1"/>
  <c r="Z13" i="1"/>
  <c r="AA13" i="1"/>
  <c r="K14" i="1"/>
  <c r="L14" i="1"/>
  <c r="M14" i="1"/>
  <c r="N14" i="1" s="1"/>
  <c r="T14" i="1"/>
  <c r="V14" i="1"/>
  <c r="W14" i="1"/>
  <c r="X14" i="1"/>
  <c r="Z14" i="1"/>
  <c r="AA14" i="1"/>
  <c r="K15" i="1"/>
  <c r="L15" i="1"/>
  <c r="M15" i="1"/>
  <c r="N15" i="1" s="1"/>
  <c r="T15" i="1"/>
  <c r="V15" i="1"/>
  <c r="W15" i="1"/>
  <c r="X15" i="1"/>
  <c r="Z15" i="1"/>
  <c r="AA15" i="1"/>
  <c r="K16" i="1"/>
  <c r="L16" i="1"/>
  <c r="M16" i="1"/>
  <c r="N16" i="1" s="1"/>
  <c r="T16" i="1"/>
  <c r="V16" i="1"/>
  <c r="W16" i="1"/>
  <c r="X16" i="1"/>
  <c r="Z16" i="1"/>
  <c r="AA16" i="1"/>
  <c r="K17" i="1"/>
  <c r="L17" i="1"/>
  <c r="M17" i="1"/>
  <c r="N17" i="1" s="1"/>
  <c r="T17" i="1"/>
  <c r="V17" i="1"/>
  <c r="W17" i="1"/>
  <c r="X17" i="1"/>
  <c r="Z17" i="1"/>
  <c r="AA17" i="1"/>
  <c r="K18" i="1"/>
  <c r="L18" i="1"/>
  <c r="M18" i="1"/>
  <c r="N18" i="1" s="1"/>
  <c r="T18" i="1"/>
  <c r="V18" i="1"/>
  <c r="W18" i="1"/>
  <c r="X18" i="1"/>
  <c r="Z18" i="1"/>
  <c r="AA18" i="1"/>
  <c r="K19" i="1"/>
  <c r="L19" i="1"/>
  <c r="M19" i="1"/>
  <c r="N19" i="1" s="1"/>
  <c r="T19" i="1"/>
  <c r="V19" i="1"/>
  <c r="W19" i="1"/>
  <c r="X19" i="1"/>
  <c r="Z19" i="1"/>
  <c r="AA19" i="1"/>
  <c r="K20" i="1"/>
  <c r="L20" i="1"/>
  <c r="M20" i="1"/>
  <c r="N20" i="1" s="1"/>
  <c r="T20" i="1"/>
  <c r="V20" i="1"/>
  <c r="W20" i="1"/>
  <c r="X20" i="1"/>
  <c r="Z20" i="1"/>
  <c r="AA20" i="1"/>
  <c r="K21" i="1"/>
  <c r="L21" i="1"/>
  <c r="M21" i="1"/>
  <c r="N21" i="1" s="1"/>
  <c r="T21" i="1"/>
  <c r="V21" i="1"/>
  <c r="W21" i="1"/>
  <c r="X21" i="1"/>
  <c r="Z21" i="1"/>
  <c r="AA21" i="1"/>
  <c r="K22" i="1"/>
  <c r="L22" i="1"/>
  <c r="M22" i="1"/>
  <c r="N22" i="1" s="1"/>
  <c r="T22" i="1"/>
  <c r="V22" i="1"/>
  <c r="W22" i="1"/>
  <c r="X22" i="1"/>
  <c r="Z22" i="1"/>
  <c r="AA22" i="1"/>
  <c r="K23" i="1"/>
  <c r="L23" i="1"/>
  <c r="M23" i="1"/>
  <c r="N23" i="1" s="1"/>
  <c r="T23" i="1"/>
  <c r="V23" i="1"/>
  <c r="W23" i="1"/>
  <c r="X23" i="1"/>
  <c r="Z23" i="1"/>
  <c r="AA23" i="1"/>
  <c r="K24" i="1"/>
  <c r="L24" i="1"/>
  <c r="M24" i="1"/>
  <c r="N24" i="1" s="1"/>
  <c r="T24" i="1"/>
  <c r="V24" i="1"/>
  <c r="W24" i="1"/>
  <c r="X24" i="1"/>
  <c r="Z24" i="1"/>
  <c r="AA24" i="1"/>
  <c r="K25" i="1"/>
  <c r="L25" i="1"/>
  <c r="M25" i="1"/>
  <c r="N25" i="1" s="1"/>
  <c r="T25" i="1"/>
  <c r="V25" i="1"/>
  <c r="W25" i="1"/>
  <c r="X25" i="1"/>
  <c r="Z25" i="1"/>
  <c r="AA25" i="1"/>
  <c r="K26" i="1"/>
  <c r="L26" i="1"/>
  <c r="M26" i="1"/>
  <c r="N26" i="1" s="1"/>
  <c r="T26" i="1"/>
  <c r="V26" i="1"/>
  <c r="W26" i="1"/>
  <c r="X26" i="1"/>
  <c r="Z26" i="1"/>
  <c r="AA26" i="1"/>
  <c r="K27" i="1"/>
  <c r="L27" i="1"/>
  <c r="M27" i="1"/>
  <c r="N27" i="1" s="1"/>
  <c r="T27" i="1"/>
  <c r="V27" i="1"/>
  <c r="W27" i="1"/>
  <c r="X27" i="1"/>
  <c r="Z27" i="1"/>
  <c r="AA27" i="1"/>
  <c r="K28" i="1"/>
  <c r="L28" i="1"/>
  <c r="M28" i="1"/>
  <c r="N28" i="1" s="1"/>
  <c r="T28" i="1"/>
  <c r="V28" i="1"/>
  <c r="W28" i="1"/>
  <c r="X28" i="1"/>
  <c r="Z28" i="1"/>
  <c r="AA28" i="1"/>
  <c r="K29" i="1"/>
  <c r="L29" i="1"/>
  <c r="M29" i="1"/>
  <c r="N29" i="1" s="1"/>
  <c r="T29" i="1"/>
  <c r="V29" i="1"/>
  <c r="W29" i="1"/>
  <c r="X29" i="1"/>
  <c r="Z29" i="1"/>
  <c r="AA29" i="1"/>
  <c r="K30" i="1"/>
  <c r="L30" i="1"/>
  <c r="M30" i="1"/>
  <c r="N30" i="1" s="1"/>
  <c r="T30" i="1"/>
  <c r="V30" i="1"/>
  <c r="W30" i="1"/>
  <c r="X30" i="1"/>
  <c r="Z30" i="1"/>
  <c r="AA30" i="1"/>
  <c r="K31" i="1"/>
  <c r="L31" i="1"/>
  <c r="M31" i="1"/>
  <c r="N31" i="1" s="1"/>
  <c r="T31" i="1"/>
  <c r="V31" i="1"/>
  <c r="W31" i="1"/>
  <c r="X31" i="1"/>
  <c r="Z31" i="1"/>
  <c r="AA31" i="1"/>
  <c r="K32" i="1"/>
  <c r="L32" i="1"/>
  <c r="M32" i="1"/>
  <c r="N32" i="1" s="1"/>
  <c r="T32" i="1"/>
  <c r="V32" i="1"/>
  <c r="W32" i="1"/>
  <c r="X32" i="1"/>
  <c r="Z32" i="1"/>
  <c r="AA32" i="1"/>
  <c r="K33" i="1"/>
  <c r="L33" i="1"/>
  <c r="M33" i="1"/>
  <c r="N33" i="1" s="1"/>
  <c r="T33" i="1"/>
  <c r="V33" i="1"/>
  <c r="W33" i="1"/>
  <c r="X33" i="1"/>
  <c r="Z33" i="1"/>
  <c r="AA33" i="1"/>
  <c r="K34" i="1"/>
  <c r="L34" i="1"/>
  <c r="M34" i="1"/>
  <c r="N34" i="1" s="1"/>
  <c r="T34" i="1"/>
  <c r="V34" i="1"/>
  <c r="W34" i="1"/>
  <c r="X34" i="1"/>
  <c r="Z34" i="1"/>
  <c r="AA34" i="1"/>
  <c r="K35" i="1"/>
  <c r="L35" i="1"/>
  <c r="M35" i="1"/>
  <c r="N35" i="1" s="1"/>
  <c r="T35" i="1"/>
  <c r="V35" i="1"/>
  <c r="W35" i="1"/>
  <c r="X35" i="1"/>
  <c r="Z35" i="1"/>
  <c r="AA35" i="1"/>
  <c r="K36" i="1"/>
  <c r="L36" i="1"/>
  <c r="M36" i="1"/>
  <c r="N36" i="1" s="1"/>
  <c r="T36" i="1"/>
  <c r="V36" i="1"/>
  <c r="W36" i="1"/>
  <c r="X36" i="1"/>
  <c r="Z36" i="1"/>
  <c r="AA36" i="1"/>
  <c r="K37" i="1"/>
  <c r="L37" i="1"/>
  <c r="M37" i="1"/>
  <c r="N37" i="1" s="1"/>
  <c r="T37" i="1"/>
  <c r="V37" i="1"/>
  <c r="W37" i="1"/>
  <c r="X37" i="1"/>
  <c r="Z37" i="1"/>
  <c r="AA37" i="1"/>
  <c r="K38" i="1"/>
  <c r="L38" i="1"/>
  <c r="M38" i="1"/>
  <c r="N38" i="1" s="1"/>
  <c r="T38" i="1"/>
  <c r="V38" i="1"/>
  <c r="W38" i="1"/>
  <c r="X38" i="1"/>
  <c r="Y38" i="1" s="1"/>
  <c r="U38" i="1" s="1"/>
  <c r="Z38" i="1"/>
  <c r="AA38" i="1"/>
  <c r="K39" i="1"/>
  <c r="L39" i="1"/>
  <c r="M39" i="1"/>
  <c r="N39" i="1" s="1"/>
  <c r="T39" i="1"/>
  <c r="V39" i="1"/>
  <c r="W39" i="1"/>
  <c r="X39" i="1"/>
  <c r="Z39" i="1"/>
  <c r="AA39" i="1"/>
  <c r="K40" i="1"/>
  <c r="L40" i="1"/>
  <c r="M40" i="1"/>
  <c r="N40" i="1" s="1"/>
  <c r="T40" i="1"/>
  <c r="V40" i="1"/>
  <c r="W40" i="1"/>
  <c r="X40" i="1"/>
  <c r="Z40" i="1"/>
  <c r="AA40" i="1"/>
  <c r="K41" i="1"/>
  <c r="L41" i="1"/>
  <c r="M41" i="1"/>
  <c r="N41" i="1" s="1"/>
  <c r="T41" i="1"/>
  <c r="V41" i="1"/>
  <c r="W41" i="1"/>
  <c r="X41" i="1"/>
  <c r="Z41" i="1"/>
  <c r="AA41" i="1"/>
  <c r="K42" i="1"/>
  <c r="L42" i="1"/>
  <c r="M42" i="1"/>
  <c r="N42" i="1" s="1"/>
  <c r="T42" i="1"/>
  <c r="V42" i="1"/>
  <c r="W42" i="1"/>
  <c r="X42" i="1"/>
  <c r="Z42" i="1"/>
  <c r="AA42" i="1"/>
  <c r="K43" i="1"/>
  <c r="L43" i="1"/>
  <c r="M43" i="1"/>
  <c r="N43" i="1" s="1"/>
  <c r="T43" i="1"/>
  <c r="V43" i="1"/>
  <c r="W43" i="1"/>
  <c r="X43" i="1"/>
  <c r="Z43" i="1"/>
  <c r="AA43" i="1"/>
  <c r="K44" i="1"/>
  <c r="L44" i="1"/>
  <c r="M44" i="1"/>
  <c r="N44" i="1" s="1"/>
  <c r="T44" i="1"/>
  <c r="V44" i="1"/>
  <c r="W44" i="1"/>
  <c r="X44" i="1"/>
  <c r="Z44" i="1"/>
  <c r="AA44" i="1"/>
  <c r="K45" i="1"/>
  <c r="L45" i="1"/>
  <c r="M45" i="1"/>
  <c r="N45" i="1" s="1"/>
  <c r="T45" i="1"/>
  <c r="V45" i="1"/>
  <c r="W45" i="1"/>
  <c r="X45" i="1"/>
  <c r="Z45" i="1"/>
  <c r="AA45" i="1"/>
  <c r="K46" i="1"/>
  <c r="L46" i="1"/>
  <c r="M46" i="1"/>
  <c r="N46" i="1" s="1"/>
  <c r="T46" i="1"/>
  <c r="V46" i="1"/>
  <c r="W46" i="1"/>
  <c r="X46" i="1"/>
  <c r="Z46" i="1"/>
  <c r="AA46" i="1"/>
  <c r="K47" i="1"/>
  <c r="L47" i="1"/>
  <c r="M47" i="1"/>
  <c r="N47" i="1" s="1"/>
  <c r="T47" i="1"/>
  <c r="V47" i="1"/>
  <c r="W47" i="1"/>
  <c r="X47" i="1"/>
  <c r="Z47" i="1"/>
  <c r="AA47" i="1"/>
  <c r="K48" i="1"/>
  <c r="L48" i="1"/>
  <c r="M48" i="1"/>
  <c r="N48" i="1" s="1"/>
  <c r="T48" i="1"/>
  <c r="V48" i="1"/>
  <c r="W48" i="1"/>
  <c r="X48" i="1"/>
  <c r="Z48" i="1"/>
  <c r="AA48" i="1"/>
  <c r="K49" i="1"/>
  <c r="L49" i="1"/>
  <c r="M49" i="1"/>
  <c r="N49" i="1" s="1"/>
  <c r="T49" i="1"/>
  <c r="V49" i="1"/>
  <c r="W49" i="1"/>
  <c r="X49" i="1"/>
  <c r="Z49" i="1"/>
  <c r="AA49" i="1"/>
  <c r="K50" i="1"/>
  <c r="L50" i="1"/>
  <c r="M50" i="1"/>
  <c r="N50" i="1" s="1"/>
  <c r="T50" i="1"/>
  <c r="V50" i="1"/>
  <c r="W50" i="1"/>
  <c r="X50" i="1"/>
  <c r="Y50" i="1" s="1"/>
  <c r="U50" i="1" s="1"/>
  <c r="Z50" i="1"/>
  <c r="AA50" i="1"/>
  <c r="K51" i="1"/>
  <c r="L51" i="1"/>
  <c r="M51" i="1"/>
  <c r="N51" i="1" s="1"/>
  <c r="T51" i="1"/>
  <c r="V51" i="1"/>
  <c r="W51" i="1"/>
  <c r="X51" i="1"/>
  <c r="Z51" i="1"/>
  <c r="AA51" i="1"/>
  <c r="K52" i="1"/>
  <c r="L52" i="1"/>
  <c r="M52" i="1"/>
  <c r="N52" i="1" s="1"/>
  <c r="T52" i="1"/>
  <c r="V52" i="1"/>
  <c r="W52" i="1"/>
  <c r="X52" i="1"/>
  <c r="Z52" i="1"/>
  <c r="AA52" i="1"/>
  <c r="K53" i="1"/>
  <c r="L53" i="1"/>
  <c r="M53" i="1"/>
  <c r="P53" i="1" s="1"/>
  <c r="T53" i="1"/>
  <c r="V53" i="1"/>
  <c r="W53" i="1"/>
  <c r="X53" i="1"/>
  <c r="Z53" i="1"/>
  <c r="AA53" i="1"/>
  <c r="K54" i="1"/>
  <c r="L54" i="1"/>
  <c r="M54" i="1"/>
  <c r="N54" i="1" s="1"/>
  <c r="T54" i="1"/>
  <c r="V54" i="1"/>
  <c r="W54" i="1"/>
  <c r="X54" i="1"/>
  <c r="Z54" i="1"/>
  <c r="AA54" i="1"/>
  <c r="K55" i="1"/>
  <c r="L55" i="1"/>
  <c r="M55" i="1"/>
  <c r="N55" i="1" s="1"/>
  <c r="T55" i="1"/>
  <c r="V55" i="1"/>
  <c r="W55" i="1"/>
  <c r="X55" i="1"/>
  <c r="Z55" i="1"/>
  <c r="AA55" i="1"/>
  <c r="K56" i="1"/>
  <c r="L56" i="1"/>
  <c r="M56" i="1"/>
  <c r="N56" i="1" s="1"/>
  <c r="T56" i="1"/>
  <c r="V56" i="1"/>
  <c r="W56" i="1"/>
  <c r="X56" i="1"/>
  <c r="Z56" i="1"/>
  <c r="AA56" i="1"/>
  <c r="K57" i="1"/>
  <c r="L57" i="1"/>
  <c r="M57" i="1"/>
  <c r="N57" i="1" s="1"/>
  <c r="T57" i="1"/>
  <c r="V57" i="1"/>
  <c r="W57" i="1"/>
  <c r="X57" i="1"/>
  <c r="Z57" i="1"/>
  <c r="AA57" i="1"/>
  <c r="K58" i="1"/>
  <c r="L58" i="1"/>
  <c r="M58" i="1"/>
  <c r="P58" i="1" s="1"/>
  <c r="T58" i="1"/>
  <c r="V58" i="1"/>
  <c r="W58" i="1"/>
  <c r="X58" i="1"/>
  <c r="Z58" i="1"/>
  <c r="AA58" i="1"/>
  <c r="K59" i="1"/>
  <c r="L59" i="1"/>
  <c r="M59" i="1"/>
  <c r="N59" i="1" s="1"/>
  <c r="T59" i="1"/>
  <c r="V59" i="1"/>
  <c r="W59" i="1"/>
  <c r="X59" i="1"/>
  <c r="Z59" i="1"/>
  <c r="AA59" i="1"/>
  <c r="K60" i="1"/>
  <c r="L60" i="1"/>
  <c r="M60" i="1"/>
  <c r="N60" i="1" s="1"/>
  <c r="T60" i="1"/>
  <c r="V60" i="1"/>
  <c r="W60" i="1"/>
  <c r="X60" i="1"/>
  <c r="Z60" i="1"/>
  <c r="AA60" i="1"/>
  <c r="K61" i="1"/>
  <c r="L61" i="1"/>
  <c r="M61" i="1"/>
  <c r="N61" i="1" s="1"/>
  <c r="T61" i="1"/>
  <c r="V61" i="1"/>
  <c r="W61" i="1"/>
  <c r="X61" i="1"/>
  <c r="Z61" i="1"/>
  <c r="AA61" i="1"/>
  <c r="K62" i="1"/>
  <c r="L62" i="1"/>
  <c r="M62" i="1"/>
  <c r="P62" i="1" s="1"/>
  <c r="T62" i="1"/>
  <c r="V62" i="1"/>
  <c r="W62" i="1"/>
  <c r="X62" i="1"/>
  <c r="Z62" i="1"/>
  <c r="AA62" i="1"/>
  <c r="K63" i="1"/>
  <c r="L63" i="1"/>
  <c r="M63" i="1"/>
  <c r="N63" i="1" s="1"/>
  <c r="T63" i="1"/>
  <c r="V63" i="1"/>
  <c r="W63" i="1"/>
  <c r="X63" i="1"/>
  <c r="Z63" i="1"/>
  <c r="AA63" i="1"/>
  <c r="K64" i="1"/>
  <c r="L64" i="1"/>
  <c r="M64" i="1"/>
  <c r="N64" i="1" s="1"/>
  <c r="T64" i="1"/>
  <c r="V64" i="1"/>
  <c r="W64" i="1"/>
  <c r="X64" i="1"/>
  <c r="Z64" i="1"/>
  <c r="AA64" i="1"/>
  <c r="K65" i="1"/>
  <c r="L65" i="1"/>
  <c r="M65" i="1"/>
  <c r="P65" i="1" s="1"/>
  <c r="T65" i="1"/>
  <c r="V65" i="1"/>
  <c r="W65" i="1"/>
  <c r="X65" i="1"/>
  <c r="Z65" i="1"/>
  <c r="AA65" i="1"/>
  <c r="K66" i="1"/>
  <c r="L66" i="1"/>
  <c r="M66" i="1"/>
  <c r="N66" i="1" s="1"/>
  <c r="T66" i="1"/>
  <c r="V66" i="1"/>
  <c r="W66" i="1"/>
  <c r="X66" i="1"/>
  <c r="Z66" i="1"/>
  <c r="AA66" i="1"/>
  <c r="K67" i="1"/>
  <c r="L67" i="1"/>
  <c r="M67" i="1"/>
  <c r="P67" i="1" s="1"/>
  <c r="T67" i="1"/>
  <c r="V67" i="1"/>
  <c r="W67" i="1"/>
  <c r="X67" i="1"/>
  <c r="Z67" i="1"/>
  <c r="AA67" i="1"/>
  <c r="K69" i="1"/>
  <c r="L69" i="1"/>
  <c r="M69" i="1"/>
  <c r="N69" i="1" s="1"/>
  <c r="T69" i="1"/>
  <c r="V69" i="1"/>
  <c r="W69" i="1"/>
  <c r="X69" i="1"/>
  <c r="Z69" i="1"/>
  <c r="AA69" i="1"/>
  <c r="K70" i="1"/>
  <c r="L70" i="1"/>
  <c r="M70" i="1"/>
  <c r="N70" i="1" s="1"/>
  <c r="T70" i="1"/>
  <c r="V70" i="1"/>
  <c r="W70" i="1"/>
  <c r="X70" i="1"/>
  <c r="Z70" i="1"/>
  <c r="AA70" i="1"/>
  <c r="K71" i="1"/>
  <c r="L71" i="1"/>
  <c r="M71" i="1"/>
  <c r="N71" i="1" s="1"/>
  <c r="T71" i="1"/>
  <c r="V71" i="1"/>
  <c r="W71" i="1"/>
  <c r="X71" i="1"/>
  <c r="Z71" i="1"/>
  <c r="AA71" i="1"/>
  <c r="K72" i="1"/>
  <c r="L72" i="1"/>
  <c r="M72" i="1"/>
  <c r="N72" i="1" s="1"/>
  <c r="T72" i="1"/>
  <c r="V72" i="1"/>
  <c r="W72" i="1"/>
  <c r="X72" i="1"/>
  <c r="Z72" i="1"/>
  <c r="AA72" i="1"/>
  <c r="K73" i="1"/>
  <c r="L73" i="1"/>
  <c r="M73" i="1"/>
  <c r="N73" i="1" s="1"/>
  <c r="T73" i="1"/>
  <c r="V73" i="1"/>
  <c r="W73" i="1"/>
  <c r="X73" i="1"/>
  <c r="Z73" i="1"/>
  <c r="AA73" i="1"/>
  <c r="K74" i="1"/>
  <c r="L74" i="1"/>
  <c r="M74" i="1"/>
  <c r="N74" i="1" s="1"/>
  <c r="T74" i="1"/>
  <c r="V74" i="1"/>
  <c r="W74" i="1"/>
  <c r="X74" i="1"/>
  <c r="Z74" i="1"/>
  <c r="AA74" i="1"/>
  <c r="K75" i="1"/>
  <c r="L75" i="1"/>
  <c r="M75" i="1"/>
  <c r="N75" i="1" s="1"/>
  <c r="T75" i="1"/>
  <c r="V75" i="1"/>
  <c r="W75" i="1"/>
  <c r="X75" i="1"/>
  <c r="Z75" i="1"/>
  <c r="AA75" i="1"/>
  <c r="K76" i="1"/>
  <c r="L76" i="1"/>
  <c r="M76" i="1"/>
  <c r="N76" i="1" s="1"/>
  <c r="T76" i="1"/>
  <c r="V76" i="1"/>
  <c r="W76" i="1"/>
  <c r="X76" i="1"/>
  <c r="Z76" i="1"/>
  <c r="AA76" i="1"/>
  <c r="K77" i="1"/>
  <c r="L77" i="1"/>
  <c r="M77" i="1"/>
  <c r="N77" i="1" s="1"/>
  <c r="T77" i="1"/>
  <c r="V77" i="1"/>
  <c r="W77" i="1"/>
  <c r="X77" i="1"/>
  <c r="Z77" i="1"/>
  <c r="AA77" i="1"/>
  <c r="K78" i="1"/>
  <c r="L78" i="1"/>
  <c r="M78" i="1"/>
  <c r="N78" i="1" s="1"/>
  <c r="T78" i="1"/>
  <c r="V78" i="1"/>
  <c r="W78" i="1"/>
  <c r="X78" i="1"/>
  <c r="Z78" i="1"/>
  <c r="AA78" i="1"/>
  <c r="K79" i="1"/>
  <c r="L79" i="1"/>
  <c r="M79" i="1"/>
  <c r="N79" i="1" s="1"/>
  <c r="T79" i="1"/>
  <c r="V79" i="1"/>
  <c r="W79" i="1"/>
  <c r="X79" i="1"/>
  <c r="Z79" i="1"/>
  <c r="AA79" i="1"/>
  <c r="K80" i="1"/>
  <c r="L80" i="1"/>
  <c r="M80" i="1"/>
  <c r="N80" i="1" s="1"/>
  <c r="T80" i="1"/>
  <c r="V80" i="1"/>
  <c r="W80" i="1"/>
  <c r="X80" i="1"/>
  <c r="Z80" i="1"/>
  <c r="AA80" i="1"/>
  <c r="K81" i="1"/>
  <c r="L81" i="1"/>
  <c r="M81" i="1"/>
  <c r="T81" i="1"/>
  <c r="V81" i="1"/>
  <c r="W81" i="1"/>
  <c r="X81" i="1"/>
  <c r="Z81" i="1"/>
  <c r="AA81" i="1"/>
  <c r="K82" i="1"/>
  <c r="L82" i="1"/>
  <c r="M82" i="1"/>
  <c r="T82" i="1"/>
  <c r="V82" i="1"/>
  <c r="W82" i="1"/>
  <c r="X82" i="1"/>
  <c r="Z82" i="1"/>
  <c r="AA82" i="1"/>
  <c r="K83" i="1"/>
  <c r="L83" i="1"/>
  <c r="M83" i="1"/>
  <c r="N83" i="1" s="1"/>
  <c r="T83" i="1"/>
  <c r="V83" i="1"/>
  <c r="W83" i="1"/>
  <c r="Z83" i="1"/>
  <c r="AA83" i="1"/>
  <c r="K84" i="1"/>
  <c r="L84" i="1"/>
  <c r="M84" i="1"/>
  <c r="N84" i="1" s="1"/>
  <c r="T84" i="1"/>
  <c r="V84" i="1"/>
  <c r="W84" i="1"/>
  <c r="X84" i="1"/>
  <c r="Z84" i="1"/>
  <c r="AA84" i="1"/>
  <c r="K85" i="1"/>
  <c r="L85" i="1"/>
  <c r="M85" i="1"/>
  <c r="N85" i="1" s="1"/>
  <c r="T85" i="1"/>
  <c r="V85" i="1"/>
  <c r="W85" i="1"/>
  <c r="X85" i="1"/>
  <c r="Z85" i="1"/>
  <c r="AA85" i="1"/>
  <c r="K86" i="1"/>
  <c r="L86" i="1"/>
  <c r="M86" i="1"/>
  <c r="N86" i="1" s="1"/>
  <c r="T86" i="1"/>
  <c r="V86" i="1"/>
  <c r="W86" i="1"/>
  <c r="X86" i="1"/>
  <c r="Z86" i="1"/>
  <c r="AA86" i="1"/>
  <c r="K87" i="1"/>
  <c r="L87" i="1"/>
  <c r="M87" i="1"/>
  <c r="N87" i="1" s="1"/>
  <c r="T87" i="1"/>
  <c r="V87" i="1"/>
  <c r="W87" i="1"/>
  <c r="X87" i="1"/>
  <c r="Z87" i="1"/>
  <c r="AA87" i="1"/>
  <c r="K88" i="1"/>
  <c r="L88" i="1"/>
  <c r="M88" i="1"/>
  <c r="N88" i="1" s="1"/>
  <c r="T88" i="1"/>
  <c r="V88" i="1"/>
  <c r="W88" i="1"/>
  <c r="X88" i="1"/>
  <c r="Z88" i="1"/>
  <c r="AA88" i="1"/>
  <c r="K89" i="1"/>
  <c r="L89" i="1"/>
  <c r="M89" i="1"/>
  <c r="N89" i="1" s="1"/>
  <c r="T89" i="1"/>
  <c r="V89" i="1"/>
  <c r="W89" i="1"/>
  <c r="X89" i="1"/>
  <c r="Z89" i="1"/>
  <c r="AA89" i="1"/>
  <c r="K90" i="1"/>
  <c r="L90" i="1"/>
  <c r="M90" i="1"/>
  <c r="N90" i="1" s="1"/>
  <c r="T90" i="1"/>
  <c r="V90" i="1"/>
  <c r="W90" i="1"/>
  <c r="X90" i="1"/>
  <c r="Z90" i="1"/>
  <c r="AA90" i="1"/>
  <c r="K91" i="1"/>
  <c r="L91" i="1"/>
  <c r="M91" i="1"/>
  <c r="N91" i="1" s="1"/>
  <c r="T91" i="1"/>
  <c r="V91" i="1"/>
  <c r="W91" i="1"/>
  <c r="X91" i="1"/>
  <c r="Z91" i="1"/>
  <c r="AA91" i="1"/>
  <c r="K92" i="1"/>
  <c r="L92" i="1"/>
  <c r="M92" i="1"/>
  <c r="N92" i="1" s="1"/>
  <c r="T92" i="1"/>
  <c r="V92" i="1"/>
  <c r="W92" i="1"/>
  <c r="X92" i="1"/>
  <c r="Z92" i="1"/>
  <c r="AA92" i="1"/>
  <c r="K93" i="1"/>
  <c r="L93" i="1"/>
  <c r="M93" i="1"/>
  <c r="N93" i="1" s="1"/>
  <c r="T93" i="1"/>
  <c r="V93" i="1"/>
  <c r="W93" i="1"/>
  <c r="X93" i="1"/>
  <c r="Z93" i="1"/>
  <c r="AA93" i="1"/>
  <c r="K94" i="1"/>
  <c r="L94" i="1"/>
  <c r="M94" i="1"/>
  <c r="N94" i="1" s="1"/>
  <c r="T94" i="1"/>
  <c r="V94" i="1"/>
  <c r="W94" i="1"/>
  <c r="X94" i="1"/>
  <c r="Z94" i="1"/>
  <c r="AA94" i="1"/>
  <c r="K95" i="1"/>
  <c r="L95" i="1"/>
  <c r="M95" i="1"/>
  <c r="N95" i="1" s="1"/>
  <c r="T95" i="1"/>
  <c r="V95" i="1"/>
  <c r="W95" i="1"/>
  <c r="X95" i="1"/>
  <c r="Z95" i="1"/>
  <c r="AA95" i="1"/>
  <c r="K96" i="1"/>
  <c r="L96" i="1"/>
  <c r="M96" i="1"/>
  <c r="N96" i="1" s="1"/>
  <c r="T96" i="1"/>
  <c r="V96" i="1"/>
  <c r="W96" i="1"/>
  <c r="X96" i="1"/>
  <c r="Z96" i="1"/>
  <c r="AA96" i="1"/>
  <c r="K97" i="1"/>
  <c r="L97" i="1"/>
  <c r="M97" i="1"/>
  <c r="N97" i="1" s="1"/>
  <c r="T97" i="1"/>
  <c r="V97" i="1"/>
  <c r="W97" i="1"/>
  <c r="X97" i="1"/>
  <c r="Z97" i="1"/>
  <c r="AA97" i="1"/>
  <c r="K98" i="1"/>
  <c r="L98" i="1"/>
  <c r="M98" i="1"/>
  <c r="N98" i="1" s="1"/>
  <c r="T98" i="1"/>
  <c r="V98" i="1"/>
  <c r="W98" i="1"/>
  <c r="X98" i="1"/>
  <c r="Z98" i="1"/>
  <c r="AA98" i="1"/>
  <c r="K99" i="1"/>
  <c r="L99" i="1"/>
  <c r="M99" i="1"/>
  <c r="N99" i="1" s="1"/>
  <c r="T99" i="1"/>
  <c r="V99" i="1"/>
  <c r="W99" i="1"/>
  <c r="X99" i="1"/>
  <c r="Z99" i="1"/>
  <c r="AA99" i="1"/>
  <c r="K100" i="1"/>
  <c r="L100" i="1"/>
  <c r="M100" i="1"/>
  <c r="N100" i="1" s="1"/>
  <c r="T100" i="1"/>
  <c r="V100" i="1"/>
  <c r="W100" i="1"/>
  <c r="X100" i="1"/>
  <c r="Z100" i="1"/>
  <c r="AA100" i="1"/>
  <c r="K101" i="1"/>
  <c r="L101" i="1"/>
  <c r="M101" i="1"/>
  <c r="N101" i="1" s="1"/>
  <c r="T101" i="1"/>
  <c r="V101" i="1"/>
  <c r="W101" i="1"/>
  <c r="X101" i="1"/>
  <c r="Z101" i="1"/>
  <c r="AA101" i="1"/>
  <c r="K102" i="1"/>
  <c r="L102" i="1"/>
  <c r="M102" i="1"/>
  <c r="N102" i="1" s="1"/>
  <c r="T102" i="1"/>
  <c r="V102" i="1"/>
  <c r="W102" i="1"/>
  <c r="X102" i="1"/>
  <c r="Z102" i="1"/>
  <c r="AA102" i="1"/>
  <c r="K103" i="1"/>
  <c r="L103" i="1"/>
  <c r="M103" i="1"/>
  <c r="N103" i="1" s="1"/>
  <c r="T103" i="1"/>
  <c r="V103" i="1"/>
  <c r="W103" i="1"/>
  <c r="X103" i="1"/>
  <c r="Z103" i="1"/>
  <c r="AA103" i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P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T115" i="1"/>
  <c r="V115" i="1"/>
  <c r="W115" i="1"/>
  <c r="X115" i="1"/>
  <c r="Z115" i="1"/>
  <c r="AA115" i="1"/>
  <c r="K116" i="1"/>
  <c r="L116" i="1"/>
  <c r="M116" i="1"/>
  <c r="N116" i="1" s="1"/>
  <c r="T116" i="1"/>
  <c r="V116" i="1"/>
  <c r="W116" i="1"/>
  <c r="X116" i="1"/>
  <c r="Z116" i="1"/>
  <c r="AA116" i="1"/>
  <c r="K117" i="1"/>
  <c r="L117" i="1"/>
  <c r="M117" i="1"/>
  <c r="N117" i="1" s="1"/>
  <c r="T117" i="1"/>
  <c r="V117" i="1"/>
  <c r="W117" i="1"/>
  <c r="X117" i="1"/>
  <c r="Z117" i="1"/>
  <c r="AA117" i="1"/>
  <c r="K118" i="1"/>
  <c r="L118" i="1"/>
  <c r="M118" i="1"/>
  <c r="N118" i="1" s="1"/>
  <c r="T118" i="1"/>
  <c r="V118" i="1"/>
  <c r="W118" i="1"/>
  <c r="X118" i="1"/>
  <c r="Z118" i="1"/>
  <c r="AA118" i="1"/>
  <c r="K119" i="1"/>
  <c r="L119" i="1"/>
  <c r="M119" i="1"/>
  <c r="N119" i="1" s="1"/>
  <c r="T119" i="1"/>
  <c r="V119" i="1"/>
  <c r="W119" i="1"/>
  <c r="X119" i="1"/>
  <c r="Z119" i="1"/>
  <c r="AA119" i="1"/>
  <c r="K120" i="1"/>
  <c r="L120" i="1"/>
  <c r="M120" i="1"/>
  <c r="P120" i="1" s="1"/>
  <c r="T120" i="1"/>
  <c r="V120" i="1"/>
  <c r="W120" i="1"/>
  <c r="X120" i="1"/>
  <c r="Z120" i="1"/>
  <c r="AA120" i="1"/>
  <c r="K121" i="1"/>
  <c r="L121" i="1"/>
  <c r="M121" i="1"/>
  <c r="N121" i="1" s="1"/>
  <c r="T121" i="1"/>
  <c r="V121" i="1"/>
  <c r="W121" i="1"/>
  <c r="X121" i="1"/>
  <c r="Z121" i="1"/>
  <c r="AA121" i="1"/>
  <c r="K122" i="1"/>
  <c r="L122" i="1"/>
  <c r="M122" i="1"/>
  <c r="N122" i="1" s="1"/>
  <c r="T122" i="1"/>
  <c r="V122" i="1"/>
  <c r="W122" i="1"/>
  <c r="X122" i="1"/>
  <c r="Z122" i="1"/>
  <c r="AA122" i="1"/>
  <c r="K123" i="1"/>
  <c r="L123" i="1"/>
  <c r="M123" i="1"/>
  <c r="N123" i="1" s="1"/>
  <c r="T123" i="1"/>
  <c r="V123" i="1"/>
  <c r="W123" i="1"/>
  <c r="X123" i="1"/>
  <c r="Z123" i="1"/>
  <c r="AA123" i="1"/>
  <c r="K124" i="1"/>
  <c r="L124" i="1"/>
  <c r="M124" i="1"/>
  <c r="N124" i="1" s="1"/>
  <c r="T124" i="1"/>
  <c r="V124" i="1"/>
  <c r="W124" i="1"/>
  <c r="X124" i="1"/>
  <c r="Z124" i="1"/>
  <c r="AA124" i="1"/>
  <c r="K125" i="1"/>
  <c r="L125" i="1"/>
  <c r="M125" i="1"/>
  <c r="P125" i="1" s="1"/>
  <c r="T125" i="1"/>
  <c r="V125" i="1"/>
  <c r="W125" i="1"/>
  <c r="X125" i="1"/>
  <c r="Z125" i="1"/>
  <c r="AA125" i="1"/>
  <c r="K126" i="1"/>
  <c r="L126" i="1"/>
  <c r="M126" i="1"/>
  <c r="N126" i="1" s="1"/>
  <c r="T126" i="1"/>
  <c r="V126" i="1"/>
  <c r="W126" i="1"/>
  <c r="X126" i="1"/>
  <c r="Z126" i="1"/>
  <c r="AA126" i="1"/>
  <c r="K127" i="1"/>
  <c r="L127" i="1"/>
  <c r="M127" i="1"/>
  <c r="N127" i="1" s="1"/>
  <c r="T127" i="1"/>
  <c r="V127" i="1"/>
  <c r="W127" i="1"/>
  <c r="X127" i="1"/>
  <c r="Z127" i="1"/>
  <c r="AA127" i="1"/>
  <c r="K128" i="1"/>
  <c r="L128" i="1"/>
  <c r="M128" i="1"/>
  <c r="N128" i="1" s="1"/>
  <c r="T128" i="1"/>
  <c r="V128" i="1"/>
  <c r="W128" i="1"/>
  <c r="X128" i="1"/>
  <c r="Z128" i="1"/>
  <c r="AA128" i="1"/>
  <c r="K129" i="1"/>
  <c r="L129" i="1"/>
  <c r="M129" i="1"/>
  <c r="N129" i="1" s="1"/>
  <c r="T129" i="1"/>
  <c r="V129" i="1"/>
  <c r="W129" i="1"/>
  <c r="X129" i="1"/>
  <c r="Z129" i="1"/>
  <c r="AA129" i="1"/>
  <c r="K130" i="1"/>
  <c r="L130" i="1"/>
  <c r="M130" i="1"/>
  <c r="N130" i="1" s="1"/>
  <c r="T130" i="1"/>
  <c r="V130" i="1"/>
  <c r="W130" i="1"/>
  <c r="X130" i="1"/>
  <c r="Z130" i="1"/>
  <c r="AA130" i="1"/>
  <c r="K131" i="1"/>
  <c r="L131" i="1"/>
  <c r="M131" i="1"/>
  <c r="N131" i="1" s="1"/>
  <c r="T131" i="1"/>
  <c r="V131" i="1"/>
  <c r="W131" i="1"/>
  <c r="X131" i="1"/>
  <c r="Z131" i="1"/>
  <c r="AA131" i="1"/>
  <c r="K132" i="1"/>
  <c r="L132" i="1"/>
  <c r="M132" i="1"/>
  <c r="N132" i="1" s="1"/>
  <c r="T132" i="1"/>
  <c r="V132" i="1"/>
  <c r="W132" i="1"/>
  <c r="X132" i="1"/>
  <c r="Z132" i="1"/>
  <c r="AA132" i="1"/>
  <c r="K133" i="1"/>
  <c r="L133" i="1"/>
  <c r="M133" i="1"/>
  <c r="N133" i="1" s="1"/>
  <c r="T133" i="1"/>
  <c r="V133" i="1"/>
  <c r="W133" i="1"/>
  <c r="X133" i="1"/>
  <c r="Z133" i="1"/>
  <c r="AA133" i="1"/>
  <c r="K134" i="1"/>
  <c r="L134" i="1"/>
  <c r="M134" i="1"/>
  <c r="N134" i="1" s="1"/>
  <c r="T134" i="1"/>
  <c r="V134" i="1"/>
  <c r="W134" i="1"/>
  <c r="X134" i="1"/>
  <c r="Z134" i="1"/>
  <c r="AA134" i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3" i="3"/>
  <c r="Y127" i="1" l="1"/>
  <c r="U127" i="1" s="1"/>
  <c r="Y20" i="1"/>
  <c r="U20" i="1" s="1"/>
  <c r="Y5" i="1"/>
  <c r="U5" i="1" s="1"/>
  <c r="Y23" i="1"/>
  <c r="U23" i="1" s="1"/>
  <c r="Y82" i="1"/>
  <c r="U82" i="1" s="1"/>
  <c r="Y76" i="1"/>
  <c r="U76" i="1" s="1"/>
  <c r="Y47" i="1"/>
  <c r="U47" i="1" s="1"/>
  <c r="Y43" i="1"/>
  <c r="U43" i="1" s="1"/>
  <c r="Y35" i="1"/>
  <c r="U35" i="1" s="1"/>
  <c r="Y17" i="1"/>
  <c r="U17" i="1" s="1"/>
  <c r="Y13" i="1"/>
  <c r="U13" i="1" s="1"/>
  <c r="Y6" i="1"/>
  <c r="U6" i="1" s="1"/>
  <c r="Y12" i="1"/>
  <c r="U12" i="1" s="1"/>
  <c r="Y11" i="1"/>
  <c r="U11" i="1" s="1"/>
  <c r="Y64" i="1"/>
  <c r="U64" i="1" s="1"/>
  <c r="Y60" i="1"/>
  <c r="U60" i="1" s="1"/>
  <c r="Y52" i="1"/>
  <c r="U52" i="1" s="1"/>
  <c r="Y44" i="1"/>
  <c r="U44" i="1" s="1"/>
  <c r="Y40" i="1"/>
  <c r="U40" i="1" s="1"/>
  <c r="Y25" i="1"/>
  <c r="U25" i="1" s="1"/>
  <c r="Y10" i="1"/>
  <c r="U10" i="1" s="1"/>
  <c r="Y90" i="1"/>
  <c r="U90" i="1" s="1"/>
  <c r="Y69" i="1"/>
  <c r="U69" i="1" s="1"/>
  <c r="Y61" i="1"/>
  <c r="U61" i="1" s="1"/>
  <c r="Y53" i="1"/>
  <c r="U53" i="1" s="1"/>
  <c r="Y49" i="1"/>
  <c r="U49" i="1" s="1"/>
  <c r="Y129" i="1"/>
  <c r="U129" i="1" s="1"/>
  <c r="Y131" i="1"/>
  <c r="U131" i="1" s="1"/>
  <c r="Y78" i="1"/>
  <c r="U78" i="1" s="1"/>
  <c r="Y121" i="1"/>
  <c r="U121" i="1" s="1"/>
  <c r="Y88" i="1"/>
  <c r="U88" i="1" s="1"/>
  <c r="Y84" i="1"/>
  <c r="U84" i="1" s="1"/>
  <c r="Y75" i="1"/>
  <c r="U75" i="1" s="1"/>
  <c r="Y59" i="1"/>
  <c r="Y55" i="1"/>
  <c r="U55" i="1" s="1"/>
  <c r="Y41" i="1"/>
  <c r="U41" i="1" s="1"/>
  <c r="Y37" i="1"/>
  <c r="U37" i="1" s="1"/>
  <c r="Y33" i="1"/>
  <c r="U33" i="1" s="1"/>
  <c r="Y29" i="1"/>
  <c r="U29" i="1" s="1"/>
  <c r="Y123" i="1"/>
  <c r="U123" i="1" s="1"/>
  <c r="Y83" i="1"/>
  <c r="Y80" i="1"/>
  <c r="U80" i="1" s="1"/>
  <c r="Y72" i="1"/>
  <c r="U72" i="1" s="1"/>
  <c r="Y56" i="1"/>
  <c r="U56" i="1" s="1"/>
  <c r="Y30" i="1"/>
  <c r="U30" i="1" s="1"/>
  <c r="Y27" i="1"/>
  <c r="U27" i="1" s="1"/>
  <c r="Y7" i="1"/>
  <c r="U7" i="1" s="1"/>
  <c r="Y119" i="1"/>
  <c r="U119" i="1" s="1"/>
  <c r="Y96" i="1"/>
  <c r="U96" i="1" s="1"/>
  <c r="Y89" i="1"/>
  <c r="U89" i="1" s="1"/>
  <c r="Y85" i="1"/>
  <c r="U85" i="1" s="1"/>
  <c r="Y81" i="1"/>
  <c r="U81" i="1" s="1"/>
  <c r="P81" i="1"/>
  <c r="Y32" i="1"/>
  <c r="U32" i="1" s="1"/>
  <c r="Y28" i="1"/>
  <c r="U28" i="1" s="1"/>
  <c r="Y16" i="1"/>
  <c r="U16" i="1" s="1"/>
  <c r="Y133" i="1"/>
  <c r="U133" i="1" s="1"/>
  <c r="Y125" i="1"/>
  <c r="U125" i="1" s="1"/>
  <c r="Y117" i="1"/>
  <c r="U117" i="1" s="1"/>
  <c r="Y98" i="1"/>
  <c r="U98" i="1" s="1"/>
  <c r="Y77" i="1"/>
  <c r="U77" i="1" s="1"/>
  <c r="Y73" i="1"/>
  <c r="U73" i="1" s="1"/>
  <c r="Y65" i="1"/>
  <c r="U65" i="1" s="1"/>
  <c r="Y62" i="1"/>
  <c r="U62" i="1" s="1"/>
  <c r="Y58" i="1"/>
  <c r="U58" i="1" s="1"/>
  <c r="Y48" i="1"/>
  <c r="U48" i="1" s="1"/>
  <c r="Y45" i="1"/>
  <c r="U45" i="1" s="1"/>
  <c r="Y42" i="1"/>
  <c r="U42" i="1" s="1"/>
  <c r="Y39" i="1"/>
  <c r="U39" i="1" s="1"/>
  <c r="Y36" i="1"/>
  <c r="U36" i="1" s="1"/>
  <c r="Y24" i="1"/>
  <c r="U24" i="1" s="1"/>
  <c r="Y21" i="1"/>
  <c r="U21" i="1" s="1"/>
  <c r="Y18" i="1"/>
  <c r="U18" i="1" s="1"/>
  <c r="Y15" i="1"/>
  <c r="U15" i="1" s="1"/>
  <c r="Y9" i="1"/>
  <c r="U9" i="1" s="1"/>
  <c r="Y134" i="1"/>
  <c r="U134" i="1" s="1"/>
  <c r="Y132" i="1"/>
  <c r="U132" i="1" s="1"/>
  <c r="Y130" i="1"/>
  <c r="U130" i="1" s="1"/>
  <c r="Y128" i="1"/>
  <c r="U128" i="1" s="1"/>
  <c r="Y126" i="1"/>
  <c r="U126" i="1" s="1"/>
  <c r="Y124" i="1"/>
  <c r="U124" i="1" s="1"/>
  <c r="Y122" i="1"/>
  <c r="U122" i="1" s="1"/>
  <c r="Y120" i="1"/>
  <c r="U120" i="1" s="1"/>
  <c r="Y118" i="1"/>
  <c r="U118" i="1" s="1"/>
  <c r="Y116" i="1"/>
  <c r="U116" i="1" s="1"/>
  <c r="Y102" i="1"/>
  <c r="U102" i="1" s="1"/>
  <c r="Y94" i="1"/>
  <c r="U94" i="1" s="1"/>
  <c r="Y86" i="1"/>
  <c r="U86" i="1" s="1"/>
  <c r="Y79" i="1"/>
  <c r="U79" i="1" s="1"/>
  <c r="Y70" i="1"/>
  <c r="U70" i="1" s="1"/>
  <c r="Y66" i="1"/>
  <c r="U66" i="1" s="1"/>
  <c r="Y63" i="1"/>
  <c r="U63" i="1" s="1"/>
  <c r="Y51" i="1"/>
  <c r="U51" i="1" s="1"/>
  <c r="Y46" i="1"/>
  <c r="U46" i="1" s="1"/>
  <c r="Y31" i="1"/>
  <c r="U31" i="1" s="1"/>
  <c r="Y26" i="1"/>
  <c r="U26" i="1" s="1"/>
  <c r="Y19" i="1"/>
  <c r="U19" i="1" s="1"/>
  <c r="Y100" i="1"/>
  <c r="U100" i="1" s="1"/>
  <c r="Y92" i="1"/>
  <c r="U92" i="1" s="1"/>
  <c r="Y87" i="1"/>
  <c r="U87" i="1" s="1"/>
  <c r="Y74" i="1"/>
  <c r="U74" i="1" s="1"/>
  <c r="Y71" i="1"/>
  <c r="U71" i="1" s="1"/>
  <c r="Y67" i="1"/>
  <c r="U67" i="1" s="1"/>
  <c r="Y57" i="1"/>
  <c r="U57" i="1" s="1"/>
  <c r="Y54" i="1"/>
  <c r="U54" i="1" s="1"/>
  <c r="Y34" i="1"/>
  <c r="U34" i="1" s="1"/>
  <c r="Y22" i="1"/>
  <c r="U22" i="1" s="1"/>
  <c r="Y14" i="1"/>
  <c r="U14" i="1" s="1"/>
  <c r="Y115" i="1"/>
  <c r="U115" i="1" s="1"/>
  <c r="Y103" i="1"/>
  <c r="U103" i="1" s="1"/>
  <c r="Y101" i="1"/>
  <c r="U101" i="1" s="1"/>
  <c r="Y99" i="1"/>
  <c r="U99" i="1" s="1"/>
  <c r="Y97" i="1"/>
  <c r="U97" i="1" s="1"/>
  <c r="Y95" i="1"/>
  <c r="U95" i="1" s="1"/>
  <c r="Y93" i="1"/>
  <c r="U93" i="1" s="1"/>
  <c r="Y91" i="1"/>
  <c r="U91" i="1" s="1"/>
  <c r="L37" i="3"/>
  <c r="L14" i="3"/>
  <c r="L4" i="3"/>
  <c r="L25" i="3"/>
  <c r="L38" i="3"/>
  <c r="L5" i="3"/>
  <c r="L39" i="3"/>
  <c r="L26" i="3"/>
  <c r="L15" i="3"/>
  <c r="L6" i="3"/>
  <c r="L40" i="3"/>
  <c r="L27" i="3"/>
  <c r="L7" i="3"/>
  <c r="L16" i="3"/>
  <c r="L8" i="3"/>
  <c r="L17" i="3"/>
  <c r="L41" i="3"/>
  <c r="L28" i="3"/>
  <c r="L18" i="3"/>
  <c r="L9" i="3"/>
  <c r="L19" i="3"/>
  <c r="L29" i="3"/>
  <c r="L42" i="3"/>
  <c r="L3" i="3"/>
  <c r="L20" i="3"/>
  <c r="L30" i="3"/>
  <c r="L43" i="3"/>
  <c r="L31" i="3"/>
  <c r="L21" i="3"/>
  <c r="L44" i="3"/>
  <c r="L45" i="3"/>
  <c r="L46" i="3"/>
  <c r="L47" i="3"/>
  <c r="L48" i="3"/>
  <c r="L49" i="3"/>
  <c r="L50" i="3"/>
  <c r="L51" i="3"/>
  <c r="L32" i="3"/>
  <c r="L10" i="3"/>
  <c r="L11" i="3"/>
  <c r="L12" i="3"/>
  <c r="L52" i="3"/>
  <c r="L22" i="3"/>
  <c r="L33" i="3"/>
  <c r="L13" i="3"/>
  <c r="L53" i="3"/>
  <c r="L34" i="3"/>
  <c r="L54" i="3"/>
  <c r="L55" i="3"/>
  <c r="L23" i="3"/>
  <c r="L35" i="3"/>
  <c r="L24" i="3"/>
  <c r="P36" i="3"/>
  <c r="P6" i="3"/>
  <c r="K3" i="1"/>
  <c r="K4" i="1"/>
  <c r="L3" i="1"/>
  <c r="M3" i="1"/>
  <c r="N3" i="1" s="1"/>
  <c r="L4" i="1"/>
  <c r="M4" i="1"/>
  <c r="N4" i="1" s="1"/>
  <c r="P16" i="3"/>
  <c r="P39" i="3"/>
  <c r="P38" i="3" l="1"/>
  <c r="P27" i="3"/>
  <c r="P30" i="3"/>
  <c r="P13" i="3"/>
  <c r="P33" i="3"/>
  <c r="P32" i="3"/>
  <c r="P10" i="3"/>
  <c r="P17" i="3"/>
  <c r="P22" i="3"/>
  <c r="P42" i="3"/>
  <c r="P40" i="3"/>
  <c r="P23" i="3"/>
  <c r="P7" i="3"/>
  <c r="P43" i="3"/>
  <c r="P4" i="3"/>
  <c r="P44" i="3"/>
  <c r="P45" i="3"/>
  <c r="P47" i="3"/>
  <c r="P46" i="3"/>
  <c r="P24" i="3"/>
  <c r="P48" i="3"/>
  <c r="P49" i="3"/>
  <c r="P5" i="3"/>
  <c r="P50" i="3"/>
  <c r="P51" i="3"/>
  <c r="P52" i="3"/>
  <c r="P53" i="3"/>
  <c r="P55" i="3"/>
  <c r="P26" i="3"/>
  <c r="P54" i="3"/>
  <c r="P12" i="3" l="1"/>
  <c r="P14" i="3"/>
  <c r="P21" i="3"/>
  <c r="P41" i="3"/>
  <c r="P25" i="3"/>
  <c r="P18" i="3"/>
  <c r="P19" i="3"/>
  <c r="P20" i="3"/>
  <c r="P15" i="3"/>
  <c r="P37" i="3"/>
  <c r="P3" i="3"/>
  <c r="P35" i="3"/>
  <c r="P34" i="3"/>
  <c r="P11" i="3"/>
  <c r="P31" i="3"/>
  <c r="P8" i="3"/>
  <c r="P28" i="3"/>
  <c r="P9" i="3"/>
  <c r="P29" i="3"/>
  <c r="L36" i="3"/>
  <c r="I136" i="1"/>
  <c r="J140" i="1"/>
  <c r="J141" i="1" l="1"/>
  <c r="W4" i="1" l="1"/>
  <c r="X4" i="1"/>
  <c r="V3" i="1"/>
  <c r="Y4" i="1" l="1"/>
  <c r="V4" i="1" l="1"/>
  <c r="T4" i="1"/>
  <c r="Z4" i="1"/>
  <c r="AA4" i="1"/>
  <c r="T3" i="1"/>
  <c r="W3" i="1"/>
  <c r="X3" i="1"/>
  <c r="Z3" i="1"/>
  <c r="AA3" i="1"/>
  <c r="U4" i="1" l="1"/>
  <c r="Y3" i="1"/>
  <c r="U3" i="1" s="1"/>
  <c r="M57" i="3" l="1"/>
  <c r="M58" i="3" s="1"/>
  <c r="M140" i="1"/>
  <c r="J138" i="1" l="1"/>
  <c r="J142" i="1"/>
  <c r="J139" i="1"/>
  <c r="N139" i="1"/>
  <c r="A1" i="6"/>
  <c r="J143" i="1" l="1"/>
  <c r="N142" i="1"/>
  <c r="O142" i="1"/>
  <c r="O139" i="1"/>
  <c r="M142" i="1"/>
  <c r="A1" i="3" l="1"/>
  <c r="A1" i="1" l="1"/>
  <c r="O140" i="1" l="1"/>
  <c r="N140" i="1"/>
  <c r="M139" i="1" l="1"/>
</calcChain>
</file>

<file path=xl/connections.xml><?xml version="1.0" encoding="utf-8"?>
<connections xmlns="http://schemas.openxmlformats.org/spreadsheetml/2006/main">
  <connection id="1" name="Denver Train Runs 04122016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<sst xmlns="http://schemas.openxmlformats.org/spreadsheetml/2006/main" count="2054" uniqueCount="558">
  <si>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</si>
  <si>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</si>
  <si>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</si>
  <si>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</si>
  <si>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</si>
  <si>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</si>
  <si>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</si>
  <si>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</si>
  <si>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</si>
  <si>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</si>
  <si>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</si>
  <si>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</si>
  <si>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</si>
  <si>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</si>
  <si>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</si>
  <si>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</si>
  <si>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</si>
  <si>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</si>
  <si>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</si>
  <si>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</si>
  <si>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</si>
  <si>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</si>
  <si>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</si>
  <si>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</si>
  <si>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</si>
  <si>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</si>
  <si>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</si>
  <si>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</si>
  <si>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</si>
  <si>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</si>
  <si>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</si>
  <si>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</si>
  <si>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</si>
  <si>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</si>
  <si>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</si>
  <si>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</si>
  <si>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</si>
  <si>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</si>
  <si>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</si>
  <si>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</si>
  <si>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</si>
  <si>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</si>
  <si>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</si>
  <si>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</si>
  <si>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</si>
  <si>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</si>
  <si>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</si>
  <si>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</si>
  <si>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</si>
  <si>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</si>
  <si>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</si>
  <si>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</si>
  <si>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</si>
  <si>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</si>
  <si>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</si>
  <si>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</si>
  <si>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</si>
  <si>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</si>
  <si>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</si>
  <si>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</si>
  <si>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</si>
  <si>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</si>
  <si>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YOUNG</t>
  </si>
  <si>
    <t>BARTLETT</t>
  </si>
  <si>
    <t>rtdc.l.rtdc.4020:itc</t>
  </si>
  <si>
    <t>rtdc.l.rtdc.4019:itc</t>
  </si>
  <si>
    <t>DE.1.0.6.0</t>
  </si>
  <si>
    <t>204:233310</t>
  </si>
  <si>
    <t>204:233295</t>
  </si>
  <si>
    <t>204:232978</t>
  </si>
  <si>
    <t>204:156</t>
  </si>
  <si>
    <t>204:149</t>
  </si>
  <si>
    <t>204:233303</t>
  </si>
  <si>
    <t>204:154</t>
  </si>
  <si>
    <t>204:232989</t>
  </si>
  <si>
    <t>204:145</t>
  </si>
  <si>
    <t>204:447</t>
  </si>
  <si>
    <t>204:136</t>
  </si>
  <si>
    <t>204:233308</t>
  </si>
  <si>
    <t>204:455</t>
  </si>
  <si>
    <t>204:451</t>
  </si>
  <si>
    <t>204:453</t>
  </si>
  <si>
    <t>204:233299</t>
  </si>
  <si>
    <t>204:152</t>
  </si>
  <si>
    <t>204:232994</t>
  </si>
  <si>
    <t>204:464</t>
  </si>
  <si>
    <t>204:161</t>
  </si>
  <si>
    <t>204:232980</t>
  </si>
  <si>
    <t>N</t>
  </si>
  <si>
    <t>baselines:</t>
  </si>
  <si>
    <t>sunday - thu - 144/day</t>
  </si>
  <si>
    <t>fri-sat - 146/day</t>
  </si>
  <si>
    <t>rtdc.l.rtdc.4008:itc</t>
  </si>
  <si>
    <t>rtdc.l.rtdc.4007:itc</t>
  </si>
  <si>
    <t>204:141</t>
  </si>
  <si>
    <t>204:150</t>
  </si>
  <si>
    <t>204:232975</t>
  </si>
  <si>
    <t>Married Pair</t>
  </si>
  <si>
    <t>204:233315</t>
  </si>
  <si>
    <t>204:147</t>
  </si>
  <si>
    <t>BRUDER</t>
  </si>
  <si>
    <t>CHANDLER</t>
  </si>
  <si>
    <t>STORY</t>
  </si>
  <si>
    <t>204:158</t>
  </si>
  <si>
    <t>204:467</t>
  </si>
  <si>
    <t>REBOLETTI</t>
  </si>
  <si>
    <t>204:458</t>
  </si>
  <si>
    <t>204:469</t>
  </si>
  <si>
    <t>rtdc.l.rtdc.4040:itc</t>
  </si>
  <si>
    <t>rtdc.l.rtdc.4039:itc</t>
  </si>
  <si>
    <t>204:233307</t>
  </si>
  <si>
    <t>STEWART</t>
  </si>
  <si>
    <t>DE LA ROSA</t>
  </si>
  <si>
    <t>LEVIN</t>
  </si>
  <si>
    <t>rtdc.l.rtdc.4017:itc</t>
  </si>
  <si>
    <t>204:233306</t>
  </si>
  <si>
    <t>rtdc.l.rtdc.4018:itc</t>
  </si>
  <si>
    <t>204:232973</t>
  </si>
  <si>
    <t>rtdc.l.rtdc.4024:itc</t>
  </si>
  <si>
    <t>rtdc.l.rtdc.4023:itc</t>
  </si>
  <si>
    <t>rtdc.l.rtdc.4031:itc</t>
  </si>
  <si>
    <t>rtdc.l.rtdc.4030:itc</t>
  </si>
  <si>
    <t>rtdc.l.rtdc.4029:itc</t>
  </si>
  <si>
    <t>204:233302</t>
  </si>
  <si>
    <t>204:449</t>
  </si>
  <si>
    <t>204:232996</t>
  </si>
  <si>
    <t>204:160</t>
  </si>
  <si>
    <t>204:460</t>
  </si>
  <si>
    <t>STARKS</t>
  </si>
  <si>
    <t>GEBRETEKLE</t>
  </si>
  <si>
    <t>LEDERHAUSE</t>
  </si>
  <si>
    <t>rtdc.l.rtdc.4032:itc</t>
  </si>
  <si>
    <t>rtdc.l.rtdc.4012:itc</t>
  </si>
  <si>
    <t>rtdc.l.rtdc.4011:itc</t>
  </si>
  <si>
    <t>STURGEON</t>
  </si>
  <si>
    <t>rtdc.l.rtdc.4043:itc</t>
  </si>
  <si>
    <t>rtdc.l.rtdc.4044:itc</t>
  </si>
  <si>
    <t>GRADE CROSSING</t>
  </si>
  <si>
    <t>Bulletin (2)</t>
  </si>
  <si>
    <t>rtdc.l.rtdc.4042:itc</t>
  </si>
  <si>
    <t>YORK</t>
  </si>
  <si>
    <t>ADANE</t>
  </si>
  <si>
    <t>rtdc.l.rtdc.4041:itc</t>
  </si>
  <si>
    <t>STRICKLAND</t>
  </si>
  <si>
    <t>Y</t>
  </si>
  <si>
    <t>204:233293</t>
  </si>
  <si>
    <t>204:163</t>
  </si>
  <si>
    <t>204:233314</t>
  </si>
  <si>
    <t>204:232979</t>
  </si>
  <si>
    <t>204:232993</t>
  </si>
  <si>
    <t>204:478</t>
  </si>
  <si>
    <t>204:233278</t>
  </si>
  <si>
    <t>204:233274</t>
  </si>
  <si>
    <t>204:232963</t>
  </si>
  <si>
    <t>204:477</t>
  </si>
  <si>
    <t>204:233002</t>
  </si>
  <si>
    <t>204:232977</t>
  </si>
  <si>
    <t>204:233304</t>
  </si>
  <si>
    <t>204:466</t>
  </si>
  <si>
    <t>204:233284</t>
  </si>
  <si>
    <t>204:143</t>
  </si>
  <si>
    <t>204:232970</t>
  </si>
  <si>
    <t>NEWELL</t>
  </si>
  <si>
    <t>GOLIGHTLY</t>
  </si>
  <si>
    <t>COOLAHAN</t>
  </si>
  <si>
    <t>rtdc.l.rtdc.4038:itc</t>
  </si>
  <si>
    <t>rtdc.l.rtdc.4037:itc</t>
  </si>
  <si>
    <t>204:232981</t>
  </si>
  <si>
    <t>204:484</t>
  </si>
  <si>
    <t>204:232969</t>
  </si>
  <si>
    <t>204:440</t>
  </si>
  <si>
    <t>204:462</t>
  </si>
  <si>
    <t>204:233317</t>
  </si>
  <si>
    <t>204:233006</t>
  </si>
  <si>
    <t>218-18</t>
  </si>
  <si>
    <t>221-18</t>
  </si>
  <si>
    <t>204:233287</t>
  </si>
  <si>
    <t>224-18</t>
  </si>
  <si>
    <t>225-18</t>
  </si>
  <si>
    <t>227-18</t>
  </si>
  <si>
    <t>232-18</t>
  </si>
  <si>
    <t>235-18</t>
  </si>
  <si>
    <t>238-18</t>
  </si>
  <si>
    <t>239-18</t>
  </si>
  <si>
    <t>240-18</t>
  </si>
  <si>
    <t>241-18</t>
  </si>
  <si>
    <t>243-18</t>
  </si>
  <si>
    <t>244-18</t>
  </si>
  <si>
    <t>305-18</t>
  </si>
  <si>
    <t>SPECTOR</t>
  </si>
  <si>
    <t>JACKSON</t>
  </si>
  <si>
    <t>110-19</t>
  </si>
  <si>
    <t>214-18</t>
  </si>
  <si>
    <t>CUSHING</t>
  </si>
  <si>
    <t>103-19</t>
  </si>
  <si>
    <t>102-19</t>
  </si>
  <si>
    <t>101-19</t>
  </si>
  <si>
    <t>108-19</t>
  </si>
  <si>
    <t>107-19</t>
  </si>
  <si>
    <t>113-19</t>
  </si>
  <si>
    <t>109-19</t>
  </si>
  <si>
    <t>120-19</t>
  </si>
  <si>
    <t>127-19</t>
  </si>
  <si>
    <t>104-19</t>
  </si>
  <si>
    <t>115-19</t>
  </si>
  <si>
    <t>118-19</t>
  </si>
  <si>
    <t>111-19</t>
  </si>
  <si>
    <t>308-19</t>
  </si>
  <si>
    <t>Kibana URL</t>
  </si>
  <si>
    <t>Comparator Issue</t>
  </si>
  <si>
    <t>177-19</t>
  </si>
  <si>
    <t>186-19</t>
  </si>
  <si>
    <t>226-19</t>
  </si>
  <si>
    <t>CANFIELD</t>
  </si>
  <si>
    <t>212-19</t>
  </si>
  <si>
    <t>204-19</t>
  </si>
  <si>
    <t>185-19</t>
  </si>
  <si>
    <t>180-19</t>
  </si>
  <si>
    <t>174-19</t>
  </si>
  <si>
    <t>198-19</t>
  </si>
  <si>
    <t>115-20</t>
  </si>
  <si>
    <t>SANTIZO</t>
  </si>
  <si>
    <t>103-20</t>
  </si>
  <si>
    <t>242-19</t>
  </si>
  <si>
    <t>159-19</t>
  </si>
  <si>
    <t>156-19</t>
  </si>
  <si>
    <t>178-19</t>
  </si>
  <si>
    <t>170-19</t>
  </si>
  <si>
    <t>179-19</t>
  </si>
  <si>
    <t>183-19</t>
  </si>
  <si>
    <t>REBOLETTI-19</t>
  </si>
  <si>
    <t>173-19</t>
  </si>
  <si>
    <t>192-19</t>
  </si>
  <si>
    <t>162-19</t>
  </si>
  <si>
    <t>216-19</t>
  </si>
  <si>
    <t>203-19</t>
  </si>
  <si>
    <t>233-19</t>
  </si>
  <si>
    <t>108-20</t>
  </si>
  <si>
    <t>134-19</t>
  </si>
  <si>
    <t>116-20</t>
  </si>
  <si>
    <t>207-19</t>
  </si>
  <si>
    <t>241-19</t>
  </si>
  <si>
    <t>225-19</t>
  </si>
  <si>
    <t>311-19</t>
  </si>
  <si>
    <t>222-19</t>
  </si>
  <si>
    <t>146-19</t>
  </si>
  <si>
    <t>215-19</t>
  </si>
  <si>
    <t>166-19</t>
  </si>
  <si>
    <t>208-19</t>
  </si>
  <si>
    <t>213-19</t>
  </si>
  <si>
    <t>184-19</t>
  </si>
  <si>
    <t>202-19</t>
  </si>
  <si>
    <t>195-19</t>
  </si>
  <si>
    <t>206-19</t>
  </si>
  <si>
    <t>187-19</t>
  </si>
  <si>
    <t>210-19</t>
  </si>
  <si>
    <t>234-19</t>
  </si>
  <si>
    <t>168-19</t>
  </si>
  <si>
    <t>152-19</t>
  </si>
  <si>
    <t>105-20</t>
  </si>
  <si>
    <t>139-19</t>
  </si>
  <si>
    <t>142-19</t>
  </si>
  <si>
    <t>157-19</t>
  </si>
  <si>
    <t>188-19</t>
  </si>
  <si>
    <t>194-19</t>
  </si>
  <si>
    <t>236-19</t>
  </si>
  <si>
    <t>229-19</t>
  </si>
  <si>
    <t>211-19</t>
  </si>
  <si>
    <t>131-19</t>
  </si>
  <si>
    <t>200-19</t>
  </si>
  <si>
    <t>153-19</t>
  </si>
  <si>
    <t>150-19</t>
  </si>
  <si>
    <t>144-19</t>
  </si>
  <si>
    <t>154-19</t>
  </si>
  <si>
    <t>149-19</t>
  </si>
  <si>
    <t>145-19</t>
  </si>
  <si>
    <t>141-19</t>
  </si>
  <si>
    <t>147-19</t>
  </si>
  <si>
    <t>126-19</t>
  </si>
  <si>
    <t>243-19</t>
  </si>
  <si>
    <t>219-19</t>
  </si>
  <si>
    <t>201-19</t>
  </si>
  <si>
    <t>160-19</t>
  </si>
  <si>
    <t>161-19</t>
  </si>
  <si>
    <t>129-19</t>
  </si>
  <si>
    <t>138-19</t>
  </si>
  <si>
    <t>143-19</t>
  </si>
  <si>
    <t>110-20</t>
  </si>
  <si>
    <t>221-19</t>
  </si>
  <si>
    <t>132-19</t>
  </si>
  <si>
    <t>128-19</t>
  </si>
  <si>
    <t>140-19</t>
  </si>
  <si>
    <t>133-19</t>
  </si>
  <si>
    <t>238-19</t>
  </si>
  <si>
    <t>235-19</t>
  </si>
  <si>
    <t>240-19</t>
  </si>
  <si>
    <t>107-20</t>
  </si>
  <si>
    <t>181-19</t>
  </si>
  <si>
    <t>111-20</t>
  </si>
  <si>
    <t>167-19</t>
  </si>
  <si>
    <t>163-19</t>
  </si>
  <si>
    <t>231-19</t>
  </si>
  <si>
    <t>232-19</t>
  </si>
  <si>
    <t>117-20</t>
  </si>
  <si>
    <t>196-19</t>
  </si>
  <si>
    <t>218-19</t>
  </si>
  <si>
    <t>114-20</t>
  </si>
  <si>
    <t>209-19</t>
  </si>
  <si>
    <t>223-19</t>
  </si>
  <si>
    <t>227-19</t>
  </si>
  <si>
    <t>151-19</t>
  </si>
  <si>
    <t>EQUIPMENT RESTRICTION</t>
  </si>
  <si>
    <t>204:233289</t>
  </si>
  <si>
    <t>204:471</t>
  </si>
  <si>
    <t>204:167</t>
  </si>
  <si>
    <t>204:232983</t>
  </si>
  <si>
    <t>204:232955</t>
  </si>
  <si>
    <t>204:233272</t>
  </si>
  <si>
    <t>204:169</t>
  </si>
  <si>
    <t>204:433</t>
  </si>
  <si>
    <t>204:233051</t>
  </si>
  <si>
    <t>204:165</t>
  </si>
  <si>
    <t>204:442</t>
  </si>
  <si>
    <t>204:233301</t>
  </si>
  <si>
    <t>204:457</t>
  </si>
  <si>
    <t>204:233297</t>
  </si>
  <si>
    <t>204:389</t>
  </si>
  <si>
    <t>204:232965</t>
  </si>
  <si>
    <t>204:132</t>
  </si>
  <si>
    <t>103-22</t>
  </si>
  <si>
    <t>109-22</t>
  </si>
  <si>
    <t>119-22</t>
  </si>
  <si>
    <t>114-22</t>
  </si>
  <si>
    <t>121-22</t>
  </si>
  <si>
    <t>rtdc.l.rtdc.4028:itc</t>
  </si>
  <si>
    <t>118-22</t>
  </si>
  <si>
    <t>129-22</t>
  </si>
  <si>
    <t>120-22</t>
  </si>
  <si>
    <t>124-22</t>
  </si>
  <si>
    <t>rtdc.l.rtdc.4027:itc</t>
  </si>
  <si>
    <t>131-22</t>
  </si>
  <si>
    <t>133-22</t>
  </si>
  <si>
    <t>130-22</t>
  </si>
  <si>
    <t>132-22</t>
  </si>
  <si>
    <t>134-22</t>
  </si>
  <si>
    <t>139-22</t>
  </si>
  <si>
    <t>142-22</t>
  </si>
  <si>
    <t>144-22</t>
  </si>
  <si>
    <t>150-22</t>
  </si>
  <si>
    <t>148-22</t>
  </si>
  <si>
    <t>154-22</t>
  </si>
  <si>
    <t>158-22</t>
  </si>
  <si>
    <t>165-22</t>
  </si>
  <si>
    <t>164-22</t>
  </si>
  <si>
    <t>169-22</t>
  </si>
  <si>
    <t>171-22</t>
  </si>
  <si>
    <t>rtdc.l.rtdc.4001:itc</t>
  </si>
  <si>
    <t>168-22</t>
  </si>
  <si>
    <t>175-22</t>
  </si>
  <si>
    <t>181-22</t>
  </si>
  <si>
    <t>180-22</t>
  </si>
  <si>
    <t>187-22</t>
  </si>
  <si>
    <t>189-22</t>
  </si>
  <si>
    <t>193-22</t>
  </si>
  <si>
    <t>192-22</t>
  </si>
  <si>
    <t>188-22</t>
  </si>
  <si>
    <t>207-22</t>
  </si>
  <si>
    <t>198-22</t>
  </si>
  <si>
    <t>211-22</t>
  </si>
  <si>
    <t>208-22</t>
  </si>
  <si>
    <t>217-22</t>
  </si>
  <si>
    <t>215-22</t>
  </si>
  <si>
    <t>218-22</t>
  </si>
  <si>
    <t>234-22</t>
  </si>
  <si>
    <t>241-22</t>
  </si>
  <si>
    <t>242-22</t>
  </si>
  <si>
    <t>SWITCH UNKNOWN</t>
  </si>
  <si>
    <t>Track device (7)</t>
  </si>
  <si>
    <t>Early Arrival</t>
  </si>
  <si>
    <t>101-22</t>
  </si>
  <si>
    <t>204:766</t>
  </si>
  <si>
    <t>102-22</t>
  </si>
  <si>
    <t>204:232660</t>
  </si>
  <si>
    <t>204:761</t>
  </si>
  <si>
    <t>204:233268</t>
  </si>
  <si>
    <t>104-22</t>
  </si>
  <si>
    <t>204:232621</t>
  </si>
  <si>
    <t>107-22</t>
  </si>
  <si>
    <t>108-22</t>
  </si>
  <si>
    <t>204:232991</t>
  </si>
  <si>
    <t>204:130</t>
  </si>
  <si>
    <t>110-22</t>
  </si>
  <si>
    <t>204:232942</t>
  </si>
  <si>
    <t>111-22</t>
  </si>
  <si>
    <t>204:814</t>
  </si>
  <si>
    <t>112-22</t>
  </si>
  <si>
    <t>204:232987</t>
  </si>
  <si>
    <t>204:127</t>
  </si>
  <si>
    <t>113-22</t>
  </si>
  <si>
    <t>204:431</t>
  </si>
  <si>
    <t>115-22</t>
  </si>
  <si>
    <t>204:741</t>
  </si>
  <si>
    <t>116-22</t>
  </si>
  <si>
    <t>117-22</t>
  </si>
  <si>
    <t>204:232984</t>
  </si>
  <si>
    <t>204:1492</t>
  </si>
  <si>
    <t>204:232974</t>
  </si>
  <si>
    <t>122-22</t>
  </si>
  <si>
    <t>123-22</t>
  </si>
  <si>
    <t>125-22</t>
  </si>
  <si>
    <t>126-22</t>
  </si>
  <si>
    <t>127-22</t>
  </si>
  <si>
    <t>135-22</t>
  </si>
  <si>
    <t>136-22</t>
  </si>
  <si>
    <t>204:138</t>
  </si>
  <si>
    <t>137-22</t>
  </si>
  <si>
    <t>204:475</t>
  </si>
  <si>
    <t>204:233298</t>
  </si>
  <si>
    <t>138-22</t>
  </si>
  <si>
    <t>140-22</t>
  </si>
  <si>
    <t>141-22</t>
  </si>
  <si>
    <t>143-22</t>
  </si>
  <si>
    <t>145-22</t>
  </si>
  <si>
    <t>146-22</t>
  </si>
  <si>
    <t>147-22</t>
  </si>
  <si>
    <t>149-22</t>
  </si>
  <si>
    <t>151-22</t>
  </si>
  <si>
    <t>204:233316</t>
  </si>
  <si>
    <t>152-22</t>
  </si>
  <si>
    <t>153-22</t>
  </si>
  <si>
    <t>204:480</t>
  </si>
  <si>
    <t>204:232976</t>
  </si>
  <si>
    <t>155-22</t>
  </si>
  <si>
    <t>156-22</t>
  </si>
  <si>
    <t>157-22</t>
  </si>
  <si>
    <t>159-22</t>
  </si>
  <si>
    <t>204:781</t>
  </si>
  <si>
    <t>204:801</t>
  </si>
  <si>
    <t>160-22</t>
  </si>
  <si>
    <t>204:233059</t>
  </si>
  <si>
    <t>204:3421</t>
  </si>
  <si>
    <t>161-22</t>
  </si>
  <si>
    <t>162-22</t>
  </si>
  <si>
    <t>204:232988</t>
  </si>
  <si>
    <t>204:232985</t>
  </si>
  <si>
    <t>204:64125</t>
  </si>
  <si>
    <t>204:233416</t>
  </si>
  <si>
    <t>166-22</t>
  </si>
  <si>
    <t>204:233065</t>
  </si>
  <si>
    <t>167-22</t>
  </si>
  <si>
    <t>204:19136</t>
  </si>
  <si>
    <t>204:52117</t>
  </si>
  <si>
    <t>172-22</t>
  </si>
  <si>
    <t>204:435</t>
  </si>
  <si>
    <t>204:233300</t>
  </si>
  <si>
    <t>176-22</t>
  </si>
  <si>
    <t>177-22</t>
  </si>
  <si>
    <t>178-22</t>
  </si>
  <si>
    <t>179-22</t>
  </si>
  <si>
    <t>204:233000</t>
  </si>
  <si>
    <t>204:233370</t>
  </si>
  <si>
    <t>182-22</t>
  </si>
  <si>
    <t>183-22</t>
  </si>
  <si>
    <t>184-22</t>
  </si>
  <si>
    <t>204:37717</t>
  </si>
  <si>
    <t>204:64754</t>
  </si>
  <si>
    <t>190-22</t>
  </si>
  <si>
    <t>191-22</t>
  </si>
  <si>
    <t>204:232998</t>
  </si>
  <si>
    <t>194-22</t>
  </si>
  <si>
    <t>195-22</t>
  </si>
  <si>
    <t>204:233389</t>
  </si>
  <si>
    <t>196-22</t>
  </si>
  <si>
    <t>204:233072</t>
  </si>
  <si>
    <t>197-22</t>
  </si>
  <si>
    <t>201-22</t>
  </si>
  <si>
    <t>202-22</t>
  </si>
  <si>
    <t>203-22</t>
  </si>
  <si>
    <t>204:438</t>
  </si>
  <si>
    <t>204-22</t>
  </si>
  <si>
    <t>205-22</t>
  </si>
  <si>
    <t>206-22</t>
  </si>
  <si>
    <t>204:191</t>
  </si>
  <si>
    <t>209-22</t>
  </si>
  <si>
    <t>210-22</t>
  </si>
  <si>
    <t>204:1692</t>
  </si>
  <si>
    <t>212-22</t>
  </si>
  <si>
    <t>213-22</t>
  </si>
  <si>
    <t>204:233321</t>
  </si>
  <si>
    <t>216-22</t>
  </si>
  <si>
    <t>204:214</t>
  </si>
  <si>
    <t>219-22</t>
  </si>
  <si>
    <t>220-22</t>
  </si>
  <si>
    <t>204:1727</t>
  </si>
  <si>
    <t>221-22</t>
  </si>
  <si>
    <t>223-22</t>
  </si>
  <si>
    <t>224-22</t>
  </si>
  <si>
    <t>225-22</t>
  </si>
  <si>
    <t>204:519</t>
  </si>
  <si>
    <t>226-22</t>
  </si>
  <si>
    <t>227-22</t>
  </si>
  <si>
    <t>204:233319</t>
  </si>
  <si>
    <t>228-22</t>
  </si>
  <si>
    <t>204:233008</t>
  </si>
  <si>
    <t>229-22</t>
  </si>
  <si>
    <t>230-22</t>
  </si>
  <si>
    <t>204:183</t>
  </si>
  <si>
    <t>231-22</t>
  </si>
  <si>
    <t>232-22</t>
  </si>
  <si>
    <t>233-22</t>
  </si>
  <si>
    <t>235-22</t>
  </si>
  <si>
    <t>236-22</t>
  </si>
  <si>
    <t>204:233010</t>
  </si>
  <si>
    <t>237-22</t>
  </si>
  <si>
    <t>238-22</t>
  </si>
  <si>
    <t>239-22</t>
  </si>
  <si>
    <t>240-22</t>
  </si>
  <si>
    <t>204:683</t>
  </si>
  <si>
    <t>243-22</t>
  </si>
  <si>
    <t>244-22</t>
  </si>
  <si>
    <t>309-22</t>
  </si>
  <si>
    <t>WEBSTER</t>
  </si>
  <si>
    <t>LOCKLEAR</t>
  </si>
  <si>
    <t>ACKERMAN</t>
  </si>
  <si>
    <t>BUTLER</t>
  </si>
  <si>
    <t>186-22</t>
  </si>
  <si>
    <t>HELVIE</t>
  </si>
  <si>
    <t>222-22</t>
  </si>
  <si>
    <t>COCA</t>
  </si>
  <si>
    <t>rtdc.l.rtdc.4002:itc</t>
  </si>
  <si>
    <t>BONDS</t>
  </si>
  <si>
    <t>185-22</t>
  </si>
  <si>
    <t>200-22</t>
  </si>
  <si>
    <t>170-22</t>
  </si>
  <si>
    <t>GOODNIGHT</t>
  </si>
  <si>
    <t>199-22</t>
  </si>
  <si>
    <t>214-22</t>
  </si>
  <si>
    <t>Closed</t>
  </si>
  <si>
    <t>Onboard in-route failure</t>
  </si>
  <si>
    <t xml:space="preserve">Ran in ATC to get past Form C </t>
  </si>
  <si>
    <t>Dispatcher had not readied trip yet, ran in ATC and initialized at 38th</t>
  </si>
  <si>
    <t>Form C</t>
  </si>
  <si>
    <t>Annulled</t>
  </si>
  <si>
    <t>Poor  GPS signal at DUS</t>
  </si>
  <si>
    <t>61st 2N was STOP (routing/dispatch)</t>
  </si>
  <si>
    <t>40th 4S was STOP (routing/dispatch)</t>
  </si>
  <si>
    <t>Pena 4S was STOP (routing/dispatch)</t>
  </si>
  <si>
    <t>Wi-MAX outage</t>
  </si>
  <si>
    <t>http://stevetu21.github.io/eaglep3/load_kml.html?kml=http://rtdc.gmaps-snips.s3.amazonaws.com/2492fbaa-fbc7-4dbc-9843-a18a6d89415f.kml</t>
  </si>
  <si>
    <t>Premature downgrade at EC1981RH 191-1T 1N</t>
  </si>
  <si>
    <t>http://stevetu21.github.io/eaglep3/load_kml.html?kml=http://rtdc.gmaps-snips.s3.amazonaws.com/e73d5bbd-1097-4106-ad3d-a6514a295b4e.kml</t>
  </si>
  <si>
    <t>105-22</t>
  </si>
  <si>
    <t>106-22</t>
  </si>
  <si>
    <t>128-22</t>
  </si>
  <si>
    <t>163-22</t>
  </si>
  <si>
    <t>173-22</t>
  </si>
  <si>
    <t>174-22</t>
  </si>
  <si>
    <t>Offered, not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</si>
</sst>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9" fillId="0" borderId="0" xfId="1"/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evetu21.github.io/eaglep3/load_kml.html?kml=http://rtdc.gmaps-snips.s3.amazonaws.com/e73d5bbd-1097-4106-ad3d-a6514a295b4e.kml" TargetMode="External"/><Relationship Id="rId1" Type="http://schemas.openxmlformats.org/officeDocument/2006/relationships/hyperlink" Target="http://stevetu21.github.io/eaglep3/load_kml.html?kml=http://rtdc.gmaps-snips.s3.amazonaws.com/2492fbaa-fbc7-4dbc-9843-a18a6d89415f.k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1"/>
  <sheetViews>
    <sheetView showGridLines="0" tabSelected="1" zoomScale="85" zoomScaleNormal="85" workbookViewId="0">
      <selection sqref="A1:P1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60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28.7109375" customWidth="1"/>
    <col min="19" max="19" width="4.28515625" customWidth="1"/>
    <col min="20" max="20" width="9" style="55" customWidth="1"/>
    <col min="21" max="21" width="10.140625" style="55" customWidth="1"/>
    <col min="22" max="22" width="14.140625" style="55" customWidth="1"/>
    <col min="23" max="25" width="9.140625" style="55"/>
    <col min="26" max="26" width="10.7109375" style="56" bestFit="1" customWidth="1"/>
    <col min="27" max="27" width="30.5703125" style="56" bestFit="1" customWidth="1"/>
  </cols>
  <sheetData>
    <row r="1" spans="1:89" ht="57.75" customHeight="1" thickBot="1" x14ac:dyDescent="0.3">
      <c r="A1" s="92" t="str">
        <f>"Eagle P3 System Performance - "&amp;TEXT(Variables!A2,"yyyy-mm-dd")</f>
        <v>Eagle P3 System Performance - 2016-05-22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89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97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10"/>
      <c r="T2" s="72" t="s">
        <v>47</v>
      </c>
      <c r="U2" s="72" t="s">
        <v>23</v>
      </c>
      <c r="V2" s="72" t="s">
        <v>51</v>
      </c>
      <c r="W2" s="72" t="s">
        <v>20</v>
      </c>
      <c r="X2" s="72" t="s">
        <v>21</v>
      </c>
      <c r="Y2" s="72" t="s">
        <v>22</v>
      </c>
      <c r="Z2" s="73" t="s">
        <v>41</v>
      </c>
      <c r="AA2" s="73" t="s">
        <v>42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</row>
    <row r="3" spans="1:89" s="2" customFormat="1" x14ac:dyDescent="0.25">
      <c r="A3" s="61" t="s">
        <v>379</v>
      </c>
      <c r="B3" s="61">
        <v>4031</v>
      </c>
      <c r="C3" s="61" t="s">
        <v>66</v>
      </c>
      <c r="D3" s="61" t="s">
        <v>380</v>
      </c>
      <c r="E3" s="30">
        <v>42512.124907407408</v>
      </c>
      <c r="F3" s="30">
        <v>42512.127083333333</v>
      </c>
      <c r="G3" s="38">
        <v>3</v>
      </c>
      <c r="H3" s="30" t="s">
        <v>145</v>
      </c>
      <c r="I3" s="30">
        <v>42512.160902777781</v>
      </c>
      <c r="J3" s="61">
        <v>0</v>
      </c>
      <c r="K3" s="61" t="str">
        <f t="shared" ref="K3:K4" si="0">IF(ISEVEN(B3),(B3-1)&amp;"/"&amp;B3,B3&amp;"/"&amp;(B3+1))</f>
        <v>4031/4032</v>
      </c>
      <c r="L3" s="61" t="str">
        <f>VLOOKUP(A3,'Trips&amp;Operators'!$C$1:$E$9999,3,FALSE)</f>
        <v>LEVIN</v>
      </c>
      <c r="M3" s="12">
        <f t="shared" ref="M3:M4" si="1">I3-F3</f>
        <v>3.3819444448454306E-2</v>
      </c>
      <c r="N3" s="13">
        <f>24*60*SUM($M3:$M3)</f>
        <v>48.7000000057742</v>
      </c>
      <c r="O3" s="13"/>
      <c r="P3" s="13"/>
      <c r="Q3" s="62"/>
      <c r="R3" s="52"/>
      <c r="T3" s="74" t="str">
        <f t="shared" ref="T3:T4" si="2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https://search-rtdc-monitor-bjffxe2xuh6vdkpspy63sjmuny.us-east-1.es.amazonaws.com/_plugin/kibana/#/discover/Steve-Slow-Train-Analysis-(2080s-and-2083s)?_g=(refreshInterval:(display:Off,section:0,value:0),time:(from:'2016-05-22 02:58:52-0600',mode:absolute,to:'2016-05-22 03:52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3" s="74" t="str">
        <f t="shared" ref="U3:U4" si="3">IF(Y3&lt;23,"Y","N")</f>
        <v>N</v>
      </c>
      <c r="V3" s="74" t="e">
        <f t="shared" ref="V3:V4" si="4">VALUE(LEFT(A3,3))-VALUE(LEFT(A2,3))</f>
        <v>#VALUE!</v>
      </c>
      <c r="W3" s="74">
        <f>RIGHT(D3,LEN(D3)-4)/10000</f>
        <v>7.6600000000000001E-2</v>
      </c>
      <c r="X3" s="74">
        <f>RIGHT(H3,LEN(H3)-4)/10000</f>
        <v>23.3293</v>
      </c>
      <c r="Y3" s="74">
        <f>ABS(X3-W3)</f>
        <v>23.252700000000001</v>
      </c>
      <c r="Z3" s="75" t="e">
        <f>VLOOKUP(A3,Enforcements!$C$3:$J$55,8,0)</f>
        <v>#N/A</v>
      </c>
      <c r="AA3" s="75" t="e">
        <f>VLOOKUP(A3,Enforcements!$C$3:$J$55,3,0)</f>
        <v>#N/A</v>
      </c>
    </row>
    <row r="4" spans="1:89" s="2" customFormat="1" x14ac:dyDescent="0.25">
      <c r="A4" s="61" t="s">
        <v>381</v>
      </c>
      <c r="B4" s="61">
        <v>4019</v>
      </c>
      <c r="C4" s="61" t="s">
        <v>66</v>
      </c>
      <c r="D4" s="61" t="s">
        <v>382</v>
      </c>
      <c r="E4" s="30">
        <v>42512.168020833335</v>
      </c>
      <c r="F4" s="30">
        <v>42512.16951388889</v>
      </c>
      <c r="G4" s="38">
        <v>2</v>
      </c>
      <c r="H4" s="30" t="s">
        <v>95</v>
      </c>
      <c r="I4" s="30">
        <v>42512.207858796297</v>
      </c>
      <c r="J4" s="61">
        <v>0</v>
      </c>
      <c r="K4" s="61" t="str">
        <f t="shared" si="0"/>
        <v>4019/4020</v>
      </c>
      <c r="L4" s="61" t="str">
        <f>VLOOKUP(A4,'Trips&amp;Operators'!$C$1:$E$9999,3,FALSE)</f>
        <v>LEVIN</v>
      </c>
      <c r="M4" s="12">
        <f t="shared" si="1"/>
        <v>3.8344907407008577E-2</v>
      </c>
      <c r="N4" s="13">
        <f t="shared" ref="N4:P74" si="5">24*60*SUM($M4:$M4)</f>
        <v>55.216666666092351</v>
      </c>
      <c r="O4" s="13"/>
      <c r="P4" s="13"/>
      <c r="Q4" s="62"/>
      <c r="R4" s="62"/>
      <c r="T4" s="74" t="str">
        <f t="shared" si="2"/>
        <v>https://search-rtdc-monitor-bjffxe2xuh6vdkpspy63sjmuny.us-east-1.es.amazonaws.com/_plugin/kibana/#/discover/Steve-Slow-Train-Analysis-(2080s-and-2083s)?_g=(refreshInterval:(display:Off,section:0,value:0),time:(from:'2016-05-22 04:00:57-0600',mode:absolute,to:'2016-05-22 05:00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" s="74" t="str">
        <f t="shared" si="3"/>
        <v>N</v>
      </c>
      <c r="V4" s="74">
        <f t="shared" si="4"/>
        <v>1</v>
      </c>
      <c r="W4" s="74">
        <f t="shared" ref="W4" si="6">RIGHT(D4,LEN(D4)-4)/10000</f>
        <v>23.265999999999998</v>
      </c>
      <c r="X4" s="74">
        <f t="shared" ref="X4" si="7">RIGHT(H4,LEN(H4)-4)/10000</f>
        <v>1.4999999999999999E-2</v>
      </c>
      <c r="Y4" s="74">
        <f t="shared" ref="Y4" si="8">ABS(X4-W4)</f>
        <v>23.250999999999998</v>
      </c>
      <c r="Z4" s="75" t="e">
        <f>VLOOKUP(A4,Enforcements!$C$3:$J$55,8,0)</f>
        <v>#N/A</v>
      </c>
      <c r="AA4" s="75" t="e">
        <f>VLOOKUP(A4,Enforcements!$C$3:$J$55,3,0)</f>
        <v>#N/A</v>
      </c>
    </row>
    <row r="5" spans="1:89" s="2" customFormat="1" x14ac:dyDescent="0.25">
      <c r="A5" s="61" t="s">
        <v>329</v>
      </c>
      <c r="B5" s="61">
        <v>4018</v>
      </c>
      <c r="C5" s="61" t="s">
        <v>66</v>
      </c>
      <c r="D5" s="61" t="s">
        <v>383</v>
      </c>
      <c r="E5" s="30">
        <v>42512.151539351849</v>
      </c>
      <c r="F5" s="30">
        <v>42512.153217592589</v>
      </c>
      <c r="G5" s="38">
        <v>2</v>
      </c>
      <c r="H5" s="30" t="s">
        <v>384</v>
      </c>
      <c r="I5" s="30">
        <v>42512.182974537034</v>
      </c>
      <c r="J5" s="61">
        <v>1</v>
      </c>
      <c r="K5" s="61" t="str">
        <f t="shared" ref="K5:K69" si="9">IF(ISEVEN(B5),(B5-1)&amp;"/"&amp;B5,B5&amp;"/"&amp;(B5+1))</f>
        <v>4017/4018</v>
      </c>
      <c r="L5" s="61" t="str">
        <f>VLOOKUP(A5,'Trips&amp;Operators'!$C$1:$E$9999,3,FALSE)</f>
        <v>STRICKLAND</v>
      </c>
      <c r="M5" s="12">
        <f t="shared" ref="M5:M69" si="10">I5-F5</f>
        <v>2.9756944444670808E-2</v>
      </c>
      <c r="N5" s="13">
        <f t="shared" si="5"/>
        <v>42.850000000325963</v>
      </c>
      <c r="O5" s="13"/>
      <c r="P5" s="13"/>
      <c r="Q5" s="62"/>
      <c r="R5" s="62"/>
      <c r="T5" s="74" t="str">
        <f t="shared" ref="T5:T69" si="11">"https://search-rtdc-monitor-bjffxe2xuh6vdkpspy63sjmuny.us-east-1.es.amazonaws.com/_plugin/kibana/#/discover/Steve-Slow-Train-Analysis-(2080s-and-2083s)?_g=(refreshInterval:(display:Off,section:0,value:0),time:(from:'"&amp;TEXT(E5-1/24/60,"yyyy-MM-DD hh:mm:ss")&amp;"-0600',mode:absolute,to:'"&amp;TEXT(I5+1/24/60,"yyyy-MM-DD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&amp;"%22')),sort:!(Time,asc))"</f>
        <v>https://search-rtdc-monitor-bjffxe2xuh6vdkpspy63sjmuny.us-east-1.es.amazonaws.com/_plugin/kibana/#/discover/Steve-Slow-Train-Analysis-(2080s-and-2083s)?_g=(refreshInterval:(display:Off,section:0,value:0),time:(from:'2016-05-22 03:37:13-0600',mode:absolute,to:'2016-05-22 04:24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5" s="74" t="str">
        <f t="shared" ref="U5:U69" si="12">IF(Y5&lt;23,"Y","N")</f>
        <v>N</v>
      </c>
      <c r="V5" s="74">
        <f t="shared" ref="V5:V67" si="13">VALUE(LEFT(A5,3))-VALUE(LEFT(A4,3))</f>
        <v>1</v>
      </c>
      <c r="W5" s="74">
        <f t="shared" ref="W5:W69" si="14">RIGHT(D5,LEN(D5)-4)/10000</f>
        <v>7.6100000000000001E-2</v>
      </c>
      <c r="X5" s="74">
        <f t="shared" ref="X5:X69" si="15">RIGHT(H5,LEN(H5)-4)/10000</f>
        <v>23.326799999999999</v>
      </c>
      <c r="Y5" s="74">
        <f t="shared" ref="Y5:Y69" si="16">ABS(X5-W5)</f>
        <v>23.250699999999998</v>
      </c>
      <c r="Z5" s="75">
        <f>VLOOKUP(A5,Enforcements!$C$3:$J$55,8,0)</f>
        <v>233491</v>
      </c>
      <c r="AA5" s="75" t="str">
        <f>VLOOKUP(A5,Enforcements!$C$3:$J$55,3,0)</f>
        <v>TRACK WARRANT AUTHORITY</v>
      </c>
    </row>
    <row r="6" spans="1:89" s="2" customFormat="1" x14ac:dyDescent="0.25">
      <c r="A6" s="61" t="s">
        <v>385</v>
      </c>
      <c r="B6" s="61">
        <v>4028</v>
      </c>
      <c r="C6" s="61" t="s">
        <v>66</v>
      </c>
      <c r="D6" s="61" t="s">
        <v>386</v>
      </c>
      <c r="E6" s="30">
        <v>42512.186608796299</v>
      </c>
      <c r="F6" s="30">
        <v>42512.188692129632</v>
      </c>
      <c r="G6" s="38">
        <v>2</v>
      </c>
      <c r="H6" s="30" t="s">
        <v>86</v>
      </c>
      <c r="I6" s="30">
        <v>42512.224953703706</v>
      </c>
      <c r="J6" s="61">
        <v>0</v>
      </c>
      <c r="K6" s="61" t="str">
        <f t="shared" si="9"/>
        <v>4027/4028</v>
      </c>
      <c r="L6" s="61" t="str">
        <f>VLOOKUP(A6,'Trips&amp;Operators'!$C$1:$E$9999,3,FALSE)</f>
        <v>STRICKLAND</v>
      </c>
      <c r="M6" s="12">
        <f t="shared" si="10"/>
        <v>3.6261574074160308E-2</v>
      </c>
      <c r="N6" s="13">
        <f t="shared" si="5"/>
        <v>52.216666666790843</v>
      </c>
      <c r="O6" s="13"/>
      <c r="P6" s="13"/>
      <c r="Q6" s="62"/>
      <c r="R6" s="62"/>
      <c r="T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04:27:43-0600',mode:absolute,to:'2016-05-22 05:24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6" s="74" t="str">
        <f t="shared" si="12"/>
        <v>N</v>
      </c>
      <c r="V6" s="74">
        <f t="shared" si="13"/>
        <v>1</v>
      </c>
      <c r="W6" s="74">
        <f t="shared" si="14"/>
        <v>23.2621</v>
      </c>
      <c r="X6" s="74">
        <f t="shared" si="15"/>
        <v>1.61E-2</v>
      </c>
      <c r="Y6" s="74">
        <f t="shared" si="16"/>
        <v>23.245999999999999</v>
      </c>
      <c r="Z6" s="75" t="e">
        <f>VLOOKUP(A6,Enforcements!$C$3:$J$55,8,0)</f>
        <v>#N/A</v>
      </c>
      <c r="AA6" s="75" t="e">
        <f>VLOOKUP(A6,Enforcements!$C$3:$J$55,3,0)</f>
        <v>#N/A</v>
      </c>
    </row>
    <row r="7" spans="1:89" s="2" customFormat="1" x14ac:dyDescent="0.25">
      <c r="A7" s="61" t="s">
        <v>387</v>
      </c>
      <c r="B7" s="61">
        <v>4024</v>
      </c>
      <c r="C7" s="61" t="s">
        <v>66</v>
      </c>
      <c r="D7" s="61" t="s">
        <v>170</v>
      </c>
      <c r="E7" s="30">
        <v>42512.181018518517</v>
      </c>
      <c r="F7" s="30">
        <v>42512.183796296296</v>
      </c>
      <c r="G7" s="38">
        <v>3</v>
      </c>
      <c r="H7" s="30" t="s">
        <v>157</v>
      </c>
      <c r="I7" s="30">
        <v>42512.222488425927</v>
      </c>
      <c r="J7" s="61">
        <v>0</v>
      </c>
      <c r="K7" s="61" t="str">
        <f t="shared" si="9"/>
        <v>4023/4024</v>
      </c>
      <c r="L7" s="61" t="str">
        <f>VLOOKUP(A7,'Trips&amp;Operators'!$C$1:$E$9999,3,FALSE)</f>
        <v>DE LA ROSA</v>
      </c>
      <c r="M7" s="12">
        <f t="shared" si="10"/>
        <v>3.8692129630362615E-2</v>
      </c>
      <c r="N7" s="13">
        <f t="shared" si="5"/>
        <v>55.716666667722166</v>
      </c>
      <c r="O7" s="13"/>
      <c r="P7" s="13"/>
      <c r="Q7" s="62"/>
      <c r="R7" s="62"/>
      <c r="T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04:19:40-0600',mode:absolute,to:'2016-05-22 05:21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" s="74" t="str">
        <f t="shared" si="12"/>
        <v>N</v>
      </c>
      <c r="V7" s="74">
        <f t="shared" si="13"/>
        <v>3</v>
      </c>
      <c r="W7" s="74">
        <f t="shared" si="14"/>
        <v>4.3999999999999997E-2</v>
      </c>
      <c r="X7" s="74">
        <f t="shared" si="15"/>
        <v>23.330400000000001</v>
      </c>
      <c r="Y7" s="74">
        <f t="shared" si="16"/>
        <v>23.2864</v>
      </c>
      <c r="Z7" s="75" t="e">
        <f>VLOOKUP(A7,Enforcements!$C$3:$J$55,8,0)</f>
        <v>#N/A</v>
      </c>
      <c r="AA7" s="75" t="e">
        <f>VLOOKUP(A7,Enforcements!$C$3:$J$55,3,0)</f>
        <v>#N/A</v>
      </c>
    </row>
    <row r="8" spans="1:89" s="2" customFormat="1" x14ac:dyDescent="0.25">
      <c r="A8" s="61" t="s">
        <v>388</v>
      </c>
      <c r="B8" s="61">
        <v>4023</v>
      </c>
      <c r="C8" s="61" t="s">
        <v>66</v>
      </c>
      <c r="D8" s="61" t="s">
        <v>389</v>
      </c>
      <c r="E8" s="30">
        <v>42512.224444444444</v>
      </c>
      <c r="F8" s="30">
        <v>42512.226018518515</v>
      </c>
      <c r="G8" s="38">
        <v>2</v>
      </c>
      <c r="H8" s="30" t="s">
        <v>390</v>
      </c>
      <c r="I8" s="30">
        <v>42512.256863425922</v>
      </c>
      <c r="J8" s="61">
        <v>0</v>
      </c>
      <c r="K8" s="61" t="str">
        <f t="shared" si="9"/>
        <v>4023/4024</v>
      </c>
      <c r="L8" s="61" t="str">
        <f>VLOOKUP(A8,'Trips&amp;Operators'!$C$1:$E$9999,3,FALSE)</f>
        <v>DE LA ROSA</v>
      </c>
      <c r="M8" s="12">
        <f t="shared" si="10"/>
        <v>3.0844907407299615E-2</v>
      </c>
      <c r="N8" s="13">
        <f t="shared" si="5"/>
        <v>44.416666666511446</v>
      </c>
      <c r="O8" s="13"/>
      <c r="P8" s="13"/>
      <c r="Q8" s="62"/>
      <c r="R8" s="62"/>
      <c r="T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05:22:12-0600',mode:absolute,to:'2016-05-22 06:10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8" s="74" t="str">
        <f t="shared" si="12"/>
        <v>N</v>
      </c>
      <c r="V8" s="74">
        <f t="shared" si="13"/>
        <v>1</v>
      </c>
      <c r="W8" s="74">
        <f t="shared" si="14"/>
        <v>23.299099999999999</v>
      </c>
      <c r="X8" s="74">
        <f t="shared" si="15"/>
        <v>1.2999999999999999E-2</v>
      </c>
      <c r="Y8" s="74">
        <f t="shared" si="16"/>
        <v>23.286099999999998</v>
      </c>
      <c r="Z8" s="75" t="e">
        <f>VLOOKUP(A8,Enforcements!$C$3:$J$55,8,0)</f>
        <v>#N/A</v>
      </c>
      <c r="AA8" s="75" t="e">
        <f>VLOOKUP(A8,Enforcements!$C$3:$J$55,3,0)</f>
        <v>#N/A</v>
      </c>
    </row>
    <row r="9" spans="1:89" s="2" customFormat="1" x14ac:dyDescent="0.25">
      <c r="A9" s="61" t="s">
        <v>330</v>
      </c>
      <c r="B9" s="61">
        <v>4007</v>
      </c>
      <c r="C9" s="61" t="s">
        <v>66</v>
      </c>
      <c r="D9" s="61" t="s">
        <v>150</v>
      </c>
      <c r="E9" s="30">
        <v>42512.188113425924</v>
      </c>
      <c r="F9" s="30">
        <v>42512.189305555556</v>
      </c>
      <c r="G9" s="38">
        <v>1</v>
      </c>
      <c r="H9" s="30" t="s">
        <v>151</v>
      </c>
      <c r="I9" s="30">
        <v>42512.227141203701</v>
      </c>
      <c r="J9" s="61">
        <v>1</v>
      </c>
      <c r="K9" s="61" t="str">
        <f t="shared" si="9"/>
        <v>4007/4008</v>
      </c>
      <c r="L9" s="61" t="str">
        <f>VLOOKUP(A9,'Trips&amp;Operators'!$C$1:$E$9999,3,FALSE)</f>
        <v>COCA</v>
      </c>
      <c r="M9" s="12">
        <f t="shared" si="10"/>
        <v>3.7835648145119194E-2</v>
      </c>
      <c r="N9" s="13">
        <f t="shared" si="5"/>
        <v>54.483333328971639</v>
      </c>
      <c r="O9" s="13"/>
      <c r="P9" s="13"/>
      <c r="Q9" s="62"/>
      <c r="R9" s="62"/>
      <c r="T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04:29:53-0600',mode:absolute,to:'2016-05-22 05:28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9" s="74" t="str">
        <f t="shared" si="12"/>
        <v>N</v>
      </c>
      <c r="V9" s="74">
        <f t="shared" si="13"/>
        <v>1</v>
      </c>
      <c r="W9" s="74">
        <f t="shared" si="14"/>
        <v>4.7800000000000002E-2</v>
      </c>
      <c r="X9" s="74">
        <f t="shared" si="15"/>
        <v>23.3278</v>
      </c>
      <c r="Y9" s="74">
        <f t="shared" si="16"/>
        <v>23.28</v>
      </c>
      <c r="Z9" s="75">
        <f>VLOOKUP(A9,Enforcements!$C$3:$J$55,8,0)</f>
        <v>233491</v>
      </c>
      <c r="AA9" s="75" t="str">
        <f>VLOOKUP(A9,Enforcements!$C$3:$J$55,3,0)</f>
        <v>TRACK WARRANT AUTHORITY</v>
      </c>
    </row>
    <row r="10" spans="1:89" s="2" customFormat="1" x14ac:dyDescent="0.25">
      <c r="A10" s="61" t="s">
        <v>391</v>
      </c>
      <c r="B10" s="61">
        <v>4008</v>
      </c>
      <c r="C10" s="61" t="s">
        <v>66</v>
      </c>
      <c r="D10" s="61" t="s">
        <v>392</v>
      </c>
      <c r="E10" s="30">
        <v>42512.234444444446</v>
      </c>
      <c r="F10" s="30">
        <v>42512.235439814816</v>
      </c>
      <c r="G10" s="38">
        <v>1</v>
      </c>
      <c r="H10" s="30" t="s">
        <v>94</v>
      </c>
      <c r="I10" s="30">
        <v>42512.266273148147</v>
      </c>
      <c r="J10" s="61">
        <v>0</v>
      </c>
      <c r="K10" s="61" t="str">
        <f t="shared" si="9"/>
        <v>4007/4008</v>
      </c>
      <c r="L10" s="61" t="str">
        <f>VLOOKUP(A10,'Trips&amp;Operators'!$C$1:$E$9999,3,FALSE)</f>
        <v>COCA</v>
      </c>
      <c r="M10" s="12">
        <f t="shared" si="10"/>
        <v>3.0833333330519963E-2</v>
      </c>
      <c r="N10" s="13">
        <f t="shared" si="5"/>
        <v>44.399999995948747</v>
      </c>
      <c r="O10" s="13"/>
      <c r="P10" s="13"/>
      <c r="Q10" s="62"/>
      <c r="R10" s="62"/>
      <c r="T1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05:36:36-0600',mode:absolute,to:'2016-05-22 06:24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0" s="74" t="str">
        <f t="shared" si="12"/>
        <v>N</v>
      </c>
      <c r="V10" s="74">
        <f t="shared" si="13"/>
        <v>1</v>
      </c>
      <c r="W10" s="74">
        <f t="shared" si="14"/>
        <v>23.2942</v>
      </c>
      <c r="X10" s="74">
        <f t="shared" si="15"/>
        <v>1.41E-2</v>
      </c>
      <c r="Y10" s="74">
        <f t="shared" si="16"/>
        <v>23.280100000000001</v>
      </c>
      <c r="Z10" s="75" t="e">
        <f>VLOOKUP(A10,Enforcements!$C$3:$J$55,8,0)</f>
        <v>#N/A</v>
      </c>
      <c r="AA10" s="75" t="e">
        <f>VLOOKUP(A10,Enforcements!$C$3:$J$55,3,0)</f>
        <v>#N/A</v>
      </c>
    </row>
    <row r="11" spans="1:89" s="2" customFormat="1" x14ac:dyDescent="0.25">
      <c r="A11" s="61" t="s">
        <v>393</v>
      </c>
      <c r="B11" s="61">
        <v>4031</v>
      </c>
      <c r="C11" s="61" t="s">
        <v>66</v>
      </c>
      <c r="D11" s="61" t="s">
        <v>394</v>
      </c>
      <c r="E11" s="30">
        <v>42512.212175925924</v>
      </c>
      <c r="F11" s="30">
        <v>42512.215567129628</v>
      </c>
      <c r="G11" s="38">
        <v>4</v>
      </c>
      <c r="H11" s="30" t="s">
        <v>325</v>
      </c>
      <c r="I11" s="30">
        <v>42512.245694444442</v>
      </c>
      <c r="J11" s="61">
        <v>0</v>
      </c>
      <c r="K11" s="61" t="str">
        <f t="shared" si="9"/>
        <v>4031/4032</v>
      </c>
      <c r="L11" s="61" t="str">
        <f>VLOOKUP(A11,'Trips&amp;Operators'!$C$1:$E$9999,3,FALSE)</f>
        <v>GEBRETEKLE</v>
      </c>
      <c r="M11" s="12">
        <f t="shared" si="10"/>
        <v>3.0127314814308193E-2</v>
      </c>
      <c r="N11" s="13">
        <f t="shared" si="5"/>
        <v>43.383333332603797</v>
      </c>
      <c r="O11" s="13"/>
      <c r="P11" s="13"/>
      <c r="Q11" s="62"/>
      <c r="R11" s="62"/>
      <c r="T1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05:04:32-0600',mode:absolute,to:'2016-05-22 05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1" s="74" t="str">
        <f t="shared" si="12"/>
        <v>N</v>
      </c>
      <c r="V11" s="74">
        <f t="shared" si="13"/>
        <v>1</v>
      </c>
      <c r="W11" s="74">
        <f t="shared" si="14"/>
        <v>8.14E-2</v>
      </c>
      <c r="X11" s="74">
        <f t="shared" si="15"/>
        <v>23.329699999999999</v>
      </c>
      <c r="Y11" s="74">
        <f t="shared" si="16"/>
        <v>23.2483</v>
      </c>
      <c r="Z11" s="75" t="e">
        <f>VLOOKUP(A11,Enforcements!$C$3:$J$55,8,0)</f>
        <v>#N/A</v>
      </c>
      <c r="AA11" s="75" t="e">
        <f>VLOOKUP(A11,Enforcements!$C$3:$J$55,3,0)</f>
        <v>#N/A</v>
      </c>
    </row>
    <row r="12" spans="1:89" s="2" customFormat="1" x14ac:dyDescent="0.25">
      <c r="A12" s="61" t="s">
        <v>395</v>
      </c>
      <c r="B12" s="61">
        <v>4032</v>
      </c>
      <c r="C12" s="61" t="s">
        <v>66</v>
      </c>
      <c r="D12" s="61" t="s">
        <v>396</v>
      </c>
      <c r="E12" s="30">
        <v>42512.247361111113</v>
      </c>
      <c r="F12" s="30">
        <v>42512.248472222222</v>
      </c>
      <c r="G12" s="38">
        <v>1</v>
      </c>
      <c r="H12" s="30" t="s">
        <v>397</v>
      </c>
      <c r="I12" s="30">
        <v>42512.278958333336</v>
      </c>
      <c r="J12" s="61">
        <v>0</v>
      </c>
      <c r="K12" s="61" t="str">
        <f t="shared" si="9"/>
        <v>4031/4032</v>
      </c>
      <c r="L12" s="61" t="str">
        <f>VLOOKUP(A12,'Trips&amp;Operators'!$C$1:$E$9999,3,FALSE)</f>
        <v>GEBRETEKLE</v>
      </c>
      <c r="M12" s="12">
        <f t="shared" si="10"/>
        <v>3.0486111114441883E-2</v>
      </c>
      <c r="N12" s="13">
        <f t="shared" si="5"/>
        <v>43.900000004796311</v>
      </c>
      <c r="O12" s="13"/>
      <c r="P12" s="13"/>
      <c r="Q12" s="62"/>
      <c r="R12" s="62"/>
      <c r="T1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05:55:12-0600',mode:absolute,to:'2016-05-22 06:42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2" s="74" t="str">
        <f t="shared" si="12"/>
        <v>N</v>
      </c>
      <c r="V12" s="74">
        <f t="shared" si="13"/>
        <v>1</v>
      </c>
      <c r="W12" s="74">
        <f t="shared" si="14"/>
        <v>23.2987</v>
      </c>
      <c r="X12" s="74">
        <f t="shared" si="15"/>
        <v>1.2699999999999999E-2</v>
      </c>
      <c r="Y12" s="74">
        <f t="shared" si="16"/>
        <v>23.286000000000001</v>
      </c>
      <c r="Z12" s="75" t="e">
        <f>VLOOKUP(A12,Enforcements!$C$3:$J$55,8,0)</f>
        <v>#N/A</v>
      </c>
      <c r="AA12" s="75" t="e">
        <f>VLOOKUP(A12,Enforcements!$C$3:$J$55,3,0)</f>
        <v>#N/A</v>
      </c>
    </row>
    <row r="13" spans="1:89" s="2" customFormat="1" x14ac:dyDescent="0.25">
      <c r="A13" s="61" t="s">
        <v>398</v>
      </c>
      <c r="B13" s="61">
        <v>4020</v>
      </c>
      <c r="C13" s="61" t="s">
        <v>66</v>
      </c>
      <c r="D13" s="61" t="s">
        <v>399</v>
      </c>
      <c r="E13" s="30">
        <v>42512.217511574076</v>
      </c>
      <c r="F13" s="30">
        <v>42512.218958333331</v>
      </c>
      <c r="G13" s="38">
        <v>2</v>
      </c>
      <c r="H13" s="30" t="s">
        <v>159</v>
      </c>
      <c r="I13" s="30">
        <v>42512.251562500001</v>
      </c>
      <c r="J13" s="61">
        <v>0</v>
      </c>
      <c r="K13" s="61" t="str">
        <f t="shared" si="9"/>
        <v>4019/4020</v>
      </c>
      <c r="L13" s="61" t="str">
        <f>VLOOKUP(A13,'Trips&amp;Operators'!$C$1:$E$9999,3,FALSE)</f>
        <v>LEVIN</v>
      </c>
      <c r="M13" s="12">
        <f t="shared" si="10"/>
        <v>3.2604166670353152E-2</v>
      </c>
      <c r="N13" s="13">
        <f t="shared" si="5"/>
        <v>46.950000005308539</v>
      </c>
      <c r="O13" s="13"/>
      <c r="P13" s="13"/>
      <c r="Q13" s="62"/>
      <c r="R13" s="62"/>
      <c r="T1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05:12:13-0600',mode:absolute,to:'2016-05-22 06:03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3" s="74" t="str">
        <f t="shared" si="12"/>
        <v>N</v>
      </c>
      <c r="V13" s="74">
        <f t="shared" si="13"/>
        <v>1</v>
      </c>
      <c r="W13" s="74">
        <f t="shared" si="14"/>
        <v>4.3099999999999999E-2</v>
      </c>
      <c r="X13" s="74">
        <f t="shared" si="15"/>
        <v>23.328399999999998</v>
      </c>
      <c r="Y13" s="74">
        <f t="shared" si="16"/>
        <v>23.285299999999999</v>
      </c>
      <c r="Z13" s="75" t="e">
        <f>VLOOKUP(A13,Enforcements!$C$3:$J$55,8,0)</f>
        <v>#N/A</v>
      </c>
      <c r="AA13" s="75" t="e">
        <f>VLOOKUP(A13,Enforcements!$C$3:$J$55,3,0)</f>
        <v>#N/A</v>
      </c>
    </row>
    <row r="14" spans="1:89" s="2" customFormat="1" x14ac:dyDescent="0.25">
      <c r="A14" s="61" t="s">
        <v>332</v>
      </c>
      <c r="B14" s="61">
        <v>4019</v>
      </c>
      <c r="C14" s="61" t="s">
        <v>66</v>
      </c>
      <c r="D14" s="61" t="s">
        <v>327</v>
      </c>
      <c r="E14" s="30">
        <v>42512.255995370368</v>
      </c>
      <c r="F14" s="30">
        <v>42512.257071759261</v>
      </c>
      <c r="G14" s="38">
        <v>1</v>
      </c>
      <c r="H14" s="30" t="s">
        <v>83</v>
      </c>
      <c r="I14" s="30">
        <v>42512.285428240742</v>
      </c>
      <c r="J14" s="61">
        <v>1</v>
      </c>
      <c r="K14" s="61" t="str">
        <f t="shared" si="9"/>
        <v>4019/4020</v>
      </c>
      <c r="L14" s="61" t="str">
        <f>VLOOKUP(A14,'Trips&amp;Operators'!$C$1:$E$9999,3,FALSE)</f>
        <v>LEVIN</v>
      </c>
      <c r="M14" s="12">
        <f t="shared" si="10"/>
        <v>2.8356481481750961E-2</v>
      </c>
      <c r="N14" s="13">
        <f t="shared" si="5"/>
        <v>40.833333333721384</v>
      </c>
      <c r="O14" s="13"/>
      <c r="P14" s="13"/>
      <c r="Q14" s="62"/>
      <c r="R14" s="62"/>
      <c r="T1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06:07:38-0600',mode:absolute,to:'2016-05-22 06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4" s="74" t="str">
        <f t="shared" si="12"/>
        <v>N</v>
      </c>
      <c r="V14" s="74">
        <f t="shared" si="13"/>
        <v>1</v>
      </c>
      <c r="W14" s="74">
        <f t="shared" si="14"/>
        <v>23.296500000000002</v>
      </c>
      <c r="X14" s="74">
        <f t="shared" si="15"/>
        <v>1.52E-2</v>
      </c>
      <c r="Y14" s="74">
        <f t="shared" si="16"/>
        <v>23.281300000000002</v>
      </c>
      <c r="Z14" s="75">
        <f>VLOOKUP(A14,Enforcements!$C$3:$J$55,8,0)</f>
        <v>53277</v>
      </c>
      <c r="AA14" s="75" t="str">
        <f>VLOOKUP(A14,Enforcements!$C$3:$J$55,3,0)</f>
        <v>GRADE CROSSING</v>
      </c>
    </row>
    <row r="15" spans="1:89" s="2" customFormat="1" x14ac:dyDescent="0.25">
      <c r="A15" s="61" t="s">
        <v>400</v>
      </c>
      <c r="B15" s="61">
        <v>4018</v>
      </c>
      <c r="C15" s="61" t="s">
        <v>66</v>
      </c>
      <c r="D15" s="61" t="s">
        <v>401</v>
      </c>
      <c r="E15" s="30">
        <v>42512.228495370371</v>
      </c>
      <c r="F15" s="30">
        <v>42512.232129629629</v>
      </c>
      <c r="G15" s="38">
        <v>5</v>
      </c>
      <c r="H15" s="30" t="s">
        <v>312</v>
      </c>
      <c r="I15" s="30">
        <v>42512.263020833336</v>
      </c>
      <c r="J15" s="61">
        <v>0</v>
      </c>
      <c r="K15" s="61" t="str">
        <f t="shared" si="9"/>
        <v>4017/4018</v>
      </c>
      <c r="L15" s="61" t="str">
        <f>VLOOKUP(A15,'Trips&amp;Operators'!$C$1:$E$9999,3,FALSE)</f>
        <v>REBOLETTI</v>
      </c>
      <c r="M15" s="12">
        <f t="shared" si="10"/>
        <v>3.0891203707142267E-2</v>
      </c>
      <c r="N15" s="13">
        <f t="shared" si="5"/>
        <v>44.483333338284865</v>
      </c>
      <c r="O15" s="13"/>
      <c r="P15" s="13"/>
      <c r="Q15" s="62"/>
      <c r="R15" s="62"/>
      <c r="T1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05:28:02-0600',mode:absolute,to:'2016-05-22 06:19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5" s="74" t="str">
        <f t="shared" si="12"/>
        <v>N</v>
      </c>
      <c r="V15" s="74">
        <f t="shared" si="13"/>
        <v>1</v>
      </c>
      <c r="W15" s="74">
        <f t="shared" si="14"/>
        <v>7.4099999999999999E-2</v>
      </c>
      <c r="X15" s="74">
        <f t="shared" si="15"/>
        <v>23.328900000000001</v>
      </c>
      <c r="Y15" s="74">
        <f t="shared" si="16"/>
        <v>23.254799999999999</v>
      </c>
      <c r="Z15" s="75" t="e">
        <f>VLOOKUP(A15,Enforcements!$C$3:$J$55,8,0)</f>
        <v>#N/A</v>
      </c>
      <c r="AA15" s="75" t="e">
        <f>VLOOKUP(A15,Enforcements!$C$3:$J$55,3,0)</f>
        <v>#N/A</v>
      </c>
    </row>
    <row r="16" spans="1:89" s="2" customFormat="1" x14ac:dyDescent="0.25">
      <c r="A16" s="61" t="s">
        <v>402</v>
      </c>
      <c r="B16" s="61">
        <v>4017</v>
      </c>
      <c r="C16" s="61" t="s">
        <v>66</v>
      </c>
      <c r="D16" s="61" t="s">
        <v>161</v>
      </c>
      <c r="E16" s="30">
        <v>42512.264606481483</v>
      </c>
      <c r="F16" s="30">
        <v>42512.265787037039</v>
      </c>
      <c r="G16" s="38">
        <v>1</v>
      </c>
      <c r="H16" s="30" t="s">
        <v>70</v>
      </c>
      <c r="I16" s="30">
        <v>42512.298518518517</v>
      </c>
      <c r="J16" s="61">
        <v>0</v>
      </c>
      <c r="K16" s="61" t="str">
        <f t="shared" si="9"/>
        <v>4017/4018</v>
      </c>
      <c r="L16" s="61" t="str">
        <f>VLOOKUP(A16,'Trips&amp;Operators'!$C$1:$E$9999,3,FALSE)</f>
        <v>REBOLETTI</v>
      </c>
      <c r="M16" s="12">
        <f t="shared" si="10"/>
        <v>3.273148147854954E-2</v>
      </c>
      <c r="N16" s="13">
        <f t="shared" si="5"/>
        <v>47.133333329111338</v>
      </c>
      <c r="O16" s="13"/>
      <c r="P16" s="13"/>
      <c r="Q16" s="62"/>
      <c r="R16" s="62"/>
      <c r="T1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06:20:02-0600',mode:absolute,to:'2016-05-22 07:10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6" s="74" t="str">
        <f t="shared" si="12"/>
        <v>N</v>
      </c>
      <c r="V16" s="74">
        <f t="shared" si="13"/>
        <v>1</v>
      </c>
      <c r="W16" s="74">
        <f t="shared" si="14"/>
        <v>23.297000000000001</v>
      </c>
      <c r="X16" s="74">
        <f t="shared" si="15"/>
        <v>1.5599999999999999E-2</v>
      </c>
      <c r="Y16" s="74">
        <f t="shared" si="16"/>
        <v>23.281400000000001</v>
      </c>
      <c r="Z16" s="75" t="e">
        <f>VLOOKUP(A16,Enforcements!$C$3:$J$55,8,0)</f>
        <v>#N/A</v>
      </c>
      <c r="AA16" s="75" t="e">
        <f>VLOOKUP(A16,Enforcements!$C$3:$J$55,3,0)</f>
        <v>#N/A</v>
      </c>
    </row>
    <row r="17" spans="1:27" s="2" customFormat="1" x14ac:dyDescent="0.25">
      <c r="A17" s="61" t="s">
        <v>403</v>
      </c>
      <c r="B17" s="61">
        <v>4027</v>
      </c>
      <c r="C17" s="61" t="s">
        <v>66</v>
      </c>
      <c r="D17" s="61" t="s">
        <v>80</v>
      </c>
      <c r="E17" s="30">
        <v>42512.229745370372</v>
      </c>
      <c r="F17" s="30">
        <v>42512.231481481482</v>
      </c>
      <c r="G17" s="38">
        <v>2</v>
      </c>
      <c r="H17" s="30" t="s">
        <v>147</v>
      </c>
      <c r="I17" s="30">
        <v>42512.271307870367</v>
      </c>
      <c r="J17" s="61">
        <v>0</v>
      </c>
      <c r="K17" s="61" t="str">
        <f t="shared" si="9"/>
        <v>4027/4028</v>
      </c>
      <c r="L17" s="61" t="str">
        <f>VLOOKUP(A17,'Trips&amp;Operators'!$C$1:$E$9999,3,FALSE)</f>
        <v>STRICKLAND</v>
      </c>
      <c r="M17" s="12">
        <f t="shared" si="10"/>
        <v>3.9826388885558117E-2</v>
      </c>
      <c r="N17" s="13">
        <f t="shared" si="5"/>
        <v>57.349999995203689</v>
      </c>
      <c r="O17" s="13"/>
      <c r="P17" s="13"/>
      <c r="Q17" s="62"/>
      <c r="R17" s="62"/>
      <c r="T1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05:29:50-0600',mode:absolute,to:'2016-05-22 06:31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17" s="74" t="str">
        <f t="shared" si="12"/>
        <v>N</v>
      </c>
      <c r="V17" s="74">
        <f t="shared" si="13"/>
        <v>1</v>
      </c>
      <c r="W17" s="74">
        <f t="shared" si="14"/>
        <v>4.5100000000000001E-2</v>
      </c>
      <c r="X17" s="74">
        <f t="shared" si="15"/>
        <v>23.331399999999999</v>
      </c>
      <c r="Y17" s="74">
        <f t="shared" si="16"/>
        <v>23.286299999999997</v>
      </c>
      <c r="Z17" s="75" t="e">
        <f>VLOOKUP(A17,Enforcements!$C$3:$J$55,8,0)</f>
        <v>#N/A</v>
      </c>
      <c r="AA17" s="75" t="e">
        <f>VLOOKUP(A17,Enforcements!$C$3:$J$55,3,0)</f>
        <v>#N/A</v>
      </c>
    </row>
    <row r="18" spans="1:27" s="2" customFormat="1" x14ac:dyDescent="0.25">
      <c r="A18" s="61" t="s">
        <v>335</v>
      </c>
      <c r="B18" s="61">
        <v>4028</v>
      </c>
      <c r="C18" s="61" t="s">
        <v>66</v>
      </c>
      <c r="D18" s="61" t="s">
        <v>404</v>
      </c>
      <c r="E18" s="30">
        <v>42512.272835648146</v>
      </c>
      <c r="F18" s="30">
        <v>42512.274131944447</v>
      </c>
      <c r="G18" s="38">
        <v>1</v>
      </c>
      <c r="H18" s="30" t="s">
        <v>146</v>
      </c>
      <c r="I18" s="30">
        <v>42512.307951388888</v>
      </c>
      <c r="J18" s="61">
        <v>1</v>
      </c>
      <c r="K18" s="61" t="str">
        <f t="shared" si="9"/>
        <v>4027/4028</v>
      </c>
      <c r="L18" s="61" t="str">
        <f>VLOOKUP(A18,'Trips&amp;Operators'!$C$1:$E$9999,3,FALSE)</f>
        <v>STRICKLAND</v>
      </c>
      <c r="M18" s="12">
        <f t="shared" si="10"/>
        <v>3.3819444441178348E-2</v>
      </c>
      <c r="N18" s="13">
        <f t="shared" si="5"/>
        <v>48.699999995296821</v>
      </c>
      <c r="O18" s="13"/>
      <c r="P18" s="13"/>
      <c r="Q18" s="62"/>
      <c r="R18" s="62"/>
      <c r="T1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06:31:53-0600',mode:absolute,to:'2016-05-22 07:24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18" s="74" t="str">
        <f t="shared" si="12"/>
        <v>N</v>
      </c>
      <c r="V18" s="74">
        <f t="shared" si="13"/>
        <v>1</v>
      </c>
      <c r="W18" s="74">
        <f t="shared" si="14"/>
        <v>23.298400000000001</v>
      </c>
      <c r="X18" s="74">
        <f t="shared" si="15"/>
        <v>1.6299999999999999E-2</v>
      </c>
      <c r="Y18" s="74">
        <f t="shared" si="16"/>
        <v>23.2821</v>
      </c>
      <c r="Z18" s="75">
        <f>VLOOKUP(A18,Enforcements!$C$3:$J$55,8,0)</f>
        <v>1</v>
      </c>
      <c r="AA18" s="75" t="str">
        <f>VLOOKUP(A18,Enforcements!$C$3:$J$55,3,0)</f>
        <v>TRACK WARRANT AUTHORITY</v>
      </c>
    </row>
    <row r="19" spans="1:27" s="2" customFormat="1" x14ac:dyDescent="0.25">
      <c r="A19" s="61" t="s">
        <v>331</v>
      </c>
      <c r="B19" s="61">
        <v>4042</v>
      </c>
      <c r="C19" s="61" t="s">
        <v>66</v>
      </c>
      <c r="D19" s="61" t="s">
        <v>405</v>
      </c>
      <c r="E19" s="30">
        <v>42512.2500462963</v>
      </c>
      <c r="F19" s="30">
        <v>42512.251284722224</v>
      </c>
      <c r="G19" s="38">
        <v>1</v>
      </c>
      <c r="H19" s="30" t="s">
        <v>176</v>
      </c>
      <c r="I19" s="30">
        <v>42512.285995370374</v>
      </c>
      <c r="J19" s="61">
        <v>1</v>
      </c>
      <c r="K19" s="61" t="str">
        <f t="shared" si="9"/>
        <v>4041/4042</v>
      </c>
      <c r="L19" s="61" t="str">
        <f>VLOOKUP(A19,'Trips&amp;Operators'!$C$1:$E$9999,3,FALSE)</f>
        <v>LEDERHAUSE</v>
      </c>
      <c r="M19" s="12">
        <f t="shared" si="10"/>
        <v>3.4710648149484769E-2</v>
      </c>
      <c r="N19" s="13">
        <f t="shared" si="5"/>
        <v>49.983333335258067</v>
      </c>
      <c r="O19" s="13"/>
      <c r="P19" s="13"/>
      <c r="Q19" s="62"/>
      <c r="R19" s="62"/>
      <c r="T1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05:59:04-0600',mode:absolute,to:'2016-05-22 06:52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9" s="74" t="str">
        <f t="shared" si="12"/>
        <v>N</v>
      </c>
      <c r="V19" s="74">
        <f t="shared" si="13"/>
        <v>1</v>
      </c>
      <c r="W19" s="74">
        <f t="shared" si="14"/>
        <v>0.1492</v>
      </c>
      <c r="X19" s="74">
        <f t="shared" si="15"/>
        <v>23.328700000000001</v>
      </c>
      <c r="Y19" s="74">
        <f t="shared" si="16"/>
        <v>23.179500000000001</v>
      </c>
      <c r="Z19" s="75">
        <f>VLOOKUP(A19,Enforcements!$C$3:$J$55,8,0)</f>
        <v>2096</v>
      </c>
      <c r="AA19" s="75" t="str">
        <f>VLOOKUP(A19,Enforcements!$C$3:$J$55,3,0)</f>
        <v>PERMANENT SPEED RESTRICTION</v>
      </c>
    </row>
    <row r="20" spans="1:27" s="2" customFormat="1" x14ac:dyDescent="0.25">
      <c r="A20" s="61" t="s">
        <v>337</v>
      </c>
      <c r="B20" s="61">
        <v>4041</v>
      </c>
      <c r="C20" s="61" t="s">
        <v>66</v>
      </c>
      <c r="D20" s="61" t="s">
        <v>406</v>
      </c>
      <c r="E20" s="30">
        <v>42512.287673611114</v>
      </c>
      <c r="F20" s="30">
        <v>42512.288807870369</v>
      </c>
      <c r="G20" s="38">
        <v>1</v>
      </c>
      <c r="H20" s="30" t="s">
        <v>318</v>
      </c>
      <c r="I20" s="30">
        <v>42512.316481481481</v>
      </c>
      <c r="J20" s="61">
        <v>1</v>
      </c>
      <c r="K20" s="61" t="str">
        <f t="shared" si="9"/>
        <v>4041/4042</v>
      </c>
      <c r="L20" s="61" t="str">
        <f>VLOOKUP(A20,'Trips&amp;Operators'!$C$1:$E$9999,3,FALSE)</f>
        <v>LEDERHAUSE</v>
      </c>
      <c r="M20" s="12">
        <f t="shared" si="10"/>
        <v>2.7673611111822538E-2</v>
      </c>
      <c r="N20" s="13">
        <f t="shared" si="5"/>
        <v>39.850000001024455</v>
      </c>
      <c r="O20" s="13"/>
      <c r="P20" s="13"/>
      <c r="Q20" s="62"/>
      <c r="R20" s="62"/>
      <c r="T2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06:53:15-0600',mode:absolute,to:'2016-05-22 07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20" s="74" t="str">
        <f t="shared" si="12"/>
        <v>N</v>
      </c>
      <c r="V20" s="74">
        <f t="shared" si="13"/>
        <v>1</v>
      </c>
      <c r="W20" s="74">
        <f t="shared" si="14"/>
        <v>23.2974</v>
      </c>
      <c r="X20" s="74">
        <f t="shared" si="15"/>
        <v>1.6899999999999998E-2</v>
      </c>
      <c r="Y20" s="74">
        <f t="shared" si="16"/>
        <v>23.2805</v>
      </c>
      <c r="Z20" s="75">
        <f>VLOOKUP(A20,Enforcements!$C$3:$J$55,8,0)</f>
        <v>1</v>
      </c>
      <c r="AA20" s="75" t="str">
        <f>VLOOKUP(A20,Enforcements!$C$3:$J$55,3,0)</f>
        <v>TRACK WARRANT AUTHORITY</v>
      </c>
    </row>
    <row r="21" spans="1:27" s="2" customFormat="1" x14ac:dyDescent="0.25">
      <c r="A21" s="61" t="s">
        <v>333</v>
      </c>
      <c r="B21" s="61">
        <v>4024</v>
      </c>
      <c r="C21" s="61" t="s">
        <v>66</v>
      </c>
      <c r="D21" s="61" t="s">
        <v>127</v>
      </c>
      <c r="E21" s="30">
        <v>42512.2580787037</v>
      </c>
      <c r="F21" s="30">
        <v>42512.259525462963</v>
      </c>
      <c r="G21" s="38">
        <v>2</v>
      </c>
      <c r="H21" s="30" t="s">
        <v>145</v>
      </c>
      <c r="I21" s="30">
        <v>42512.292928240742</v>
      </c>
      <c r="J21" s="61">
        <v>1</v>
      </c>
      <c r="K21" s="61" t="str">
        <f t="shared" si="9"/>
        <v>4023/4024</v>
      </c>
      <c r="L21" s="61" t="str">
        <f>VLOOKUP(A21,'Trips&amp;Operators'!$C$1:$E$9999,3,FALSE)</f>
        <v>DE LA ROSA</v>
      </c>
      <c r="M21" s="12">
        <f t="shared" si="10"/>
        <v>3.3402777778974269E-2</v>
      </c>
      <c r="N21" s="13">
        <f t="shared" si="5"/>
        <v>48.100000001722947</v>
      </c>
      <c r="O21" s="13"/>
      <c r="P21" s="13"/>
      <c r="Q21" s="62"/>
      <c r="R21" s="62"/>
      <c r="T2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06:10:38-0600',mode:absolute,to:'2016-05-22 07:02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21" s="74" t="str">
        <f t="shared" si="12"/>
        <v>N</v>
      </c>
      <c r="V21" s="74">
        <f t="shared" si="13"/>
        <v>1</v>
      </c>
      <c r="W21" s="74">
        <f t="shared" si="14"/>
        <v>4.5999999999999999E-2</v>
      </c>
      <c r="X21" s="74">
        <f t="shared" si="15"/>
        <v>23.3293</v>
      </c>
      <c r="Y21" s="74">
        <f t="shared" si="16"/>
        <v>23.283300000000001</v>
      </c>
      <c r="Z21" s="75">
        <f>VLOOKUP(A21,Enforcements!$C$3:$J$55,8,0)</f>
        <v>155600</v>
      </c>
      <c r="AA21" s="75" t="str">
        <f>VLOOKUP(A21,Enforcements!$C$3:$J$55,3,0)</f>
        <v>SIGNAL</v>
      </c>
    </row>
    <row r="22" spans="1:27" s="2" customFormat="1" x14ac:dyDescent="0.25">
      <c r="A22" s="61" t="s">
        <v>407</v>
      </c>
      <c r="B22" s="61">
        <v>4023</v>
      </c>
      <c r="C22" s="61" t="s">
        <v>66</v>
      </c>
      <c r="D22" s="61" t="s">
        <v>117</v>
      </c>
      <c r="E22" s="30">
        <v>42512.294270833336</v>
      </c>
      <c r="F22" s="30">
        <v>42512.295393518521</v>
      </c>
      <c r="G22" s="38">
        <v>1</v>
      </c>
      <c r="H22" s="30" t="s">
        <v>321</v>
      </c>
      <c r="I22" s="30">
        <v>42512.335752314815</v>
      </c>
      <c r="J22" s="61">
        <v>0</v>
      </c>
      <c r="K22" s="61" t="str">
        <f t="shared" si="9"/>
        <v>4023/4024</v>
      </c>
      <c r="L22" s="61" t="str">
        <f>VLOOKUP(A22,'Trips&amp;Operators'!$C$1:$E$9999,3,FALSE)</f>
        <v>DE LA ROSA</v>
      </c>
      <c r="M22" s="12">
        <f t="shared" si="10"/>
        <v>4.0358796293730848E-2</v>
      </c>
      <c r="N22" s="13">
        <f t="shared" si="5"/>
        <v>58.11666666297242</v>
      </c>
      <c r="O22" s="13"/>
      <c r="P22" s="13"/>
      <c r="Q22" s="62"/>
      <c r="R22" s="62"/>
      <c r="T2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07:02:45-0600',mode:absolute,to:'2016-05-22 08:04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22" s="74" t="str">
        <f t="shared" si="12"/>
        <v>N</v>
      </c>
      <c r="V22" s="74">
        <f t="shared" si="13"/>
        <v>1</v>
      </c>
      <c r="W22" s="74">
        <f t="shared" si="14"/>
        <v>23.2973</v>
      </c>
      <c r="X22" s="74">
        <f t="shared" si="15"/>
        <v>1.6500000000000001E-2</v>
      </c>
      <c r="Y22" s="74">
        <f t="shared" si="16"/>
        <v>23.280799999999999</v>
      </c>
      <c r="Z22" s="75" t="e">
        <f>VLOOKUP(A22,Enforcements!$C$3:$J$55,8,0)</f>
        <v>#N/A</v>
      </c>
      <c r="AA22" s="75" t="e">
        <f>VLOOKUP(A22,Enforcements!$C$3:$J$55,3,0)</f>
        <v>#N/A</v>
      </c>
    </row>
    <row r="23" spans="1:27" s="2" customFormat="1" x14ac:dyDescent="0.25">
      <c r="A23" s="61" t="s">
        <v>408</v>
      </c>
      <c r="B23" s="61">
        <v>4007</v>
      </c>
      <c r="C23" s="61" t="s">
        <v>66</v>
      </c>
      <c r="D23" s="61" t="s">
        <v>322</v>
      </c>
      <c r="E23" s="30">
        <v>42512.27071759259</v>
      </c>
      <c r="F23" s="30">
        <v>42512.271932870368</v>
      </c>
      <c r="G23" s="38">
        <v>1</v>
      </c>
      <c r="H23" s="30" t="s">
        <v>157</v>
      </c>
      <c r="I23" s="30">
        <v>42512.304895833331</v>
      </c>
      <c r="J23" s="61">
        <v>0</v>
      </c>
      <c r="K23" s="61" t="str">
        <f t="shared" si="9"/>
        <v>4007/4008</v>
      </c>
      <c r="L23" s="61" t="str">
        <f>VLOOKUP(A23,'Trips&amp;Operators'!$C$1:$E$9999,3,FALSE)</f>
        <v>COCA</v>
      </c>
      <c r="M23" s="12">
        <f t="shared" si="10"/>
        <v>3.2962962963210884E-2</v>
      </c>
      <c r="N23" s="13">
        <f t="shared" si="5"/>
        <v>47.466666667023674</v>
      </c>
      <c r="O23" s="13"/>
      <c r="P23" s="13"/>
      <c r="Q23" s="62"/>
      <c r="R23" s="62"/>
      <c r="T2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06:28:50-0600',mode:absolute,to:'2016-05-22 07:20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23" s="74" t="str">
        <f t="shared" si="12"/>
        <v>N</v>
      </c>
      <c r="V23" s="74">
        <f t="shared" si="13"/>
        <v>1</v>
      </c>
      <c r="W23" s="74">
        <f t="shared" si="14"/>
        <v>4.4200000000000003E-2</v>
      </c>
      <c r="X23" s="74">
        <f t="shared" si="15"/>
        <v>23.330400000000001</v>
      </c>
      <c r="Y23" s="74">
        <f t="shared" si="16"/>
        <v>23.286200000000001</v>
      </c>
      <c r="Z23" s="75" t="e">
        <f>VLOOKUP(A23,Enforcements!$C$3:$J$55,8,0)</f>
        <v>#N/A</v>
      </c>
      <c r="AA23" s="75" t="e">
        <f>VLOOKUP(A23,Enforcements!$C$3:$J$55,3,0)</f>
        <v>#N/A</v>
      </c>
    </row>
    <row r="24" spans="1:27" s="2" customFormat="1" x14ac:dyDescent="0.25">
      <c r="A24" s="61" t="s">
        <v>338</v>
      </c>
      <c r="B24" s="61">
        <v>4008</v>
      </c>
      <c r="C24" s="61" t="s">
        <v>66</v>
      </c>
      <c r="D24" s="61" t="s">
        <v>315</v>
      </c>
      <c r="E24" s="30">
        <v>42512.306655092594</v>
      </c>
      <c r="F24" s="30">
        <v>42512.307384259257</v>
      </c>
      <c r="G24" s="38">
        <v>1</v>
      </c>
      <c r="H24" s="30" t="s">
        <v>103</v>
      </c>
      <c r="I24" s="30">
        <v>42512.342002314814</v>
      </c>
      <c r="J24" s="61">
        <v>1</v>
      </c>
      <c r="K24" s="61" t="str">
        <f t="shared" si="9"/>
        <v>4007/4008</v>
      </c>
      <c r="L24" s="61" t="str">
        <f>VLOOKUP(A24,'Trips&amp;Operators'!$C$1:$E$9999,3,FALSE)</f>
        <v>COCA</v>
      </c>
      <c r="M24" s="12">
        <f t="shared" si="10"/>
        <v>3.4618055557075422E-2</v>
      </c>
      <c r="N24" s="13">
        <f t="shared" si="5"/>
        <v>49.850000002188608</v>
      </c>
      <c r="O24" s="13"/>
      <c r="P24" s="13"/>
      <c r="Q24" s="62"/>
      <c r="R24" s="62"/>
      <c r="T2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07:20:35-0600',mode:absolute,to:'2016-05-22 08:13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24" s="74" t="str">
        <f t="shared" si="12"/>
        <v>N</v>
      </c>
      <c r="V24" s="74">
        <f t="shared" si="13"/>
        <v>1</v>
      </c>
      <c r="W24" s="74">
        <f t="shared" si="14"/>
        <v>23.298300000000001</v>
      </c>
      <c r="X24" s="74">
        <f t="shared" si="15"/>
        <v>1.5800000000000002E-2</v>
      </c>
      <c r="Y24" s="74">
        <f t="shared" si="16"/>
        <v>23.282500000000002</v>
      </c>
      <c r="Z24" s="75">
        <f>VLOOKUP(A24,Enforcements!$C$3:$J$55,8,0)</f>
        <v>127587</v>
      </c>
      <c r="AA24" s="75" t="str">
        <f>VLOOKUP(A24,Enforcements!$C$3:$J$55,3,0)</f>
        <v>SIGNAL</v>
      </c>
    </row>
    <row r="25" spans="1:27" s="2" customFormat="1" x14ac:dyDescent="0.25">
      <c r="A25" s="61" t="s">
        <v>409</v>
      </c>
      <c r="B25" s="61">
        <v>4031</v>
      </c>
      <c r="C25" s="61" t="s">
        <v>66</v>
      </c>
      <c r="D25" s="61" t="s">
        <v>171</v>
      </c>
      <c r="E25" s="30">
        <v>42512.279942129629</v>
      </c>
      <c r="F25" s="30">
        <v>42512.280729166669</v>
      </c>
      <c r="G25" s="38">
        <v>1</v>
      </c>
      <c r="H25" s="30" t="s">
        <v>82</v>
      </c>
      <c r="I25" s="30">
        <v>42512.30672453704</v>
      </c>
      <c r="J25" s="61">
        <v>0</v>
      </c>
      <c r="K25" s="61" t="str">
        <f t="shared" si="9"/>
        <v>4031/4032</v>
      </c>
      <c r="L25" s="61" t="str">
        <f>VLOOKUP(A25,'Trips&amp;Operators'!$C$1:$E$9999,3,FALSE)</f>
        <v>GEBRETEKLE</v>
      </c>
      <c r="M25" s="12">
        <f t="shared" si="10"/>
        <v>2.5995370371674653E-2</v>
      </c>
      <c r="N25" s="13">
        <f t="shared" si="5"/>
        <v>37.433333335211501</v>
      </c>
      <c r="O25" s="13"/>
      <c r="P25" s="13"/>
      <c r="Q25" s="62"/>
      <c r="R25" s="62"/>
      <c r="T2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06:42:07-0600',mode:absolute,to:'2016-05-22 07:22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25" s="74" t="str">
        <f t="shared" si="12"/>
        <v>N</v>
      </c>
      <c r="V25" s="74">
        <f t="shared" si="13"/>
        <v>1</v>
      </c>
      <c r="W25" s="74">
        <f t="shared" si="14"/>
        <v>4.6199999999999998E-2</v>
      </c>
      <c r="X25" s="74">
        <f t="shared" si="15"/>
        <v>23.329899999999999</v>
      </c>
      <c r="Y25" s="74">
        <f t="shared" si="16"/>
        <v>23.2837</v>
      </c>
      <c r="Z25" s="75" t="e">
        <f>VLOOKUP(A25,Enforcements!$C$3:$J$55,8,0)</f>
        <v>#N/A</v>
      </c>
      <c r="AA25" s="75" t="e">
        <f>VLOOKUP(A25,Enforcements!$C$3:$J$55,3,0)</f>
        <v>#N/A</v>
      </c>
    </row>
    <row r="26" spans="1:27" s="2" customFormat="1" x14ac:dyDescent="0.25">
      <c r="A26" s="61" t="s">
        <v>410</v>
      </c>
      <c r="B26" s="61">
        <v>4032</v>
      </c>
      <c r="C26" s="61" t="s">
        <v>66</v>
      </c>
      <c r="D26" s="61" t="s">
        <v>125</v>
      </c>
      <c r="E26" s="30">
        <v>42512.316238425927</v>
      </c>
      <c r="F26" s="30">
        <v>42512.31722222222</v>
      </c>
      <c r="G26" s="38">
        <v>1</v>
      </c>
      <c r="H26" s="30" t="s">
        <v>103</v>
      </c>
      <c r="I26" s="30">
        <v>42512.353483796294</v>
      </c>
      <c r="J26" s="61">
        <v>0</v>
      </c>
      <c r="K26" s="61" t="str">
        <f t="shared" si="9"/>
        <v>4031/4032</v>
      </c>
      <c r="L26" s="61" t="str">
        <f>VLOOKUP(A26,'Trips&amp;Operators'!$C$1:$E$9999,3,FALSE)</f>
        <v>GEBRETEKLE</v>
      </c>
      <c r="M26" s="12">
        <f t="shared" si="10"/>
        <v>3.6261574074160308E-2</v>
      </c>
      <c r="N26" s="13">
        <f t="shared" si="5"/>
        <v>52.216666666790843</v>
      </c>
      <c r="O26" s="13"/>
      <c r="P26" s="13"/>
      <c r="Q26" s="62"/>
      <c r="R26" s="62"/>
      <c r="T2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07:34:23-0600',mode:absolute,to:'2016-05-22 08:30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26" s="74" t="str">
        <f t="shared" si="12"/>
        <v>N</v>
      </c>
      <c r="V26" s="74">
        <f t="shared" si="13"/>
        <v>1</v>
      </c>
      <c r="W26" s="74">
        <f t="shared" si="14"/>
        <v>23.299600000000002</v>
      </c>
      <c r="X26" s="74">
        <f t="shared" si="15"/>
        <v>1.5800000000000002E-2</v>
      </c>
      <c r="Y26" s="74">
        <f t="shared" si="16"/>
        <v>23.283800000000003</v>
      </c>
      <c r="Z26" s="75" t="e">
        <f>VLOOKUP(A26,Enforcements!$C$3:$J$55,8,0)</f>
        <v>#N/A</v>
      </c>
      <c r="AA26" s="75" t="e">
        <f>VLOOKUP(A26,Enforcements!$C$3:$J$55,3,0)</f>
        <v>#N/A</v>
      </c>
    </row>
    <row r="27" spans="1:27" s="2" customFormat="1" x14ac:dyDescent="0.25">
      <c r="A27" s="61" t="s">
        <v>411</v>
      </c>
      <c r="B27" s="61">
        <v>4020</v>
      </c>
      <c r="C27" s="61" t="s">
        <v>66</v>
      </c>
      <c r="D27" s="61" t="s">
        <v>313</v>
      </c>
      <c r="E27" s="30">
        <v>42512.286886574075</v>
      </c>
      <c r="F27" s="30">
        <v>42512.287719907406</v>
      </c>
      <c r="G27" s="38">
        <v>1</v>
      </c>
      <c r="H27" s="30" t="s">
        <v>172</v>
      </c>
      <c r="I27" s="30">
        <v>42512.316747685189</v>
      </c>
      <c r="J27" s="61">
        <v>0</v>
      </c>
      <c r="K27" s="61" t="str">
        <f t="shared" si="9"/>
        <v>4019/4020</v>
      </c>
      <c r="L27" s="61" t="str">
        <f>VLOOKUP(A27,'Trips&amp;Operators'!$C$1:$E$9999,3,FALSE)</f>
        <v>LEVIN</v>
      </c>
      <c r="M27" s="12">
        <f t="shared" si="10"/>
        <v>2.902777778217569E-2</v>
      </c>
      <c r="N27" s="13">
        <f t="shared" si="5"/>
        <v>41.800000006332994</v>
      </c>
      <c r="O27" s="13"/>
      <c r="P27" s="13"/>
      <c r="Q27" s="62"/>
      <c r="R27" s="62"/>
      <c r="T2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06:52:07-0600',mode:absolute,to:'2016-05-22 07:37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27" s="74" t="str">
        <f t="shared" si="12"/>
        <v>N</v>
      </c>
      <c r="V27" s="74">
        <f t="shared" si="13"/>
        <v>1</v>
      </c>
      <c r="W27" s="74">
        <f t="shared" si="14"/>
        <v>4.7100000000000003E-2</v>
      </c>
      <c r="X27" s="74">
        <f t="shared" si="15"/>
        <v>23.331700000000001</v>
      </c>
      <c r="Y27" s="74">
        <f t="shared" si="16"/>
        <v>23.284600000000001</v>
      </c>
      <c r="Z27" s="75" t="e">
        <f>VLOOKUP(A27,Enforcements!$C$3:$J$55,8,0)</f>
        <v>#N/A</v>
      </c>
      <c r="AA27" s="75" t="e">
        <f>VLOOKUP(A27,Enforcements!$C$3:$J$55,3,0)</f>
        <v>#N/A</v>
      </c>
    </row>
    <row r="28" spans="1:27" s="2" customFormat="1" x14ac:dyDescent="0.25">
      <c r="A28" s="61" t="s">
        <v>336</v>
      </c>
      <c r="B28" s="61">
        <v>4018</v>
      </c>
      <c r="C28" s="61" t="s">
        <v>66</v>
      </c>
      <c r="D28" s="61" t="s">
        <v>168</v>
      </c>
      <c r="E28" s="30">
        <v>42512.300046296295</v>
      </c>
      <c r="F28" s="30">
        <v>42512.301365740743</v>
      </c>
      <c r="G28" s="38">
        <v>1</v>
      </c>
      <c r="H28" s="30" t="s">
        <v>68</v>
      </c>
      <c r="I28" s="30">
        <v>42512.327314814815</v>
      </c>
      <c r="J28" s="61">
        <v>1</v>
      </c>
      <c r="K28" s="61" t="str">
        <f t="shared" si="9"/>
        <v>4017/4018</v>
      </c>
      <c r="L28" s="61" t="str">
        <f>VLOOKUP(A28,'Trips&amp;Operators'!$C$1:$E$9999,3,FALSE)</f>
        <v>REBOLETTI</v>
      </c>
      <c r="M28" s="12">
        <f t="shared" si="10"/>
        <v>2.5949074071832001E-2</v>
      </c>
      <c r="N28" s="13">
        <f t="shared" si="5"/>
        <v>37.366666663438082</v>
      </c>
      <c r="O28" s="13"/>
      <c r="P28" s="13"/>
      <c r="Q28" s="62"/>
      <c r="R28" s="62"/>
      <c r="T2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07:11:04-0600',mode:absolute,to:'2016-05-22 07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28" s="74" t="str">
        <f t="shared" si="12"/>
        <v>N</v>
      </c>
      <c r="V28" s="74">
        <f t="shared" si="13"/>
        <v>2</v>
      </c>
      <c r="W28" s="74">
        <f t="shared" si="14"/>
        <v>4.8399999999999999E-2</v>
      </c>
      <c r="X28" s="74">
        <f t="shared" si="15"/>
        <v>23.329499999999999</v>
      </c>
      <c r="Y28" s="74">
        <f t="shared" si="16"/>
        <v>23.281099999999999</v>
      </c>
      <c r="Z28" s="75">
        <f>VLOOKUP(A28,Enforcements!$C$3:$J$55,8,0)</f>
        <v>53155</v>
      </c>
      <c r="AA28" s="75" t="str">
        <f>VLOOKUP(A28,Enforcements!$C$3:$J$55,3,0)</f>
        <v>GRADE CROSSING</v>
      </c>
    </row>
    <row r="29" spans="1:27" s="2" customFormat="1" x14ac:dyDescent="0.25">
      <c r="A29" s="61" t="s">
        <v>342</v>
      </c>
      <c r="B29" s="61">
        <v>4017</v>
      </c>
      <c r="C29" s="61" t="s">
        <v>66</v>
      </c>
      <c r="D29" s="61" t="s">
        <v>169</v>
      </c>
      <c r="E29" s="30">
        <v>42512.335914351854</v>
      </c>
      <c r="F29" s="30">
        <v>42512.338078703702</v>
      </c>
      <c r="G29" s="38">
        <v>3</v>
      </c>
      <c r="H29" s="30" t="s">
        <v>126</v>
      </c>
      <c r="I29" s="30">
        <v>42512.372395833336</v>
      </c>
      <c r="J29" s="61">
        <v>3</v>
      </c>
      <c r="K29" s="61" t="str">
        <f t="shared" si="9"/>
        <v>4017/4018</v>
      </c>
      <c r="L29" s="61" t="str">
        <f>VLOOKUP(A29,'Trips&amp;Operators'!$C$1:$E$9999,3,FALSE)</f>
        <v>REBOLETTI</v>
      </c>
      <c r="M29" s="12">
        <f t="shared" si="10"/>
        <v>3.4317129633564036E-2</v>
      </c>
      <c r="N29" s="13">
        <f t="shared" si="5"/>
        <v>49.416666672332212</v>
      </c>
      <c r="O29" s="13"/>
      <c r="P29" s="13"/>
      <c r="Q29" s="62"/>
      <c r="R29" s="62"/>
      <c r="T2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08:02:43-0600',mode:absolute,to:'2016-05-22 08:57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29" s="74" t="str">
        <f t="shared" si="12"/>
        <v>N</v>
      </c>
      <c r="V29" s="74">
        <f t="shared" si="13"/>
        <v>1</v>
      </c>
      <c r="W29" s="74">
        <f t="shared" si="14"/>
        <v>23.296900000000001</v>
      </c>
      <c r="X29" s="74">
        <f t="shared" si="15"/>
        <v>1.6E-2</v>
      </c>
      <c r="Y29" s="74">
        <f t="shared" si="16"/>
        <v>23.280900000000003</v>
      </c>
      <c r="Z29" s="75">
        <f>VLOOKUP(A29,Enforcements!$C$3:$J$55,8,0)</f>
        <v>33257</v>
      </c>
      <c r="AA29" s="75" t="str">
        <f>VLOOKUP(A29,Enforcements!$C$3:$J$55,3,0)</f>
        <v>GRADE CROSSING</v>
      </c>
    </row>
    <row r="30" spans="1:27" s="2" customFormat="1" x14ac:dyDescent="0.25">
      <c r="A30" s="61" t="s">
        <v>340</v>
      </c>
      <c r="B30" s="61">
        <v>4027</v>
      </c>
      <c r="C30" s="61" t="s">
        <v>66</v>
      </c>
      <c r="D30" s="61" t="s">
        <v>322</v>
      </c>
      <c r="E30" s="30">
        <v>42512.309004629627</v>
      </c>
      <c r="F30" s="30">
        <v>42512.310150462959</v>
      </c>
      <c r="G30" s="38">
        <v>1</v>
      </c>
      <c r="H30" s="30" t="s">
        <v>151</v>
      </c>
      <c r="I30" s="30">
        <v>42512.34107638889</v>
      </c>
      <c r="J30" s="61">
        <v>2</v>
      </c>
      <c r="K30" s="61" t="str">
        <f t="shared" si="9"/>
        <v>4027/4028</v>
      </c>
      <c r="L30" s="61" t="str">
        <f>VLOOKUP(A30,'Trips&amp;Operators'!$C$1:$E$9999,3,FALSE)</f>
        <v>STRICKLAND</v>
      </c>
      <c r="M30" s="12">
        <f t="shared" si="10"/>
        <v>3.0925925930205267E-2</v>
      </c>
      <c r="N30" s="13">
        <f t="shared" si="5"/>
        <v>44.533333339495584</v>
      </c>
      <c r="O30" s="13"/>
      <c r="P30" s="13"/>
      <c r="Q30" s="62"/>
      <c r="R30" s="62"/>
      <c r="T3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07:23:58-0600',mode:absolute,to:'2016-05-22 08:12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30" s="74" t="str">
        <f t="shared" si="12"/>
        <v>N</v>
      </c>
      <c r="V30" s="74">
        <f t="shared" si="13"/>
        <v>1</v>
      </c>
      <c r="W30" s="74">
        <f t="shared" si="14"/>
        <v>4.4200000000000003E-2</v>
      </c>
      <c r="X30" s="74">
        <f t="shared" si="15"/>
        <v>23.3278</v>
      </c>
      <c r="Y30" s="74">
        <f t="shared" si="16"/>
        <v>23.2836</v>
      </c>
      <c r="Z30" s="75">
        <f>VLOOKUP(A30,Enforcements!$C$3:$J$55,8,0)</f>
        <v>116838</v>
      </c>
      <c r="AA30" s="75" t="str">
        <f>VLOOKUP(A30,Enforcements!$C$3:$J$55,3,0)</f>
        <v>PERMANENT SPEED RESTRICTION</v>
      </c>
    </row>
    <row r="31" spans="1:27" s="2" customFormat="1" x14ac:dyDescent="0.25">
      <c r="A31" s="61" t="s">
        <v>343</v>
      </c>
      <c r="B31" s="61">
        <v>4028</v>
      </c>
      <c r="C31" s="61" t="s">
        <v>66</v>
      </c>
      <c r="D31" s="61" t="s">
        <v>156</v>
      </c>
      <c r="E31" s="30">
        <v>42512.342418981483</v>
      </c>
      <c r="F31" s="30">
        <v>42512.343761574077</v>
      </c>
      <c r="G31" s="38">
        <v>1</v>
      </c>
      <c r="H31" s="30" t="s">
        <v>146</v>
      </c>
      <c r="I31" s="30">
        <v>42512.383449074077</v>
      </c>
      <c r="J31" s="61">
        <v>1</v>
      </c>
      <c r="K31" s="61" t="str">
        <f t="shared" si="9"/>
        <v>4027/4028</v>
      </c>
      <c r="L31" s="61" t="str">
        <f>VLOOKUP(A31,'Trips&amp;Operators'!$C$1:$E$9999,3,FALSE)</f>
        <v>STRICKLAND</v>
      </c>
      <c r="M31" s="12">
        <f t="shared" si="10"/>
        <v>3.9687500000582077E-2</v>
      </c>
      <c r="N31" s="13">
        <f t="shared" si="5"/>
        <v>57.15000000083819</v>
      </c>
      <c r="O31" s="13"/>
      <c r="P31" s="13"/>
      <c r="Q31" s="62"/>
      <c r="R31" s="62"/>
      <c r="T3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08:12:05-0600',mode:absolute,to:'2016-05-22 09:13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31" s="74" t="str">
        <f t="shared" si="12"/>
        <v>N</v>
      </c>
      <c r="V31" s="74">
        <f t="shared" si="13"/>
        <v>1</v>
      </c>
      <c r="W31" s="74">
        <f t="shared" si="14"/>
        <v>23.297699999999999</v>
      </c>
      <c r="X31" s="74">
        <f t="shared" si="15"/>
        <v>1.6299999999999999E-2</v>
      </c>
      <c r="Y31" s="74">
        <f t="shared" si="16"/>
        <v>23.281399999999998</v>
      </c>
      <c r="Z31" s="75">
        <f>VLOOKUP(A31,Enforcements!$C$3:$J$55,8,0)</f>
        <v>53277</v>
      </c>
      <c r="AA31" s="75" t="str">
        <f>VLOOKUP(A31,Enforcements!$C$3:$J$55,3,0)</f>
        <v>GRADE CROSSING</v>
      </c>
    </row>
    <row r="32" spans="1:27" s="2" customFormat="1" x14ac:dyDescent="0.25">
      <c r="A32" s="61" t="s">
        <v>341</v>
      </c>
      <c r="B32" s="61">
        <v>4042</v>
      </c>
      <c r="C32" s="61" t="s">
        <v>66</v>
      </c>
      <c r="D32" s="61" t="s">
        <v>154</v>
      </c>
      <c r="E32" s="30">
        <v>42512.317824074074</v>
      </c>
      <c r="F32" s="30">
        <v>42512.319189814814</v>
      </c>
      <c r="G32" s="38">
        <v>1</v>
      </c>
      <c r="H32" s="30" t="s">
        <v>152</v>
      </c>
      <c r="I32" s="30">
        <v>42512.349733796298</v>
      </c>
      <c r="J32" s="61">
        <v>1</v>
      </c>
      <c r="K32" s="61" t="str">
        <f t="shared" si="9"/>
        <v>4041/4042</v>
      </c>
      <c r="L32" s="61" t="str">
        <f>VLOOKUP(A32,'Trips&amp;Operators'!$C$1:$E$9999,3,FALSE)</f>
        <v>LEDERHAUSE</v>
      </c>
      <c r="M32" s="12">
        <f t="shared" si="10"/>
        <v>3.054398148378823E-2</v>
      </c>
      <c r="N32" s="13">
        <f t="shared" si="5"/>
        <v>43.983333336655051</v>
      </c>
      <c r="O32" s="13"/>
      <c r="P32" s="13"/>
      <c r="Q32" s="62"/>
      <c r="R32" s="62"/>
      <c r="T3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07:36:40-0600',mode:absolute,to:'2016-05-22 08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32" s="74" t="str">
        <f t="shared" si="12"/>
        <v>N</v>
      </c>
      <c r="V32" s="74">
        <f t="shared" si="13"/>
        <v>1</v>
      </c>
      <c r="W32" s="74">
        <f t="shared" si="14"/>
        <v>4.7699999999999999E-2</v>
      </c>
      <c r="X32" s="74">
        <f t="shared" si="15"/>
        <v>23.327400000000001</v>
      </c>
      <c r="Y32" s="74">
        <f t="shared" si="16"/>
        <v>23.279700000000002</v>
      </c>
      <c r="Z32" s="75">
        <f>VLOOKUP(A32,Enforcements!$C$3:$J$55,8,0)</f>
        <v>53155</v>
      </c>
      <c r="AA32" s="75" t="str">
        <f>VLOOKUP(A32,Enforcements!$C$3:$J$55,3,0)</f>
        <v>GRADE CROSSING</v>
      </c>
    </row>
    <row r="33" spans="1:27" s="2" customFormat="1" x14ac:dyDescent="0.25">
      <c r="A33" s="61" t="s">
        <v>344</v>
      </c>
      <c r="B33" s="61">
        <v>4041</v>
      </c>
      <c r="C33" s="61" t="s">
        <v>66</v>
      </c>
      <c r="D33" s="61" t="s">
        <v>169</v>
      </c>
      <c r="E33" s="30">
        <v>42512.35460648148</v>
      </c>
      <c r="F33" s="30">
        <v>42512.357986111114</v>
      </c>
      <c r="G33" s="38">
        <v>4</v>
      </c>
      <c r="H33" s="30" t="s">
        <v>103</v>
      </c>
      <c r="I33" s="30">
        <v>42512.390185185184</v>
      </c>
      <c r="J33" s="61">
        <v>1</v>
      </c>
      <c r="K33" s="61" t="str">
        <f t="shared" si="9"/>
        <v>4041/4042</v>
      </c>
      <c r="L33" s="61" t="str">
        <f>VLOOKUP(A33,'Trips&amp;Operators'!$C$1:$E$9999,3,FALSE)</f>
        <v>LEDERHAUSE</v>
      </c>
      <c r="M33" s="12">
        <f t="shared" si="10"/>
        <v>3.219907407037681E-2</v>
      </c>
      <c r="N33" s="13">
        <f t="shared" si="5"/>
        <v>46.366666661342606</v>
      </c>
      <c r="O33" s="13"/>
      <c r="P33" s="13"/>
      <c r="Q33" s="62"/>
      <c r="R33" s="62"/>
      <c r="T3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08:29:38-0600',mode:absolute,to:'2016-05-22 09:22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33" s="74" t="str">
        <f t="shared" si="12"/>
        <v>N</v>
      </c>
      <c r="V33" s="74">
        <f t="shared" si="13"/>
        <v>1</v>
      </c>
      <c r="W33" s="74">
        <f t="shared" si="14"/>
        <v>23.296900000000001</v>
      </c>
      <c r="X33" s="74">
        <f t="shared" si="15"/>
        <v>1.5800000000000002E-2</v>
      </c>
      <c r="Y33" s="74">
        <f t="shared" si="16"/>
        <v>23.281100000000002</v>
      </c>
      <c r="Z33" s="75">
        <f>VLOOKUP(A33,Enforcements!$C$3:$J$55,8,0)</f>
        <v>30562</v>
      </c>
      <c r="AA33" s="75" t="str">
        <f>VLOOKUP(A33,Enforcements!$C$3:$J$55,3,0)</f>
        <v>PERMANENT SPEED RESTRICTION</v>
      </c>
    </row>
    <row r="34" spans="1:27" s="2" customFormat="1" x14ac:dyDescent="0.25">
      <c r="A34" s="61" t="s">
        <v>412</v>
      </c>
      <c r="B34" s="61">
        <v>4024</v>
      </c>
      <c r="C34" s="61" t="s">
        <v>66</v>
      </c>
      <c r="D34" s="61" t="s">
        <v>76</v>
      </c>
      <c r="E34" s="30">
        <v>42512.336898148147</v>
      </c>
      <c r="F34" s="30">
        <v>42512.33797453704</v>
      </c>
      <c r="G34" s="38">
        <v>1</v>
      </c>
      <c r="H34" s="30" t="s">
        <v>115</v>
      </c>
      <c r="I34" s="30">
        <v>42512.368113425924</v>
      </c>
      <c r="J34" s="61">
        <v>0</v>
      </c>
      <c r="K34" s="61" t="str">
        <f t="shared" si="9"/>
        <v>4023/4024</v>
      </c>
      <c r="L34" s="61" t="str">
        <f>VLOOKUP(A34,'Trips&amp;Operators'!$C$1:$E$9999,3,FALSE)</f>
        <v>DE LA ROSA</v>
      </c>
      <c r="M34" s="12">
        <f t="shared" si="10"/>
        <v>3.0138888883811887E-2</v>
      </c>
      <c r="N34" s="13">
        <f t="shared" si="5"/>
        <v>43.399999992689118</v>
      </c>
      <c r="O34" s="13"/>
      <c r="P34" s="13"/>
      <c r="Q34" s="62"/>
      <c r="R34" s="62"/>
      <c r="T3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08:04:08-0600',mode:absolute,to:'2016-05-22 08:51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34" s="74" t="str">
        <f t="shared" si="12"/>
        <v>N</v>
      </c>
      <c r="V34" s="74">
        <f t="shared" si="13"/>
        <v>1</v>
      </c>
      <c r="W34" s="74">
        <f t="shared" si="14"/>
        <v>4.4699999999999997E-2</v>
      </c>
      <c r="X34" s="74">
        <f t="shared" si="15"/>
        <v>23.3306</v>
      </c>
      <c r="Y34" s="74">
        <f t="shared" si="16"/>
        <v>23.285900000000002</v>
      </c>
      <c r="Z34" s="75" t="e">
        <f>VLOOKUP(A34,Enforcements!$C$3:$J$55,8,0)</f>
        <v>#N/A</v>
      </c>
      <c r="AA34" s="75" t="e">
        <f>VLOOKUP(A34,Enforcements!$C$3:$J$55,3,0)</f>
        <v>#N/A</v>
      </c>
    </row>
    <row r="35" spans="1:27" s="2" customFormat="1" x14ac:dyDescent="0.25">
      <c r="A35" s="61" t="s">
        <v>413</v>
      </c>
      <c r="B35" s="61">
        <v>4023</v>
      </c>
      <c r="C35" s="61" t="s">
        <v>66</v>
      </c>
      <c r="D35" s="61" t="s">
        <v>173</v>
      </c>
      <c r="E35" s="30">
        <v>42512.371863425928</v>
      </c>
      <c r="F35" s="30">
        <v>42512.372766203705</v>
      </c>
      <c r="G35" s="38">
        <v>1</v>
      </c>
      <c r="H35" s="30" t="s">
        <v>414</v>
      </c>
      <c r="I35" s="30">
        <v>42512.402048611111</v>
      </c>
      <c r="J35" s="61">
        <v>0</v>
      </c>
      <c r="K35" s="61" t="str">
        <f t="shared" si="9"/>
        <v>4023/4024</v>
      </c>
      <c r="L35" s="61" t="str">
        <f>VLOOKUP(A35,'Trips&amp;Operators'!$C$1:$E$9999,3,FALSE)</f>
        <v>DE LA ROSA</v>
      </c>
      <c r="M35" s="12">
        <f t="shared" si="10"/>
        <v>2.9282407405844424E-2</v>
      </c>
      <c r="N35" s="13">
        <f t="shared" si="5"/>
        <v>42.16666666441597</v>
      </c>
      <c r="O35" s="13"/>
      <c r="P35" s="13"/>
      <c r="Q35" s="62"/>
      <c r="R35" s="62"/>
      <c r="T3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08:54:29-0600',mode:absolute,to:'2016-05-22 09:39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35" s="74" t="str">
        <f t="shared" si="12"/>
        <v>N</v>
      </c>
      <c r="V35" s="74">
        <f t="shared" si="13"/>
        <v>1</v>
      </c>
      <c r="W35" s="74">
        <f t="shared" si="14"/>
        <v>23.300599999999999</v>
      </c>
      <c r="X35" s="74">
        <f t="shared" si="15"/>
        <v>1.38E-2</v>
      </c>
      <c r="Y35" s="74">
        <f t="shared" si="16"/>
        <v>23.286799999999999</v>
      </c>
      <c r="Z35" s="75" t="e">
        <f>VLOOKUP(A35,Enforcements!$C$3:$J$55,8,0)</f>
        <v>#N/A</v>
      </c>
      <c r="AA35" s="75" t="e">
        <f>VLOOKUP(A35,Enforcements!$C$3:$J$55,3,0)</f>
        <v>#N/A</v>
      </c>
    </row>
    <row r="36" spans="1:27" s="2" customFormat="1" x14ac:dyDescent="0.25">
      <c r="A36" s="61" t="s">
        <v>415</v>
      </c>
      <c r="B36" s="61">
        <v>4007</v>
      </c>
      <c r="C36" s="61" t="s">
        <v>66</v>
      </c>
      <c r="D36" s="61" t="s">
        <v>416</v>
      </c>
      <c r="E36" s="30">
        <v>42512.343101851853</v>
      </c>
      <c r="F36" s="30">
        <v>42512.34412037037</v>
      </c>
      <c r="G36" s="38">
        <v>1</v>
      </c>
      <c r="H36" s="30" t="s">
        <v>417</v>
      </c>
      <c r="I36" s="30">
        <v>42512.376828703702</v>
      </c>
      <c r="J36" s="61">
        <v>0</v>
      </c>
      <c r="K36" s="61" t="str">
        <f t="shared" si="9"/>
        <v>4007/4008</v>
      </c>
      <c r="L36" s="61" t="str">
        <f>VLOOKUP(A36,'Trips&amp;Operators'!$C$1:$E$9999,3,FALSE)</f>
        <v>COCA</v>
      </c>
      <c r="M36" s="12">
        <f t="shared" si="10"/>
        <v>3.2708333332266193E-2</v>
      </c>
      <c r="N36" s="13">
        <f t="shared" si="5"/>
        <v>47.099999998463318</v>
      </c>
      <c r="O36" s="13"/>
      <c r="P36" s="13"/>
      <c r="Q36" s="62"/>
      <c r="R36" s="62"/>
      <c r="T3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08:13:04-0600',mode:absolute,to:'2016-05-22 09:03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36" s="74" t="str">
        <f t="shared" si="12"/>
        <v>N</v>
      </c>
      <c r="V36" s="74">
        <f t="shared" si="13"/>
        <v>1</v>
      </c>
      <c r="W36" s="74">
        <f t="shared" si="14"/>
        <v>4.7500000000000001E-2</v>
      </c>
      <c r="X36" s="74">
        <f t="shared" si="15"/>
        <v>23.329799999999999</v>
      </c>
      <c r="Y36" s="74">
        <f t="shared" si="16"/>
        <v>23.282299999999999</v>
      </c>
      <c r="Z36" s="75" t="e">
        <f>VLOOKUP(A36,Enforcements!$C$3:$J$55,8,0)</f>
        <v>#N/A</v>
      </c>
      <c r="AA36" s="75" t="e">
        <f>VLOOKUP(A36,Enforcements!$C$3:$J$55,3,0)</f>
        <v>#N/A</v>
      </c>
    </row>
    <row r="37" spans="1:27" s="2" customFormat="1" x14ac:dyDescent="0.25">
      <c r="A37" s="61" t="s">
        <v>418</v>
      </c>
      <c r="B37" s="61">
        <v>4008</v>
      </c>
      <c r="C37" s="61" t="s">
        <v>66</v>
      </c>
      <c r="D37" s="61" t="s">
        <v>84</v>
      </c>
      <c r="E37" s="30">
        <v>42512.378645833334</v>
      </c>
      <c r="F37" s="30">
        <v>42512.379884259259</v>
      </c>
      <c r="G37" s="38">
        <v>1</v>
      </c>
      <c r="H37" s="30" t="s">
        <v>314</v>
      </c>
      <c r="I37" s="30">
        <v>42512.410277777781</v>
      </c>
      <c r="J37" s="61">
        <v>0</v>
      </c>
      <c r="K37" s="61" t="str">
        <f t="shared" si="9"/>
        <v>4007/4008</v>
      </c>
      <c r="L37" s="61" t="str">
        <f>VLOOKUP(A37,'Trips&amp;Operators'!$C$1:$E$9999,3,FALSE)</f>
        <v>COCA</v>
      </c>
      <c r="M37" s="12">
        <f t="shared" si="10"/>
        <v>3.0393518522032537E-2</v>
      </c>
      <c r="N37" s="13">
        <f t="shared" si="5"/>
        <v>43.766666671726853</v>
      </c>
      <c r="O37" s="13"/>
      <c r="P37" s="13"/>
      <c r="Q37" s="62"/>
      <c r="R37" s="62"/>
      <c r="T3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09:04:15-0600',mode:absolute,to:'2016-05-22 09:51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37" s="74" t="str">
        <f t="shared" si="12"/>
        <v>N</v>
      </c>
      <c r="V37" s="74">
        <f t="shared" si="13"/>
        <v>1</v>
      </c>
      <c r="W37" s="74">
        <f t="shared" si="14"/>
        <v>23.299399999999999</v>
      </c>
      <c r="X37" s="74">
        <f t="shared" si="15"/>
        <v>1.67E-2</v>
      </c>
      <c r="Y37" s="74">
        <f t="shared" si="16"/>
        <v>23.282699999999998</v>
      </c>
      <c r="Z37" s="75" t="e">
        <f>VLOOKUP(A37,Enforcements!$C$3:$J$55,8,0)</f>
        <v>#N/A</v>
      </c>
      <c r="AA37" s="75" t="e">
        <f>VLOOKUP(A37,Enforcements!$C$3:$J$55,3,0)</f>
        <v>#N/A</v>
      </c>
    </row>
    <row r="38" spans="1:27" s="2" customFormat="1" x14ac:dyDescent="0.25">
      <c r="A38" s="61" t="s">
        <v>345</v>
      </c>
      <c r="B38" s="61">
        <v>4031</v>
      </c>
      <c r="C38" s="61" t="s">
        <v>66</v>
      </c>
      <c r="D38" s="61" t="s">
        <v>171</v>
      </c>
      <c r="E38" s="30">
        <v>42512.354884259257</v>
      </c>
      <c r="F38" s="30">
        <v>42512.355844907404</v>
      </c>
      <c r="G38" s="38">
        <v>1</v>
      </c>
      <c r="H38" s="30" t="s">
        <v>115</v>
      </c>
      <c r="I38" s="30">
        <v>42512.387199074074</v>
      </c>
      <c r="J38" s="61">
        <v>1</v>
      </c>
      <c r="K38" s="61" t="str">
        <f t="shared" si="9"/>
        <v>4031/4032</v>
      </c>
      <c r="L38" s="61" t="str">
        <f>VLOOKUP(A38,'Trips&amp;Operators'!$C$1:$E$9999,3,FALSE)</f>
        <v>GEBRETEKLE</v>
      </c>
      <c r="M38" s="12">
        <f t="shared" si="10"/>
        <v>3.1354166669188999E-2</v>
      </c>
      <c r="N38" s="13">
        <f t="shared" si="5"/>
        <v>45.150000003632158</v>
      </c>
      <c r="O38" s="13"/>
      <c r="P38" s="13"/>
      <c r="Q38" s="62"/>
      <c r="R38" s="62"/>
      <c r="T3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08:30:02-0600',mode:absolute,to:'2016-05-22 09:18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38" s="74" t="str">
        <f t="shared" si="12"/>
        <v>N</v>
      </c>
      <c r="V38" s="74">
        <f t="shared" si="13"/>
        <v>1</v>
      </c>
      <c r="W38" s="74">
        <f t="shared" si="14"/>
        <v>4.6199999999999998E-2</v>
      </c>
      <c r="X38" s="74">
        <f t="shared" si="15"/>
        <v>23.3306</v>
      </c>
      <c r="Y38" s="74">
        <f t="shared" si="16"/>
        <v>23.284400000000002</v>
      </c>
      <c r="Z38" s="75">
        <f>VLOOKUP(A38,Enforcements!$C$3:$J$55,8,0)</f>
        <v>233491</v>
      </c>
      <c r="AA38" s="75" t="str">
        <f>VLOOKUP(A38,Enforcements!$C$3:$J$55,3,0)</f>
        <v>TRACK WARRANT AUTHORITY</v>
      </c>
    </row>
    <row r="39" spans="1:27" s="2" customFormat="1" x14ac:dyDescent="0.25">
      <c r="A39" s="61" t="s">
        <v>419</v>
      </c>
      <c r="B39" s="61">
        <v>4032</v>
      </c>
      <c r="C39" s="61" t="s">
        <v>66</v>
      </c>
      <c r="D39" s="61" t="s">
        <v>155</v>
      </c>
      <c r="E39" s="30">
        <v>42512.389004629629</v>
      </c>
      <c r="F39" s="30">
        <v>42512.390127314815</v>
      </c>
      <c r="G39" s="38">
        <v>1</v>
      </c>
      <c r="H39" s="30" t="s">
        <v>73</v>
      </c>
      <c r="I39" s="30">
        <v>42512.422175925924</v>
      </c>
      <c r="J39" s="61">
        <v>0</v>
      </c>
      <c r="K39" s="61" t="str">
        <f t="shared" si="9"/>
        <v>4031/4032</v>
      </c>
      <c r="L39" s="61" t="str">
        <f>VLOOKUP(A39,'Trips&amp;Operators'!$C$1:$E$9999,3,FALSE)</f>
        <v>GEBRETEKLE</v>
      </c>
      <c r="M39" s="12">
        <f t="shared" si="10"/>
        <v>3.2048611108621117E-2</v>
      </c>
      <c r="N39" s="13">
        <f t="shared" si="5"/>
        <v>46.149999996414408</v>
      </c>
      <c r="O39" s="13"/>
      <c r="P39" s="13"/>
      <c r="Q39" s="62"/>
      <c r="R39" s="62"/>
      <c r="T3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09:19:10-0600',mode:absolute,to:'2016-05-22 10:08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39" s="74" t="str">
        <f t="shared" si="12"/>
        <v>N</v>
      </c>
      <c r="V39" s="74">
        <f t="shared" si="13"/>
        <v>1</v>
      </c>
      <c r="W39" s="74">
        <f t="shared" si="14"/>
        <v>23.3002</v>
      </c>
      <c r="X39" s="74">
        <f t="shared" si="15"/>
        <v>1.54E-2</v>
      </c>
      <c r="Y39" s="74">
        <f t="shared" si="16"/>
        <v>23.284800000000001</v>
      </c>
      <c r="Z39" s="75" t="e">
        <f>VLOOKUP(A39,Enforcements!$C$3:$J$55,8,0)</f>
        <v>#N/A</v>
      </c>
      <c r="AA39" s="75" t="e">
        <f>VLOOKUP(A39,Enforcements!$C$3:$J$55,3,0)</f>
        <v>#N/A</v>
      </c>
    </row>
    <row r="40" spans="1:27" s="2" customFormat="1" x14ac:dyDescent="0.25">
      <c r="A40" s="61" t="s">
        <v>420</v>
      </c>
      <c r="B40" s="61">
        <v>4020</v>
      </c>
      <c r="C40" s="61" t="s">
        <v>66</v>
      </c>
      <c r="D40" s="61" t="s">
        <v>107</v>
      </c>
      <c r="E40" s="30">
        <v>42512.365069444444</v>
      </c>
      <c r="F40" s="30">
        <v>42512.365949074076</v>
      </c>
      <c r="G40" s="38">
        <v>1</v>
      </c>
      <c r="H40" s="30" t="s">
        <v>68</v>
      </c>
      <c r="I40" s="30">
        <v>42512.396817129629</v>
      </c>
      <c r="J40" s="61">
        <v>0</v>
      </c>
      <c r="K40" s="61" t="str">
        <f t="shared" si="9"/>
        <v>4019/4020</v>
      </c>
      <c r="L40" s="61" t="str">
        <f>VLOOKUP(A40,'Trips&amp;Operators'!$C$1:$E$9999,3,FALSE)</f>
        <v>LEVIN</v>
      </c>
      <c r="M40" s="12">
        <f t="shared" si="10"/>
        <v>3.0868055553582963E-2</v>
      </c>
      <c r="N40" s="13">
        <f t="shared" si="5"/>
        <v>44.449999997159466</v>
      </c>
      <c r="O40" s="13"/>
      <c r="P40" s="13"/>
      <c r="Q40" s="62"/>
      <c r="R40" s="62"/>
      <c r="T4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08:44:42-0600',mode:absolute,to:'2016-05-22 09:32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40" s="74" t="str">
        <f t="shared" si="12"/>
        <v>N</v>
      </c>
      <c r="V40" s="74">
        <f t="shared" si="13"/>
        <v>1</v>
      </c>
      <c r="W40" s="74">
        <f t="shared" si="14"/>
        <v>4.6899999999999997E-2</v>
      </c>
      <c r="X40" s="74">
        <f t="shared" si="15"/>
        <v>23.329499999999999</v>
      </c>
      <c r="Y40" s="74">
        <f t="shared" si="16"/>
        <v>23.282599999999999</v>
      </c>
      <c r="Z40" s="75" t="e">
        <f>VLOOKUP(A40,Enforcements!$C$3:$J$55,8,0)</f>
        <v>#N/A</v>
      </c>
      <c r="AA40" s="75" t="e">
        <f>VLOOKUP(A40,Enforcements!$C$3:$J$55,3,0)</f>
        <v>#N/A</v>
      </c>
    </row>
    <row r="41" spans="1:27" s="2" customFormat="1" x14ac:dyDescent="0.25">
      <c r="A41" s="61" t="s">
        <v>346</v>
      </c>
      <c r="B41" s="61">
        <v>4019</v>
      </c>
      <c r="C41" s="61" t="s">
        <v>66</v>
      </c>
      <c r="D41" s="61" t="s">
        <v>148</v>
      </c>
      <c r="E41" s="30">
        <v>42512.403171296297</v>
      </c>
      <c r="F41" s="30">
        <v>42512.404016203705</v>
      </c>
      <c r="G41" s="38">
        <v>1</v>
      </c>
      <c r="H41" s="30" t="s">
        <v>83</v>
      </c>
      <c r="I41" s="30">
        <v>42512.43141203704</v>
      </c>
      <c r="J41" s="61">
        <v>3</v>
      </c>
      <c r="K41" s="61" t="str">
        <f t="shared" si="9"/>
        <v>4019/4020</v>
      </c>
      <c r="L41" s="61" t="str">
        <f>VLOOKUP(A41,'Trips&amp;Operators'!$C$1:$E$9999,3,FALSE)</f>
        <v>LEVIN</v>
      </c>
      <c r="M41" s="12">
        <f t="shared" si="10"/>
        <v>2.7395833334594499E-2</v>
      </c>
      <c r="N41" s="13">
        <f t="shared" si="5"/>
        <v>39.450000001816079</v>
      </c>
      <c r="O41" s="13"/>
      <c r="P41" s="13"/>
      <c r="Q41" s="62"/>
      <c r="R41" s="62"/>
      <c r="T4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09:39:34-0600',mode:absolute,to:'2016-05-22 10:22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1" s="74" t="str">
        <f t="shared" si="12"/>
        <v>N</v>
      </c>
      <c r="V41" s="74">
        <f t="shared" si="13"/>
        <v>1</v>
      </c>
      <c r="W41" s="74">
        <f t="shared" si="14"/>
        <v>23.297899999999998</v>
      </c>
      <c r="X41" s="74">
        <f t="shared" si="15"/>
        <v>1.52E-2</v>
      </c>
      <c r="Y41" s="74">
        <f t="shared" si="16"/>
        <v>23.282699999999998</v>
      </c>
      <c r="Z41" s="75">
        <f>VLOOKUP(A41,Enforcements!$C$3:$J$55,8,0)</f>
        <v>53277</v>
      </c>
      <c r="AA41" s="75" t="str">
        <f>VLOOKUP(A41,Enforcements!$C$3:$J$55,3,0)</f>
        <v>GRADE CROSSING</v>
      </c>
    </row>
    <row r="42" spans="1:27" s="2" customFormat="1" x14ac:dyDescent="0.25">
      <c r="A42" s="61" t="s">
        <v>421</v>
      </c>
      <c r="B42" s="61">
        <v>4018</v>
      </c>
      <c r="C42" s="61" t="s">
        <v>66</v>
      </c>
      <c r="D42" s="61" t="s">
        <v>168</v>
      </c>
      <c r="E42" s="30">
        <v>42512.373483796298</v>
      </c>
      <c r="F42" s="30">
        <v>42512.374872685185</v>
      </c>
      <c r="G42" s="38">
        <v>2</v>
      </c>
      <c r="H42" s="30" t="s">
        <v>145</v>
      </c>
      <c r="I42" s="30">
        <v>42512.406956018516</v>
      </c>
      <c r="J42" s="61">
        <v>0</v>
      </c>
      <c r="K42" s="61" t="str">
        <f t="shared" si="9"/>
        <v>4017/4018</v>
      </c>
      <c r="L42" s="61" t="str">
        <f>VLOOKUP(A42,'Trips&amp;Operators'!$C$1:$E$9999,3,FALSE)</f>
        <v>REBOLETTI</v>
      </c>
      <c r="M42" s="12">
        <f t="shared" si="10"/>
        <v>3.2083333331684116E-2</v>
      </c>
      <c r="N42" s="13">
        <f t="shared" si="5"/>
        <v>46.199999997625127</v>
      </c>
      <c r="O42" s="13"/>
      <c r="P42" s="13"/>
      <c r="Q42" s="62"/>
      <c r="R42" s="62"/>
      <c r="T4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08:56:49-0600',mode:absolute,to:'2016-05-22 09:47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42" s="74" t="str">
        <f t="shared" si="12"/>
        <v>N</v>
      </c>
      <c r="V42" s="74">
        <f t="shared" si="13"/>
        <v>1</v>
      </c>
      <c r="W42" s="74">
        <f t="shared" si="14"/>
        <v>4.8399999999999999E-2</v>
      </c>
      <c r="X42" s="74">
        <f t="shared" si="15"/>
        <v>23.3293</v>
      </c>
      <c r="Y42" s="74">
        <f t="shared" si="16"/>
        <v>23.280899999999999</v>
      </c>
      <c r="Z42" s="75" t="e">
        <f>VLOOKUP(A42,Enforcements!$C$3:$J$55,8,0)</f>
        <v>#N/A</v>
      </c>
      <c r="AA42" s="75" t="e">
        <f>VLOOKUP(A42,Enforcements!$C$3:$J$55,3,0)</f>
        <v>#N/A</v>
      </c>
    </row>
    <row r="43" spans="1:27" s="2" customFormat="1" x14ac:dyDescent="0.25">
      <c r="A43" s="61" t="s">
        <v>347</v>
      </c>
      <c r="B43" s="61">
        <v>4017</v>
      </c>
      <c r="C43" s="61" t="s">
        <v>66</v>
      </c>
      <c r="D43" s="61" t="s">
        <v>117</v>
      </c>
      <c r="E43" s="30">
        <v>42512.408437500002</v>
      </c>
      <c r="F43" s="30">
        <v>42512.40966435185</v>
      </c>
      <c r="G43" s="38">
        <v>1</v>
      </c>
      <c r="H43" s="30" t="s">
        <v>70</v>
      </c>
      <c r="I43" s="30">
        <v>42512.447696759256</v>
      </c>
      <c r="J43" s="61">
        <v>1</v>
      </c>
      <c r="K43" s="61" t="str">
        <f t="shared" si="9"/>
        <v>4017/4018</v>
      </c>
      <c r="L43" s="61" t="str">
        <f>VLOOKUP(A43,'Trips&amp;Operators'!$C$1:$E$9999,3,FALSE)</f>
        <v>REBOLETTI</v>
      </c>
      <c r="M43" s="12">
        <f t="shared" si="10"/>
        <v>3.8032407406717539E-2</v>
      </c>
      <c r="N43" s="13">
        <f t="shared" si="5"/>
        <v>54.766666665673256</v>
      </c>
      <c r="O43" s="13"/>
      <c r="P43" s="13"/>
      <c r="Q43" s="62"/>
      <c r="R43" s="62"/>
      <c r="T4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09:47:09-0600',mode:absolute,to:'2016-05-22 10:45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43" s="74" t="str">
        <f t="shared" si="12"/>
        <v>N</v>
      </c>
      <c r="V43" s="74">
        <f t="shared" si="13"/>
        <v>1</v>
      </c>
      <c r="W43" s="74">
        <f t="shared" si="14"/>
        <v>23.2973</v>
      </c>
      <c r="X43" s="74">
        <f t="shared" si="15"/>
        <v>1.5599999999999999E-2</v>
      </c>
      <c r="Y43" s="74">
        <f t="shared" si="16"/>
        <v>23.281700000000001</v>
      </c>
      <c r="Z43" s="75">
        <f>VLOOKUP(A43,Enforcements!$C$3:$J$55,8,0)</f>
        <v>228668</v>
      </c>
      <c r="AA43" s="75" t="str">
        <f>VLOOKUP(A43,Enforcements!$C$3:$J$55,3,0)</f>
        <v>PERMANENT SPEED RESTRICTION</v>
      </c>
    </row>
    <row r="44" spans="1:27" s="2" customFormat="1" x14ac:dyDescent="0.25">
      <c r="A44" s="61" t="s">
        <v>422</v>
      </c>
      <c r="B44" s="61">
        <v>4027</v>
      </c>
      <c r="C44" s="61" t="s">
        <v>66</v>
      </c>
      <c r="D44" s="61" t="s">
        <v>313</v>
      </c>
      <c r="E44" s="30">
        <v>42512.384583333333</v>
      </c>
      <c r="F44" s="30">
        <v>42512.385567129626</v>
      </c>
      <c r="G44" s="38">
        <v>1</v>
      </c>
      <c r="H44" s="30" t="s">
        <v>145</v>
      </c>
      <c r="I44" s="30">
        <v>42512.418206018519</v>
      </c>
      <c r="J44" s="61">
        <v>0</v>
      </c>
      <c r="K44" s="61" t="str">
        <f t="shared" si="9"/>
        <v>4027/4028</v>
      </c>
      <c r="L44" s="61" t="str">
        <f>VLOOKUP(A44,'Trips&amp;Operators'!$C$1:$E$9999,3,FALSE)</f>
        <v>STRICKLAND</v>
      </c>
      <c r="M44" s="12">
        <f t="shared" si="10"/>
        <v>3.2638888893416151E-2</v>
      </c>
      <c r="N44" s="13">
        <f t="shared" si="5"/>
        <v>47.000000006519258</v>
      </c>
      <c r="O44" s="13"/>
      <c r="P44" s="13"/>
      <c r="Q44" s="62"/>
      <c r="R44" s="62"/>
      <c r="T4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09:12:48-0600',mode:absolute,to:'2016-05-22 10:03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44" s="74" t="str">
        <f t="shared" si="12"/>
        <v>N</v>
      </c>
      <c r="V44" s="74">
        <f t="shared" si="13"/>
        <v>1</v>
      </c>
      <c r="W44" s="74">
        <f t="shared" si="14"/>
        <v>4.7100000000000003E-2</v>
      </c>
      <c r="X44" s="74">
        <f t="shared" si="15"/>
        <v>23.3293</v>
      </c>
      <c r="Y44" s="74">
        <f t="shared" si="16"/>
        <v>23.2822</v>
      </c>
      <c r="Z44" s="75" t="e">
        <f>VLOOKUP(A44,Enforcements!$C$3:$J$55,8,0)</f>
        <v>#N/A</v>
      </c>
      <c r="AA44" s="75" t="e">
        <f>VLOOKUP(A44,Enforcements!$C$3:$J$55,3,0)</f>
        <v>#N/A</v>
      </c>
    </row>
    <row r="45" spans="1:27" s="2" customFormat="1" x14ac:dyDescent="0.25">
      <c r="A45" s="61" t="s">
        <v>423</v>
      </c>
      <c r="B45" s="61">
        <v>4028</v>
      </c>
      <c r="C45" s="61" t="s">
        <v>66</v>
      </c>
      <c r="D45" s="61" t="s">
        <v>148</v>
      </c>
      <c r="E45" s="30">
        <v>42512.421377314815</v>
      </c>
      <c r="F45" s="30">
        <v>42512.422789351855</v>
      </c>
      <c r="G45" s="38">
        <v>2</v>
      </c>
      <c r="H45" s="30" t="s">
        <v>86</v>
      </c>
      <c r="I45" s="30">
        <v>42512.458587962959</v>
      </c>
      <c r="J45" s="61">
        <v>0</v>
      </c>
      <c r="K45" s="61" t="str">
        <f t="shared" si="9"/>
        <v>4027/4028</v>
      </c>
      <c r="L45" s="61" t="str">
        <f>VLOOKUP(A45,'Trips&amp;Operators'!$C$1:$E$9999,3,FALSE)</f>
        <v>STRICKLAND</v>
      </c>
      <c r="M45" s="12">
        <f t="shared" si="10"/>
        <v>3.5798611104837619E-2</v>
      </c>
      <c r="N45" s="13">
        <f t="shared" si="5"/>
        <v>51.549999990966171</v>
      </c>
      <c r="O45" s="13"/>
      <c r="P45" s="13"/>
      <c r="Q45" s="62"/>
      <c r="R45" s="62"/>
      <c r="T4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10:05:47-0600',mode:absolute,to:'2016-05-22 11:01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45" s="74" t="str">
        <f t="shared" si="12"/>
        <v>N</v>
      </c>
      <c r="V45" s="74">
        <f t="shared" si="13"/>
        <v>1</v>
      </c>
      <c r="W45" s="74">
        <f t="shared" si="14"/>
        <v>23.297899999999998</v>
      </c>
      <c r="X45" s="74">
        <f t="shared" si="15"/>
        <v>1.61E-2</v>
      </c>
      <c r="Y45" s="74">
        <f t="shared" si="16"/>
        <v>23.281799999999997</v>
      </c>
      <c r="Z45" s="75" t="e">
        <f>VLOOKUP(A45,Enforcements!$C$3:$J$55,8,0)</f>
        <v>#N/A</v>
      </c>
      <c r="AA45" s="75" t="e">
        <f>VLOOKUP(A45,Enforcements!$C$3:$J$55,3,0)</f>
        <v>#N/A</v>
      </c>
    </row>
    <row r="46" spans="1:27" s="2" customFormat="1" x14ac:dyDescent="0.25">
      <c r="A46" s="61" t="s">
        <v>424</v>
      </c>
      <c r="B46" s="61">
        <v>4042</v>
      </c>
      <c r="C46" s="61" t="s">
        <v>66</v>
      </c>
      <c r="D46" s="61" t="s">
        <v>107</v>
      </c>
      <c r="E46" s="30">
        <v>42512.391782407409</v>
      </c>
      <c r="F46" s="30">
        <v>42512.392812500002</v>
      </c>
      <c r="G46" s="38">
        <v>1</v>
      </c>
      <c r="H46" s="30" t="s">
        <v>147</v>
      </c>
      <c r="I46" s="30">
        <v>42512.422233796293</v>
      </c>
      <c r="J46" s="61">
        <v>0</v>
      </c>
      <c r="K46" s="61" t="str">
        <f t="shared" si="9"/>
        <v>4041/4042</v>
      </c>
      <c r="L46" s="61" t="str">
        <f>VLOOKUP(A46,'Trips&amp;Operators'!$C$1:$E$9999,3,FALSE)</f>
        <v>LEDERHAUSE</v>
      </c>
      <c r="M46" s="12">
        <f t="shared" si="10"/>
        <v>2.9421296290820464E-2</v>
      </c>
      <c r="N46" s="13">
        <f t="shared" si="5"/>
        <v>42.366666658781469</v>
      </c>
      <c r="O46" s="13"/>
      <c r="P46" s="13"/>
      <c r="Q46" s="62"/>
      <c r="R46" s="62"/>
      <c r="T4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09:23:10-0600',mode:absolute,to:'2016-05-22 10:09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46" s="74" t="str">
        <f t="shared" si="12"/>
        <v>N</v>
      </c>
      <c r="V46" s="74">
        <f t="shared" si="13"/>
        <v>1</v>
      </c>
      <c r="W46" s="74">
        <f t="shared" si="14"/>
        <v>4.6899999999999997E-2</v>
      </c>
      <c r="X46" s="74">
        <f t="shared" si="15"/>
        <v>23.331399999999999</v>
      </c>
      <c r="Y46" s="74">
        <f t="shared" si="16"/>
        <v>23.284499999999998</v>
      </c>
      <c r="Z46" s="75" t="e">
        <f>VLOOKUP(A46,Enforcements!$C$3:$J$55,8,0)</f>
        <v>#N/A</v>
      </c>
      <c r="AA46" s="75" t="e">
        <f>VLOOKUP(A46,Enforcements!$C$3:$J$55,3,0)</f>
        <v>#N/A</v>
      </c>
    </row>
    <row r="47" spans="1:27" s="2" customFormat="1" x14ac:dyDescent="0.25">
      <c r="A47" s="61" t="s">
        <v>349</v>
      </c>
      <c r="B47" s="61">
        <v>4041</v>
      </c>
      <c r="C47" s="61" t="s">
        <v>66</v>
      </c>
      <c r="D47" s="61" t="s">
        <v>69</v>
      </c>
      <c r="E47" s="30">
        <v>42512.431817129633</v>
      </c>
      <c r="F47" s="30">
        <v>42512.432685185187</v>
      </c>
      <c r="G47" s="38">
        <v>1</v>
      </c>
      <c r="H47" s="30" t="s">
        <v>86</v>
      </c>
      <c r="I47" s="30">
        <v>42512.467534722222</v>
      </c>
      <c r="J47" s="61">
        <v>1</v>
      </c>
      <c r="K47" s="61" t="str">
        <f t="shared" si="9"/>
        <v>4041/4042</v>
      </c>
      <c r="L47" s="61" t="str">
        <f>VLOOKUP(A47,'Trips&amp;Operators'!$C$1:$E$9999,3,FALSE)</f>
        <v>LEDERHAUSE</v>
      </c>
      <c r="M47" s="12">
        <f t="shared" si="10"/>
        <v>3.4849537034460809E-2</v>
      </c>
      <c r="N47" s="13">
        <f t="shared" si="5"/>
        <v>50.183333329623565</v>
      </c>
      <c r="O47" s="13"/>
      <c r="P47" s="13"/>
      <c r="Q47" s="62"/>
      <c r="R47" s="62"/>
      <c r="T4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10:20:49-0600',mode:absolute,to:'2016-05-22 11:14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47" s="74" t="str">
        <f t="shared" si="12"/>
        <v>N</v>
      </c>
      <c r="V47" s="74">
        <f t="shared" si="13"/>
        <v>1</v>
      </c>
      <c r="W47" s="74">
        <f t="shared" si="14"/>
        <v>23.297799999999999</v>
      </c>
      <c r="X47" s="74">
        <f t="shared" si="15"/>
        <v>1.61E-2</v>
      </c>
      <c r="Y47" s="74">
        <f t="shared" si="16"/>
        <v>23.281699999999997</v>
      </c>
      <c r="Z47" s="75">
        <f>VLOOKUP(A47,Enforcements!$C$3:$J$55,8,0)</f>
        <v>1</v>
      </c>
      <c r="AA47" s="75" t="str">
        <f>VLOOKUP(A47,Enforcements!$C$3:$J$55,3,0)</f>
        <v>TRACK WARRANT AUTHORITY</v>
      </c>
    </row>
    <row r="48" spans="1:27" s="2" customFormat="1" x14ac:dyDescent="0.25">
      <c r="A48" s="61" t="s">
        <v>425</v>
      </c>
      <c r="B48" s="61">
        <v>4024</v>
      </c>
      <c r="C48" s="61" t="s">
        <v>66</v>
      </c>
      <c r="D48" s="61" t="s">
        <v>324</v>
      </c>
      <c r="E48" s="30">
        <v>42512.403240740743</v>
      </c>
      <c r="F48" s="30">
        <v>42512.404236111113</v>
      </c>
      <c r="G48" s="38">
        <v>1</v>
      </c>
      <c r="H48" s="30" t="s">
        <v>98</v>
      </c>
      <c r="I48" s="30">
        <v>42512.438993055555</v>
      </c>
      <c r="J48" s="61">
        <v>0</v>
      </c>
      <c r="K48" s="61" t="str">
        <f t="shared" si="9"/>
        <v>4023/4024</v>
      </c>
      <c r="L48" s="61" t="str">
        <f>VLOOKUP(A48,'Trips&amp;Operators'!$C$1:$E$9999,3,FALSE)</f>
        <v>DE LA ROSA</v>
      </c>
      <c r="M48" s="12">
        <f t="shared" si="10"/>
        <v>3.4756944442051463E-2</v>
      </c>
      <c r="N48" s="13">
        <f t="shared" si="5"/>
        <v>50.049999996554106</v>
      </c>
      <c r="O48" s="13"/>
      <c r="P48" s="13"/>
      <c r="Q48" s="62"/>
      <c r="R48" s="62"/>
      <c r="T4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09:39:40-0600',mode:absolute,to:'2016-05-22 10:33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48" s="74" t="str">
        <f t="shared" si="12"/>
        <v>N</v>
      </c>
      <c r="V48" s="74">
        <f t="shared" si="13"/>
        <v>1</v>
      </c>
      <c r="W48" s="74">
        <f t="shared" si="14"/>
        <v>4.5699999999999998E-2</v>
      </c>
      <c r="X48" s="74">
        <f t="shared" si="15"/>
        <v>23.331499999999998</v>
      </c>
      <c r="Y48" s="74">
        <f t="shared" si="16"/>
        <v>23.285799999999998</v>
      </c>
      <c r="Z48" s="75" t="e">
        <f>VLOOKUP(A48,Enforcements!$C$3:$J$55,8,0)</f>
        <v>#N/A</v>
      </c>
      <c r="AA48" s="75" t="e">
        <f>VLOOKUP(A48,Enforcements!$C$3:$J$55,3,0)</f>
        <v>#N/A</v>
      </c>
    </row>
    <row r="49" spans="1:27" s="2" customFormat="1" x14ac:dyDescent="0.25">
      <c r="A49" s="61" t="s">
        <v>348</v>
      </c>
      <c r="B49" s="61">
        <v>4023</v>
      </c>
      <c r="C49" s="61" t="s">
        <v>66</v>
      </c>
      <c r="D49" s="61" t="s">
        <v>74</v>
      </c>
      <c r="E49" s="30">
        <v>42512.440682870372</v>
      </c>
      <c r="F49" s="30">
        <v>42512.44189814815</v>
      </c>
      <c r="G49" s="38">
        <v>1</v>
      </c>
      <c r="H49" s="30" t="s">
        <v>77</v>
      </c>
      <c r="I49" s="30">
        <v>42512.475729166668</v>
      </c>
      <c r="J49" s="61">
        <v>1</v>
      </c>
      <c r="K49" s="61" t="str">
        <f t="shared" si="9"/>
        <v>4023/4024</v>
      </c>
      <c r="L49" s="61" t="str">
        <f>VLOOKUP(A49,'Trips&amp;Operators'!$C$1:$E$9999,3,FALSE)</f>
        <v>DE LA ROSA</v>
      </c>
      <c r="M49" s="12">
        <f t="shared" si="10"/>
        <v>3.3831018517958E-2</v>
      </c>
      <c r="N49" s="13">
        <f t="shared" si="5"/>
        <v>48.71666666585952</v>
      </c>
      <c r="O49" s="13"/>
      <c r="P49" s="13"/>
      <c r="Q49" s="62"/>
      <c r="R49" s="62"/>
      <c r="T4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10:33:35-0600',mode:absolute,to:'2016-05-22 11:26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49" s="74" t="str">
        <f t="shared" si="12"/>
        <v>N</v>
      </c>
      <c r="V49" s="74">
        <f t="shared" si="13"/>
        <v>1</v>
      </c>
      <c r="W49" s="74">
        <f t="shared" si="14"/>
        <v>23.2989</v>
      </c>
      <c r="X49" s="74">
        <f t="shared" si="15"/>
        <v>1.3599999999999999E-2</v>
      </c>
      <c r="Y49" s="74">
        <f t="shared" si="16"/>
        <v>23.285299999999999</v>
      </c>
      <c r="Z49" s="75">
        <f>VLOOKUP(A49,Enforcements!$C$3:$J$55,8,0)</f>
        <v>127587</v>
      </c>
      <c r="AA49" s="75" t="str">
        <f>VLOOKUP(A49,Enforcements!$C$3:$J$55,3,0)</f>
        <v>SIGNAL</v>
      </c>
    </row>
    <row r="50" spans="1:27" s="2" customFormat="1" x14ac:dyDescent="0.25">
      <c r="A50" s="61" t="s">
        <v>426</v>
      </c>
      <c r="B50" s="61">
        <v>4007</v>
      </c>
      <c r="C50" s="61" t="s">
        <v>66</v>
      </c>
      <c r="D50" s="61" t="s">
        <v>416</v>
      </c>
      <c r="E50" s="30">
        <v>42512.411921296298</v>
      </c>
      <c r="F50" s="30">
        <v>42512.413310185184</v>
      </c>
      <c r="G50" s="38">
        <v>2</v>
      </c>
      <c r="H50" s="30" t="s">
        <v>427</v>
      </c>
      <c r="I50" s="30">
        <v>42512.44427083333</v>
      </c>
      <c r="J50" s="61">
        <v>0</v>
      </c>
      <c r="K50" s="61" t="str">
        <f t="shared" si="9"/>
        <v>4007/4008</v>
      </c>
      <c r="L50" s="61" t="str">
        <f>VLOOKUP(A50,'Trips&amp;Operators'!$C$1:$E$9999,3,FALSE)</f>
        <v>COCA</v>
      </c>
      <c r="M50" s="12">
        <f t="shared" si="10"/>
        <v>3.0960648145992309E-2</v>
      </c>
      <c r="N50" s="13">
        <f t="shared" si="5"/>
        <v>44.583333330228925</v>
      </c>
      <c r="O50" s="13"/>
      <c r="P50" s="13"/>
      <c r="Q50" s="62"/>
      <c r="R50" s="62"/>
      <c r="T5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09:52:10-0600',mode:absolute,to:'2016-05-22 10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50" s="74" t="str">
        <f t="shared" si="12"/>
        <v>N</v>
      </c>
      <c r="V50" s="74">
        <f t="shared" si="13"/>
        <v>1</v>
      </c>
      <c r="W50" s="74">
        <f t="shared" si="14"/>
        <v>4.7500000000000001E-2</v>
      </c>
      <c r="X50" s="74">
        <f t="shared" si="15"/>
        <v>23.331600000000002</v>
      </c>
      <c r="Y50" s="74">
        <f t="shared" si="16"/>
        <v>23.284100000000002</v>
      </c>
      <c r="Z50" s="75" t="e">
        <f>VLOOKUP(A50,Enforcements!$C$3:$J$55,8,0)</f>
        <v>#N/A</v>
      </c>
      <c r="AA50" s="75" t="e">
        <f>VLOOKUP(A50,Enforcements!$C$3:$J$55,3,0)</f>
        <v>#N/A</v>
      </c>
    </row>
    <row r="51" spans="1:27" s="2" customFormat="1" x14ac:dyDescent="0.25">
      <c r="A51" s="61" t="s">
        <v>428</v>
      </c>
      <c r="B51" s="61">
        <v>4008</v>
      </c>
      <c r="C51" s="61" t="s">
        <v>66</v>
      </c>
      <c r="D51" s="61" t="s">
        <v>316</v>
      </c>
      <c r="E51" s="30">
        <v>42512.446643518517</v>
      </c>
      <c r="F51" s="30">
        <v>42512.447465277779</v>
      </c>
      <c r="G51" s="38">
        <v>1</v>
      </c>
      <c r="H51" s="30" t="s">
        <v>71</v>
      </c>
      <c r="I51" s="30">
        <v>42512.484560185185</v>
      </c>
      <c r="J51" s="61">
        <v>0</v>
      </c>
      <c r="K51" s="61" t="str">
        <f t="shared" si="9"/>
        <v>4007/4008</v>
      </c>
      <c r="L51" s="61" t="str">
        <f>VLOOKUP(A51,'Trips&amp;Operators'!$C$1:$E$9999,3,FALSE)</f>
        <v>COCA</v>
      </c>
      <c r="M51" s="12">
        <f t="shared" si="10"/>
        <v>3.7094907405844424E-2</v>
      </c>
      <c r="N51" s="13">
        <f t="shared" si="5"/>
        <v>53.41666666441597</v>
      </c>
      <c r="O51" s="13"/>
      <c r="P51" s="13"/>
      <c r="Q51" s="62"/>
      <c r="R51" s="62"/>
      <c r="T5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10:42:10-0600',mode:absolute,to:'2016-05-22 11:38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51" s="74" t="str">
        <f t="shared" si="12"/>
        <v>N</v>
      </c>
      <c r="V51" s="74">
        <f t="shared" si="13"/>
        <v>1</v>
      </c>
      <c r="W51" s="74">
        <f t="shared" si="14"/>
        <v>23.295500000000001</v>
      </c>
      <c r="X51" s="74">
        <f t="shared" si="15"/>
        <v>1.49E-2</v>
      </c>
      <c r="Y51" s="74">
        <f t="shared" si="16"/>
        <v>23.2806</v>
      </c>
      <c r="Z51" s="75" t="e">
        <f>VLOOKUP(A51,Enforcements!$C$3:$J$55,8,0)</f>
        <v>#N/A</v>
      </c>
      <c r="AA51" s="75" t="e">
        <f>VLOOKUP(A51,Enforcements!$C$3:$J$55,3,0)</f>
        <v>#N/A</v>
      </c>
    </row>
    <row r="52" spans="1:27" s="2" customFormat="1" x14ac:dyDescent="0.25">
      <c r="A52" s="61" t="s">
        <v>429</v>
      </c>
      <c r="B52" s="61">
        <v>4031</v>
      </c>
      <c r="C52" s="61" t="s">
        <v>66</v>
      </c>
      <c r="D52" s="61" t="s">
        <v>430</v>
      </c>
      <c r="E52" s="30">
        <v>42512.425567129627</v>
      </c>
      <c r="F52" s="30">
        <v>42512.426458333335</v>
      </c>
      <c r="G52" s="38">
        <v>1</v>
      </c>
      <c r="H52" s="30" t="s">
        <v>78</v>
      </c>
      <c r="I52" s="30">
        <v>42512.459675925929</v>
      </c>
      <c r="J52" s="61">
        <v>0</v>
      </c>
      <c r="K52" s="61" t="str">
        <f t="shared" si="9"/>
        <v>4031/4032</v>
      </c>
      <c r="L52" s="61" t="str">
        <f>VLOOKUP(A52,'Trips&amp;Operators'!$C$1:$E$9999,3,FALSE)</f>
        <v>ACKERMAN</v>
      </c>
      <c r="M52" s="12">
        <f t="shared" si="10"/>
        <v>3.3217592594155576E-2</v>
      </c>
      <c r="N52" s="13">
        <f t="shared" si="5"/>
        <v>47.83333333558403</v>
      </c>
      <c r="O52" s="13"/>
      <c r="P52" s="13"/>
      <c r="Q52" s="62"/>
      <c r="R52" s="62"/>
      <c r="T5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https://search-rtdc-monitor-bjffxe2xuh6vdkpspy63sjmuny.us-east-1.es.amazonaws.com/_plugin/kibana/#/discover/Steve-Slow-Train-Analysis-(2080s-and-2083s)?_g=(refreshInterval:(display:Off,section:0,value:0),time:(from:'2016-05-22 10:11:49-0600',mode:absolute,to:'2016-05-22 11:02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52" s="74" t="str">
        <f t="shared" si="12"/>
        <v>N</v>
      </c>
      <c r="V52" s="74">
        <f t="shared" si="13"/>
        <v>1</v>
      </c>
      <c r="W52" s="74">
        <f t="shared" si="14"/>
        <v>4.8000000000000001E-2</v>
      </c>
      <c r="X52" s="74">
        <f t="shared" si="15"/>
        <v>23.3308</v>
      </c>
      <c r="Y52" s="74">
        <f t="shared" si="16"/>
        <v>23.282800000000002</v>
      </c>
      <c r="Z52" s="75" t="e">
        <f>VLOOKUP(A52,Enforcements!$C$3:$J$55,8,0)</f>
        <v>#N/A</v>
      </c>
      <c r="AA52" s="75" t="e">
        <f>VLOOKUP(A52,Enforcements!$C$3:$J$55,3,0)</f>
        <v>#N/A</v>
      </c>
    </row>
    <row r="53" spans="1:27" s="2" customFormat="1" x14ac:dyDescent="0.25">
      <c r="A53" s="61" t="s">
        <v>350</v>
      </c>
      <c r="B53" s="61">
        <v>4032</v>
      </c>
      <c r="C53" s="61" t="s">
        <v>66</v>
      </c>
      <c r="D53" s="61" t="s">
        <v>431</v>
      </c>
      <c r="E53" s="30">
        <v>42512.463310185187</v>
      </c>
      <c r="F53" s="30">
        <v>42512.464212962965</v>
      </c>
      <c r="G53" s="38">
        <v>1</v>
      </c>
      <c r="H53" s="30" t="s">
        <v>94</v>
      </c>
      <c r="I53" s="30">
        <v>42512.486145833333</v>
      </c>
      <c r="J53" s="61">
        <v>1</v>
      </c>
      <c r="K53" s="61" t="str">
        <f>IF(ISEVEN(B53),(B53-1)&amp;"/"&amp;B53,B53&amp;"/"&amp;(B53+1))</f>
        <v>4031/4032</v>
      </c>
      <c r="L53" s="61" t="str">
        <f>VLOOKUP(A53,'Trips&amp;Operators'!$C$1:$E$9999,3,FALSE)</f>
        <v>ACKERMAN</v>
      </c>
      <c r="M53" s="12">
        <f>I53-F53</f>
        <v>2.1932870367891155E-2</v>
      </c>
      <c r="N53" s="13"/>
      <c r="O53" s="13"/>
      <c r="P53" s="13">
        <f>24*60*SUM($M53:$M53)</f>
        <v>31.583333329763263</v>
      </c>
      <c r="Q53" s="62" t="s">
        <v>537</v>
      </c>
      <c r="R53" s="62" t="s">
        <v>538</v>
      </c>
      <c r="T53" s="74" t="str">
        <f>"https://search-rtdc-monitor-bjffxe2xuh6vdkpspy63sjmuny.us-east-1.es.amazonaws.com/_plugin/kibana/#/discover/Steve-Slow-Train-Analysis-(2080s-and-2083s)?_g=(refreshInterval:(display:Off,section:0,value:0),time:(from:'"&amp;TEXT(E53-1/24/60,"yyyy-MM-DD hh:mm:ss")&amp;"-0600',mode:absolute,to:'"&amp;TEXT(I53+1/24/60,"yyyy-MM-DD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53&amp;"%22')),sort:!(Time,asc))"</f>
        <v>https://search-rtdc-monitor-bjffxe2xuh6vdkpspy63sjmuny.us-east-1.es.amazonaws.com/_plugin/kibana/#/discover/Steve-Slow-Train-Analysis-(2080s-and-2083s)?_g=(refreshInterval:(display:Off,section:0,value:0),time:(from:'2016-05-22 11:06:10-0600',mode:absolute,to:'2016-05-22 11:41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53" s="74" t="str">
        <f>IF(Y53&lt;23,"Y","N")</f>
        <v>N</v>
      </c>
      <c r="V53" s="74">
        <f>VALUE(LEFT(A53,3))-VALUE(LEFT(A52,3))</f>
        <v>1</v>
      </c>
      <c r="W53" s="74">
        <f>RIGHT(D53,LEN(D53)-4)/10000</f>
        <v>23.297599999999999</v>
      </c>
      <c r="X53" s="74">
        <f>RIGHT(H53,LEN(H53)-4)/10000</f>
        <v>1.41E-2</v>
      </c>
      <c r="Y53" s="74">
        <f>ABS(X53-W53)</f>
        <v>23.2835</v>
      </c>
      <c r="Z53" s="75">
        <f>VLOOKUP(A53,Enforcements!$C$3:$J$55,8,0)</f>
        <v>103864</v>
      </c>
      <c r="AA53" s="75" t="str">
        <f>VLOOKUP(A53,Enforcements!$C$3:$J$55,3,0)</f>
        <v>EQUIPMENT RESTRICTION</v>
      </c>
    </row>
    <row r="54" spans="1:27" s="2" customFormat="1" x14ac:dyDescent="0.25">
      <c r="A54" s="61" t="s">
        <v>432</v>
      </c>
      <c r="B54" s="61">
        <v>4020</v>
      </c>
      <c r="C54" s="61" t="s">
        <v>66</v>
      </c>
      <c r="D54" s="61" t="s">
        <v>154</v>
      </c>
      <c r="E54" s="30">
        <v>42512.433611111112</v>
      </c>
      <c r="F54" s="30">
        <v>42512.434942129628</v>
      </c>
      <c r="G54" s="38">
        <v>1</v>
      </c>
      <c r="H54" s="30" t="s">
        <v>110</v>
      </c>
      <c r="I54" s="30">
        <v>42512.470543981479</v>
      </c>
      <c r="J54" s="61">
        <v>0</v>
      </c>
      <c r="K54" s="61" t="str">
        <f>IF(ISEVEN(B54),(B54-1)&amp;"/"&amp;B54,B54&amp;"/"&amp;(B54+1))</f>
        <v>4019/4020</v>
      </c>
      <c r="L54" s="61" t="str">
        <f>VLOOKUP(A54,'Trips&amp;Operators'!$C$1:$E$9999,3,FALSE)</f>
        <v>GEBRETEKLE</v>
      </c>
      <c r="M54" s="12">
        <f>I54-F54</f>
        <v>3.5601851850515231E-2</v>
      </c>
      <c r="N54" s="13">
        <f>24*60*SUM($M54:$M54)</f>
        <v>51.266666664741933</v>
      </c>
      <c r="O54" s="13"/>
      <c r="P54" s="13"/>
      <c r="Q54" s="62"/>
      <c r="R54" s="62"/>
      <c r="T54" s="74" t="str">
        <f>"https://search-rtdc-monitor-bjffxe2xuh6vdkpspy63sjmuny.us-east-1.es.amazonaws.com/_plugin/kibana/#/discover/Steve-Slow-Train-Analysis-(2080s-and-2083s)?_g=(refreshInterval:(display:Off,section:0,value:0),time:(from:'"&amp;TEXT(E54-1/24/60,"yyyy-MM-DD hh:mm:ss")&amp;"-0600',mode:absolute,to:'"&amp;TEXT(I54+1/24/60,"yyyy-MM-DD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54&amp;"%22')),sort:!(Time,asc))"</f>
        <v>https://search-rtdc-monitor-bjffxe2xuh6vdkpspy63sjmuny.us-east-1.es.amazonaws.com/_plugin/kibana/#/discover/Steve-Slow-Train-Analysis-(2080s-and-2083s)?_g=(refreshInterval:(display:Off,section:0,value:0),time:(from:'2016-05-22 10:23:24-0600',mode:absolute,to:'2016-05-22 11:18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54" s="74" t="str">
        <f>IF(Y54&lt;23,"Y","N")</f>
        <v>N</v>
      </c>
      <c r="V54" s="74">
        <f>VALUE(LEFT(A54,3))-VALUE(LEFT(A53,3))</f>
        <v>1</v>
      </c>
      <c r="W54" s="74">
        <f>RIGHT(D54,LEN(D54)-4)/10000</f>
        <v>4.7699999999999999E-2</v>
      </c>
      <c r="X54" s="74">
        <f>RIGHT(H54,LEN(H54)-4)/10000</f>
        <v>23.3307</v>
      </c>
      <c r="Y54" s="74">
        <f>ABS(X54-W54)</f>
        <v>23.283000000000001</v>
      </c>
      <c r="Z54" s="75" t="e">
        <f>VLOOKUP(A54,Enforcements!$C$3:$J$55,8,0)</f>
        <v>#N/A</v>
      </c>
      <c r="AA54" s="75" t="e">
        <f>VLOOKUP(A54,Enforcements!$C$3:$J$55,3,0)</f>
        <v>#N/A</v>
      </c>
    </row>
    <row r="55" spans="1:27" s="2" customFormat="1" x14ac:dyDescent="0.25">
      <c r="A55" s="61" t="s">
        <v>433</v>
      </c>
      <c r="B55" s="61">
        <v>4019</v>
      </c>
      <c r="C55" s="61" t="s">
        <v>66</v>
      </c>
      <c r="D55" s="61" t="s">
        <v>169</v>
      </c>
      <c r="E55" s="30">
        <v>42512.472604166665</v>
      </c>
      <c r="F55" s="30">
        <v>42512.474328703705</v>
      </c>
      <c r="G55" s="38">
        <v>2</v>
      </c>
      <c r="H55" s="30" t="s">
        <v>95</v>
      </c>
      <c r="I55" s="30">
        <v>42512.506249999999</v>
      </c>
      <c r="J55" s="61">
        <v>0</v>
      </c>
      <c r="K55" s="61" t="str">
        <f>IF(ISEVEN(B55),(B55-1)&amp;"/"&amp;B55,B55&amp;"/"&amp;(B55+1))</f>
        <v>4019/4020</v>
      </c>
      <c r="L55" s="61" t="str">
        <f>VLOOKUP(A55,'Trips&amp;Operators'!$C$1:$E$9999,3,FALSE)</f>
        <v>GEBRETEKLE</v>
      </c>
      <c r="M55" s="12">
        <f>I55-F55</f>
        <v>3.1921296293148771E-2</v>
      </c>
      <c r="N55" s="13">
        <f>24*60*SUM($M55:$M55)</f>
        <v>45.96666666213423</v>
      </c>
      <c r="O55" s="13"/>
      <c r="P55" s="13"/>
      <c r="Q55" s="62"/>
      <c r="R55" s="62"/>
      <c r="T55" s="74" t="str">
        <f>"https://search-rtdc-monitor-bjffxe2xuh6vdkpspy63sjmuny.us-east-1.es.amazonaws.com/_plugin/kibana/#/discover/Steve-Slow-Train-Analysis-(2080s-and-2083s)?_g=(refreshInterval:(display:Off,section:0,value:0),time:(from:'"&amp;TEXT(E55-1/24/60,"yyyy-MM-DD hh:mm:ss")&amp;"-0600',mode:absolute,to:'"&amp;TEXT(I55+1/24/60,"yyyy-MM-DD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55&amp;"%22')),sort:!(Time,asc))"</f>
        <v>https://search-rtdc-monitor-bjffxe2xuh6vdkpspy63sjmuny.us-east-1.es.amazonaws.com/_plugin/kibana/#/discover/Steve-Slow-Train-Analysis-(2080s-and-2083s)?_g=(refreshInterval:(display:Off,section:0,value:0),time:(from:'2016-05-22 11:19:33-0600',mode:absolute,to:'2016-05-22 12:10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55" s="74" t="str">
        <f>IF(Y55&lt;23,"Y","N")</f>
        <v>N</v>
      </c>
      <c r="V55" s="74">
        <f>VALUE(LEFT(A55,3))-VALUE(LEFT(A54,3))</f>
        <v>1</v>
      </c>
      <c r="W55" s="74">
        <f>RIGHT(D55,LEN(D55)-4)/10000</f>
        <v>23.296900000000001</v>
      </c>
      <c r="X55" s="74">
        <f>RIGHT(H55,LEN(H55)-4)/10000</f>
        <v>1.4999999999999999E-2</v>
      </c>
      <c r="Y55" s="74">
        <f>ABS(X55-W55)</f>
        <v>23.2819</v>
      </c>
      <c r="Z55" s="75" t="e">
        <f>VLOOKUP(A55,Enforcements!$C$3:$J$55,8,0)</f>
        <v>#N/A</v>
      </c>
      <c r="AA55" s="75" t="e">
        <f>VLOOKUP(A55,Enforcements!$C$3:$J$55,3,0)</f>
        <v>#N/A</v>
      </c>
    </row>
    <row r="56" spans="1:27" s="2" customFormat="1" x14ac:dyDescent="0.25">
      <c r="A56" s="61" t="s">
        <v>434</v>
      </c>
      <c r="B56" s="61">
        <v>4018</v>
      </c>
      <c r="C56" s="61" t="s">
        <v>66</v>
      </c>
      <c r="D56" s="61" t="s">
        <v>171</v>
      </c>
      <c r="E56" s="30">
        <v>42512.450243055559</v>
      </c>
      <c r="F56" s="30">
        <v>42512.451180555552</v>
      </c>
      <c r="G56" s="38">
        <v>1</v>
      </c>
      <c r="H56" s="30" t="s">
        <v>147</v>
      </c>
      <c r="I56" s="30">
        <v>42512.480798611112</v>
      </c>
      <c r="J56" s="61">
        <v>0</v>
      </c>
      <c r="K56" s="61" t="str">
        <f>IF(ISEVEN(B56),(B56-1)&amp;"/"&amp;B56,B56&amp;"/"&amp;(B56+1))</f>
        <v>4017/4018</v>
      </c>
      <c r="L56" s="61" t="str">
        <f>VLOOKUP(A56,'Trips&amp;Operators'!$C$1:$E$9999,3,FALSE)</f>
        <v>YORK</v>
      </c>
      <c r="M56" s="12">
        <f>I56-F56</f>
        <v>2.9618055559694767E-2</v>
      </c>
      <c r="N56" s="13">
        <f>24*60*SUM($M56:$M56)</f>
        <v>42.650000005960464</v>
      </c>
      <c r="O56" s="13"/>
      <c r="P56" s="13"/>
      <c r="Q56" s="62"/>
      <c r="R56" s="62"/>
      <c r="T56" s="74" t="str">
        <f>"https://search-rtdc-monitor-bjffxe2xuh6vdkpspy63sjmuny.us-east-1.es.amazonaws.com/_plugin/kibana/#/discover/Steve-Slow-Train-Analysis-(2080s-and-2083s)?_g=(refreshInterval:(display:Off,section:0,value:0),time:(from:'"&amp;TEXT(E56-1/24/60,"yyyy-MM-DD hh:mm:ss")&amp;"-0600',mode:absolute,to:'"&amp;TEXT(I56+1/24/60,"yyyy-MM-DD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56&amp;"%22')),sort:!(Time,asc))"</f>
        <v>https://search-rtdc-monitor-bjffxe2xuh6vdkpspy63sjmuny.us-east-1.es.amazonaws.com/_plugin/kibana/#/discover/Steve-Slow-Train-Analysis-(2080s-and-2083s)?_g=(refreshInterval:(display:Off,section:0,value:0),time:(from:'2016-05-22 10:47:21-0600',mode:absolute,to:'2016-05-22 11:33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56" s="74" t="str">
        <f>IF(Y56&lt;23,"Y","N")</f>
        <v>N</v>
      </c>
      <c r="V56" s="74">
        <f>VALUE(LEFT(A56,3))-VALUE(LEFT(A55,3))</f>
        <v>1</v>
      </c>
      <c r="W56" s="74">
        <f>RIGHT(D56,LEN(D56)-4)/10000</f>
        <v>4.6199999999999998E-2</v>
      </c>
      <c r="X56" s="74">
        <f>RIGHT(H56,LEN(H56)-4)/10000</f>
        <v>23.331399999999999</v>
      </c>
      <c r="Y56" s="74">
        <f>ABS(X56-W56)</f>
        <v>23.2852</v>
      </c>
      <c r="Z56" s="75" t="e">
        <f>VLOOKUP(A56,Enforcements!$C$3:$J$55,8,0)</f>
        <v>#N/A</v>
      </c>
      <c r="AA56" s="75" t="e">
        <f>VLOOKUP(A56,Enforcements!$C$3:$J$55,3,0)</f>
        <v>#N/A</v>
      </c>
    </row>
    <row r="57" spans="1:27" s="2" customFormat="1" x14ac:dyDescent="0.25">
      <c r="A57" s="61" t="s">
        <v>351</v>
      </c>
      <c r="B57" s="61">
        <v>4017</v>
      </c>
      <c r="C57" s="61" t="s">
        <v>66</v>
      </c>
      <c r="D57" s="61" t="s">
        <v>148</v>
      </c>
      <c r="E57" s="30">
        <v>42512.48474537037</v>
      </c>
      <c r="F57" s="30">
        <v>42512.486296296294</v>
      </c>
      <c r="G57" s="38">
        <v>2</v>
      </c>
      <c r="H57" s="30" t="s">
        <v>71</v>
      </c>
      <c r="I57" s="30">
        <v>42512.515069444446</v>
      </c>
      <c r="J57" s="61">
        <v>2</v>
      </c>
      <c r="K57" s="61" t="str">
        <f>IF(ISEVEN(B57),(B57-1)&amp;"/"&amp;B57,B57&amp;"/"&amp;(B57+1))</f>
        <v>4017/4018</v>
      </c>
      <c r="L57" s="61" t="str">
        <f>VLOOKUP(A57,'Trips&amp;Operators'!$C$1:$E$9999,3,FALSE)</f>
        <v>YORK</v>
      </c>
      <c r="M57" s="12">
        <f>I57-F57</f>
        <v>2.8773148151230998E-2</v>
      </c>
      <c r="N57" s="13">
        <f>24*60*SUM($M57:$M57)</f>
        <v>41.433333337772638</v>
      </c>
      <c r="O57" s="13"/>
      <c r="P57" s="13"/>
      <c r="Q57" s="62"/>
      <c r="R57" s="62"/>
      <c r="T57" s="74" t="str">
        <f>"https://search-rtdc-monitor-bjffxe2xuh6vdkpspy63sjmuny.us-east-1.es.amazonaws.com/_plugin/kibana/#/discover/Steve-Slow-Train-Analysis-(2080s-and-2083s)?_g=(refreshInterval:(display:Off,section:0,value:0),time:(from:'"&amp;TEXT(E57-1/24/60,"yyyy-MM-DD hh:mm:ss")&amp;"-0600',mode:absolute,to:'"&amp;TEXT(I57+1/24/60,"yyyy-MM-DD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57&amp;"%22')),sort:!(Time,asc))"</f>
        <v>https://search-rtdc-monitor-bjffxe2xuh6vdkpspy63sjmuny.us-east-1.es.amazonaws.com/_plugin/kibana/#/discover/Steve-Slow-Train-Analysis-(2080s-and-2083s)?_g=(refreshInterval:(display:Off,section:0,value:0),time:(from:'2016-05-22 11:37:02-0600',mode:absolute,to:'2016-05-22 12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57" s="74" t="str">
        <f>IF(Y57&lt;23,"Y","N")</f>
        <v>N</v>
      </c>
      <c r="V57" s="74">
        <f>VALUE(LEFT(A57,3))-VALUE(LEFT(A56,3))</f>
        <v>1</v>
      </c>
      <c r="W57" s="74">
        <f>RIGHT(D57,LEN(D57)-4)/10000</f>
        <v>23.297899999999998</v>
      </c>
      <c r="X57" s="74">
        <f>RIGHT(H57,LEN(H57)-4)/10000</f>
        <v>1.49E-2</v>
      </c>
      <c r="Y57" s="74">
        <f>ABS(X57-W57)</f>
        <v>23.282999999999998</v>
      </c>
      <c r="Z57" s="75">
        <f>VLOOKUP(A57,Enforcements!$C$3:$J$55,8,0)</f>
        <v>190834</v>
      </c>
      <c r="AA57" s="75" t="str">
        <f>VLOOKUP(A57,Enforcements!$C$3:$J$55,3,0)</f>
        <v>PERMANENT SPEED RESTRICTION</v>
      </c>
    </row>
    <row r="58" spans="1:27" s="2" customFormat="1" x14ac:dyDescent="0.25">
      <c r="A58" s="61" t="s">
        <v>435</v>
      </c>
      <c r="B58" s="61">
        <v>4027</v>
      </c>
      <c r="C58" s="61" t="s">
        <v>66</v>
      </c>
      <c r="D58" s="61" t="s">
        <v>436</v>
      </c>
      <c r="E58" s="30">
        <v>42512.460949074077</v>
      </c>
      <c r="F58" s="30">
        <v>42512.463194444441</v>
      </c>
      <c r="G58" s="38">
        <v>3</v>
      </c>
      <c r="H58" s="30" t="s">
        <v>437</v>
      </c>
      <c r="I58" s="30">
        <v>42512.463240740741</v>
      </c>
      <c r="J58" s="61">
        <v>0</v>
      </c>
      <c r="K58" s="61" t="str">
        <f>IF(ISEVEN(B58),(B58-1)&amp;"/"&amp;B58,B58&amp;"/"&amp;(B58+1))</f>
        <v>4027/4028</v>
      </c>
      <c r="L58" s="61" t="str">
        <f>VLOOKUP(A58,'Trips&amp;Operators'!$C$1:$E$9999,3,FALSE)</f>
        <v>REBOLETTI</v>
      </c>
      <c r="M58" s="12">
        <f>I58-F58</f>
        <v>4.6296299842651933E-5</v>
      </c>
      <c r="N58" s="13"/>
      <c r="O58" s="13"/>
      <c r="P58" s="13">
        <f>24*60*SUM($M58:$M58)</f>
        <v>6.6666671773418784E-2</v>
      </c>
      <c r="Q58" s="62" t="s">
        <v>537</v>
      </c>
      <c r="R58" s="62" t="s">
        <v>538</v>
      </c>
      <c r="T58" s="74" t="str">
        <f>"https://search-rtdc-monitor-bjffxe2xuh6vdkpspy63sjmuny.us-east-1.es.amazonaws.com/_plugin/kibana/#/discover/Steve-Slow-Train-Analysis-(2080s-and-2083s)?_g=(refreshInterval:(display:Off,section:0,value:0),time:(from:'"&amp;TEXT(E58-1/24/60,"yyyy-MM-DD hh:mm:ss")&amp;"-0600',mode:absolute,to:'"&amp;TEXT(I58+1/24/60,"yyyy-MM-DD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58&amp;"%22')),sort:!(Time,asc))"</f>
        <v>https://search-rtdc-monitor-bjffxe2xuh6vdkpspy63sjmuny.us-east-1.es.amazonaws.com/_plugin/kibana/#/discover/Steve-Slow-Train-Analysis-(2080s-and-2083s)?_g=(refreshInterval:(display:Off,section:0,value:0),time:(from:'2016-05-22 11:02:46-0600',mode:absolute,to:'2016-05-22 11:08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U58" s="74" t="str">
        <f>IF(Y58&lt;23,"Y","N")</f>
        <v>Y</v>
      </c>
      <c r="V58" s="74">
        <f>VALUE(LEFT(A58,3))-VALUE(LEFT(A57,3))</f>
        <v>1</v>
      </c>
      <c r="W58" s="74">
        <f>RIGHT(D58,LEN(D58)-4)/10000</f>
        <v>7.8100000000000003E-2</v>
      </c>
      <c r="X58" s="74">
        <f>RIGHT(H58,LEN(H58)-4)/10000</f>
        <v>8.0100000000000005E-2</v>
      </c>
      <c r="Y58" s="74">
        <f>ABS(X58-W58)</f>
        <v>2.0000000000000018E-3</v>
      </c>
      <c r="Z58" s="75" t="e">
        <f>VLOOKUP(A58,Enforcements!$C$3:$J$55,8,0)</f>
        <v>#N/A</v>
      </c>
      <c r="AA58" s="75" t="e">
        <f>VLOOKUP(A58,Enforcements!$C$3:$J$55,3,0)</f>
        <v>#N/A</v>
      </c>
    </row>
    <row r="59" spans="1:27" s="2" customFormat="1" x14ac:dyDescent="0.25">
      <c r="A59" s="61" t="s">
        <v>438</v>
      </c>
      <c r="B59" s="61">
        <v>4028</v>
      </c>
      <c r="C59" s="61" t="s">
        <v>66</v>
      </c>
      <c r="D59" s="61" t="s">
        <v>439</v>
      </c>
      <c r="E59" s="30">
        <v>42512.508043981485</v>
      </c>
      <c r="F59" s="30">
        <v>42512.509166666663</v>
      </c>
      <c r="G59" s="38">
        <v>1</v>
      </c>
      <c r="H59" s="30" t="s">
        <v>440</v>
      </c>
      <c r="I59" s="30">
        <v>42512.539930555555</v>
      </c>
      <c r="J59" s="61">
        <v>0</v>
      </c>
      <c r="K59" s="61" t="str">
        <f>IF(ISEVEN(B59),(B59-1)&amp;"/"&amp;B59,B59&amp;"/"&amp;(B59+1))</f>
        <v>4027/4028</v>
      </c>
      <c r="L59" s="61" t="str">
        <f>VLOOKUP(A59,'Trips&amp;Operators'!$C$1:$E$9999,3,FALSE)</f>
        <v>REBOLETTI</v>
      </c>
      <c r="M59" s="12">
        <f>I59-F59</f>
        <v>3.0763888891669922E-2</v>
      </c>
      <c r="N59" s="13">
        <f>24*60*SUM($M59:$M59)</f>
        <v>44.300000004004687</v>
      </c>
      <c r="O59" s="13"/>
      <c r="P59" s="13"/>
      <c r="Q59" s="62"/>
      <c r="R59" s="62"/>
      <c r="T59" s="74" t="str">
        <f>"https://search-rtdc-monitor-bjffxe2xuh6vdkpspy63sjmuny.us-east-1.es.amazonaws.com/_plugin/kibana/#/discover/Steve-Slow-Train-Analysis-(2080s-and-2083s)?_g=(refreshInterval:(display:Off,section:0,value:0),time:(from:'"&amp;TEXT(E59-1/24/60,"yyyy-MM-DD hh:mm:ss")&amp;"-0600',mode:absolute,to:'"&amp;TEXT(I59+1/24/60,"yyyy-MM-DD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59&amp;"%22')),sort:!(Time,asc))"</f>
        <v>https://search-rtdc-monitor-bjffxe2xuh6vdkpspy63sjmuny.us-east-1.es.amazonaws.com/_plugin/kibana/#/discover/Steve-Slow-Train-Analysis-(2080s-and-2083s)?_g=(refreshInterval:(display:Off,section:0,value:0),time:(from:'2016-05-22 12:10:35-0600',mode:absolute,to:'2016-05-22 12:58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U59" s="74" t="s">
        <v>88</v>
      </c>
      <c r="V59" s="74">
        <f>VALUE(LEFT(A59,3))-VALUE(LEFT(A58,3))</f>
        <v>1</v>
      </c>
      <c r="W59" s="74">
        <f>RIGHT(D59,LEN(D59)-4)/10000</f>
        <v>23.305900000000001</v>
      </c>
      <c r="X59" s="74">
        <f>RIGHT(H59,LEN(H59)-4)/10000</f>
        <v>0.34210000000000002</v>
      </c>
      <c r="Y59" s="74">
        <f>ABS(X59-W59)</f>
        <v>22.963800000000003</v>
      </c>
      <c r="Z59" s="75" t="e">
        <f>VLOOKUP(A59,Enforcements!$C$3:$J$55,8,0)</f>
        <v>#N/A</v>
      </c>
      <c r="AA59" s="75" t="e">
        <f>VLOOKUP(A59,Enforcements!$C$3:$J$55,3,0)</f>
        <v>#N/A</v>
      </c>
    </row>
    <row r="60" spans="1:27" s="2" customFormat="1" x14ac:dyDescent="0.25">
      <c r="A60" s="61" t="s">
        <v>441</v>
      </c>
      <c r="B60" s="61">
        <v>4042</v>
      </c>
      <c r="C60" s="61" t="s">
        <v>66</v>
      </c>
      <c r="D60" s="61" t="s">
        <v>171</v>
      </c>
      <c r="E60" s="30">
        <v>42512.469861111109</v>
      </c>
      <c r="F60" s="30">
        <v>42512.471053240741</v>
      </c>
      <c r="G60" s="38">
        <v>1</v>
      </c>
      <c r="H60" s="30" t="s">
        <v>323</v>
      </c>
      <c r="I60" s="30">
        <v>42512.505011574074</v>
      </c>
      <c r="J60" s="61">
        <v>0</v>
      </c>
      <c r="K60" s="61" t="str">
        <f>IF(ISEVEN(B60),(B60-1)&amp;"/"&amp;B60,B60&amp;"/"&amp;(B60+1))</f>
        <v>4041/4042</v>
      </c>
      <c r="L60" s="61" t="str">
        <f>VLOOKUP(A60,'Trips&amp;Operators'!$C$1:$E$9999,3,FALSE)</f>
        <v>BUTLER</v>
      </c>
      <c r="M60" s="12">
        <f>I60-F60</f>
        <v>3.3958333333430346E-2</v>
      </c>
      <c r="N60" s="13">
        <f>24*60*SUM($M60:$M60)</f>
        <v>48.900000000139698</v>
      </c>
      <c r="O60" s="13"/>
      <c r="P60" s="13"/>
      <c r="Q60" s="62"/>
      <c r="R60" s="62"/>
      <c r="T60" s="74" t="str">
        <f>"https://search-rtdc-monitor-bjffxe2xuh6vdkpspy63sjmuny.us-east-1.es.amazonaws.com/_plugin/kibana/#/discover/Steve-Slow-Train-Analysis-(2080s-and-2083s)?_g=(refreshInterval:(display:Off,section:0,value:0),time:(from:'"&amp;TEXT(E60-1/24/60,"yyyy-MM-DD hh:mm:ss")&amp;"-0600',mode:absolute,to:'"&amp;TEXT(I60+1/24/60,"yyyy-MM-DD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60&amp;"%22')),sort:!(Time,asc))"</f>
        <v>https://search-rtdc-monitor-bjffxe2xuh6vdkpspy63sjmuny.us-east-1.es.amazonaws.com/_plugin/kibana/#/discover/Steve-Slow-Train-Analysis-(2080s-and-2083s)?_g=(refreshInterval:(display:Off,section:0,value:0),time:(from:'2016-05-22 11:15:36-0600',mode:absolute,to:'2016-05-22 12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60" s="74" t="str">
        <f>IF(Y60&lt;23,"Y","N")</f>
        <v>N</v>
      </c>
      <c r="V60" s="74">
        <f>VALUE(LEFT(A60,3))-VALUE(LEFT(A59,3))</f>
        <v>1</v>
      </c>
      <c r="W60" s="74">
        <f>RIGHT(D60,LEN(D60)-4)/10000</f>
        <v>4.6199999999999998E-2</v>
      </c>
      <c r="X60" s="74">
        <f>RIGHT(H60,LEN(H60)-4)/10000</f>
        <v>23.330100000000002</v>
      </c>
      <c r="Y60" s="74">
        <f>ABS(X60-W60)</f>
        <v>23.283900000000003</v>
      </c>
      <c r="Z60" s="75" t="e">
        <f>VLOOKUP(A60,Enforcements!$C$3:$J$55,8,0)</f>
        <v>#N/A</v>
      </c>
      <c r="AA60" s="75" t="e">
        <f>VLOOKUP(A60,Enforcements!$C$3:$J$55,3,0)</f>
        <v>#N/A</v>
      </c>
    </row>
    <row r="61" spans="1:27" s="2" customFormat="1" x14ac:dyDescent="0.25">
      <c r="A61" s="61" t="s">
        <v>442</v>
      </c>
      <c r="B61" s="61">
        <v>4041</v>
      </c>
      <c r="C61" s="61" t="s">
        <v>66</v>
      </c>
      <c r="D61" s="61" t="s">
        <v>443</v>
      </c>
      <c r="E61" s="30">
        <v>42512.506944444445</v>
      </c>
      <c r="F61" s="30">
        <v>42512.508125</v>
      </c>
      <c r="G61" s="38">
        <v>1</v>
      </c>
      <c r="H61" s="30" t="s">
        <v>328</v>
      </c>
      <c r="I61" s="30">
        <v>42512.543981481482</v>
      </c>
      <c r="J61" s="61">
        <v>0</v>
      </c>
      <c r="K61" s="61" t="str">
        <f>IF(ISEVEN(B61),(B61-1)&amp;"/"&amp;B61,B61&amp;"/"&amp;(B61+1))</f>
        <v>4041/4042</v>
      </c>
      <c r="L61" s="61" t="str">
        <f>VLOOKUP(A61,'Trips&amp;Operators'!$C$1:$E$9999,3,FALSE)</f>
        <v>BUTLER</v>
      </c>
      <c r="M61" s="12">
        <f>I61-F61</f>
        <v>3.5856481481459923E-2</v>
      </c>
      <c r="N61" s="13">
        <f>24*60*SUM($M61:$M61)</f>
        <v>51.633333333302289</v>
      </c>
      <c r="O61" s="13"/>
      <c r="P61" s="13"/>
      <c r="Q61" s="62"/>
      <c r="R61" s="62"/>
      <c r="T61" s="74" t="str">
        <f>"https://search-rtdc-monitor-bjffxe2xuh6vdkpspy63sjmuny.us-east-1.es.amazonaws.com/_plugin/kibana/#/discover/Steve-Slow-Train-Analysis-(2080s-and-2083s)?_g=(refreshInterval:(display:Off,section:0,value:0),time:(from:'"&amp;TEXT(E61-1/24/60,"yyyy-MM-DD hh:mm:ss")&amp;"-0600',mode:absolute,to:'"&amp;TEXT(I61+1/24/60,"yyyy-MM-DD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61&amp;"%22')),sort:!(Time,asc))"</f>
        <v>https://search-rtdc-monitor-bjffxe2xuh6vdkpspy63sjmuny.us-east-1.es.amazonaws.com/_plugin/kibana/#/discover/Steve-Slow-Train-Analysis-(2080s-and-2083s)?_g=(refreshInterval:(display:Off,section:0,value:0),time:(from:'2016-05-22 12:09:00-0600',mode:absolute,to:'2016-05-22 13:04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61" s="74" t="str">
        <f>IF(Y61&lt;23,"Y","N")</f>
        <v>N</v>
      </c>
      <c r="V61" s="74">
        <f>VALUE(LEFT(A61,3))-VALUE(LEFT(A60,3))</f>
        <v>1</v>
      </c>
      <c r="W61" s="74">
        <f>RIGHT(D61,LEN(D61)-4)/10000</f>
        <v>23.2988</v>
      </c>
      <c r="X61" s="74">
        <f>RIGHT(H61,LEN(H61)-4)/10000</f>
        <v>1.32E-2</v>
      </c>
      <c r="Y61" s="74">
        <f>ABS(X61-W61)</f>
        <v>23.285599999999999</v>
      </c>
      <c r="Z61" s="75" t="e">
        <f>VLOOKUP(A61,Enforcements!$C$3:$J$55,8,0)</f>
        <v>#N/A</v>
      </c>
      <c r="AA61" s="75" t="e">
        <f>VLOOKUP(A61,Enforcements!$C$3:$J$55,3,0)</f>
        <v>#N/A</v>
      </c>
    </row>
    <row r="62" spans="1:27" s="2" customFormat="1" x14ac:dyDescent="0.25">
      <c r="A62" s="61" t="s">
        <v>353</v>
      </c>
      <c r="B62" s="61">
        <v>4023</v>
      </c>
      <c r="C62" s="61" t="s">
        <v>66</v>
      </c>
      <c r="D62" s="61" t="s">
        <v>444</v>
      </c>
      <c r="E62" s="30">
        <v>42512.516631944447</v>
      </c>
      <c r="F62" s="30">
        <v>42512.517743055556</v>
      </c>
      <c r="G62" s="38">
        <v>1</v>
      </c>
      <c r="H62" s="30" t="s">
        <v>445</v>
      </c>
      <c r="I62" s="30">
        <v>42512.538460648146</v>
      </c>
      <c r="J62" s="61">
        <v>1</v>
      </c>
      <c r="K62" s="61" t="str">
        <f>IF(ISEVEN(B62),(B62-1)&amp;"/"&amp;B62,B62&amp;"/"&amp;(B62+1))</f>
        <v>4023/4024</v>
      </c>
      <c r="L62" s="61" t="str">
        <f>VLOOKUP(A62,'Trips&amp;Operators'!$C$1:$E$9999,3,FALSE)</f>
        <v>BONDS</v>
      </c>
      <c r="M62" s="12">
        <f>I62-F62</f>
        <v>2.0717592589790002E-2</v>
      </c>
      <c r="N62" s="13"/>
      <c r="O62" s="13"/>
      <c r="P62" s="13">
        <f>24*60*SUM($M62:$M62)</f>
        <v>29.833333329297602</v>
      </c>
      <c r="Q62" s="62" t="s">
        <v>537</v>
      </c>
      <c r="R62" s="62" t="s">
        <v>539</v>
      </c>
      <c r="T62" s="74" t="str">
        <f>"https://search-rtdc-monitor-bjffxe2xuh6vdkpspy63sjmuny.us-east-1.es.amazonaws.com/_plugin/kibana/#/discover/Steve-Slow-Train-Analysis-(2080s-and-2083s)?_g=(refreshInterval:(display:Off,section:0,value:0),time:(from:'"&amp;TEXT(E62-1/24/60,"yyyy-MM-DD hh:mm:ss")&amp;"-0600',mode:absolute,to:'"&amp;TEXT(I62+1/24/60,"yyyy-MM-DD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62&amp;"%22')),sort:!(Time,asc))"</f>
        <v>https://search-rtdc-monitor-bjffxe2xuh6vdkpspy63sjmuny.us-east-1.es.amazonaws.com/_plugin/kibana/#/discover/Steve-Slow-Train-Analysis-(2080s-and-2083s)?_g=(refreshInterval:(display:Off,section:0,value:0),time:(from:'2016-05-22 12:22:57-0600',mode:absolute,to:'2016-05-22 12:56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62" s="74" t="str">
        <f>IF(Y62&lt;23,"Y","N")</f>
        <v>Y</v>
      </c>
      <c r="V62" s="74">
        <f>VALUE(LEFT(A62,3))-VALUE(LEFT(A61,3))</f>
        <v>2</v>
      </c>
      <c r="W62" s="74">
        <f>RIGHT(D62,LEN(D62)-4)/10000</f>
        <v>23.298500000000001</v>
      </c>
      <c r="X62" s="74">
        <f>RIGHT(H62,LEN(H62)-4)/10000</f>
        <v>6.4124999999999996</v>
      </c>
      <c r="Y62" s="74">
        <f>ABS(X62-W62)</f>
        <v>16.886000000000003</v>
      </c>
      <c r="Z62" s="75">
        <f>VLOOKUP(A62,Enforcements!$C$3:$J$55,8,0)</f>
        <v>127587</v>
      </c>
      <c r="AA62" s="75" t="str">
        <f>VLOOKUP(A62,Enforcements!$C$3:$J$55,3,0)</f>
        <v>SIGNAL</v>
      </c>
    </row>
    <row r="63" spans="1:27" s="2" customFormat="1" x14ac:dyDescent="0.25">
      <c r="A63" s="61" t="s">
        <v>352</v>
      </c>
      <c r="B63" s="61">
        <v>4007</v>
      </c>
      <c r="C63" s="61" t="s">
        <v>66</v>
      </c>
      <c r="D63" s="61" t="s">
        <v>324</v>
      </c>
      <c r="E63" s="30">
        <v>42512.486157407409</v>
      </c>
      <c r="F63" s="30">
        <v>42512.489050925928</v>
      </c>
      <c r="G63" s="38">
        <v>4</v>
      </c>
      <c r="H63" s="30" t="s">
        <v>446</v>
      </c>
      <c r="I63" s="30">
        <v>42512.519131944442</v>
      </c>
      <c r="J63" s="61">
        <v>1</v>
      </c>
      <c r="K63" s="61" t="str">
        <f>IF(ISEVEN(B63),(B63-1)&amp;"/"&amp;B63,B63&amp;"/"&amp;(B63+1))</f>
        <v>4007/4008</v>
      </c>
      <c r="L63" s="61" t="str">
        <f>VLOOKUP(A63,'Trips&amp;Operators'!$C$1:$E$9999,3,FALSE)</f>
        <v>LOCKLEAR</v>
      </c>
      <c r="M63" s="12">
        <f>I63-F63</f>
        <v>3.0081018514465541E-2</v>
      </c>
      <c r="N63" s="13">
        <f>24*60*SUM($M63:$M63)</f>
        <v>43.316666660830379</v>
      </c>
      <c r="O63" s="13"/>
      <c r="P63" s="13"/>
      <c r="Q63" s="62"/>
      <c r="R63" s="62"/>
      <c r="T63" s="74" t="str">
        <f>"https://search-rtdc-monitor-bjffxe2xuh6vdkpspy63sjmuny.us-east-1.es.amazonaws.com/_plugin/kibana/#/discover/Steve-Slow-Train-Analysis-(2080s-and-2083s)?_g=(refreshInterval:(display:Off,section:0,value:0),time:(from:'"&amp;TEXT(E63-1/24/60,"yyyy-MM-DD hh:mm:ss")&amp;"-0600',mode:absolute,to:'"&amp;TEXT(I63+1/24/60,"yyyy-MM-DD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63&amp;"%22')),sort:!(Time,asc))"</f>
        <v>https://search-rtdc-monitor-bjffxe2xuh6vdkpspy63sjmuny.us-east-1.es.amazonaws.com/_plugin/kibana/#/discover/Steve-Slow-Train-Analysis-(2080s-and-2083s)?_g=(refreshInterval:(display:Off,section:0,value:0),time:(from:'2016-05-22 11:39:04-0600',mode:absolute,to:'2016-05-22 12:28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63" s="74" t="str">
        <f>IF(Y63&lt;23,"Y","N")</f>
        <v>N</v>
      </c>
      <c r="V63" s="74">
        <f>VALUE(LEFT(A63,3))-VALUE(LEFT(A62,3))</f>
        <v>1</v>
      </c>
      <c r="W63" s="74">
        <f>RIGHT(D63,LEN(D63)-4)/10000</f>
        <v>4.5699999999999998E-2</v>
      </c>
      <c r="X63" s="74">
        <f>RIGHT(H63,LEN(H63)-4)/10000</f>
        <v>23.3416</v>
      </c>
      <c r="Y63" s="74">
        <f>ABS(X63-W63)</f>
        <v>23.2959</v>
      </c>
      <c r="Z63" s="75">
        <f>VLOOKUP(A63,Enforcements!$C$3:$J$55,8,0)</f>
        <v>233491</v>
      </c>
      <c r="AA63" s="75" t="str">
        <f>VLOOKUP(A63,Enforcements!$C$3:$J$55,3,0)</f>
        <v>TRACK WARRANT AUTHORITY</v>
      </c>
    </row>
    <row r="64" spans="1:27" s="2" customFormat="1" x14ac:dyDescent="0.25">
      <c r="A64" s="61" t="s">
        <v>447</v>
      </c>
      <c r="B64" s="61">
        <v>4008</v>
      </c>
      <c r="C64" s="61" t="s">
        <v>66</v>
      </c>
      <c r="D64" s="61" t="s">
        <v>448</v>
      </c>
      <c r="E64" s="30">
        <v>42512.527407407404</v>
      </c>
      <c r="F64" s="30">
        <v>42512.528136574074</v>
      </c>
      <c r="G64" s="38">
        <v>1</v>
      </c>
      <c r="H64" s="30" t="s">
        <v>99</v>
      </c>
      <c r="I64" s="30">
        <v>42512.557847222219</v>
      </c>
      <c r="J64" s="61">
        <v>0</v>
      </c>
      <c r="K64" s="61" t="str">
        <f>IF(ISEVEN(B64),(B64-1)&amp;"/"&amp;B64,B64&amp;"/"&amp;(B64+1))</f>
        <v>4007/4008</v>
      </c>
      <c r="L64" s="61" t="str">
        <f>VLOOKUP(A64,'Trips&amp;Operators'!$C$1:$E$9999,3,FALSE)</f>
        <v>LOCKLEAR</v>
      </c>
      <c r="M64" s="12">
        <f>I64-F64</f>
        <v>2.9710648144828156E-2</v>
      </c>
      <c r="N64" s="13">
        <f>24*60*SUM($M64:$M64)</f>
        <v>42.783333328552544</v>
      </c>
      <c r="O64" s="13"/>
      <c r="P64" s="13"/>
      <c r="Q64" s="62"/>
      <c r="R64" s="62"/>
      <c r="T64" s="74" t="str">
        <f>"https://search-rtdc-monitor-bjffxe2xuh6vdkpspy63sjmuny.us-east-1.es.amazonaws.com/_plugin/kibana/#/discover/Steve-Slow-Train-Analysis-(2080s-and-2083s)?_g=(refreshInterval:(display:Off,section:0,value:0),time:(from:'"&amp;TEXT(E64-1/24/60,"yyyy-MM-DD hh:mm:ss")&amp;"-0600',mode:absolute,to:'"&amp;TEXT(I64+1/24/60,"yyyy-MM-DD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64&amp;"%22')),sort:!(Time,asc))"</f>
        <v>https://search-rtdc-monitor-bjffxe2xuh6vdkpspy63sjmuny.us-east-1.es.amazonaws.com/_plugin/kibana/#/discover/Steve-Slow-Train-Analysis-(2080s-and-2083s)?_g=(refreshInterval:(display:Off,section:0,value:0),time:(from:'2016-05-22 12:38:28-0600',mode:absolute,to:'2016-05-22 13:24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64" s="74" t="str">
        <f>IF(Y64&lt;23,"Y","N")</f>
        <v>N</v>
      </c>
      <c r="V64" s="74">
        <f>VALUE(LEFT(A64,3))-VALUE(LEFT(A63,3))</f>
        <v>1</v>
      </c>
      <c r="W64" s="74">
        <f>RIGHT(D64,LEN(D64)-4)/10000</f>
        <v>23.3065</v>
      </c>
      <c r="X64" s="74">
        <f>RIGHT(H64,LEN(H64)-4)/10000</f>
        <v>1.47E-2</v>
      </c>
      <c r="Y64" s="74">
        <f>ABS(X64-W64)</f>
        <v>23.291799999999999</v>
      </c>
      <c r="Z64" s="75" t="e">
        <f>VLOOKUP(A64,Enforcements!$C$3:$J$55,8,0)</f>
        <v>#N/A</v>
      </c>
      <c r="AA64" s="75" t="e">
        <f>VLOOKUP(A64,Enforcements!$C$3:$J$55,3,0)</f>
        <v>#N/A</v>
      </c>
    </row>
    <row r="65" spans="1:27" s="2" customFormat="1" x14ac:dyDescent="0.25">
      <c r="A65" s="61" t="s">
        <v>449</v>
      </c>
      <c r="B65" s="61">
        <v>4002</v>
      </c>
      <c r="C65" s="61" t="s">
        <v>66</v>
      </c>
      <c r="D65" s="61" t="s">
        <v>450</v>
      </c>
      <c r="E65" s="30">
        <v>42512.514675925922</v>
      </c>
      <c r="F65" s="30">
        <v>42512.515613425923</v>
      </c>
      <c r="G65" s="38">
        <v>1</v>
      </c>
      <c r="H65" s="30" t="s">
        <v>176</v>
      </c>
      <c r="I65" s="30">
        <v>42512.539722222224</v>
      </c>
      <c r="J65" s="61">
        <v>0</v>
      </c>
      <c r="K65" s="61" t="str">
        <f>IF(ISEVEN(B65),(B65-1)&amp;"/"&amp;B65,B65&amp;"/"&amp;(B65+1))</f>
        <v>4001/4002</v>
      </c>
      <c r="L65" s="61" t="str">
        <f>VLOOKUP(A65,'Trips&amp;Operators'!$C$1:$E$9999,3,FALSE)</f>
        <v>ACKERMAN</v>
      </c>
      <c r="M65" s="12">
        <f>I65-F65</f>
        <v>2.4108796300424729E-2</v>
      </c>
      <c r="N65" s="13"/>
      <c r="O65" s="13"/>
      <c r="P65" s="13">
        <f>24*60*SUM($M65:$M65)</f>
        <v>34.716666672611609</v>
      </c>
      <c r="Q65" s="62" t="s">
        <v>537</v>
      </c>
      <c r="R65" s="62" t="s">
        <v>540</v>
      </c>
      <c r="T65" s="74" t="str">
        <f>"https://search-rtdc-monitor-bjffxe2xuh6vdkpspy63sjmuny.us-east-1.es.amazonaws.com/_plugin/kibana/#/discover/Steve-Slow-Train-Analysis-(2080s-and-2083s)?_g=(refreshInterval:(display:Off,section:0,value:0),time:(from:'"&amp;TEXT(E65-1/24/60,"yyyy-MM-DD hh:mm:ss")&amp;"-0600',mode:absolute,to:'"&amp;TEXT(I65+1/24/60,"yyyy-MM-DD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65&amp;"%22')),sort:!(Time,asc))"</f>
        <v>https://search-rtdc-monitor-bjffxe2xuh6vdkpspy63sjmuny.us-east-1.es.amazonaws.com/_plugin/kibana/#/discover/Steve-Slow-Train-Analysis-(2080s-and-2083s)?_g=(refreshInterval:(display:Off,section:0,value:0),time:(from:'2016-05-22 12:20:08-0600',mode:absolute,to:'2016-05-22 12:58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4002%22')),sort:!(Time,asc))</v>
      </c>
      <c r="U65" s="74" t="str">
        <f>IF(Y65&lt;23,"Y","N")</f>
        <v>Y</v>
      </c>
      <c r="V65" s="74">
        <f>VALUE(LEFT(A65,3))-VALUE(LEFT(A64,3))</f>
        <v>1</v>
      </c>
      <c r="W65" s="74">
        <f>RIGHT(D65,LEN(D65)-4)/10000</f>
        <v>1.9136</v>
      </c>
      <c r="X65" s="74">
        <f>RIGHT(H65,LEN(H65)-4)/10000</f>
        <v>23.328700000000001</v>
      </c>
      <c r="Y65" s="74">
        <f>ABS(X65-W65)</f>
        <v>21.415100000000002</v>
      </c>
      <c r="Z65" s="75" t="e">
        <f>VLOOKUP(A65,Enforcements!$C$3:$J$55,8,0)</f>
        <v>#N/A</v>
      </c>
      <c r="AA65" s="75" t="e">
        <f>VLOOKUP(A65,Enforcements!$C$3:$J$55,3,0)</f>
        <v>#N/A</v>
      </c>
    </row>
    <row r="66" spans="1:27" s="2" customFormat="1" x14ac:dyDescent="0.25">
      <c r="A66" s="61" t="s">
        <v>357</v>
      </c>
      <c r="B66" s="61">
        <v>4001</v>
      </c>
      <c r="C66" s="61" t="s">
        <v>66</v>
      </c>
      <c r="D66" s="61" t="s">
        <v>444</v>
      </c>
      <c r="E66" s="30">
        <v>42512.541562500002</v>
      </c>
      <c r="F66" s="30">
        <v>42512.542604166665</v>
      </c>
      <c r="G66" s="38">
        <v>1</v>
      </c>
      <c r="H66" s="30" t="s">
        <v>94</v>
      </c>
      <c r="I66" s="30">
        <v>42512.570034722223</v>
      </c>
      <c r="J66" s="61">
        <v>1</v>
      </c>
      <c r="K66" s="61" t="str">
        <f>IF(ISEVEN(B66),(B66-1)&amp;"/"&amp;B66,B66&amp;"/"&amp;(B66+1))</f>
        <v>4001/4002</v>
      </c>
      <c r="L66" s="61" t="str">
        <f>VLOOKUP(A66,'Trips&amp;Operators'!$C$1:$E$9999,3,FALSE)</f>
        <v>ACKERMAN</v>
      </c>
      <c r="M66" s="12">
        <f>I66-F66</f>
        <v>2.7430555557657499E-2</v>
      </c>
      <c r="N66" s="13">
        <f>24*60*SUM($M66:$M66)</f>
        <v>39.500000003026798</v>
      </c>
      <c r="O66" s="13"/>
      <c r="P66" s="13"/>
      <c r="Q66" s="62"/>
      <c r="R66" s="62"/>
      <c r="T66" s="74" t="str">
        <f>"https://search-rtdc-monitor-bjffxe2xuh6vdkpspy63sjmuny.us-east-1.es.amazonaws.com/_plugin/kibana/#/discover/Steve-Slow-Train-Analysis-(2080s-and-2083s)?_g=(refreshInterval:(display:Off,section:0,value:0),time:(from:'"&amp;TEXT(E66-1/24/60,"yyyy-MM-DD hh:mm:ss")&amp;"-0600',mode:absolute,to:'"&amp;TEXT(I66+1/24/60,"yyyy-MM-DD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66&amp;"%22')),sort:!(Time,asc))"</f>
        <v>https://search-rtdc-monitor-bjffxe2xuh6vdkpspy63sjmuny.us-east-1.es.amazonaws.com/_plugin/kibana/#/discover/Steve-Slow-Train-Analysis-(2080s-and-2083s)?_g=(refreshInterval:(display:Off,section:0,value:0),time:(from:'2016-05-22 12:58:51-0600',mode:absolute,to:'2016-05-22 13:41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4001%22')),sort:!(Time,asc))</v>
      </c>
      <c r="U66" s="74" t="str">
        <f>IF(Y66&lt;23,"Y","N")</f>
        <v>N</v>
      </c>
      <c r="V66" s="74">
        <f>VALUE(LEFT(A66,3))-VALUE(LEFT(A65,3))</f>
        <v>1</v>
      </c>
      <c r="W66" s="74">
        <f>RIGHT(D66,LEN(D66)-4)/10000</f>
        <v>23.298500000000001</v>
      </c>
      <c r="X66" s="74">
        <f>RIGHT(H66,LEN(H66)-4)/10000</f>
        <v>1.41E-2</v>
      </c>
      <c r="Y66" s="74">
        <f>ABS(X66-W66)</f>
        <v>23.284400000000002</v>
      </c>
      <c r="Z66" s="75">
        <f>VLOOKUP(A66,Enforcements!$C$3:$J$55,8,0)</f>
        <v>1</v>
      </c>
      <c r="AA66" s="75" t="str">
        <f>VLOOKUP(A66,Enforcements!$C$3:$J$55,3,0)</f>
        <v>TRACK WARRANT AUTHORITY</v>
      </c>
    </row>
    <row r="67" spans="1:27" s="2" customFormat="1" x14ac:dyDescent="0.25">
      <c r="A67" s="61" t="s">
        <v>354</v>
      </c>
      <c r="B67" s="61">
        <v>4020</v>
      </c>
      <c r="C67" s="61" t="s">
        <v>66</v>
      </c>
      <c r="D67" s="61" t="s">
        <v>85</v>
      </c>
      <c r="E67" s="30">
        <v>42512.509502314817</v>
      </c>
      <c r="F67" s="30">
        <v>42512.511053240742</v>
      </c>
      <c r="G67" s="38">
        <v>2</v>
      </c>
      <c r="H67" s="30" t="s">
        <v>451</v>
      </c>
      <c r="I67" s="30">
        <v>42512.524756944447</v>
      </c>
      <c r="J67" s="61">
        <v>0</v>
      </c>
      <c r="K67" s="61" t="str">
        <f>IF(ISEVEN(B67),(B67-1)&amp;"/"&amp;B67,B67&amp;"/"&amp;(B67+1))</f>
        <v>4019/4020</v>
      </c>
      <c r="L67" s="61" t="str">
        <f>VLOOKUP(A67,'Trips&amp;Operators'!$C$1:$E$9999,3,FALSE)</f>
        <v>STEWART</v>
      </c>
      <c r="M67" s="12">
        <f>I67-F67</f>
        <v>1.3703703705687076E-2</v>
      </c>
      <c r="N67" s="13"/>
      <c r="O67" s="13"/>
      <c r="P67" s="13">
        <f>24*60*SUM($M67:$M67)</f>
        <v>19.733333336189389</v>
      </c>
      <c r="Q67" s="62" t="s">
        <v>537</v>
      </c>
      <c r="R67" s="62" t="s">
        <v>539</v>
      </c>
      <c r="T67" s="74" t="str">
        <f>"https://search-rtdc-monitor-bjffxe2xuh6vdkpspy63sjmuny.us-east-1.es.amazonaws.com/_plugin/kibana/#/discover/Steve-Slow-Train-Analysis-(2080s-and-2083s)?_g=(refreshInterval:(display:Off,section:0,value:0),time:(from:'"&amp;TEXT(E67-1/24/60,"yyyy-MM-DD hh:mm:ss")&amp;"-0600',mode:absolute,to:'"&amp;TEXT(I67+1/24/60,"yyyy-MM-DD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67&amp;"%22')),sort:!(Time,asc))"</f>
        <v>https://search-rtdc-monitor-bjffxe2xuh6vdkpspy63sjmuny.us-east-1.es.amazonaws.com/_plugin/kibana/#/discover/Steve-Slow-Train-Analysis-(2080s-and-2083s)?_g=(refreshInterval:(display:Off,section:0,value:0),time:(from:'2016-05-22 12:12:41-0600',mode:absolute,to:'2016-05-22 12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67" s="74" t="str">
        <f>IF(Y67&lt;23,"Y","N")</f>
        <v>Y</v>
      </c>
      <c r="V67" s="74">
        <f>VALUE(LEFT(A67,3))-VALUE(LEFT(A66,3))</f>
        <v>1</v>
      </c>
      <c r="W67" s="74">
        <f>RIGHT(D67,LEN(D67)-4)/10000</f>
        <v>4.6399999999999997E-2</v>
      </c>
      <c r="X67" s="74">
        <f>RIGHT(H67,LEN(H67)-4)/10000</f>
        <v>5.2117000000000004</v>
      </c>
      <c r="Y67" s="74">
        <f>ABS(X67-W67)</f>
        <v>5.1653000000000002</v>
      </c>
      <c r="Z67" s="75">
        <f>VLOOKUP(A67,Enforcements!$C$3:$J$55,8,0)</f>
        <v>116838</v>
      </c>
      <c r="AA67" s="75" t="str">
        <f>VLOOKUP(A67,Enforcements!$C$3:$J$55,3,0)</f>
        <v>PERMANENT SPEED RESTRICTION</v>
      </c>
    </row>
    <row r="68" spans="1:27" s="2" customFormat="1" x14ac:dyDescent="0.25">
      <c r="A68" s="61" t="s">
        <v>533</v>
      </c>
      <c r="B68" s="61">
        <v>4019</v>
      </c>
      <c r="C68" s="61"/>
      <c r="D68" s="61"/>
      <c r="E68" s="30"/>
      <c r="F68" s="30">
        <v>42512.55296296296</v>
      </c>
      <c r="G68" s="38"/>
      <c r="H68" s="30"/>
      <c r="I68" s="30">
        <v>42512.583472222221</v>
      </c>
      <c r="J68" s="61">
        <v>0</v>
      </c>
      <c r="K68" s="61" t="str">
        <f>IF(ISEVEN(B68),(B68-1)&amp;"/"&amp;B68,B68&amp;"/"&amp;(B68+1))</f>
        <v>4019/4020</v>
      </c>
      <c r="L68" s="61" t="str">
        <f>VLOOKUP(A68,'Trips&amp;Operators'!$C$1:$E$9999,3,FALSE)</f>
        <v>STEWART</v>
      </c>
      <c r="M68" s="12">
        <f>I68-F68</f>
        <v>3.050925926072523E-2</v>
      </c>
      <c r="N68" s="13">
        <f>24*60*SUM($M68:$M68)</f>
        <v>43.933333335444331</v>
      </c>
      <c r="O68" s="13"/>
      <c r="P68" s="13"/>
      <c r="Q68" s="62"/>
      <c r="R68" s="62"/>
      <c r="T68" s="74" t="e">
        <f>"https://search-rtdc-monitor-bjffxe2xuh6vdkpspy63sjmuny.us-east-1.es.amazonaws.com/_plugin/kibana/#/discover/Steve-Slow-Train-Analysis-(2080s-and-2083s)?_g=(refreshInterval:(display:Off,section:0,value:0),time:(from:'"&amp;TEXT(E68-1/24/60,"yyyy-MM-DD hh:mm:ss")&amp;"-0600',mode:absolute,to:'"&amp;TEXT(I68+1/24/60,"yyyy-MM-DD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68&amp;"%22')),sort:!(Time,asc))"</f>
        <v>#VALUE!</v>
      </c>
      <c r="U68" s="74"/>
      <c r="V68" s="74"/>
      <c r="W68" s="74"/>
      <c r="X68" s="74"/>
      <c r="Y68" s="74"/>
      <c r="Z68" s="75"/>
      <c r="AA68" s="75"/>
    </row>
    <row r="69" spans="1:27" s="2" customFormat="1" x14ac:dyDescent="0.25">
      <c r="A69" s="61" t="s">
        <v>355</v>
      </c>
      <c r="B69" s="61">
        <v>4018</v>
      </c>
      <c r="C69" s="61" t="s">
        <v>66</v>
      </c>
      <c r="D69" s="61" t="s">
        <v>81</v>
      </c>
      <c r="E69" s="30">
        <v>42512.516724537039</v>
      </c>
      <c r="F69" s="30">
        <v>42512.517893518518</v>
      </c>
      <c r="G69" s="38">
        <v>1</v>
      </c>
      <c r="H69" s="30" t="s">
        <v>98</v>
      </c>
      <c r="I69" s="30">
        <v>42512.549131944441</v>
      </c>
      <c r="J69" s="61">
        <v>1</v>
      </c>
      <c r="K69" s="61" t="str">
        <f>IF(ISEVEN(B69),(B69-1)&amp;"/"&amp;B69,B69&amp;"/"&amp;(B69+1))</f>
        <v>4017/4018</v>
      </c>
      <c r="L69" s="61" t="str">
        <f>VLOOKUP(A69,'Trips&amp;Operators'!$C$1:$E$9999,3,FALSE)</f>
        <v>YORK</v>
      </c>
      <c r="M69" s="12">
        <f>I69-F69</f>
        <v>3.1238425923220348E-2</v>
      </c>
      <c r="N69" s="13">
        <f>24*60*SUM($M69:$M69)</f>
        <v>44.983333329437301</v>
      </c>
      <c r="O69" s="13"/>
      <c r="P69" s="13"/>
      <c r="Q69" s="62"/>
      <c r="R69" s="62"/>
      <c r="T69" s="74" t="str">
        <f>"https://search-rtdc-monitor-bjffxe2xuh6vdkpspy63sjmuny.us-east-1.es.amazonaws.com/_plugin/kibana/#/discover/Steve-Slow-Train-Analysis-(2080s-and-2083s)?_g=(refreshInterval:(display:Off,section:0,value:0),time:(from:'"&amp;TEXT(E69-1/24/60,"yyyy-MM-DD hh:mm:ss")&amp;"-0600',mode:absolute,to:'"&amp;TEXT(I69+1/24/60,"yyyy-MM-DD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69&amp;"%22')),sort:!(Time,asc))"</f>
        <v>https://search-rtdc-monitor-bjffxe2xuh6vdkpspy63sjmuny.us-east-1.es.amazonaws.com/_plugin/kibana/#/discover/Steve-Slow-Train-Analysis-(2080s-and-2083s)?_g=(refreshInterval:(display:Off,section:0,value:0),time:(from:'2016-05-22 12:23:05-0600',mode:absolute,to:'2016-05-22 13:11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69" s="74" t="str">
        <f>IF(Y69&lt;23,"Y","N")</f>
        <v>N</v>
      </c>
      <c r="V69" s="74">
        <f>VALUE(LEFT(A69,3))-VALUE(LEFT(A67,3))</f>
        <v>2</v>
      </c>
      <c r="W69" s="74">
        <f>RIGHT(D69,LEN(D69)-4)/10000</f>
        <v>4.53E-2</v>
      </c>
      <c r="X69" s="74">
        <f>RIGHT(H69,LEN(H69)-4)/10000</f>
        <v>23.331499999999998</v>
      </c>
      <c r="Y69" s="74">
        <f>ABS(X69-W69)</f>
        <v>23.286199999999997</v>
      </c>
      <c r="Z69" s="75">
        <f>VLOOKUP(A69,Enforcements!$C$3:$J$55,8,0)</f>
        <v>233491</v>
      </c>
      <c r="AA69" s="75" t="str">
        <f>VLOOKUP(A69,Enforcements!$C$3:$J$55,3,0)</f>
        <v>TRACK WARRANT AUTHORITY</v>
      </c>
    </row>
    <row r="70" spans="1:27" s="2" customFormat="1" x14ac:dyDescent="0.25">
      <c r="A70" s="61" t="s">
        <v>452</v>
      </c>
      <c r="B70" s="61">
        <v>4017</v>
      </c>
      <c r="C70" s="61" t="s">
        <v>66</v>
      </c>
      <c r="D70" s="61" t="s">
        <v>396</v>
      </c>
      <c r="E70" s="30">
        <v>42512.554189814815</v>
      </c>
      <c r="F70" s="30">
        <v>42512.55541666667</v>
      </c>
      <c r="G70" s="38">
        <v>1</v>
      </c>
      <c r="H70" s="30" t="s">
        <v>94</v>
      </c>
      <c r="I70" s="30">
        <v>42512.589930555558</v>
      </c>
      <c r="J70" s="61">
        <v>0</v>
      </c>
      <c r="K70" s="61" t="str">
        <f>IF(ISEVEN(B70),(B70-1)&amp;"/"&amp;B70,B70&amp;"/"&amp;(B70+1))</f>
        <v>4017/4018</v>
      </c>
      <c r="L70" s="61" t="str">
        <f>VLOOKUP(A70,'Trips&amp;Operators'!$C$1:$E$9999,3,FALSE)</f>
        <v>YORK</v>
      </c>
      <c r="M70" s="12">
        <f>I70-F70</f>
        <v>3.4513888887886424E-2</v>
      </c>
      <c r="N70" s="13">
        <f>24*60*SUM($M70:$M70)</f>
        <v>49.69999999855645</v>
      </c>
      <c r="O70" s="13"/>
      <c r="P70" s="13"/>
      <c r="Q70" s="62"/>
      <c r="R70" s="62"/>
      <c r="T70" s="74" t="str">
        <f>"https://search-rtdc-monitor-bjffxe2xuh6vdkpspy63sjmuny.us-east-1.es.amazonaws.com/_plugin/kibana/#/discover/Steve-Slow-Train-Analysis-(2080s-and-2083s)?_g=(refreshInterval:(display:Off,section:0,value:0),time:(from:'"&amp;TEXT(E70-1/24/60,"yyyy-MM-DD hh:mm:ss")&amp;"-0600',mode:absolute,to:'"&amp;TEXT(I70+1/24/60,"yyyy-MM-DD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70&amp;"%22')),sort:!(Time,asc))"</f>
        <v>https://search-rtdc-monitor-bjffxe2xuh6vdkpspy63sjmuny.us-east-1.es.amazonaws.com/_plugin/kibana/#/discover/Steve-Slow-Train-Analysis-(2080s-and-2083s)?_g=(refreshInterval:(display:Off,section:0,value:0),time:(from:'2016-05-22 13:17:02-0600',mode:absolute,to:'2016-05-22 14:10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70" s="74" t="str">
        <f>IF(Y70&lt;23,"Y","N")</f>
        <v>N</v>
      </c>
      <c r="V70" s="74">
        <f>VALUE(LEFT(A70,3))-VALUE(LEFT(A69,3))</f>
        <v>1</v>
      </c>
      <c r="W70" s="74">
        <f>RIGHT(D70,LEN(D70)-4)/10000</f>
        <v>23.2987</v>
      </c>
      <c r="X70" s="74">
        <f>RIGHT(H70,LEN(H70)-4)/10000</f>
        <v>1.41E-2</v>
      </c>
      <c r="Y70" s="74">
        <f>ABS(X70-W70)</f>
        <v>23.284600000000001</v>
      </c>
      <c r="Z70" s="75" t="e">
        <f>VLOOKUP(A70,Enforcements!$C$3:$J$55,8,0)</f>
        <v>#N/A</v>
      </c>
      <c r="AA70" s="75" t="e">
        <f>VLOOKUP(A70,Enforcements!$C$3:$J$55,3,0)</f>
        <v>#N/A</v>
      </c>
    </row>
    <row r="71" spans="1:27" s="2" customFormat="1" x14ac:dyDescent="0.25">
      <c r="A71" s="61" t="s">
        <v>358</v>
      </c>
      <c r="B71" s="61">
        <v>4011</v>
      </c>
      <c r="C71" s="61" t="s">
        <v>66</v>
      </c>
      <c r="D71" s="61" t="s">
        <v>453</v>
      </c>
      <c r="E71" s="30">
        <v>42512.54109953704</v>
      </c>
      <c r="F71" s="30">
        <v>42512.542615740742</v>
      </c>
      <c r="G71" s="38">
        <v>2</v>
      </c>
      <c r="H71" s="30" t="s">
        <v>454</v>
      </c>
      <c r="I71" s="30">
        <v>42512.574178240742</v>
      </c>
      <c r="J71" s="61">
        <v>1</v>
      </c>
      <c r="K71" s="61" t="str">
        <f>IF(ISEVEN(B71),(B71-1)&amp;"/"&amp;B71,B71&amp;"/"&amp;(B71+1))</f>
        <v>4011/4012</v>
      </c>
      <c r="L71" s="61" t="str">
        <f>VLOOKUP(A71,'Trips&amp;Operators'!$C$1:$E$9999,3,FALSE)</f>
        <v>WEBSTER</v>
      </c>
      <c r="M71" s="12">
        <f>I71-F71</f>
        <v>3.1562500000291038E-2</v>
      </c>
      <c r="N71" s="13">
        <f>24*60*SUM($M71:$M71)</f>
        <v>45.450000000419095</v>
      </c>
      <c r="O71" s="13"/>
      <c r="P71" s="13"/>
      <c r="Q71" s="62"/>
      <c r="R71" s="62"/>
      <c r="T71" s="74" t="str">
        <f>"https://search-rtdc-monitor-bjffxe2xuh6vdkpspy63sjmuny.us-east-1.es.amazonaws.com/_plugin/kibana/#/discover/Steve-Slow-Train-Analysis-(2080s-and-2083s)?_g=(refreshInterval:(display:Off,section:0,value:0),time:(from:'"&amp;TEXT(E71-1/24/60,"yyyy-MM-DD hh:mm:ss")&amp;"-0600',mode:absolute,to:'"&amp;TEXT(I71+1/24/60,"yyyy-MM-DD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71&amp;"%22')),sort:!(Time,asc))"</f>
        <v>https://search-rtdc-monitor-bjffxe2xuh6vdkpspy63sjmuny.us-east-1.es.amazonaws.com/_plugin/kibana/#/discover/Steve-Slow-Train-Analysis-(2080s-and-2083s)?_g=(refreshInterval:(display:Off,section:0,value:0),time:(from:'2016-05-22 12:58:11-0600',mode:absolute,to:'2016-05-22 13:47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71" s="74" t="str">
        <f>IF(Y71&lt;23,"Y","N")</f>
        <v>N</v>
      </c>
      <c r="V71" s="74">
        <f>VALUE(LEFT(A71,3))-VALUE(LEFT(A70,3))</f>
        <v>3</v>
      </c>
      <c r="W71" s="74">
        <f>RIGHT(D71,LEN(D71)-4)/10000</f>
        <v>4.3499999999999997E-2</v>
      </c>
      <c r="X71" s="74">
        <f>RIGHT(H71,LEN(H71)-4)/10000</f>
        <v>23.33</v>
      </c>
      <c r="Y71" s="74">
        <f>ABS(X71-W71)</f>
        <v>23.286499999999997</v>
      </c>
      <c r="Z71" s="75">
        <f>VLOOKUP(A71,Enforcements!$C$3:$J$55,8,0)</f>
        <v>233491</v>
      </c>
      <c r="AA71" s="75" t="str">
        <f>VLOOKUP(A71,Enforcements!$C$3:$J$55,3,0)</f>
        <v>TRACK WARRANT AUTHORITY</v>
      </c>
    </row>
    <row r="72" spans="1:27" s="2" customFormat="1" x14ac:dyDescent="0.25">
      <c r="A72" s="61" t="s">
        <v>455</v>
      </c>
      <c r="B72" s="61">
        <v>4012</v>
      </c>
      <c r="C72" s="61" t="s">
        <v>66</v>
      </c>
      <c r="D72" s="61" t="s">
        <v>149</v>
      </c>
      <c r="E72" s="30">
        <v>42512.58216435185</v>
      </c>
      <c r="F72" s="30">
        <v>42512.583182870374</v>
      </c>
      <c r="G72" s="38">
        <v>1</v>
      </c>
      <c r="H72" s="30" t="s">
        <v>75</v>
      </c>
      <c r="I72" s="30">
        <v>42512.611192129632</v>
      </c>
      <c r="J72" s="61">
        <v>0</v>
      </c>
      <c r="K72" s="61" t="str">
        <f>IF(ISEVEN(B72),(B72-1)&amp;"/"&amp;B72,B72&amp;"/"&amp;(B72+1))</f>
        <v>4011/4012</v>
      </c>
      <c r="L72" s="61" t="str">
        <f>VLOOKUP(A72,'Trips&amp;Operators'!$C$1:$E$9999,3,FALSE)</f>
        <v>WEBSTER</v>
      </c>
      <c r="M72" s="12">
        <f>I72-F72</f>
        <v>2.8009259258396924E-2</v>
      </c>
      <c r="N72" s="13">
        <f>24*60*SUM($M72:$M72)</f>
        <v>40.33333333209157</v>
      </c>
      <c r="O72" s="13"/>
      <c r="P72" s="13"/>
      <c r="Q72" s="62"/>
      <c r="R72" s="62"/>
      <c r="T72" s="74" t="str">
        <f>"https://search-rtdc-monitor-bjffxe2xuh6vdkpspy63sjmuny.us-east-1.es.amazonaws.com/_plugin/kibana/#/discover/Steve-Slow-Train-Analysis-(2080s-and-2083s)?_g=(refreshInterval:(display:Off,section:0,value:0),time:(from:'"&amp;TEXT(E72-1/24/60,"yyyy-MM-DD hh:mm:ss")&amp;"-0600',mode:absolute,to:'"&amp;TEXT(I72+1/24/60,"yyyy-MM-DD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72&amp;"%22')),sort:!(Time,asc))"</f>
        <v>https://search-rtdc-monitor-bjffxe2xuh6vdkpspy63sjmuny.us-east-1.es.amazonaws.com/_plugin/kibana/#/discover/Steve-Slow-Train-Analysis-(2080s-and-2083s)?_g=(refreshInterval:(display:Off,section:0,value:0),time:(from:'2016-05-22 13:57:19-0600',mode:absolute,to:'2016-05-22 14:41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72" s="74" t="str">
        <f>IF(Y72&lt;23,"Y","N")</f>
        <v>N</v>
      </c>
      <c r="V72" s="74">
        <f>VALUE(LEFT(A72,3))-VALUE(LEFT(A71,3))</f>
        <v>1</v>
      </c>
      <c r="W72" s="74">
        <f>RIGHT(D72,LEN(D72)-4)/10000</f>
        <v>23.299299999999999</v>
      </c>
      <c r="X72" s="74">
        <f>RIGHT(H72,LEN(H72)-4)/10000</f>
        <v>1.4500000000000001E-2</v>
      </c>
      <c r="Y72" s="74">
        <f>ABS(X72-W72)</f>
        <v>23.284799999999997</v>
      </c>
      <c r="Z72" s="75" t="e">
        <f>VLOOKUP(A72,Enforcements!$C$3:$J$55,8,0)</f>
        <v>#N/A</v>
      </c>
      <c r="AA72" s="75" t="e">
        <f>VLOOKUP(A72,Enforcements!$C$3:$J$55,3,0)</f>
        <v>#N/A</v>
      </c>
    </row>
    <row r="73" spans="1:27" s="2" customFormat="1" x14ac:dyDescent="0.25">
      <c r="A73" s="61" t="s">
        <v>456</v>
      </c>
      <c r="B73" s="61">
        <v>4042</v>
      </c>
      <c r="C73" s="61" t="s">
        <v>66</v>
      </c>
      <c r="D73" s="61" t="s">
        <v>106</v>
      </c>
      <c r="E73" s="30">
        <v>42512.545416666668</v>
      </c>
      <c r="F73" s="30">
        <v>42512.546435185184</v>
      </c>
      <c r="G73" s="38">
        <v>1</v>
      </c>
      <c r="H73" s="30" t="s">
        <v>325</v>
      </c>
      <c r="I73" s="30">
        <v>42512.57984953704</v>
      </c>
      <c r="J73" s="61">
        <v>0</v>
      </c>
      <c r="K73" s="61" t="str">
        <f>IF(ISEVEN(B73),(B73-1)&amp;"/"&amp;B73,B73&amp;"/"&amp;(B73+1))</f>
        <v>4041/4042</v>
      </c>
      <c r="L73" s="61" t="str">
        <f>VLOOKUP(A73,'Trips&amp;Operators'!$C$1:$E$9999,3,FALSE)</f>
        <v>BUTLER</v>
      </c>
      <c r="M73" s="12">
        <f>I73-F73</f>
        <v>3.3414351855753921E-2</v>
      </c>
      <c r="N73" s="13">
        <f>24*60*SUM($M73:$M73)</f>
        <v>48.116666672285646</v>
      </c>
      <c r="O73" s="13"/>
      <c r="P73" s="13"/>
      <c r="Q73" s="62"/>
      <c r="R73" s="62"/>
      <c r="T73" s="74" t="str">
        <f>"https://search-rtdc-monitor-bjffxe2xuh6vdkpspy63sjmuny.us-east-1.es.amazonaws.com/_plugin/kibana/#/discover/Steve-Slow-Train-Analysis-(2080s-and-2083s)?_g=(refreshInterval:(display:Off,section:0,value:0),time:(from:'"&amp;TEXT(E73-1/24/60,"yyyy-MM-DD hh:mm:ss")&amp;"-0600',mode:absolute,to:'"&amp;TEXT(I73+1/24/60,"yyyy-MM-DD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73&amp;"%22')),sort:!(Time,asc))"</f>
        <v>https://search-rtdc-monitor-bjffxe2xuh6vdkpspy63sjmuny.us-east-1.es.amazonaws.com/_plugin/kibana/#/discover/Steve-Slow-Train-Analysis-(2080s-and-2083s)?_g=(refreshInterval:(display:Off,section:0,value:0),time:(from:'2016-05-22 13:04:24-0600',mode:absolute,to:'2016-05-22 13:55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73" s="74" t="str">
        <f>IF(Y73&lt;23,"Y","N")</f>
        <v>N</v>
      </c>
      <c r="V73" s="74">
        <f>VALUE(LEFT(A73,3))-VALUE(LEFT(A72,3))</f>
        <v>1</v>
      </c>
      <c r="W73" s="74">
        <f>RIGHT(D73,LEN(D73)-4)/10000</f>
        <v>4.58E-2</v>
      </c>
      <c r="X73" s="74">
        <f>RIGHT(H73,LEN(H73)-4)/10000</f>
        <v>23.329699999999999</v>
      </c>
      <c r="Y73" s="74">
        <f>ABS(X73-W73)</f>
        <v>23.283899999999999</v>
      </c>
      <c r="Z73" s="75" t="e">
        <f>VLOOKUP(A73,Enforcements!$C$3:$J$55,8,0)</f>
        <v>#N/A</v>
      </c>
      <c r="AA73" s="75" t="e">
        <f>VLOOKUP(A73,Enforcements!$C$3:$J$55,3,0)</f>
        <v>#N/A</v>
      </c>
    </row>
    <row r="74" spans="1:27" s="2" customFormat="1" x14ac:dyDescent="0.25">
      <c r="A74" s="61" t="s">
        <v>457</v>
      </c>
      <c r="B74" s="61">
        <v>4041</v>
      </c>
      <c r="C74" s="61" t="s">
        <v>66</v>
      </c>
      <c r="D74" s="61" t="s">
        <v>87</v>
      </c>
      <c r="E74" s="30">
        <v>42512.584236111114</v>
      </c>
      <c r="F74" s="30">
        <v>42512.585277777776</v>
      </c>
      <c r="G74" s="38">
        <v>1</v>
      </c>
      <c r="H74" s="30" t="s">
        <v>94</v>
      </c>
      <c r="I74" s="30">
        <v>42512.616932870369</v>
      </c>
      <c r="J74" s="61">
        <v>0</v>
      </c>
      <c r="K74" s="61" t="str">
        <f>IF(ISEVEN(B74),(B74-1)&amp;"/"&amp;B74,B74&amp;"/"&amp;(B74+1))</f>
        <v>4041/4042</v>
      </c>
      <c r="L74" s="61" t="str">
        <f>VLOOKUP(A74,'Trips&amp;Operators'!$C$1:$E$9999,3,FALSE)</f>
        <v>BUTLER</v>
      </c>
      <c r="M74" s="12">
        <f>I74-F74</f>
        <v>3.1655092592700385E-2</v>
      </c>
      <c r="N74" s="13">
        <f>24*60*SUM($M74:$M74)</f>
        <v>45.583333333488554</v>
      </c>
      <c r="O74" s="13"/>
      <c r="P74" s="13"/>
      <c r="Q74" s="62"/>
      <c r="R74" s="62"/>
      <c r="T74" s="74" t="str">
        <f>"https://search-rtdc-monitor-bjffxe2xuh6vdkpspy63sjmuny.us-east-1.es.amazonaws.com/_plugin/kibana/#/discover/Steve-Slow-Train-Analysis-(2080s-and-2083s)?_g=(refreshInterval:(display:Off,section:0,value:0),time:(from:'"&amp;TEXT(E74-1/24/60,"yyyy-MM-DD hh:mm:ss")&amp;"-0600',mode:absolute,to:'"&amp;TEXT(I74+1/24/60,"yyyy-MM-DD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74&amp;"%22')),sort:!(Time,asc))"</f>
        <v>https://search-rtdc-monitor-bjffxe2xuh6vdkpspy63sjmuny.us-east-1.es.amazonaws.com/_plugin/kibana/#/discover/Steve-Slow-Train-Analysis-(2080s-and-2083s)?_g=(refreshInterval:(display:Off,section:0,value:0),time:(from:'2016-05-22 14:00:18-0600',mode:absolute,to:'2016-05-22 14:49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74" s="74" t="str">
        <f>IF(Y74&lt;23,"Y","N")</f>
        <v>N</v>
      </c>
      <c r="V74" s="74">
        <f>VALUE(LEFT(A74,3))-VALUE(LEFT(A73,3))</f>
        <v>1</v>
      </c>
      <c r="W74" s="74">
        <f>RIGHT(D74,LEN(D74)-4)/10000</f>
        <v>23.297999999999998</v>
      </c>
      <c r="X74" s="74">
        <f>RIGHT(H74,LEN(H74)-4)/10000</f>
        <v>1.41E-2</v>
      </c>
      <c r="Y74" s="74">
        <f>ABS(X74-W74)</f>
        <v>23.283899999999999</v>
      </c>
      <c r="Z74" s="75" t="e">
        <f>VLOOKUP(A74,Enforcements!$C$3:$J$55,8,0)</f>
        <v>#N/A</v>
      </c>
      <c r="AA74" s="75" t="e">
        <f>VLOOKUP(A74,Enforcements!$C$3:$J$55,3,0)</f>
        <v>#N/A</v>
      </c>
    </row>
    <row r="75" spans="1:27" s="2" customFormat="1" x14ac:dyDescent="0.25">
      <c r="A75" s="61" t="s">
        <v>458</v>
      </c>
      <c r="B75" s="61">
        <v>4024</v>
      </c>
      <c r="C75" s="61" t="s">
        <v>66</v>
      </c>
      <c r="D75" s="61" t="s">
        <v>81</v>
      </c>
      <c r="E75" s="30">
        <v>42512.561747685184</v>
      </c>
      <c r="F75" s="30">
        <v>42512.562974537039</v>
      </c>
      <c r="G75" s="38">
        <v>1</v>
      </c>
      <c r="H75" s="30" t="s">
        <v>147</v>
      </c>
      <c r="I75" s="30">
        <v>42512.596805555557</v>
      </c>
      <c r="J75" s="61">
        <v>0</v>
      </c>
      <c r="K75" s="61" t="str">
        <f>IF(ISEVEN(B75),(B75-1)&amp;"/"&amp;B75,B75&amp;"/"&amp;(B75+1))</f>
        <v>4023/4024</v>
      </c>
      <c r="L75" s="61" t="str">
        <f>VLOOKUP(A75,'Trips&amp;Operators'!$C$1:$E$9999,3,FALSE)</f>
        <v>BRUDER</v>
      </c>
      <c r="M75" s="12">
        <f>I75-F75</f>
        <v>3.3831018517958E-2</v>
      </c>
      <c r="N75" s="13">
        <f>24*60*SUM($M75:$M75)</f>
        <v>48.71666666585952</v>
      </c>
      <c r="O75" s="13"/>
      <c r="P75" s="13"/>
      <c r="Q75" s="62"/>
      <c r="R75" s="62"/>
      <c r="T75" s="74" t="str">
        <f>"https://search-rtdc-monitor-bjffxe2xuh6vdkpspy63sjmuny.us-east-1.es.amazonaws.com/_plugin/kibana/#/discover/Steve-Slow-Train-Analysis-(2080s-and-2083s)?_g=(refreshInterval:(display:Off,section:0,value:0),time:(from:'"&amp;TEXT(E75-1/24/60,"yyyy-MM-DD hh:mm:ss")&amp;"-0600',mode:absolute,to:'"&amp;TEXT(I75+1/24/60,"yyyy-MM-DD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75&amp;"%22')),sort:!(Time,asc))"</f>
        <v>https://search-rtdc-monitor-bjffxe2xuh6vdkpspy63sjmuny.us-east-1.es.amazonaws.com/_plugin/kibana/#/discover/Steve-Slow-Train-Analysis-(2080s-and-2083s)?_g=(refreshInterval:(display:Off,section:0,value:0),time:(from:'2016-05-22 13:27:55-0600',mode:absolute,to:'2016-05-22 14:20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5" s="74" t="str">
        <f>IF(Y75&lt;23,"Y","N")</f>
        <v>N</v>
      </c>
      <c r="V75" s="74">
        <f>VALUE(LEFT(A75,3))-VALUE(LEFT(A74,3))</f>
        <v>1</v>
      </c>
      <c r="W75" s="74">
        <f>RIGHT(D75,LEN(D75)-4)/10000</f>
        <v>4.53E-2</v>
      </c>
      <c r="X75" s="74">
        <f>RIGHT(H75,LEN(H75)-4)/10000</f>
        <v>23.331399999999999</v>
      </c>
      <c r="Y75" s="74">
        <f>ABS(X75-W75)</f>
        <v>23.286099999999998</v>
      </c>
      <c r="Z75" s="75" t="e">
        <f>VLOOKUP(A75,Enforcements!$C$3:$J$55,8,0)</f>
        <v>#N/A</v>
      </c>
      <c r="AA75" s="75" t="e">
        <f>VLOOKUP(A75,Enforcements!$C$3:$J$55,3,0)</f>
        <v>#N/A</v>
      </c>
    </row>
    <row r="76" spans="1:27" s="2" customFormat="1" x14ac:dyDescent="0.25">
      <c r="A76" s="61" t="s">
        <v>360</v>
      </c>
      <c r="B76" s="61">
        <v>4023</v>
      </c>
      <c r="C76" s="61" t="s">
        <v>66</v>
      </c>
      <c r="D76" s="61" t="s">
        <v>459</v>
      </c>
      <c r="E76" s="30">
        <v>42512.600254629629</v>
      </c>
      <c r="F76" s="30">
        <v>42512.601030092592</v>
      </c>
      <c r="G76" s="38">
        <v>1</v>
      </c>
      <c r="H76" s="30" t="s">
        <v>75</v>
      </c>
      <c r="I76" s="30">
        <v>42512.629814814813</v>
      </c>
      <c r="J76" s="61">
        <v>1</v>
      </c>
      <c r="K76" s="61" t="str">
        <f>IF(ISEVEN(B76),(B76-1)&amp;"/"&amp;B76,B76&amp;"/"&amp;(B76+1))</f>
        <v>4023/4024</v>
      </c>
      <c r="L76" s="61" t="str">
        <f>VLOOKUP(A76,'Trips&amp;Operators'!$C$1:$E$9999,3,FALSE)</f>
        <v>BRUDER</v>
      </c>
      <c r="M76" s="12">
        <f>I76-F76</f>
        <v>2.8784722220734693E-2</v>
      </c>
      <c r="N76" s="13">
        <f>24*60*SUM($M76:$M76)</f>
        <v>41.449999997857958</v>
      </c>
      <c r="O76" s="13"/>
      <c r="P76" s="13"/>
      <c r="Q76" s="62"/>
      <c r="R76" s="62"/>
      <c r="T76" s="74" t="str">
        <f>"https://search-rtdc-monitor-bjffxe2xuh6vdkpspy63sjmuny.us-east-1.es.amazonaws.com/_plugin/kibana/#/discover/Steve-Slow-Train-Analysis-(2080s-and-2083s)?_g=(refreshInterval:(display:Off,section:0,value:0),time:(from:'"&amp;TEXT(E76-1/24/60,"yyyy-MM-DD hh:mm:ss")&amp;"-0600',mode:absolute,to:'"&amp;TEXT(I76+1/24/60,"yyyy-MM-DD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76&amp;"%22')),sort:!(Time,asc))"</f>
        <v>https://search-rtdc-monitor-bjffxe2xuh6vdkpspy63sjmuny.us-east-1.es.amazonaws.com/_plugin/kibana/#/discover/Steve-Slow-Train-Analysis-(2080s-and-2083s)?_g=(refreshInterval:(display:Off,section:0,value:0),time:(from:'2016-05-22 14:23:22-0600',mode:absolute,to:'2016-05-22 15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76" s="74" t="str">
        <f>IF(Y76&lt;23,"Y","N")</f>
        <v>N</v>
      </c>
      <c r="V76" s="74">
        <f>VALUE(LEFT(A76,3))-VALUE(LEFT(A75,3))</f>
        <v>1</v>
      </c>
      <c r="W76" s="74">
        <f>RIGHT(D76,LEN(D76)-4)/10000</f>
        <v>23.3</v>
      </c>
      <c r="X76" s="74">
        <f>RIGHT(H76,LEN(H76)-4)/10000</f>
        <v>1.4500000000000001E-2</v>
      </c>
      <c r="Y76" s="74">
        <f>ABS(X76-W76)</f>
        <v>23.285499999999999</v>
      </c>
      <c r="Z76" s="75">
        <f>VLOOKUP(A76,Enforcements!$C$3:$J$55,8,0)</f>
        <v>1</v>
      </c>
      <c r="AA76" s="75" t="str">
        <f>VLOOKUP(A76,Enforcements!$C$3:$J$55,3,0)</f>
        <v>TRACK WARRANT AUTHORITY</v>
      </c>
    </row>
    <row r="77" spans="1:27" s="2" customFormat="1" x14ac:dyDescent="0.25">
      <c r="A77" s="61" t="s">
        <v>359</v>
      </c>
      <c r="B77" s="61">
        <v>4007</v>
      </c>
      <c r="C77" s="61" t="s">
        <v>66</v>
      </c>
      <c r="D77" s="61" t="s">
        <v>106</v>
      </c>
      <c r="E77" s="30">
        <v>42512.570601851854</v>
      </c>
      <c r="F77" s="30">
        <v>42512.57130787037</v>
      </c>
      <c r="G77" s="38">
        <v>1</v>
      </c>
      <c r="H77" s="30" t="s">
        <v>460</v>
      </c>
      <c r="I77" s="30">
        <v>42512.59847222222</v>
      </c>
      <c r="J77" s="61">
        <v>1</v>
      </c>
      <c r="K77" s="61" t="str">
        <f>IF(ISEVEN(B77),(B77-1)&amp;"/"&amp;B77,B77&amp;"/"&amp;(B77+1))</f>
        <v>4007/4008</v>
      </c>
      <c r="L77" s="61" t="str">
        <f>VLOOKUP(A77,'Trips&amp;Operators'!$C$1:$E$9999,3,FALSE)</f>
        <v>LOCKLEAR</v>
      </c>
      <c r="M77" s="12">
        <f>I77-F77</f>
        <v>2.7164351849933155E-2</v>
      </c>
      <c r="N77" s="13">
        <f>24*60*SUM($M77:$M77)</f>
        <v>39.116666663903743</v>
      </c>
      <c r="O77" s="13"/>
      <c r="P77" s="13"/>
      <c r="Q77" s="62"/>
      <c r="R77" s="62"/>
      <c r="T77" s="74" t="str">
        <f>"https://search-rtdc-monitor-bjffxe2xuh6vdkpspy63sjmuny.us-east-1.es.amazonaws.com/_plugin/kibana/#/discover/Steve-Slow-Train-Analysis-(2080s-and-2083s)?_g=(refreshInterval:(display:Off,section:0,value:0),time:(from:'"&amp;TEXT(E77-1/24/60,"yyyy-MM-DD hh:mm:ss")&amp;"-0600',mode:absolute,to:'"&amp;TEXT(I77+1/24/60,"yyyy-MM-DD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77&amp;"%22')),sort:!(Time,asc))"</f>
        <v>https://search-rtdc-monitor-bjffxe2xuh6vdkpspy63sjmuny.us-east-1.es.amazonaws.com/_plugin/kibana/#/discover/Steve-Slow-Train-Analysis-(2080s-and-2083s)?_g=(refreshInterval:(display:Off,section:0,value:0),time:(from:'2016-05-22 13:40:40-0600',mode:absolute,to:'2016-05-22 14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77" s="74" t="str">
        <f>IF(Y77&lt;23,"Y","N")</f>
        <v>N</v>
      </c>
      <c r="V77" s="74">
        <f>VALUE(LEFT(A77,3))-VALUE(LEFT(A76,3))</f>
        <v>1</v>
      </c>
      <c r="W77" s="74">
        <f>RIGHT(D77,LEN(D77)-4)/10000</f>
        <v>4.58E-2</v>
      </c>
      <c r="X77" s="74">
        <f>RIGHT(H77,LEN(H77)-4)/10000</f>
        <v>23.337</v>
      </c>
      <c r="Y77" s="74">
        <f>ABS(X77-W77)</f>
        <v>23.2912</v>
      </c>
      <c r="Z77" s="75">
        <f>VLOOKUP(A77,Enforcements!$C$3:$J$55,8,0)</f>
        <v>233491</v>
      </c>
      <c r="AA77" s="75" t="str">
        <f>VLOOKUP(A77,Enforcements!$C$3:$J$55,3,0)</f>
        <v>TRACK WARRANT AUTHORITY</v>
      </c>
    </row>
    <row r="78" spans="1:27" s="2" customFormat="1" x14ac:dyDescent="0.25">
      <c r="A78" s="61" t="s">
        <v>461</v>
      </c>
      <c r="B78" s="61">
        <v>4008</v>
      </c>
      <c r="C78" s="61" t="s">
        <v>66</v>
      </c>
      <c r="D78" s="61" t="s">
        <v>320</v>
      </c>
      <c r="E78" s="30">
        <v>42512.6093287037</v>
      </c>
      <c r="F78" s="30">
        <v>42512.610335648147</v>
      </c>
      <c r="G78" s="38">
        <v>1</v>
      </c>
      <c r="H78" s="30" t="s">
        <v>397</v>
      </c>
      <c r="I78" s="30">
        <v>42512.640555555554</v>
      </c>
      <c r="J78" s="61">
        <v>0</v>
      </c>
      <c r="K78" s="61" t="str">
        <f>IF(ISEVEN(B78),(B78-1)&amp;"/"&amp;B78,B78&amp;"/"&amp;(B78+1))</f>
        <v>4007/4008</v>
      </c>
      <c r="L78" s="61" t="str">
        <f>VLOOKUP(A78,'Trips&amp;Operators'!$C$1:$E$9999,3,FALSE)</f>
        <v>LOCKLEAR</v>
      </c>
      <c r="M78" s="12">
        <f>I78-F78</f>
        <v>3.0219907406717539E-2</v>
      </c>
      <c r="N78" s="13">
        <f>24*60*SUM($M78:$M78)</f>
        <v>43.516666665673256</v>
      </c>
      <c r="O78" s="13"/>
      <c r="P78" s="13"/>
      <c r="Q78" s="62"/>
      <c r="R78" s="62"/>
      <c r="T78" s="74" t="str">
        <f>"https://search-rtdc-monitor-bjffxe2xuh6vdkpspy63sjmuny.us-east-1.es.amazonaws.com/_plugin/kibana/#/discover/Steve-Slow-Train-Analysis-(2080s-and-2083s)?_g=(refreshInterval:(display:Off,section:0,value:0),time:(from:'"&amp;TEXT(E78-1/24/60,"yyyy-MM-DD hh:mm:ss")&amp;"-0600',mode:absolute,to:'"&amp;TEXT(I78+1/24/60,"yyyy-MM-DD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https://search-rtdc-monitor-bjffxe2xuh6vdkpspy63sjmuny.us-east-1.es.amazonaws.com/_plugin/kibana/#/discover/Steve-Slow-Train-Analysis-(2080s-and-2083s)?_g=(refreshInterval:(display:Off,section:0,value:0),time:(from:'2016-05-22 14:36:26-0600',mode:absolute,to:'2016-05-22 15:23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78" s="74" t="str">
        <f>IF(Y78&lt;23,"Y","N")</f>
        <v>N</v>
      </c>
      <c r="V78" s="74">
        <f>VALUE(LEFT(A78,3))-VALUE(LEFT(A77,3))</f>
        <v>1</v>
      </c>
      <c r="W78" s="74">
        <f>RIGHT(D78,LEN(D78)-4)/10000</f>
        <v>23.305099999999999</v>
      </c>
      <c r="X78" s="74">
        <f>RIGHT(H78,LEN(H78)-4)/10000</f>
        <v>1.2699999999999999E-2</v>
      </c>
      <c r="Y78" s="74">
        <f>ABS(X78-W78)</f>
        <v>23.292400000000001</v>
      </c>
      <c r="Z78" s="75" t="e">
        <f>VLOOKUP(A78,Enforcements!$C$3:$J$55,8,0)</f>
        <v>#N/A</v>
      </c>
      <c r="AA78" s="75" t="e">
        <f>VLOOKUP(A78,Enforcements!$C$3:$J$55,3,0)</f>
        <v>#N/A</v>
      </c>
    </row>
    <row r="79" spans="1:27" s="2" customFormat="1" x14ac:dyDescent="0.25">
      <c r="A79" s="61" t="s">
        <v>462</v>
      </c>
      <c r="B79" s="61">
        <v>4002</v>
      </c>
      <c r="C79" s="61" t="s">
        <v>66</v>
      </c>
      <c r="D79" s="61" t="s">
        <v>322</v>
      </c>
      <c r="E79" s="30">
        <v>42512.578182870369</v>
      </c>
      <c r="F79" s="30">
        <v>42512.579201388886</v>
      </c>
      <c r="G79" s="38">
        <v>1</v>
      </c>
      <c r="H79" s="30" t="s">
        <v>147</v>
      </c>
      <c r="I79" s="30">
        <v>42512.609594907408</v>
      </c>
      <c r="J79" s="61">
        <v>0</v>
      </c>
      <c r="K79" s="61" t="str">
        <f>IF(ISEVEN(B79),(B79-1)&amp;"/"&amp;B79,B79&amp;"/"&amp;(B79+1))</f>
        <v>4001/4002</v>
      </c>
      <c r="L79" s="61" t="str">
        <f>VLOOKUP(A79,'Trips&amp;Operators'!$C$1:$E$9999,3,FALSE)</f>
        <v>ACKERMAN</v>
      </c>
      <c r="M79" s="12">
        <f>I79-F79</f>
        <v>3.0393518522032537E-2</v>
      </c>
      <c r="N79" s="13">
        <f>24*60*SUM($M79:$M79)</f>
        <v>43.766666671726853</v>
      </c>
      <c r="O79" s="13"/>
      <c r="P79" s="13"/>
      <c r="Q79" s="62"/>
      <c r="R79" s="62"/>
      <c r="T79" s="74" t="str">
        <f>"https://search-rtdc-monitor-bjffxe2xuh6vdkpspy63sjmuny.us-east-1.es.amazonaws.com/_plugin/kibana/#/discover/Steve-Slow-Train-Analysis-(2080s-and-2083s)?_g=(refreshInterval:(display:Off,section:0,value:0),time:(from:'"&amp;TEXT(E79-1/24/60,"yyyy-MM-DD hh:mm:ss")&amp;"-0600',mode:absolute,to:'"&amp;TEXT(I79+1/24/60,"yyyy-MM-DD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https://search-rtdc-monitor-bjffxe2xuh6vdkpspy63sjmuny.us-east-1.es.amazonaws.com/_plugin/kibana/#/discover/Steve-Slow-Train-Analysis-(2080s-and-2083s)?_g=(refreshInterval:(display:Off,section:0,value:0),time:(from:'2016-05-22 13:51:35-0600',mode:absolute,to:'2016-05-22 14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4002%22')),sort:!(Time,asc))</v>
      </c>
      <c r="U79" s="74" t="str">
        <f>IF(Y79&lt;23,"Y","N")</f>
        <v>N</v>
      </c>
      <c r="V79" s="74">
        <f>VALUE(LEFT(A79,3))-VALUE(LEFT(A78,3))</f>
        <v>1</v>
      </c>
      <c r="W79" s="74">
        <f>RIGHT(D79,LEN(D79)-4)/10000</f>
        <v>4.4200000000000003E-2</v>
      </c>
      <c r="X79" s="74">
        <f>RIGHT(H79,LEN(H79)-4)/10000</f>
        <v>23.331399999999999</v>
      </c>
      <c r="Y79" s="74">
        <f>ABS(X79-W79)</f>
        <v>23.287199999999999</v>
      </c>
      <c r="Z79" s="75" t="e">
        <f>VLOOKUP(A79,Enforcements!$C$3:$J$55,8,0)</f>
        <v>#N/A</v>
      </c>
      <c r="AA79" s="75" t="e">
        <f>VLOOKUP(A79,Enforcements!$C$3:$J$55,3,0)</f>
        <v>#N/A</v>
      </c>
    </row>
    <row r="80" spans="1:27" s="2" customFormat="1" x14ac:dyDescent="0.25">
      <c r="A80" s="61" t="s">
        <v>463</v>
      </c>
      <c r="B80" s="61">
        <v>4001</v>
      </c>
      <c r="C80" s="61" t="s">
        <v>66</v>
      </c>
      <c r="D80" s="61" t="s">
        <v>396</v>
      </c>
      <c r="E80" s="30">
        <v>42512.616319444445</v>
      </c>
      <c r="F80" s="30">
        <v>42512.617465277777</v>
      </c>
      <c r="G80" s="30">
        <v>1</v>
      </c>
      <c r="H80" s="30" t="s">
        <v>146</v>
      </c>
      <c r="I80" s="30">
        <v>42512.654537037037</v>
      </c>
      <c r="J80" s="61">
        <v>0</v>
      </c>
      <c r="K80" s="61" t="str">
        <f>IF(ISEVEN(B80),(B80-1)&amp;"/"&amp;B80,B80&amp;"/"&amp;(B80+1))</f>
        <v>4001/4002</v>
      </c>
      <c r="L80" s="61" t="str">
        <f>VLOOKUP(A80,'Trips&amp;Operators'!$C$1:$E$9999,3,FALSE)</f>
        <v>ACKERMAN</v>
      </c>
      <c r="M80" s="12">
        <f>I80-F80</f>
        <v>3.7071759259561077E-2</v>
      </c>
      <c r="N80" s="13">
        <f>24*60*SUM($M80:$M80)</f>
        <v>53.383333333767951</v>
      </c>
      <c r="O80" s="13"/>
      <c r="P80" s="13"/>
      <c r="Q80" s="62"/>
      <c r="R80" s="62"/>
      <c r="T80" s="74" t="str">
        <f>"https://search-rtdc-monitor-bjffxe2xuh6vdkpspy63sjmuny.us-east-1.es.amazonaws.com/_plugin/kibana/#/discover/Steve-Slow-Train-Analysis-(2080s-and-2083s)?_g=(refreshInterval:(display:Off,section:0,value:0),time:(from:'"&amp;TEXT(E80-1/24/60,"yyyy-MM-DD hh:mm:ss")&amp;"-0600',mode:absolute,to:'"&amp;TEXT(I80+1/24/60,"yyyy-MM-DD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80&amp;"%22')),sort:!(Time,asc))"</f>
        <v>https://search-rtdc-monitor-bjffxe2xuh6vdkpspy63sjmuny.us-east-1.es.amazonaws.com/_plugin/kibana/#/discover/Steve-Slow-Train-Analysis-(2080s-and-2083s)?_g=(refreshInterval:(display:Off,section:0,value:0),time:(from:'2016-05-22 14:46:30-0600',mode:absolute,to:'2016-05-22 15:43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4001%22')),sort:!(Time,asc))</v>
      </c>
      <c r="U80" s="74" t="str">
        <f>IF(Y80&lt;23,"Y","N")</f>
        <v>N</v>
      </c>
      <c r="V80" s="74">
        <f>VALUE(LEFT(A80,3))-VALUE(LEFT(A79,3))</f>
        <v>1</v>
      </c>
      <c r="W80" s="74">
        <f>RIGHT(D80,LEN(D80)-4)/10000</f>
        <v>23.2987</v>
      </c>
      <c r="X80" s="74">
        <f>RIGHT(H80,LEN(H80)-4)/10000</f>
        <v>1.6299999999999999E-2</v>
      </c>
      <c r="Y80" s="74">
        <f>ABS(X80-W80)</f>
        <v>23.282399999999999</v>
      </c>
      <c r="Z80" s="75" t="e">
        <f>VLOOKUP(A80,Enforcements!$C$3:$J$55,8,0)</f>
        <v>#N/A</v>
      </c>
      <c r="AA80" s="75" t="e">
        <f>VLOOKUP(A80,Enforcements!$C$3:$J$55,3,0)</f>
        <v>#N/A</v>
      </c>
    </row>
    <row r="81" spans="1:27" s="2" customFormat="1" x14ac:dyDescent="0.25">
      <c r="A81" s="61" t="s">
        <v>361</v>
      </c>
      <c r="B81" s="61">
        <v>4018</v>
      </c>
      <c r="C81" s="61" t="s">
        <v>66</v>
      </c>
      <c r="D81" s="61" t="s">
        <v>158</v>
      </c>
      <c r="E81" s="30">
        <v>42512.591261574074</v>
      </c>
      <c r="F81" s="30">
        <v>42512.59337962963</v>
      </c>
      <c r="G81" s="38">
        <v>3</v>
      </c>
      <c r="H81" s="30" t="s">
        <v>464</v>
      </c>
      <c r="I81" s="30">
        <v>42512.61105324074</v>
      </c>
      <c r="J81" s="61">
        <v>0</v>
      </c>
      <c r="K81" s="61" t="str">
        <f>IF(ISEVEN(B81),(B81-1)&amp;"/"&amp;B81,B81&amp;"/"&amp;(B81+1))</f>
        <v>4017/4018</v>
      </c>
      <c r="L81" s="61" t="str">
        <f>VLOOKUP(A81,'Trips&amp;Operators'!$C$1:$E$9999,3,FALSE)</f>
        <v>YORK</v>
      </c>
      <c r="M81" s="12">
        <f>I81-F81</f>
        <v>1.767361110978527E-2</v>
      </c>
      <c r="N81" s="13"/>
      <c r="O81" s="13"/>
      <c r="P81" s="13">
        <f>24*60*SUM($M81:$M82)</f>
        <v>48.100000001722947</v>
      </c>
      <c r="Q81" s="62" t="s">
        <v>537</v>
      </c>
      <c r="R81" s="62" t="s">
        <v>538</v>
      </c>
      <c r="T81" s="74" t="str">
        <f>"https://search-rtdc-monitor-bjffxe2xuh6vdkpspy63sjmuny.us-east-1.es.amazonaws.com/_plugin/kibana/#/discover/Steve-Slow-Train-Analysis-(2080s-and-2083s)?_g=(refreshInterval:(display:Off,section:0,value:0),time:(from:'"&amp;TEXT(E81-1/24/60,"yyyy-MM-DD hh:mm:ss")&amp;"-0600',mode:absolute,to:'"&amp;TEXT(I81+1/24/60,"yyyy-MM-DD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81&amp;"%22')),sort:!(Time,asc))"</f>
        <v>https://search-rtdc-monitor-bjffxe2xuh6vdkpspy63sjmuny.us-east-1.es.amazonaws.com/_plugin/kibana/#/discover/Steve-Slow-Train-Analysis-(2080s-and-2083s)?_g=(refreshInterval:(display:Off,section:0,value:0),time:(from:'2016-05-22 14:10:25-0600',mode:absolute,to:'2016-05-22 14:40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81" s="74" t="str">
        <f>IF(Y81&lt;23,"Y","N")</f>
        <v>Y</v>
      </c>
      <c r="V81" s="74">
        <f>VALUE(LEFT(A81,3))-VALUE(LEFT(A80,3))</f>
        <v>3</v>
      </c>
      <c r="W81" s="74">
        <f>RIGHT(D81,LEN(D81)-4)/10000</f>
        <v>4.6600000000000003E-2</v>
      </c>
      <c r="X81" s="74">
        <f>RIGHT(H81,LEN(H81)-4)/10000</f>
        <v>3.7717000000000001</v>
      </c>
      <c r="Y81" s="74">
        <f>ABS(X81-W81)</f>
        <v>3.7250999999999999</v>
      </c>
      <c r="Z81" s="75">
        <f>VLOOKUP(A81,Enforcements!$C$3:$J$55,8,0)</f>
        <v>233491</v>
      </c>
      <c r="AA81" s="75" t="str">
        <f>VLOOKUP(A81,Enforcements!$C$3:$J$55,3,0)</f>
        <v>TRACK WARRANT AUTHORITY</v>
      </c>
    </row>
    <row r="82" spans="1:27" s="2" customFormat="1" x14ac:dyDescent="0.25">
      <c r="A82" s="61" t="s">
        <v>361</v>
      </c>
      <c r="B82" s="61">
        <v>4018</v>
      </c>
      <c r="C82" s="61" t="s">
        <v>66</v>
      </c>
      <c r="D82" s="61" t="s">
        <v>465</v>
      </c>
      <c r="E82" s="30">
        <v>42512.616400462961</v>
      </c>
      <c r="F82" s="30">
        <v>42512.617060185185</v>
      </c>
      <c r="G82" s="38">
        <v>0</v>
      </c>
      <c r="H82" s="30" t="s">
        <v>123</v>
      </c>
      <c r="I82" s="30">
        <v>42512.632789351854</v>
      </c>
      <c r="J82" s="61">
        <v>1</v>
      </c>
      <c r="K82" s="61" t="str">
        <f>IF(ISEVEN(B82),(B82-1)&amp;"/"&amp;B82,B82&amp;"/"&amp;(B82+1))</f>
        <v>4017/4018</v>
      </c>
      <c r="L82" s="61" t="str">
        <f>VLOOKUP(A82,'Trips&amp;Operators'!$C$1:$E$9999,3,FALSE)</f>
        <v>YORK</v>
      </c>
      <c r="M82" s="12">
        <f>I82-F82</f>
        <v>1.5729166669188999E-2</v>
      </c>
      <c r="N82" s="13"/>
      <c r="O82" s="13"/>
      <c r="P82" s="13"/>
      <c r="Q82" s="62"/>
      <c r="R82" s="62"/>
      <c r="T82" s="74" t="str">
        <f>"https://search-rtdc-monitor-bjffxe2xuh6vdkpspy63sjmuny.us-east-1.es.amazonaws.com/_plugin/kibana/#/discover/Steve-Slow-Train-Analysis-(2080s-and-2083s)?_g=(refreshInterval:(display:Off,section:0,value:0),time:(from:'"&amp;TEXT(E82-1/24/60,"yyyy-MM-DD hh:mm:ss")&amp;"-0600',mode:absolute,to:'"&amp;TEXT(I82+1/24/60,"yyyy-MM-DD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https://search-rtdc-monitor-bjffxe2xuh6vdkpspy63sjmuny.us-east-1.es.amazonaws.com/_plugin/kibana/#/discover/Steve-Slow-Train-Analysis-(2080s-and-2083s)?_g=(refreshInterval:(display:Off,section:0,value:0),time:(from:'2016-05-22 14:46:37-0600',mode:absolute,to:'2016-05-22 15:12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82" s="74" t="str">
        <f>IF(Y82&lt;23,"Y","N")</f>
        <v>Y</v>
      </c>
      <c r="V82" s="74">
        <f>VALUE(LEFT(A82,3))-VALUE(LEFT(A81,3))</f>
        <v>0</v>
      </c>
      <c r="W82" s="74">
        <f>RIGHT(D82,LEN(D82)-4)/10000</f>
        <v>6.4753999999999996</v>
      </c>
      <c r="X82" s="74">
        <f>RIGHT(H82,LEN(H82)-4)/10000</f>
        <v>23.330200000000001</v>
      </c>
      <c r="Y82" s="74">
        <f>ABS(X82-W82)</f>
        <v>16.854800000000001</v>
      </c>
      <c r="Z82" s="75">
        <f>VLOOKUP(A82,Enforcements!$C$3:$J$55,8,0)</f>
        <v>233491</v>
      </c>
      <c r="AA82" s="75" t="str">
        <f>VLOOKUP(A82,Enforcements!$C$3:$J$55,3,0)</f>
        <v>TRACK WARRANT AUTHORITY</v>
      </c>
    </row>
    <row r="83" spans="1:27" s="2" customFormat="1" x14ac:dyDescent="0.25">
      <c r="A83" s="61" t="s">
        <v>365</v>
      </c>
      <c r="B83" s="61">
        <v>4017</v>
      </c>
      <c r="C83" s="61" t="s">
        <v>66</v>
      </c>
      <c r="D83" s="61" t="s">
        <v>74</v>
      </c>
      <c r="E83" s="30">
        <v>42512.639918981484</v>
      </c>
      <c r="F83" s="30">
        <v>42512.640821759262</v>
      </c>
      <c r="G83" s="38">
        <v>1</v>
      </c>
      <c r="H83" s="30" t="s">
        <v>153</v>
      </c>
      <c r="I83" s="30">
        <v>42512.671851851854</v>
      </c>
      <c r="J83" s="61">
        <v>2</v>
      </c>
      <c r="K83" s="61" t="str">
        <f>IF(ISEVEN(B83),(B83-1)&amp;"/"&amp;B83,B83&amp;"/"&amp;(B83+1))</f>
        <v>4017/4018</v>
      </c>
      <c r="L83" s="61" t="str">
        <f>VLOOKUP(A83,'Trips&amp;Operators'!$C$1:$E$9999,3,FALSE)</f>
        <v>YORK</v>
      </c>
      <c r="M83" s="12">
        <f>I83-F83</f>
        <v>3.1030092592118308E-2</v>
      </c>
      <c r="N83" s="13">
        <f>24*60*SUM($M83:$M83)</f>
        <v>44.683333332650363</v>
      </c>
      <c r="O83" s="13"/>
      <c r="P83" s="13"/>
      <c r="Q83" s="62"/>
      <c r="R83" s="62"/>
      <c r="T83" s="74" t="str">
        <f>"https://search-rtdc-monitor-bjffxe2xuh6vdkpspy63sjmuny.us-east-1.es.amazonaws.com/_plugin/kibana/#/discover/Steve-Slow-Train-Analysis-(2080s-and-2083s)?_g=(refreshInterval:(display:Off,section:0,value:0),time:(from:'"&amp;TEXT(E83-1/24/60,"yyyy-MM-DD hh:mm:ss")&amp;"-0600',mode:absolute,to:'"&amp;TEXT(I83+1/24/60,"yyyy-MM-DD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83&amp;"%22')),sort:!(Time,asc))"</f>
        <v>https://search-rtdc-monitor-bjffxe2xuh6vdkpspy63sjmuny.us-east-1.es.amazonaws.com/_plugin/kibana/#/discover/Steve-Slow-Train-Analysis-(2080s-and-2083s)?_g=(refreshInterval:(display:Off,section:0,value:0),time:(from:'2016-05-22 15:20:29-0600',mode:absolute,to:'2016-05-22 16:08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83" s="74" t="s">
        <v>88</v>
      </c>
      <c r="V83" s="74">
        <f>VALUE(LEFT(A83,3))-VALUE(LEFT(A82,3))</f>
        <v>1</v>
      </c>
      <c r="W83" s="74">
        <f>RIGHT(D83,LEN(D83)-4)/10000</f>
        <v>23.2989</v>
      </c>
      <c r="X83" s="74">
        <v>1.4999999999999999E-2</v>
      </c>
      <c r="Y83" s="74">
        <f>ABS(X83-W83)</f>
        <v>23.283899999999999</v>
      </c>
      <c r="Z83" s="75">
        <f>VLOOKUP(A83,Enforcements!$C$3:$J$55,8,0)</f>
        <v>53155</v>
      </c>
      <c r="AA83" s="75" t="str">
        <f>VLOOKUP(A83,Enforcements!$C$3:$J$55,3,0)</f>
        <v>GRADE CROSSING</v>
      </c>
    </row>
    <row r="84" spans="1:27" s="2" customFormat="1" x14ac:dyDescent="0.25">
      <c r="A84" s="61" t="s">
        <v>362</v>
      </c>
      <c r="B84" s="61">
        <v>4011</v>
      </c>
      <c r="C84" s="61" t="s">
        <v>66</v>
      </c>
      <c r="D84" s="61" t="s">
        <v>79</v>
      </c>
      <c r="E84" s="30">
        <v>42512.613576388889</v>
      </c>
      <c r="F84" s="30">
        <v>42512.614675925928</v>
      </c>
      <c r="G84" s="38">
        <v>1</v>
      </c>
      <c r="H84" s="30" t="s">
        <v>145</v>
      </c>
      <c r="I84" s="30">
        <v>42512.647986111115</v>
      </c>
      <c r="J84" s="61">
        <v>1</v>
      </c>
      <c r="K84" s="61" t="str">
        <f>IF(ISEVEN(B84),(B84-1)&amp;"/"&amp;B84,B84&amp;"/"&amp;(B84+1))</f>
        <v>4011/4012</v>
      </c>
      <c r="L84" s="61" t="str">
        <f>VLOOKUP(A84,'Trips&amp;Operators'!$C$1:$E$9999,3,FALSE)</f>
        <v>WEBSTER</v>
      </c>
      <c r="M84" s="12">
        <f>I84-F84</f>
        <v>3.3310185186564922E-2</v>
      </c>
      <c r="N84" s="13">
        <f>24*60*SUM($M84:$M84)</f>
        <v>47.966666668653488</v>
      </c>
      <c r="O84" s="13"/>
      <c r="P84" s="13"/>
      <c r="Q84" s="62"/>
      <c r="R84" s="62"/>
      <c r="T84" s="74" t="str">
        <f>"https://search-rtdc-monitor-bjffxe2xuh6vdkpspy63sjmuny.us-east-1.es.amazonaws.com/_plugin/kibana/#/discover/Steve-Slow-Train-Analysis-(2080s-and-2083s)?_g=(refreshInterval:(display:Off,section:0,value:0),time:(from:'"&amp;TEXT(E84-1/24/60,"yyyy-MM-DD hh:mm:ss")&amp;"-0600',mode:absolute,to:'"&amp;TEXT(I84+1/24/60,"yyyy-MM-DD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84&amp;"%22')),sort:!(Time,asc))"</f>
        <v>https://search-rtdc-monitor-bjffxe2xuh6vdkpspy63sjmuny.us-east-1.es.amazonaws.com/_plugin/kibana/#/discover/Steve-Slow-Train-Analysis-(2080s-and-2083s)?_g=(refreshInterval:(display:Off,section:0,value:0),time:(from:'2016-05-22 14:42:33-0600',mode:absolute,to:'2016-05-22 15:34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4" s="74" t="str">
        <f>IF(Y84&lt;23,"Y","N")</f>
        <v>N</v>
      </c>
      <c r="V84" s="74">
        <f>VALUE(LEFT(A84,3))-VALUE(LEFT(A83,3))</f>
        <v>1</v>
      </c>
      <c r="W84" s="74">
        <f>RIGHT(D84,LEN(D84)-4)/10000</f>
        <v>4.5499999999999999E-2</v>
      </c>
      <c r="X84" s="74">
        <f>RIGHT(H84,LEN(H84)-4)/10000</f>
        <v>23.3293</v>
      </c>
      <c r="Y84" s="74">
        <f>ABS(X84-W84)</f>
        <v>23.283799999999999</v>
      </c>
      <c r="Z84" s="75">
        <f>VLOOKUP(A84,Enforcements!$C$3:$J$55,8,0)</f>
        <v>233491</v>
      </c>
      <c r="AA84" s="75" t="str">
        <f>VLOOKUP(A84,Enforcements!$C$3:$J$55,3,0)</f>
        <v>TRACK WARRANT AUTHORITY</v>
      </c>
    </row>
    <row r="85" spans="1:27" s="2" customFormat="1" x14ac:dyDescent="0.25">
      <c r="A85" s="61" t="s">
        <v>466</v>
      </c>
      <c r="B85" s="61">
        <v>4012</v>
      </c>
      <c r="C85" s="61" t="s">
        <v>66</v>
      </c>
      <c r="D85" s="61" t="s">
        <v>96</v>
      </c>
      <c r="E85" s="30">
        <v>42512.653645833336</v>
      </c>
      <c r="F85" s="30">
        <v>42512.654756944445</v>
      </c>
      <c r="G85" s="38">
        <v>1</v>
      </c>
      <c r="H85" s="30" t="s">
        <v>160</v>
      </c>
      <c r="I85" s="30">
        <v>42512.681493055556</v>
      </c>
      <c r="J85" s="61">
        <v>0</v>
      </c>
      <c r="K85" s="61" t="str">
        <f>IF(ISEVEN(B85),(B85-1)&amp;"/"&amp;B85,B85&amp;"/"&amp;(B85+1))</f>
        <v>4011/4012</v>
      </c>
      <c r="L85" s="61" t="str">
        <f>VLOOKUP(A85,'Trips&amp;Operators'!$C$1:$E$9999,3,FALSE)</f>
        <v>WEBSTER</v>
      </c>
      <c r="M85" s="12">
        <f>I85-F85</f>
        <v>2.6736111110949423E-2</v>
      </c>
      <c r="N85" s="13">
        <f>24*60*SUM($M85:$M85)</f>
        <v>38.499999999767169</v>
      </c>
      <c r="O85" s="13"/>
      <c r="P85" s="13"/>
      <c r="Q85" s="62"/>
      <c r="R85" s="62"/>
      <c r="T85" s="74" t="str">
        <f>"https://search-rtdc-monitor-bjffxe2xuh6vdkpspy63sjmuny.us-east-1.es.amazonaws.com/_plugin/kibana/#/discover/Steve-Slow-Train-Analysis-(2080s-and-2083s)?_g=(refreshInterval:(display:Off,section:0,value:0),time:(from:'"&amp;TEXT(E85-1/24/60,"yyyy-MM-DD hh:mm:ss")&amp;"-0600',mode:absolute,to:'"&amp;TEXT(I85+1/24/60,"yyyy-MM-DD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85&amp;"%22')),sort:!(Time,asc))"</f>
        <v>https://search-rtdc-monitor-bjffxe2xuh6vdkpspy63sjmuny.us-east-1.es.amazonaws.com/_plugin/kibana/#/discover/Steve-Slow-Train-Analysis-(2080s-and-2083s)?_g=(refreshInterval:(display:Off,section:0,value:0),time:(from:'2016-05-22 15:40:15-0600',mode:absolute,to:'2016-05-22 16:22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85" s="74" t="str">
        <f>IF(Y85&lt;23,"Y","N")</f>
        <v>N</v>
      </c>
      <c r="V85" s="74">
        <f>VALUE(LEFT(A85,3))-VALUE(LEFT(A84,3))</f>
        <v>1</v>
      </c>
      <c r="W85" s="74">
        <f>RIGHT(D85,LEN(D85)-4)/10000</f>
        <v>23.297499999999999</v>
      </c>
      <c r="X85" s="74">
        <f>RIGHT(H85,LEN(H85)-4)/10000</f>
        <v>1.43E-2</v>
      </c>
      <c r="Y85" s="74">
        <f>ABS(X85-W85)</f>
        <v>23.283200000000001</v>
      </c>
      <c r="Z85" s="75" t="e">
        <f>VLOOKUP(A85,Enforcements!$C$3:$J$55,8,0)</f>
        <v>#N/A</v>
      </c>
      <c r="AA85" s="75" t="e">
        <f>VLOOKUP(A85,Enforcements!$C$3:$J$55,3,0)</f>
        <v>#N/A</v>
      </c>
    </row>
    <row r="86" spans="1:27" s="2" customFormat="1" x14ac:dyDescent="0.25">
      <c r="A86" s="61" t="s">
        <v>467</v>
      </c>
      <c r="B86" s="61">
        <v>4042</v>
      </c>
      <c r="C86" s="61" t="s">
        <v>66</v>
      </c>
      <c r="D86" s="61" t="s">
        <v>76</v>
      </c>
      <c r="E86" s="30">
        <v>42512.618923611109</v>
      </c>
      <c r="F86" s="30">
        <v>42512.621134259258</v>
      </c>
      <c r="G86" s="38">
        <v>3</v>
      </c>
      <c r="H86" s="30" t="s">
        <v>417</v>
      </c>
      <c r="I86" s="30">
        <v>42512.650821759256</v>
      </c>
      <c r="J86" s="61">
        <v>0</v>
      </c>
      <c r="K86" s="61" t="str">
        <f>IF(ISEVEN(B86),(B86-1)&amp;"/"&amp;B86,B86&amp;"/"&amp;(B86+1))</f>
        <v>4041/4042</v>
      </c>
      <c r="L86" s="61" t="str">
        <f>VLOOKUP(A86,'Trips&amp;Operators'!$C$1:$E$9999,3,FALSE)</f>
        <v>BUTLER</v>
      </c>
      <c r="M86" s="12">
        <f>I86-F86</f>
        <v>2.9687499998544808E-2</v>
      </c>
      <c r="N86" s="13">
        <f>24*60*SUM($M86:$M86)</f>
        <v>42.749999997904524</v>
      </c>
      <c r="O86" s="13"/>
      <c r="P86" s="13"/>
      <c r="Q86" s="62"/>
      <c r="R86" s="62"/>
      <c r="T86" s="74" t="str">
        <f>"https://search-rtdc-monitor-bjffxe2xuh6vdkpspy63sjmuny.us-east-1.es.amazonaws.com/_plugin/kibana/#/discover/Steve-Slow-Train-Analysis-(2080s-and-2083s)?_g=(refreshInterval:(display:Off,section:0,value:0),time:(from:'"&amp;TEXT(E86-1/24/60,"yyyy-MM-DD hh:mm:ss")&amp;"-0600',mode:absolute,to:'"&amp;TEXT(I86+1/24/60,"yyyy-MM-DD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86&amp;"%22')),sort:!(Time,asc))"</f>
        <v>https://search-rtdc-monitor-bjffxe2xuh6vdkpspy63sjmuny.us-east-1.es.amazonaws.com/_plugin/kibana/#/discover/Steve-Slow-Train-Analysis-(2080s-and-2083s)?_g=(refreshInterval:(display:Off,section:0,value:0),time:(from:'2016-05-22 14:50:15-0600',mode:absolute,to:'2016-05-22 15:38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86" s="74" t="str">
        <f>IF(Y86&lt;23,"Y","N")</f>
        <v>N</v>
      </c>
      <c r="V86" s="74">
        <f>VALUE(LEFT(A86,3))-VALUE(LEFT(A85,3))</f>
        <v>1</v>
      </c>
      <c r="W86" s="74">
        <f>RIGHT(D86,LEN(D86)-4)/10000</f>
        <v>4.4699999999999997E-2</v>
      </c>
      <c r="X86" s="74">
        <f>RIGHT(H86,LEN(H86)-4)/10000</f>
        <v>23.329799999999999</v>
      </c>
      <c r="Y86" s="74">
        <f>ABS(X86-W86)</f>
        <v>23.2851</v>
      </c>
      <c r="Z86" s="75" t="e">
        <f>VLOOKUP(A86,Enforcements!$C$3:$J$55,8,0)</f>
        <v>#N/A</v>
      </c>
      <c r="AA86" s="75" t="e">
        <f>VLOOKUP(A86,Enforcements!$C$3:$J$55,3,0)</f>
        <v>#N/A</v>
      </c>
    </row>
    <row r="87" spans="1:27" s="2" customFormat="1" x14ac:dyDescent="0.25">
      <c r="A87" s="61" t="s">
        <v>364</v>
      </c>
      <c r="B87" s="61">
        <v>4041</v>
      </c>
      <c r="C87" s="61" t="s">
        <v>66</v>
      </c>
      <c r="D87" s="61" t="s">
        <v>468</v>
      </c>
      <c r="E87" s="30">
        <v>42512.655034722222</v>
      </c>
      <c r="F87" s="30">
        <v>42512.655960648146</v>
      </c>
      <c r="G87" s="38">
        <v>1</v>
      </c>
      <c r="H87" s="30" t="s">
        <v>86</v>
      </c>
      <c r="I87" s="30">
        <v>42512.692071759258</v>
      </c>
      <c r="J87" s="61">
        <v>1</v>
      </c>
      <c r="K87" s="61" t="str">
        <f>IF(ISEVEN(B87),(B87-1)&amp;"/"&amp;B87,B87&amp;"/"&amp;(B87+1))</f>
        <v>4041/4042</v>
      </c>
      <c r="L87" s="61" t="str">
        <f>VLOOKUP(A87,'Trips&amp;Operators'!$C$1:$E$9999,3,FALSE)</f>
        <v>BUTLER</v>
      </c>
      <c r="M87" s="12">
        <f>I87-F87</f>
        <v>3.6111111112404615E-2</v>
      </c>
      <c r="N87" s="13">
        <f>24*60*SUM($M87:$M87)</f>
        <v>52.000000001862645</v>
      </c>
      <c r="O87" s="13"/>
      <c r="P87" s="13"/>
      <c r="Q87" s="62"/>
      <c r="R87" s="62"/>
      <c r="T87" s="74" t="str">
        <f>"https://search-rtdc-monitor-bjffxe2xuh6vdkpspy63sjmuny.us-east-1.es.amazonaws.com/_plugin/kibana/#/discover/Steve-Slow-Train-Analysis-(2080s-and-2083s)?_g=(refreshInterval:(display:Off,section:0,value:0),time:(from:'"&amp;TEXT(E87-1/24/60,"yyyy-MM-DD hh:mm:ss")&amp;"-0600',mode:absolute,to:'"&amp;TEXT(I87+1/24/60,"yyyy-MM-DD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87&amp;"%22')),sort:!(Time,asc))"</f>
        <v>https://search-rtdc-monitor-bjffxe2xuh6vdkpspy63sjmuny.us-east-1.es.amazonaws.com/_plugin/kibana/#/discover/Steve-Slow-Train-Analysis-(2080s-and-2083s)?_g=(refreshInterval:(display:Off,section:0,value:0),time:(from:'2016-05-22 15:42:15-0600',mode:absolute,to:'2016-05-22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87" s="74" t="str">
        <f>IF(Y87&lt;23,"Y","N")</f>
        <v>N</v>
      </c>
      <c r="V87" s="74">
        <f>VALUE(LEFT(A87,3))-VALUE(LEFT(A86,3))</f>
        <v>1</v>
      </c>
      <c r="W87" s="74">
        <f>RIGHT(D87,LEN(D87)-4)/10000</f>
        <v>23.299800000000001</v>
      </c>
      <c r="X87" s="74">
        <f>RIGHT(H87,LEN(H87)-4)/10000</f>
        <v>1.61E-2</v>
      </c>
      <c r="Y87" s="74">
        <f>ABS(X87-W87)</f>
        <v>23.2837</v>
      </c>
      <c r="Z87" s="75">
        <f>VLOOKUP(A87,Enforcements!$C$3:$J$55,8,0)</f>
        <v>127587</v>
      </c>
      <c r="AA87" s="75" t="str">
        <f>VLOOKUP(A87,Enforcements!$C$3:$J$55,3,0)</f>
        <v>SIGNAL</v>
      </c>
    </row>
    <row r="88" spans="1:27" s="2" customFormat="1" x14ac:dyDescent="0.25">
      <c r="A88" s="61" t="s">
        <v>363</v>
      </c>
      <c r="B88" s="61">
        <v>4024</v>
      </c>
      <c r="C88" s="61" t="s">
        <v>66</v>
      </c>
      <c r="D88" s="61" t="s">
        <v>124</v>
      </c>
      <c r="E88" s="30">
        <v>42512.632974537039</v>
      </c>
      <c r="F88" s="30">
        <v>42512.634293981479</v>
      </c>
      <c r="G88" s="38">
        <v>1</v>
      </c>
      <c r="H88" s="30" t="s">
        <v>68</v>
      </c>
      <c r="I88" s="30">
        <v>42512.661666666667</v>
      </c>
      <c r="J88" s="61">
        <v>1</v>
      </c>
      <c r="K88" s="61" t="str">
        <f>IF(ISEVEN(B88),(B88-1)&amp;"/"&amp;B88,B88&amp;"/"&amp;(B88+1))</f>
        <v>4023/4024</v>
      </c>
      <c r="L88" s="61" t="str">
        <f>VLOOKUP(A88,'Trips&amp;Operators'!$C$1:$E$9999,3,FALSE)</f>
        <v>BRUDER</v>
      </c>
      <c r="M88" s="12">
        <f>I88-F88</f>
        <v>2.7372685188311152E-2</v>
      </c>
      <c r="N88" s="13">
        <f>24*60*SUM($M88:$M88)</f>
        <v>39.416666671168059</v>
      </c>
      <c r="O88" s="13"/>
      <c r="P88" s="13"/>
      <c r="Q88" s="62"/>
      <c r="R88" s="62"/>
      <c r="T88" s="74" t="str">
        <f>"https://search-rtdc-monitor-bjffxe2xuh6vdkpspy63sjmuny.us-east-1.es.amazonaws.com/_plugin/kibana/#/discover/Steve-Slow-Train-Analysis-(2080s-and-2083s)?_g=(refreshInterval:(display:Off,section:0,value:0),time:(from:'"&amp;TEXT(E88-1/24/60,"yyyy-MM-DD hh:mm:ss")&amp;"-0600',mode:absolute,to:'"&amp;TEXT(I88+1/24/60,"yyyy-MM-DD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88&amp;"%22')),sort:!(Time,asc))"</f>
        <v>https://search-rtdc-monitor-bjffxe2xuh6vdkpspy63sjmuny.us-east-1.es.amazonaws.com/_plugin/kibana/#/discover/Steve-Slow-Train-Analysis-(2080s-and-2083s)?_g=(refreshInterval:(display:Off,section:0,value:0),time:(from:'2016-05-22 15:10:29-0600',mode:absolute,to:'2016-05-22 15:53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88" s="74" t="str">
        <f>IF(Y88&lt;23,"Y","N")</f>
        <v>N</v>
      </c>
      <c r="V88" s="74">
        <f>VALUE(LEFT(A88,3))-VALUE(LEFT(A87,3))</f>
        <v>1</v>
      </c>
      <c r="W88" s="74">
        <f>RIGHT(D88,LEN(D88)-4)/10000</f>
        <v>4.4900000000000002E-2</v>
      </c>
      <c r="X88" s="74">
        <f>RIGHT(H88,LEN(H88)-4)/10000</f>
        <v>23.329499999999999</v>
      </c>
      <c r="Y88" s="74">
        <f>ABS(X88-W88)</f>
        <v>23.284600000000001</v>
      </c>
      <c r="Z88" s="75">
        <f>VLOOKUP(A88,Enforcements!$C$3:$J$55,8,0)</f>
        <v>233491</v>
      </c>
      <c r="AA88" s="75" t="str">
        <f>VLOOKUP(A88,Enforcements!$C$3:$J$55,3,0)</f>
        <v>TRACK WARRANT AUTHORITY</v>
      </c>
    </row>
    <row r="89" spans="1:27" s="2" customFormat="1" x14ac:dyDescent="0.25">
      <c r="A89" s="61" t="s">
        <v>469</v>
      </c>
      <c r="B89" s="61">
        <v>4023</v>
      </c>
      <c r="C89" s="61" t="s">
        <v>66</v>
      </c>
      <c r="D89" s="61" t="s">
        <v>96</v>
      </c>
      <c r="E89" s="30">
        <v>42512.670138888891</v>
      </c>
      <c r="F89" s="30">
        <v>42512.671307870369</v>
      </c>
      <c r="G89" s="38">
        <v>1</v>
      </c>
      <c r="H89" s="30" t="s">
        <v>414</v>
      </c>
      <c r="I89" s="30">
        <v>42512.707337962966</v>
      </c>
      <c r="J89" s="61">
        <v>0</v>
      </c>
      <c r="K89" s="61" t="str">
        <f>IF(ISEVEN(B89),(B89-1)&amp;"/"&amp;B89,B89&amp;"/"&amp;(B89+1))</f>
        <v>4023/4024</v>
      </c>
      <c r="L89" s="61" t="str">
        <f>VLOOKUP(A89,'Trips&amp;Operators'!$C$1:$E$9999,3,FALSE)</f>
        <v>BRUDER</v>
      </c>
      <c r="M89" s="12">
        <f>I89-F89</f>
        <v>3.6030092596774921E-2</v>
      </c>
      <c r="N89" s="13">
        <f>24*60*SUM($M89:$M89)</f>
        <v>51.883333339355886</v>
      </c>
      <c r="O89" s="13"/>
      <c r="P89" s="13"/>
      <c r="Q89" s="62"/>
      <c r="R89" s="62"/>
      <c r="T89" s="74" t="str">
        <f>"https://search-rtdc-monitor-bjffxe2xuh6vdkpspy63sjmuny.us-east-1.es.amazonaws.com/_plugin/kibana/#/discover/Steve-Slow-Train-Analysis-(2080s-and-2083s)?_g=(refreshInterval:(display:Off,section:0,value:0),time:(from:'"&amp;TEXT(E89-1/24/60,"yyyy-MM-DD hh:mm:ss")&amp;"-0600',mode:absolute,to:'"&amp;TEXT(I89+1/24/60,"yyyy-MM-DD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89&amp;"%22')),sort:!(Time,asc))"</f>
        <v>https://search-rtdc-monitor-bjffxe2xuh6vdkpspy63sjmuny.us-east-1.es.amazonaws.com/_plugin/kibana/#/discover/Steve-Slow-Train-Analysis-(2080s-and-2083s)?_g=(refreshInterval:(display:Off,section:0,value:0),time:(from:'2016-05-22 16:04:00-0600',mode:absolute,to:'2016-05-22 16:59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89" s="74" t="str">
        <f>IF(Y89&lt;23,"Y","N")</f>
        <v>N</v>
      </c>
      <c r="V89" s="74">
        <f>VALUE(LEFT(A89,3))-VALUE(LEFT(A88,3))</f>
        <v>1</v>
      </c>
      <c r="W89" s="74">
        <f>RIGHT(D89,LEN(D89)-4)/10000</f>
        <v>23.297499999999999</v>
      </c>
      <c r="X89" s="74">
        <f>RIGHT(H89,LEN(H89)-4)/10000</f>
        <v>1.38E-2</v>
      </c>
      <c r="Y89" s="74">
        <f>ABS(X89-W89)</f>
        <v>23.2837</v>
      </c>
      <c r="Z89" s="75" t="e">
        <f>VLOOKUP(A89,Enforcements!$C$3:$J$55,8,0)</f>
        <v>#N/A</v>
      </c>
      <c r="AA89" s="75" t="e">
        <f>VLOOKUP(A89,Enforcements!$C$3:$J$55,3,0)</f>
        <v>#N/A</v>
      </c>
    </row>
    <row r="90" spans="1:27" s="2" customFormat="1" x14ac:dyDescent="0.25">
      <c r="A90" s="61" t="s">
        <v>470</v>
      </c>
      <c r="B90" s="61">
        <v>4007</v>
      </c>
      <c r="C90" s="61" t="s">
        <v>66</v>
      </c>
      <c r="D90" s="61" t="s">
        <v>81</v>
      </c>
      <c r="E90" s="30">
        <v>42512.643726851849</v>
      </c>
      <c r="F90" s="30">
        <v>42512.646041666667</v>
      </c>
      <c r="G90" s="38">
        <v>3</v>
      </c>
      <c r="H90" s="30" t="s">
        <v>471</v>
      </c>
      <c r="I90" s="30">
        <v>42512.670497685183</v>
      </c>
      <c r="J90" s="61">
        <v>0</v>
      </c>
      <c r="K90" s="61" t="str">
        <f>IF(ISEVEN(B90),(B90-1)&amp;"/"&amp;B90,B90&amp;"/"&amp;(B90+1))</f>
        <v>4007/4008</v>
      </c>
      <c r="L90" s="61" t="str">
        <f>VLOOKUP(A90,'Trips&amp;Operators'!$C$1:$E$9999,3,FALSE)</f>
        <v>LOCKLEAR</v>
      </c>
      <c r="M90" s="12">
        <f>I90-F90</f>
        <v>2.4456018516502809E-2</v>
      </c>
      <c r="N90" s="13">
        <f>24*60*SUM($M90:$M90)</f>
        <v>35.216666663764045</v>
      </c>
      <c r="O90" s="13"/>
      <c r="P90" s="13"/>
      <c r="Q90" s="62"/>
      <c r="R90" s="62"/>
      <c r="T90" s="74" t="str">
        <f>"https://search-rtdc-monitor-bjffxe2xuh6vdkpspy63sjmuny.us-east-1.es.amazonaws.com/_plugin/kibana/#/discover/Steve-Slow-Train-Analysis-(2080s-and-2083s)?_g=(refreshInterval:(display:Off,section:0,value:0),time:(from:'"&amp;TEXT(E90-1/24/60,"yyyy-MM-DD hh:mm:ss")&amp;"-0600',mode:absolute,to:'"&amp;TEXT(I90+1/24/60,"yyyy-MM-DD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90&amp;"%22')),sort:!(Time,asc))"</f>
        <v>https://search-rtdc-monitor-bjffxe2xuh6vdkpspy63sjmuny.us-east-1.es.amazonaws.com/_plugin/kibana/#/discover/Steve-Slow-Train-Analysis-(2080s-and-2083s)?_g=(refreshInterval:(display:Off,section:0,value:0),time:(from:'2016-05-22 15:25:58-0600',mode:absolute,to:'2016-05-22 16:06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90" s="74" t="str">
        <f>IF(Y90&lt;23,"Y","N")</f>
        <v>N</v>
      </c>
      <c r="V90" s="74">
        <f>VALUE(LEFT(A90,3))-VALUE(LEFT(A89,3))</f>
        <v>1</v>
      </c>
      <c r="W90" s="74">
        <f>RIGHT(D90,LEN(D90)-4)/10000</f>
        <v>4.53E-2</v>
      </c>
      <c r="X90" s="74">
        <f>RIGHT(H90,LEN(H90)-4)/10000</f>
        <v>23.338899999999999</v>
      </c>
      <c r="Y90" s="74">
        <f>ABS(X90-W90)</f>
        <v>23.293599999999998</v>
      </c>
      <c r="Z90" s="75" t="e">
        <f>VLOOKUP(A90,Enforcements!$C$3:$J$55,8,0)</f>
        <v>#N/A</v>
      </c>
      <c r="AA90" s="75" t="e">
        <f>VLOOKUP(A90,Enforcements!$C$3:$J$55,3,0)</f>
        <v>#N/A</v>
      </c>
    </row>
    <row r="91" spans="1:27" s="2" customFormat="1" x14ac:dyDescent="0.25">
      <c r="A91" s="61" t="s">
        <v>472</v>
      </c>
      <c r="B91" s="61">
        <v>4008</v>
      </c>
      <c r="C91" s="61" t="s">
        <v>66</v>
      </c>
      <c r="D91" s="61" t="s">
        <v>473</v>
      </c>
      <c r="E91" s="30">
        <v>42512.67931712963</v>
      </c>
      <c r="F91" s="30">
        <v>42512.680023148147</v>
      </c>
      <c r="G91" s="38">
        <v>1</v>
      </c>
      <c r="H91" s="30" t="s">
        <v>314</v>
      </c>
      <c r="I91" s="30">
        <v>42512.711886574078</v>
      </c>
      <c r="J91" s="61">
        <v>0</v>
      </c>
      <c r="K91" s="61" t="str">
        <f>IF(ISEVEN(B91),(B91-1)&amp;"/"&amp;B91,B91&amp;"/"&amp;(B91+1))</f>
        <v>4007/4008</v>
      </c>
      <c r="L91" s="61" t="str">
        <f>VLOOKUP(A91,'Trips&amp;Operators'!$C$1:$E$9999,3,FALSE)</f>
        <v>LOCKLEAR</v>
      </c>
      <c r="M91" s="12">
        <f>I91-F91</f>
        <v>3.1863425931078382E-2</v>
      </c>
      <c r="N91" s="13">
        <f>24*60*SUM($M91:$M91)</f>
        <v>45.88333334075287</v>
      </c>
      <c r="O91" s="13"/>
      <c r="P91" s="13"/>
      <c r="Q91" s="62"/>
      <c r="R91" s="62"/>
      <c r="T91" s="74" t="str">
        <f>"https://search-rtdc-monitor-bjffxe2xuh6vdkpspy63sjmuny.us-east-1.es.amazonaws.com/_plugin/kibana/#/discover/Steve-Slow-Train-Analysis-(2080s-and-2083s)?_g=(refreshInterval:(display:Off,section:0,value:0),time:(from:'"&amp;TEXT(E91-1/24/60,"yyyy-MM-DD hh:mm:ss")&amp;"-0600',mode:absolute,to:'"&amp;TEXT(I91+1/24/60,"yyyy-MM-DD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91&amp;"%22')),sort:!(Time,asc))"</f>
        <v>https://search-rtdc-monitor-bjffxe2xuh6vdkpspy63sjmuny.us-east-1.es.amazonaws.com/_plugin/kibana/#/discover/Steve-Slow-Train-Analysis-(2080s-and-2083s)?_g=(refreshInterval:(display:Off,section:0,value:0),time:(from:'2016-05-22 16:17:13-0600',mode:absolute,to:'2016-05-22 17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91" s="74" t="str">
        <f>IF(Y91&lt;23,"Y","N")</f>
        <v>N</v>
      </c>
      <c r="V91" s="74">
        <f>VALUE(LEFT(A91,3))-VALUE(LEFT(A90,3))</f>
        <v>1</v>
      </c>
      <c r="W91" s="74">
        <f>RIGHT(D91,LEN(D91)-4)/10000</f>
        <v>23.307200000000002</v>
      </c>
      <c r="X91" s="74">
        <f>RIGHT(H91,LEN(H91)-4)/10000</f>
        <v>1.67E-2</v>
      </c>
      <c r="Y91" s="74">
        <f>ABS(X91-W91)</f>
        <v>23.290500000000002</v>
      </c>
      <c r="Z91" s="75" t="e">
        <f>VLOOKUP(A91,Enforcements!$C$3:$J$55,8,0)</f>
        <v>#N/A</v>
      </c>
      <c r="AA91" s="75" t="e">
        <f>VLOOKUP(A91,Enforcements!$C$3:$J$55,3,0)</f>
        <v>#N/A</v>
      </c>
    </row>
    <row r="92" spans="1:27" s="2" customFormat="1" x14ac:dyDescent="0.25">
      <c r="A92" s="61" t="s">
        <v>474</v>
      </c>
      <c r="B92" s="61">
        <v>4002</v>
      </c>
      <c r="C92" s="61" t="s">
        <v>66</v>
      </c>
      <c r="D92" s="61" t="s">
        <v>158</v>
      </c>
      <c r="E92" s="30">
        <v>42512.657581018517</v>
      </c>
      <c r="F92" s="30">
        <v>42512.65829861111</v>
      </c>
      <c r="G92" s="38">
        <v>1</v>
      </c>
      <c r="H92" s="30" t="s">
        <v>323</v>
      </c>
      <c r="I92" s="30">
        <v>42512.687222222223</v>
      </c>
      <c r="J92" s="61">
        <v>0</v>
      </c>
      <c r="K92" s="61" t="str">
        <f>IF(ISEVEN(B92),(B92-1)&amp;"/"&amp;B92,B92&amp;"/"&amp;(B92+1))</f>
        <v>4001/4002</v>
      </c>
      <c r="L92" s="61" t="str">
        <f>VLOOKUP(A92,'Trips&amp;Operators'!$C$1:$E$9999,3,FALSE)</f>
        <v>ACKERMAN</v>
      </c>
      <c r="M92" s="12">
        <f>I92-F92</f>
        <v>2.8923611112986691E-2</v>
      </c>
      <c r="N92" s="13">
        <f>24*60*SUM($M92:$M92)</f>
        <v>41.650000002700835</v>
      </c>
      <c r="O92" s="13"/>
      <c r="P92" s="13"/>
      <c r="Q92" s="62"/>
      <c r="R92" s="62"/>
      <c r="T92" s="74" t="str">
        <f>"https://search-rtdc-monitor-bjffxe2xuh6vdkpspy63sjmuny.us-east-1.es.amazonaws.com/_plugin/kibana/#/discover/Steve-Slow-Train-Analysis-(2080s-and-2083s)?_g=(refreshInterval:(display:Off,section:0,value:0),time:(from:'"&amp;TEXT(E92-1/24/60,"yyyy-MM-DD hh:mm:ss")&amp;"-0600',mode:absolute,to:'"&amp;TEXT(I92+1/24/60,"yyyy-MM-DD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92&amp;"%22')),sort:!(Time,asc))"</f>
        <v>https://search-rtdc-monitor-bjffxe2xuh6vdkpspy63sjmuny.us-east-1.es.amazonaws.com/_plugin/kibana/#/discover/Steve-Slow-Train-Analysis-(2080s-and-2083s)?_g=(refreshInterval:(display:Off,section:0,value:0),time:(from:'2016-05-22 15:45:55-0600',mode:absolute,to:'2016-05-22 16:30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4002%22')),sort:!(Time,asc))</v>
      </c>
      <c r="U92" s="74" t="str">
        <f>IF(Y92&lt;23,"Y","N")</f>
        <v>N</v>
      </c>
      <c r="V92" s="74">
        <f>VALUE(LEFT(A92,3))-VALUE(LEFT(A91,3))</f>
        <v>1</v>
      </c>
      <c r="W92" s="74">
        <f>RIGHT(D92,LEN(D92)-4)/10000</f>
        <v>4.6600000000000003E-2</v>
      </c>
      <c r="X92" s="74">
        <f>RIGHT(H92,LEN(H92)-4)/10000</f>
        <v>23.330100000000002</v>
      </c>
      <c r="Y92" s="74">
        <f>ABS(X92-W92)</f>
        <v>23.2835</v>
      </c>
      <c r="Z92" s="75" t="e">
        <f>VLOOKUP(A92,Enforcements!$C$3:$J$55,8,0)</f>
        <v>#N/A</v>
      </c>
      <c r="AA92" s="75" t="e">
        <f>VLOOKUP(A92,Enforcements!$C$3:$J$55,3,0)</f>
        <v>#N/A</v>
      </c>
    </row>
    <row r="93" spans="1:27" s="2" customFormat="1" x14ac:dyDescent="0.25">
      <c r="A93" s="61" t="s">
        <v>367</v>
      </c>
      <c r="B93" s="61">
        <v>4001</v>
      </c>
      <c r="C93" s="61" t="s">
        <v>66</v>
      </c>
      <c r="D93" s="61" t="s">
        <v>117</v>
      </c>
      <c r="E93" s="30">
        <v>42512.691851851851</v>
      </c>
      <c r="F93" s="30">
        <v>42512.692881944444</v>
      </c>
      <c r="G93" s="38">
        <v>1</v>
      </c>
      <c r="H93" s="30" t="s">
        <v>95</v>
      </c>
      <c r="I93" s="30">
        <v>42512.725138888891</v>
      </c>
      <c r="J93" s="61">
        <v>1</v>
      </c>
      <c r="K93" s="61" t="str">
        <f>IF(ISEVEN(B93),(B93-1)&amp;"/"&amp;B93,B93&amp;"/"&amp;(B93+1))</f>
        <v>4001/4002</v>
      </c>
      <c r="L93" s="61" t="str">
        <f>VLOOKUP(A93,'Trips&amp;Operators'!$C$1:$E$9999,3,FALSE)</f>
        <v>ACKERMAN</v>
      </c>
      <c r="M93" s="12">
        <f>I93-F93</f>
        <v>3.2256944446999114E-2</v>
      </c>
      <c r="N93" s="13">
        <f>24*60*SUM($M93:$M93)</f>
        <v>46.450000003678724</v>
      </c>
      <c r="O93" s="13"/>
      <c r="P93" s="13"/>
      <c r="Q93" s="62"/>
      <c r="R93" s="62"/>
      <c r="T93" s="74" t="str">
        <f>"https://search-rtdc-monitor-bjffxe2xuh6vdkpspy63sjmuny.us-east-1.es.amazonaws.com/_plugin/kibana/#/discover/Steve-Slow-Train-Analysis-(2080s-and-2083s)?_g=(refreshInterval:(display:Off,section:0,value:0),time:(from:'"&amp;TEXT(E93-1/24/60,"yyyy-MM-DD hh:mm:ss")&amp;"-0600',mode:absolute,to:'"&amp;TEXT(I93+1/24/60,"yyyy-MM-DD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93&amp;"%22')),sort:!(Time,asc))"</f>
        <v>https://search-rtdc-monitor-bjffxe2xuh6vdkpspy63sjmuny.us-east-1.es.amazonaws.com/_plugin/kibana/#/discover/Steve-Slow-Train-Analysis-(2080s-and-2083s)?_g=(refreshInterval:(display:Off,section:0,value:0),time:(from:'2016-05-22 16:35:16-0600',mode:absolute,to:'2016-05-22 17:25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4001%22')),sort:!(Time,asc))</v>
      </c>
      <c r="U93" s="74" t="str">
        <f>IF(Y93&lt;23,"Y","N")</f>
        <v>N</v>
      </c>
      <c r="V93" s="74">
        <f>VALUE(LEFT(A93,3))-VALUE(LEFT(A92,3))</f>
        <v>1</v>
      </c>
      <c r="W93" s="74">
        <f>RIGHT(D93,LEN(D93)-4)/10000</f>
        <v>23.2973</v>
      </c>
      <c r="X93" s="74">
        <f>RIGHT(H93,LEN(H93)-4)/10000</f>
        <v>1.4999999999999999E-2</v>
      </c>
      <c r="Y93" s="74">
        <f>ABS(X93-W93)</f>
        <v>23.282299999999999</v>
      </c>
      <c r="Z93" s="75">
        <f>VLOOKUP(A93,Enforcements!$C$3:$J$55,8,0)</f>
        <v>1</v>
      </c>
      <c r="AA93" s="75" t="str">
        <f>VLOOKUP(A93,Enforcements!$C$3:$J$55,3,0)</f>
        <v>TRACK WARRANT AUTHORITY</v>
      </c>
    </row>
    <row r="94" spans="1:27" s="2" customFormat="1" x14ac:dyDescent="0.25">
      <c r="A94" s="61" t="s">
        <v>475</v>
      </c>
      <c r="B94" s="61">
        <v>4018</v>
      </c>
      <c r="C94" s="61" t="s">
        <v>66</v>
      </c>
      <c r="D94" s="61" t="s">
        <v>127</v>
      </c>
      <c r="E94" s="30">
        <v>42512.673576388886</v>
      </c>
      <c r="F94" s="30">
        <v>42512.674513888887</v>
      </c>
      <c r="G94" s="38">
        <v>1</v>
      </c>
      <c r="H94" s="30" t="s">
        <v>312</v>
      </c>
      <c r="I94" s="30">
        <v>42512.70517361111</v>
      </c>
      <c r="J94" s="61">
        <v>0</v>
      </c>
      <c r="K94" s="61" t="str">
        <f>IF(ISEVEN(B94),(B94-1)&amp;"/"&amp;B94,B94&amp;"/"&amp;(B94+1))</f>
        <v>4017/4018</v>
      </c>
      <c r="L94" s="61" t="str">
        <f>VLOOKUP(A94,'Trips&amp;Operators'!$C$1:$E$9999,3,FALSE)</f>
        <v>YORK</v>
      </c>
      <c r="M94" s="12">
        <f>I94-F94</f>
        <v>3.0659722222480923E-2</v>
      </c>
      <c r="N94" s="13">
        <f>24*60*SUM($M94:$M94)</f>
        <v>44.150000000372529</v>
      </c>
      <c r="O94" s="13"/>
      <c r="P94" s="13"/>
      <c r="Q94" s="62"/>
      <c r="R94" s="62"/>
      <c r="T94" s="74" t="str">
        <f>"https://search-rtdc-monitor-bjffxe2xuh6vdkpspy63sjmuny.us-east-1.es.amazonaws.com/_plugin/kibana/#/discover/Steve-Slow-Train-Analysis-(2080s-and-2083s)?_g=(refreshInterval:(display:Off,section:0,value:0),time:(from:'"&amp;TEXT(E94-1/24/60,"yyyy-MM-DD hh:mm:ss")&amp;"-0600',mode:absolute,to:'"&amp;TEXT(I94+1/24/60,"yyyy-MM-DD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94&amp;"%22')),sort:!(Time,asc))"</f>
        <v>https://search-rtdc-monitor-bjffxe2xuh6vdkpspy63sjmuny.us-east-1.es.amazonaws.com/_plugin/kibana/#/discover/Steve-Slow-Train-Analysis-(2080s-and-2083s)?_g=(refreshInterval:(display:Off,section:0,value:0),time:(from:'2016-05-22 16:08:57-0600',mode:absolute,to:'2016-05-22 16:56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94" s="74" t="str">
        <f>IF(Y94&lt;23,"Y","N")</f>
        <v>N</v>
      </c>
      <c r="V94" s="74">
        <f>VALUE(LEFT(A94,3))-VALUE(LEFT(A93,3))</f>
        <v>3</v>
      </c>
      <c r="W94" s="74">
        <f>RIGHT(D94,LEN(D94)-4)/10000</f>
        <v>4.5999999999999999E-2</v>
      </c>
      <c r="X94" s="74">
        <f>RIGHT(H94,LEN(H94)-4)/10000</f>
        <v>23.328900000000001</v>
      </c>
      <c r="Y94" s="74">
        <f>ABS(X94-W94)</f>
        <v>23.282900000000001</v>
      </c>
      <c r="Z94" s="75" t="e">
        <f>VLOOKUP(A94,Enforcements!$C$3:$J$55,8,0)</f>
        <v>#N/A</v>
      </c>
      <c r="AA94" s="75" t="e">
        <f>VLOOKUP(A94,Enforcements!$C$3:$J$55,3,0)</f>
        <v>#N/A</v>
      </c>
    </row>
    <row r="95" spans="1:27" s="2" customFormat="1" x14ac:dyDescent="0.25">
      <c r="A95" s="61" t="s">
        <v>476</v>
      </c>
      <c r="B95" s="61">
        <v>4017</v>
      </c>
      <c r="C95" s="61" t="s">
        <v>66</v>
      </c>
      <c r="D95" s="61" t="s">
        <v>169</v>
      </c>
      <c r="E95" s="30">
        <v>42512.706620370373</v>
      </c>
      <c r="F95" s="30">
        <v>42512.70752314815</v>
      </c>
      <c r="G95" s="38">
        <v>1</v>
      </c>
      <c r="H95" s="30" t="s">
        <v>83</v>
      </c>
      <c r="I95" s="30">
        <v>42512.747465277775</v>
      </c>
      <c r="J95" s="61">
        <v>0</v>
      </c>
      <c r="K95" s="61" t="str">
        <f>IF(ISEVEN(B95),(B95-1)&amp;"/"&amp;B95,B95&amp;"/"&amp;(B95+1))</f>
        <v>4017/4018</v>
      </c>
      <c r="L95" s="61" t="str">
        <f>VLOOKUP(A95,'Trips&amp;Operators'!$C$1:$E$9999,3,FALSE)</f>
        <v>YORK</v>
      </c>
      <c r="M95" s="12">
        <f>I95-F95</f>
        <v>3.9942129624250811E-2</v>
      </c>
      <c r="N95" s="13">
        <f>24*60*SUM($M95:$M95)</f>
        <v>57.516666658921167</v>
      </c>
      <c r="O95" s="13"/>
      <c r="P95" s="13"/>
      <c r="Q95" s="62"/>
      <c r="R95" s="62"/>
      <c r="T95" s="74" t="str">
        <f>"https://search-rtdc-monitor-bjffxe2xuh6vdkpspy63sjmuny.us-east-1.es.amazonaws.com/_plugin/kibana/#/discover/Steve-Slow-Train-Analysis-(2080s-and-2083s)?_g=(refreshInterval:(display:Off,section:0,value:0),time:(from:'"&amp;TEXT(E95-1/24/60,"yyyy-MM-DD hh:mm:ss")&amp;"-0600',mode:absolute,to:'"&amp;TEXT(I95+1/24/60,"yyyy-MM-DD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95&amp;"%22')),sort:!(Time,asc))"</f>
        <v>https://search-rtdc-monitor-bjffxe2xuh6vdkpspy63sjmuny.us-east-1.es.amazonaws.com/_plugin/kibana/#/discover/Steve-Slow-Train-Analysis-(2080s-and-2083s)?_g=(refreshInterval:(display:Off,section:0,value:0),time:(from:'2016-05-22 16:56:32-0600',mode:absolute,to:'2016-05-22 17:57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95" s="74" t="str">
        <f>IF(Y95&lt;23,"Y","N")</f>
        <v>N</v>
      </c>
      <c r="V95" s="74">
        <f>VALUE(LEFT(A95,3))-VALUE(LEFT(A94,3))</f>
        <v>1</v>
      </c>
      <c r="W95" s="74">
        <f>RIGHT(D95,LEN(D95)-4)/10000</f>
        <v>23.296900000000001</v>
      </c>
      <c r="X95" s="74">
        <f>RIGHT(H95,LEN(H95)-4)/10000</f>
        <v>1.52E-2</v>
      </c>
      <c r="Y95" s="74">
        <f>ABS(X95-W95)</f>
        <v>23.281700000000001</v>
      </c>
      <c r="Z95" s="75" t="e">
        <f>VLOOKUP(A95,Enforcements!$C$3:$J$55,8,0)</f>
        <v>#N/A</v>
      </c>
      <c r="AA95" s="75" t="e">
        <f>VLOOKUP(A95,Enforcements!$C$3:$J$55,3,0)</f>
        <v>#N/A</v>
      </c>
    </row>
    <row r="96" spans="1:27" s="2" customFormat="1" x14ac:dyDescent="0.25">
      <c r="A96" s="61" t="s">
        <v>477</v>
      </c>
      <c r="B96" s="61">
        <v>4011</v>
      </c>
      <c r="C96" s="61" t="s">
        <v>66</v>
      </c>
      <c r="D96" s="61" t="s">
        <v>478</v>
      </c>
      <c r="E96" s="30">
        <v>42512.68310185185</v>
      </c>
      <c r="F96" s="30">
        <v>42512.687314814815</v>
      </c>
      <c r="G96" s="38">
        <v>6</v>
      </c>
      <c r="H96" s="30" t="s">
        <v>454</v>
      </c>
      <c r="I96" s="30">
        <v>42512.716527777775</v>
      </c>
      <c r="J96" s="61">
        <v>0</v>
      </c>
      <c r="K96" s="61" t="str">
        <f>IF(ISEVEN(B96),(B96-1)&amp;"/"&amp;B96,B96&amp;"/"&amp;(B96+1))</f>
        <v>4011/4012</v>
      </c>
      <c r="L96" s="61" t="str">
        <f>VLOOKUP(A96,'Trips&amp;Operators'!$C$1:$E$9999,3,FALSE)</f>
        <v>WEBSTER</v>
      </c>
      <c r="M96" s="12">
        <f>I96-F96</f>
        <v>2.9212962959718425E-2</v>
      </c>
      <c r="N96" s="13">
        <f>24*60*SUM($M96:$M96)</f>
        <v>42.066666661994532</v>
      </c>
      <c r="O96" s="13"/>
      <c r="P96" s="13"/>
      <c r="Q96" s="62"/>
      <c r="R96" s="62"/>
      <c r="T96" s="74" t="str">
        <f>"https://search-rtdc-monitor-bjffxe2xuh6vdkpspy63sjmuny.us-east-1.es.amazonaws.com/_plugin/kibana/#/discover/Steve-Slow-Train-Analysis-(2080s-and-2083s)?_g=(refreshInterval:(display:Off,section:0,value:0),time:(from:'"&amp;TEXT(E96-1/24/60,"yyyy-MM-DD hh:mm:ss")&amp;"-0600',mode:absolute,to:'"&amp;TEXT(I96+1/24/60,"yyyy-MM-DD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96&amp;"%22')),sort:!(Time,asc))"</f>
        <v>https://search-rtdc-monitor-bjffxe2xuh6vdkpspy63sjmuny.us-east-1.es.amazonaws.com/_plugin/kibana/#/discover/Steve-Slow-Train-Analysis-(2080s-and-2083s)?_g=(refreshInterval:(display:Off,section:0,value:0),time:(from:'2016-05-22 16:22:40-0600',mode:absolute,to:'2016-05-22 17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96" s="74" t="str">
        <f>IF(Y96&lt;23,"Y","N")</f>
        <v>N</v>
      </c>
      <c r="V96" s="74">
        <f>VALUE(LEFT(A96,3))-VALUE(LEFT(A95,3))</f>
        <v>1</v>
      </c>
      <c r="W96" s="74">
        <f>RIGHT(D96,LEN(D96)-4)/10000</f>
        <v>4.3799999999999999E-2</v>
      </c>
      <c r="X96" s="74">
        <f>RIGHT(H96,LEN(H96)-4)/10000</f>
        <v>23.33</v>
      </c>
      <c r="Y96" s="74">
        <f>ABS(X96-W96)</f>
        <v>23.286199999999997</v>
      </c>
      <c r="Z96" s="75" t="e">
        <f>VLOOKUP(A96,Enforcements!$C$3:$J$55,8,0)</f>
        <v>#N/A</v>
      </c>
      <c r="AA96" s="75" t="e">
        <f>VLOOKUP(A96,Enforcements!$C$3:$J$55,3,0)</f>
        <v>#N/A</v>
      </c>
    </row>
    <row r="97" spans="1:27" s="2" customFormat="1" x14ac:dyDescent="0.25">
      <c r="A97" s="61" t="s">
        <v>479</v>
      </c>
      <c r="B97" s="61">
        <v>4012</v>
      </c>
      <c r="C97" s="61" t="s">
        <v>66</v>
      </c>
      <c r="D97" s="61" t="s">
        <v>315</v>
      </c>
      <c r="E97" s="30">
        <v>42512.724039351851</v>
      </c>
      <c r="F97" s="30">
        <v>42512.725185185183</v>
      </c>
      <c r="G97" s="38">
        <v>1</v>
      </c>
      <c r="H97" s="30" t="s">
        <v>71</v>
      </c>
      <c r="I97" s="30">
        <v>42512.757511574076</v>
      </c>
      <c r="J97" s="61">
        <v>0</v>
      </c>
      <c r="K97" s="61" t="str">
        <f>IF(ISEVEN(B97),(B97-1)&amp;"/"&amp;B97,B97&amp;"/"&amp;(B97+1))</f>
        <v>4011/4012</v>
      </c>
      <c r="L97" s="61" t="str">
        <f>VLOOKUP(A97,'Trips&amp;Operators'!$C$1:$E$9999,3,FALSE)</f>
        <v>WEBSTER</v>
      </c>
      <c r="M97" s="12">
        <f>I97-F97</f>
        <v>3.2326388893125113E-2</v>
      </c>
      <c r="N97" s="13">
        <f>24*60*SUM($M97:$M97)</f>
        <v>46.550000006100163</v>
      </c>
      <c r="O97" s="13"/>
      <c r="P97" s="13"/>
      <c r="Q97" s="62"/>
      <c r="R97" s="62"/>
      <c r="T97" s="74" t="str">
        <f>"https://search-rtdc-monitor-bjffxe2xuh6vdkpspy63sjmuny.us-east-1.es.amazonaws.com/_plugin/kibana/#/discover/Steve-Slow-Train-Analysis-(2080s-and-2083s)?_g=(refreshInterval:(display:Off,section:0,value:0),time:(from:'"&amp;TEXT(E97-1/24/60,"yyyy-MM-DD hh:mm:ss")&amp;"-0600',mode:absolute,to:'"&amp;TEXT(I97+1/24/60,"yyyy-MM-DD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97&amp;"%22')),sort:!(Time,asc))"</f>
        <v>https://search-rtdc-monitor-bjffxe2xuh6vdkpspy63sjmuny.us-east-1.es.amazonaws.com/_plugin/kibana/#/discover/Steve-Slow-Train-Analysis-(2080s-and-2083s)?_g=(refreshInterval:(display:Off,section:0,value:0),time:(from:'2016-05-22 17:21:37-0600',mode:absolute,to:'2016-05-22 18:11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97" s="74" t="str">
        <f>IF(Y97&lt;23,"Y","N")</f>
        <v>N</v>
      </c>
      <c r="V97" s="74">
        <f>VALUE(LEFT(A97,3))-VALUE(LEFT(A96,3))</f>
        <v>1</v>
      </c>
      <c r="W97" s="74">
        <f>RIGHT(D97,LEN(D97)-4)/10000</f>
        <v>23.298300000000001</v>
      </c>
      <c r="X97" s="74">
        <f>RIGHT(H97,LEN(H97)-4)/10000</f>
        <v>1.49E-2</v>
      </c>
      <c r="Y97" s="74">
        <f>ABS(X97-W97)</f>
        <v>23.2834</v>
      </c>
      <c r="Z97" s="75" t="e">
        <f>VLOOKUP(A97,Enforcements!$C$3:$J$55,8,0)</f>
        <v>#N/A</v>
      </c>
      <c r="AA97" s="75" t="e">
        <f>VLOOKUP(A97,Enforcements!$C$3:$J$55,3,0)</f>
        <v>#N/A</v>
      </c>
    </row>
    <row r="98" spans="1:27" s="2" customFormat="1" x14ac:dyDescent="0.25">
      <c r="A98" s="61" t="s">
        <v>480</v>
      </c>
      <c r="B98" s="61">
        <v>4042</v>
      </c>
      <c r="C98" s="61" t="s">
        <v>66</v>
      </c>
      <c r="D98" s="61" t="s">
        <v>80</v>
      </c>
      <c r="E98" s="30">
        <v>42512.693796296298</v>
      </c>
      <c r="F98" s="30">
        <v>42512.694976851853</v>
      </c>
      <c r="G98" s="38">
        <v>1</v>
      </c>
      <c r="H98" s="30" t="s">
        <v>72</v>
      </c>
      <c r="I98" s="30">
        <v>42512.722812499997</v>
      </c>
      <c r="J98" s="61">
        <v>0</v>
      </c>
      <c r="K98" s="61" t="str">
        <f>IF(ISEVEN(B98),(B98-1)&amp;"/"&amp;B98,B98&amp;"/"&amp;(B98+1))</f>
        <v>4041/4042</v>
      </c>
      <c r="L98" s="61" t="str">
        <f>VLOOKUP(A98,'Trips&amp;Operators'!$C$1:$E$9999,3,FALSE)</f>
        <v>BUTLER</v>
      </c>
      <c r="M98" s="12">
        <f>I98-F98</f>
        <v>2.7835648143081926E-2</v>
      </c>
      <c r="N98" s="13">
        <f>24*60*SUM($M98:$M98)</f>
        <v>40.083333326037973</v>
      </c>
      <c r="O98" s="13"/>
      <c r="P98" s="13"/>
      <c r="Q98" s="62"/>
      <c r="R98" s="62"/>
      <c r="T98" s="74" t="str">
        <f>"https://search-rtdc-monitor-bjffxe2xuh6vdkpspy63sjmuny.us-east-1.es.amazonaws.com/_plugin/kibana/#/discover/Steve-Slow-Train-Analysis-(2080s-and-2083s)?_g=(refreshInterval:(display:Off,section:0,value:0),time:(from:'"&amp;TEXT(E98-1/24/60,"yyyy-MM-DD hh:mm:ss")&amp;"-0600',mode:absolute,to:'"&amp;TEXT(I98+1/24/60,"yyyy-MM-DD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98&amp;"%22')),sort:!(Time,asc))"</f>
        <v>https://search-rtdc-monitor-bjffxe2xuh6vdkpspy63sjmuny.us-east-1.es.amazonaws.com/_plugin/kibana/#/discover/Steve-Slow-Train-Analysis-(2080s-and-2083s)?_g=(refreshInterval:(display:Off,section:0,value:0),time:(from:'2016-05-22 16:38:04-0600',mode:absolute,to:'2016-05-22 17:21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98" s="74" t="str">
        <f>IF(Y98&lt;23,"Y","N")</f>
        <v>N</v>
      </c>
      <c r="V98" s="74">
        <f>VALUE(LEFT(A98,3))-VALUE(LEFT(A97,3))</f>
        <v>1</v>
      </c>
      <c r="W98" s="74">
        <f>RIGHT(D98,LEN(D98)-4)/10000</f>
        <v>4.5100000000000001E-2</v>
      </c>
      <c r="X98" s="74">
        <f>RIGHT(H98,LEN(H98)-4)/10000</f>
        <v>23.330300000000001</v>
      </c>
      <c r="Y98" s="74">
        <f>ABS(X98-W98)</f>
        <v>23.2852</v>
      </c>
      <c r="Z98" s="75" t="e">
        <f>VLOOKUP(A98,Enforcements!$C$3:$J$55,8,0)</f>
        <v>#N/A</v>
      </c>
      <c r="AA98" s="75" t="e">
        <f>VLOOKUP(A98,Enforcements!$C$3:$J$55,3,0)</f>
        <v>#N/A</v>
      </c>
    </row>
    <row r="99" spans="1:27" s="2" customFormat="1" x14ac:dyDescent="0.25">
      <c r="A99" s="61" t="s">
        <v>481</v>
      </c>
      <c r="B99" s="61">
        <v>4041</v>
      </c>
      <c r="C99" s="61" t="s">
        <v>66</v>
      </c>
      <c r="D99" s="61" t="s">
        <v>327</v>
      </c>
      <c r="E99" s="30">
        <v>42512.727256944447</v>
      </c>
      <c r="F99" s="30">
        <v>42512.728043981479</v>
      </c>
      <c r="G99" s="38">
        <v>1</v>
      </c>
      <c r="H99" s="30" t="s">
        <v>328</v>
      </c>
      <c r="I99" s="30">
        <v>42512.765069444446</v>
      </c>
      <c r="J99" s="61">
        <v>0</v>
      </c>
      <c r="K99" s="61" t="str">
        <f>IF(ISEVEN(B99),(B99-1)&amp;"/"&amp;B99,B99&amp;"/"&amp;(B99+1))</f>
        <v>4041/4042</v>
      </c>
      <c r="L99" s="61" t="str">
        <f>VLOOKUP(A99,'Trips&amp;Operators'!$C$1:$E$9999,3,FALSE)</f>
        <v>BUTLER</v>
      </c>
      <c r="M99" s="12">
        <f>I99-F99</f>
        <v>3.7025462966994382E-2</v>
      </c>
      <c r="N99" s="13">
        <f>24*60*SUM($M99:$M99)</f>
        <v>53.316666672471911</v>
      </c>
      <c r="O99" s="13"/>
      <c r="P99" s="13"/>
      <c r="Q99" s="62"/>
      <c r="R99" s="62"/>
      <c r="T99" s="74" t="str">
        <f>"https://search-rtdc-monitor-bjffxe2xuh6vdkpspy63sjmuny.us-east-1.es.amazonaws.com/_plugin/kibana/#/discover/Steve-Slow-Train-Analysis-(2080s-and-2083s)?_g=(refreshInterval:(display:Off,section:0,value:0),time:(from:'"&amp;TEXT(E99-1/24/60,"yyyy-MM-DD hh:mm:ss")&amp;"-0600',mode:absolute,to:'"&amp;TEXT(I99+1/24/60,"yyyy-MM-DD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99&amp;"%22')),sort:!(Time,asc))"</f>
        <v>https://search-rtdc-monitor-bjffxe2xuh6vdkpspy63sjmuny.us-east-1.es.amazonaws.com/_plugin/kibana/#/discover/Steve-Slow-Train-Analysis-(2080s-and-2083s)?_g=(refreshInterval:(display:Off,section:0,value:0),time:(from:'2016-05-22 17:26:15-0600',mode:absolute,to:'2016-05-22 18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99" s="74" t="str">
        <f>IF(Y99&lt;23,"Y","N")</f>
        <v>N</v>
      </c>
      <c r="V99" s="74">
        <f>VALUE(LEFT(A99,3))-VALUE(LEFT(A98,3))</f>
        <v>1</v>
      </c>
      <c r="W99" s="74">
        <f>RIGHT(D99,LEN(D99)-4)/10000</f>
        <v>23.296500000000002</v>
      </c>
      <c r="X99" s="74">
        <f>RIGHT(H99,LEN(H99)-4)/10000</f>
        <v>1.32E-2</v>
      </c>
      <c r="Y99" s="74">
        <f>ABS(X99-W99)</f>
        <v>23.283300000000001</v>
      </c>
      <c r="Z99" s="75" t="e">
        <f>VLOOKUP(A99,Enforcements!$C$3:$J$55,8,0)</f>
        <v>#N/A</v>
      </c>
      <c r="AA99" s="75" t="e">
        <f>VLOOKUP(A99,Enforcements!$C$3:$J$55,3,0)</f>
        <v>#N/A</v>
      </c>
    </row>
    <row r="100" spans="1:27" s="2" customFormat="1" x14ac:dyDescent="0.25">
      <c r="A100" s="61" t="s">
        <v>366</v>
      </c>
      <c r="B100" s="61">
        <v>4024</v>
      </c>
      <c r="C100" s="61" t="s">
        <v>66</v>
      </c>
      <c r="D100" s="61" t="s">
        <v>171</v>
      </c>
      <c r="E100" s="30">
        <v>42512.708692129629</v>
      </c>
      <c r="F100" s="30">
        <v>42512.709722222222</v>
      </c>
      <c r="G100" s="38">
        <v>1</v>
      </c>
      <c r="H100" s="30" t="s">
        <v>417</v>
      </c>
      <c r="I100" s="30">
        <v>42512.736805555556</v>
      </c>
      <c r="J100" s="61">
        <v>1</v>
      </c>
      <c r="K100" s="61" t="str">
        <f>IF(ISEVEN(B100),(B100-1)&amp;"/"&amp;B100,B100&amp;"/"&amp;(B100+1))</f>
        <v>4023/4024</v>
      </c>
      <c r="L100" s="61" t="str">
        <f>VLOOKUP(A100,'Trips&amp;Operators'!$C$1:$E$9999,3,FALSE)</f>
        <v>BRUDER</v>
      </c>
      <c r="M100" s="12">
        <f>I100-F100</f>
        <v>2.7083333334303461E-2</v>
      </c>
      <c r="N100" s="13">
        <f>24*60*SUM($M100:$M100)</f>
        <v>39.000000001396984</v>
      </c>
      <c r="O100" s="13"/>
      <c r="P100" s="13"/>
      <c r="Q100" s="62"/>
      <c r="R100" s="62"/>
      <c r="T100" s="74" t="str">
        <f>"https://search-rtdc-monitor-bjffxe2xuh6vdkpspy63sjmuny.us-east-1.es.amazonaws.com/_plugin/kibana/#/discover/Steve-Slow-Train-Analysis-(2080s-and-2083s)?_g=(refreshInterval:(display:Off,section:0,value:0),time:(from:'"&amp;TEXT(E100-1/24/60,"yyyy-MM-DD hh:mm:ss")&amp;"-0600',mode:absolute,to:'"&amp;TEXT(I100+1/24/60,"yyyy-MM-DD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100&amp;"%22')),sort:!(Time,asc))"</f>
        <v>https://search-rtdc-monitor-bjffxe2xuh6vdkpspy63sjmuny.us-east-1.es.amazonaws.com/_plugin/kibana/#/discover/Steve-Slow-Train-Analysis-(2080s-and-2083s)?_g=(refreshInterval:(display:Off,section:0,value:0),time:(from:'2016-05-22 16:59:31-0600',mode:absolute,to:'2016-05-22 17:42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00" s="74" t="str">
        <f>IF(Y100&lt;23,"Y","N")</f>
        <v>N</v>
      </c>
      <c r="V100" s="74">
        <f>VALUE(LEFT(A100,3))-VALUE(LEFT(A99,3))</f>
        <v>1</v>
      </c>
      <c r="W100" s="74">
        <f>RIGHT(D100,LEN(D100)-4)/10000</f>
        <v>4.6199999999999998E-2</v>
      </c>
      <c r="X100" s="74">
        <f>RIGHT(H100,LEN(H100)-4)/10000</f>
        <v>23.329799999999999</v>
      </c>
      <c r="Y100" s="74">
        <f>ABS(X100-W100)</f>
        <v>23.2836</v>
      </c>
      <c r="Z100" s="75">
        <f>VLOOKUP(A100,Enforcements!$C$3:$J$55,8,0)</f>
        <v>53155</v>
      </c>
      <c r="AA100" s="75" t="str">
        <f>VLOOKUP(A100,Enforcements!$C$3:$J$55,3,0)</f>
        <v>GRADE CROSSING</v>
      </c>
    </row>
    <row r="101" spans="1:27" s="2" customFormat="1" x14ac:dyDescent="0.25">
      <c r="A101" s="61" t="s">
        <v>369</v>
      </c>
      <c r="B101" s="61">
        <v>4023</v>
      </c>
      <c r="C101" s="61" t="s">
        <v>66</v>
      </c>
      <c r="D101" s="61" t="s">
        <v>149</v>
      </c>
      <c r="E101" s="30">
        <v>42512.743750000001</v>
      </c>
      <c r="F101" s="30">
        <v>42512.744780092595</v>
      </c>
      <c r="G101" s="38">
        <v>1</v>
      </c>
      <c r="H101" s="30" t="s">
        <v>482</v>
      </c>
      <c r="I101" s="30">
        <v>42512.776134259257</v>
      </c>
      <c r="J101" s="61">
        <v>2</v>
      </c>
      <c r="K101" s="61" t="str">
        <f>IF(ISEVEN(B101),(B101-1)&amp;"/"&amp;B101,B101&amp;"/"&amp;(B101+1))</f>
        <v>4023/4024</v>
      </c>
      <c r="L101" s="61" t="str">
        <f>VLOOKUP(A101,'Trips&amp;Operators'!$C$1:$E$9999,3,FALSE)</f>
        <v>BRUDER</v>
      </c>
      <c r="M101" s="12">
        <f>I101-F101</f>
        <v>3.1354166661913041E-2</v>
      </c>
      <c r="N101" s="13">
        <f>24*60*SUM($M101:$M101)</f>
        <v>45.149999993154779</v>
      </c>
      <c r="O101" s="13"/>
      <c r="P101" s="13"/>
      <c r="Q101" s="62"/>
      <c r="R101" s="62"/>
      <c r="T101" s="74" t="str">
        <f>"https://search-rtdc-monitor-bjffxe2xuh6vdkpspy63sjmuny.us-east-1.es.amazonaws.com/_plugin/kibana/#/discover/Steve-Slow-Train-Analysis-(2080s-and-2083s)?_g=(refreshInterval:(display:Off,section:0,value:0),time:(from:'"&amp;TEXT(E101-1/24/60,"yyyy-MM-DD hh:mm:ss")&amp;"-0600',mode:absolute,to:'"&amp;TEXT(I101+1/24/60,"yyyy-MM-DD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101&amp;"%22')),sort:!(Time,asc))"</f>
        <v>https://search-rtdc-monitor-bjffxe2xuh6vdkpspy63sjmuny.us-east-1.es.amazonaws.com/_plugin/kibana/#/discover/Steve-Slow-Train-Analysis-(2080s-and-2083s)?_g=(refreshInterval:(display:Off,section:0,value:0),time:(from:'2016-05-22 17:50:00-0600',mode:absolute,to:'2016-05-22 18:38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01" s="74" t="str">
        <f>IF(Y101&lt;23,"Y","N")</f>
        <v>N</v>
      </c>
      <c r="V101" s="74">
        <f>VALUE(LEFT(A101,3))-VALUE(LEFT(A100,3))</f>
        <v>1</v>
      </c>
      <c r="W101" s="74">
        <f>RIGHT(D101,LEN(D101)-4)/10000</f>
        <v>23.299299999999999</v>
      </c>
      <c r="X101" s="74">
        <f>RIGHT(H101,LEN(H101)-4)/10000</f>
        <v>1.9099999999999999E-2</v>
      </c>
      <c r="Y101" s="74">
        <f>ABS(X101-W101)</f>
        <v>23.280199999999997</v>
      </c>
      <c r="Z101" s="75">
        <f>VLOOKUP(A101,Enforcements!$C$3:$J$55,8,0)</f>
        <v>133166</v>
      </c>
      <c r="AA101" s="75" t="str">
        <f>VLOOKUP(A101,Enforcements!$C$3:$J$55,3,0)</f>
        <v>SIGNAL</v>
      </c>
    </row>
    <row r="102" spans="1:27" s="2" customFormat="1" x14ac:dyDescent="0.25">
      <c r="A102" s="61" t="s">
        <v>483</v>
      </c>
      <c r="B102" s="61">
        <v>4007</v>
      </c>
      <c r="C102" s="61" t="s">
        <v>66</v>
      </c>
      <c r="D102" s="61" t="s">
        <v>107</v>
      </c>
      <c r="E102" s="30">
        <v>42512.718935185185</v>
      </c>
      <c r="F102" s="30">
        <v>42512.719872685186</v>
      </c>
      <c r="G102" s="38">
        <v>1</v>
      </c>
      <c r="H102" s="30" t="s">
        <v>152</v>
      </c>
      <c r="I102" s="30">
        <v>42512.74722222222</v>
      </c>
      <c r="J102" s="61">
        <v>0</v>
      </c>
      <c r="K102" s="61" t="str">
        <f>IF(ISEVEN(B102),(B102-1)&amp;"/"&amp;B102,B102&amp;"/"&amp;(B102+1))</f>
        <v>4007/4008</v>
      </c>
      <c r="L102" s="61" t="str">
        <f>VLOOKUP(A102,'Trips&amp;Operators'!$C$1:$E$9999,3,FALSE)</f>
        <v>JACKSON</v>
      </c>
      <c r="M102" s="12">
        <f>I102-F102</f>
        <v>2.7349537034751847E-2</v>
      </c>
      <c r="N102" s="13">
        <f>24*60*SUM($M102:$M102)</f>
        <v>39.38333333004266</v>
      </c>
      <c r="O102" s="13"/>
      <c r="P102" s="13"/>
      <c r="Q102" s="62"/>
      <c r="R102" s="62"/>
      <c r="T102" s="74" t="str">
        <f>"https://search-rtdc-monitor-bjffxe2xuh6vdkpspy63sjmuny.us-east-1.es.amazonaws.com/_plugin/kibana/#/discover/Steve-Slow-Train-Analysis-(2080s-and-2083s)?_g=(refreshInterval:(display:Off,section:0,value:0),time:(from:'"&amp;TEXT(E102-1/24/60,"yyyy-MM-DD hh:mm:ss")&amp;"-0600',mode:absolute,to:'"&amp;TEXT(I102+1/24/60,"yyyy-MM-DD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102&amp;"%22')),sort:!(Time,asc))"</f>
        <v>https://search-rtdc-monitor-bjffxe2xuh6vdkpspy63sjmuny.us-east-1.es.amazonaws.com/_plugin/kibana/#/discover/Steve-Slow-Train-Analysis-(2080s-and-2083s)?_g=(refreshInterval:(display:Off,section:0,value:0),time:(from:'2016-05-22 17:14:16-0600',mode:absolute,to:'2016-05-22 17:57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02" s="74" t="str">
        <f>IF(Y102&lt;23,"Y","N")</f>
        <v>N</v>
      </c>
      <c r="V102" s="74">
        <f>VALUE(LEFT(A102,3))-VALUE(LEFT(A101,3))</f>
        <v>1</v>
      </c>
      <c r="W102" s="74">
        <f>RIGHT(D102,LEN(D102)-4)/10000</f>
        <v>4.6899999999999997E-2</v>
      </c>
      <c r="X102" s="74">
        <f>RIGHT(H102,LEN(H102)-4)/10000</f>
        <v>23.327400000000001</v>
      </c>
      <c r="Y102" s="74">
        <f>ABS(X102-W102)</f>
        <v>23.2805</v>
      </c>
      <c r="Z102" s="75" t="e">
        <f>VLOOKUP(A102,Enforcements!$C$3:$J$55,8,0)</f>
        <v>#N/A</v>
      </c>
      <c r="AA102" s="75" t="e">
        <f>VLOOKUP(A102,Enforcements!$C$3:$J$55,3,0)</f>
        <v>#N/A</v>
      </c>
    </row>
    <row r="103" spans="1:27" s="2" customFormat="1" x14ac:dyDescent="0.25">
      <c r="A103" s="61" t="s">
        <v>484</v>
      </c>
      <c r="B103" s="61">
        <v>4008</v>
      </c>
      <c r="C103" s="61" t="s">
        <v>66</v>
      </c>
      <c r="D103" s="61" t="s">
        <v>87</v>
      </c>
      <c r="E103" s="30">
        <v>42512.749837962961</v>
      </c>
      <c r="F103" s="30">
        <v>42512.75099537037</v>
      </c>
      <c r="G103" s="38">
        <v>1</v>
      </c>
      <c r="H103" s="30" t="s">
        <v>414</v>
      </c>
      <c r="I103" s="30">
        <v>42512.786307870374</v>
      </c>
      <c r="J103" s="61">
        <v>0</v>
      </c>
      <c r="K103" s="61" t="str">
        <f>IF(ISEVEN(B103),(B103-1)&amp;"/"&amp;B103,B103&amp;"/"&amp;(B103+1))</f>
        <v>4007/4008</v>
      </c>
      <c r="L103" s="61" t="str">
        <f>VLOOKUP(A103,'Trips&amp;Operators'!$C$1:$E$9999,3,FALSE)</f>
        <v>JACKSON</v>
      </c>
      <c r="M103" s="12">
        <f>I103-F103</f>
        <v>3.5312500003783498E-2</v>
      </c>
      <c r="N103" s="13">
        <f>24*60*SUM($M103:$M103)</f>
        <v>50.850000005448237</v>
      </c>
      <c r="O103" s="13"/>
      <c r="P103" s="13"/>
      <c r="Q103" s="62"/>
      <c r="R103" s="62"/>
      <c r="T103" s="74" t="str">
        <f>"https://search-rtdc-monitor-bjffxe2xuh6vdkpspy63sjmuny.us-east-1.es.amazonaws.com/_plugin/kibana/#/discover/Steve-Slow-Train-Analysis-(2080s-and-2083s)?_g=(refreshInterval:(display:Off,section:0,value:0),time:(from:'"&amp;TEXT(E103-1/24/60,"yyyy-MM-DD hh:mm:ss")&amp;"-0600',mode:absolute,to:'"&amp;TEXT(I103+1/24/60,"yyyy-MM-DD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103&amp;"%22')),sort:!(Time,asc))"</f>
        <v>https://search-rtdc-monitor-bjffxe2xuh6vdkpspy63sjmuny.us-east-1.es.amazonaws.com/_plugin/kibana/#/discover/Steve-Slow-Train-Analysis-(2080s-and-2083s)?_g=(refreshInterval:(display:Off,section:0,value:0),time:(from:'2016-05-22 17:58:46-0600',mode:absolute,to:'2016-05-22 18:53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03" s="74" t="str">
        <f>IF(Y103&lt;23,"Y","N")</f>
        <v>N</v>
      </c>
      <c r="V103" s="74">
        <f>VALUE(LEFT(A103,3))-VALUE(LEFT(A102,3))</f>
        <v>1</v>
      </c>
      <c r="W103" s="74">
        <f>RIGHT(D103,LEN(D103)-4)/10000</f>
        <v>23.297999999999998</v>
      </c>
      <c r="X103" s="74">
        <f>RIGHT(H103,LEN(H103)-4)/10000</f>
        <v>1.38E-2</v>
      </c>
      <c r="Y103" s="74">
        <f>ABS(X103-W103)</f>
        <v>23.284199999999998</v>
      </c>
      <c r="Z103" s="75" t="e">
        <f>VLOOKUP(A103,Enforcements!$C$3:$J$55,8,0)</f>
        <v>#N/A</v>
      </c>
      <c r="AA103" s="75" t="e">
        <f>VLOOKUP(A103,Enforcements!$C$3:$J$55,3,0)</f>
        <v>#N/A</v>
      </c>
    </row>
    <row r="104" spans="1:27" s="2" customFormat="1" x14ac:dyDescent="0.25">
      <c r="A104" s="61" t="s">
        <v>368</v>
      </c>
      <c r="B104" s="61">
        <v>4031</v>
      </c>
      <c r="C104" s="61" t="s">
        <v>66</v>
      </c>
      <c r="D104" s="61" t="s">
        <v>485</v>
      </c>
      <c r="E104" s="30">
        <v>42512.733518518522</v>
      </c>
      <c r="F104" s="30">
        <v>42512.73537037037</v>
      </c>
      <c r="G104" s="38">
        <v>2</v>
      </c>
      <c r="H104" s="30" t="s">
        <v>123</v>
      </c>
      <c r="I104" s="30">
        <v>42512.764756944445</v>
      </c>
      <c r="J104" s="61">
        <v>1</v>
      </c>
      <c r="K104" s="61" t="str">
        <f>IF(ISEVEN(B104),(B104-1)&amp;"/"&amp;B104,B104&amp;"/"&amp;(B104+1))</f>
        <v>4031/4032</v>
      </c>
      <c r="L104" s="61" t="str">
        <f>VLOOKUP(A104,'Trips&amp;Operators'!$C$1:$E$9999,3,FALSE)</f>
        <v>YOUNG</v>
      </c>
      <c r="M104" s="12">
        <f>I104-F104</f>
        <v>2.9386574075033423E-2</v>
      </c>
      <c r="N104" s="13">
        <f>24*60*SUM($M104:$M104)</f>
        <v>42.316666668048128</v>
      </c>
      <c r="O104" s="13"/>
      <c r="P104" s="13"/>
      <c r="Q104" s="62"/>
      <c r="R104" s="62"/>
      <c r="T104" s="74" t="str">
        <f>"https://search-rtdc-monitor-bjffxe2xuh6vdkpspy63sjmuny.us-east-1.es.amazonaws.com/_plugin/kibana/#/discover/Steve-Slow-Train-Analysis-(2080s-and-2083s)?_g=(refreshInterval:(display:Off,section:0,value:0),time:(from:'"&amp;TEXT(E104-1/24/60,"yyyy-MM-DD hh:mm:ss")&amp;"-0600',mode:absolute,to:'"&amp;TEXT(I104+1/24/60,"yyyy-MM-DD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104&amp;"%22')),sort:!(Time,asc))"</f>
        <v>https://search-rtdc-monitor-bjffxe2xuh6vdkpspy63sjmuny.us-east-1.es.amazonaws.com/_plugin/kibana/#/discover/Steve-Slow-Train-Analysis-(2080s-and-2083s)?_g=(refreshInterval:(display:Off,section:0,value:0),time:(from:'2016-05-22 17:35:16-0600',mode:absolute,to:'2016-05-22 18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04" s="74" t="str">
        <f>IF(Y104&lt;23,"Y","N")</f>
        <v>N</v>
      </c>
      <c r="V104" s="74">
        <f>VALUE(LEFT(A104,3))-VALUE(LEFT(A103,3))</f>
        <v>1</v>
      </c>
      <c r="W104" s="74">
        <f>RIGHT(D104,LEN(D104)-4)/10000</f>
        <v>0.16919999999999999</v>
      </c>
      <c r="X104" s="74">
        <f>RIGHT(H104,LEN(H104)-4)/10000</f>
        <v>23.330200000000001</v>
      </c>
      <c r="Y104" s="74">
        <f>ABS(X104-W104)</f>
        <v>23.161000000000001</v>
      </c>
      <c r="Z104" s="75">
        <f>VLOOKUP(A104,Enforcements!$C$3:$J$55,8,0)</f>
        <v>20338</v>
      </c>
      <c r="AA104" s="75" t="str">
        <f>VLOOKUP(A104,Enforcements!$C$3:$J$55,3,0)</f>
        <v>PERMANENT SPEED RESTRICTION</v>
      </c>
    </row>
    <row r="105" spans="1:27" s="2" customFormat="1" x14ac:dyDescent="0.25">
      <c r="A105" s="61" t="s">
        <v>486</v>
      </c>
      <c r="B105" s="61">
        <v>4032</v>
      </c>
      <c r="C105" s="61" t="s">
        <v>66</v>
      </c>
      <c r="D105" s="61" t="s">
        <v>389</v>
      </c>
      <c r="E105" s="30">
        <v>42512.766134259262</v>
      </c>
      <c r="F105" s="30">
        <v>42512.767916666664</v>
      </c>
      <c r="G105" s="38">
        <v>2</v>
      </c>
      <c r="H105" s="30" t="s">
        <v>94</v>
      </c>
      <c r="I105" s="30">
        <v>42512.798055555555</v>
      </c>
      <c r="J105" s="61">
        <v>0</v>
      </c>
      <c r="K105" s="61" t="str">
        <f>IF(ISEVEN(B105),(B105-1)&amp;"/"&amp;B105,B105&amp;"/"&amp;(B105+1))</f>
        <v>4031/4032</v>
      </c>
      <c r="L105" s="61" t="str">
        <f>VLOOKUP(A105,'Trips&amp;Operators'!$C$1:$E$9999,3,FALSE)</f>
        <v>YOUNG</v>
      </c>
      <c r="M105" s="12">
        <f>I105-F105</f>
        <v>3.0138888891087845E-2</v>
      </c>
      <c r="N105" s="13">
        <f>24*60*SUM($M105:$M105)</f>
        <v>43.400000003166497</v>
      </c>
      <c r="O105" s="13"/>
      <c r="P105" s="13"/>
      <c r="Q105" s="62"/>
      <c r="R105" s="62"/>
      <c r="T105" s="74" t="str">
        <f>"https://search-rtdc-monitor-bjffxe2xuh6vdkpspy63sjmuny.us-east-1.es.amazonaws.com/_plugin/kibana/#/discover/Steve-Slow-Train-Analysis-(2080s-and-2083s)?_g=(refreshInterval:(display:Off,section:0,value:0),time:(from:'"&amp;TEXT(E105-1/24/60,"yyyy-MM-DD hh:mm:ss")&amp;"-0600',mode:absolute,to:'"&amp;TEXT(I105+1/24/60,"yyyy-MM-DD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105&amp;"%22')),sort:!(Time,asc))"</f>
        <v>https://search-rtdc-monitor-bjffxe2xuh6vdkpspy63sjmuny.us-east-1.es.amazonaws.com/_plugin/kibana/#/discover/Steve-Slow-Train-Analysis-(2080s-and-2083s)?_g=(refreshInterval:(display:Off,section:0,value:0),time:(from:'2016-05-22 18:22:14-0600',mode:absolute,to:'2016-05-22 19:10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05" s="74" t="str">
        <f>IF(Y105&lt;23,"Y","N")</f>
        <v>N</v>
      </c>
      <c r="V105" s="74">
        <f>VALUE(LEFT(A105,3))-VALUE(LEFT(A104,3))</f>
        <v>1</v>
      </c>
      <c r="W105" s="74">
        <f>RIGHT(D105,LEN(D105)-4)/10000</f>
        <v>23.299099999999999</v>
      </c>
      <c r="X105" s="74">
        <f>RIGHT(H105,LEN(H105)-4)/10000</f>
        <v>1.41E-2</v>
      </c>
      <c r="Y105" s="74">
        <f>ABS(X105-W105)</f>
        <v>23.285</v>
      </c>
      <c r="Z105" s="75" t="e">
        <f>VLOOKUP(A105,Enforcements!$C$3:$J$55,8,0)</f>
        <v>#N/A</v>
      </c>
      <c r="AA105" s="75" t="e">
        <f>VLOOKUP(A105,Enforcements!$C$3:$J$55,3,0)</f>
        <v>#N/A</v>
      </c>
    </row>
    <row r="106" spans="1:27" s="2" customFormat="1" x14ac:dyDescent="0.25">
      <c r="A106" s="61" t="s">
        <v>371</v>
      </c>
      <c r="B106" s="61">
        <v>4018</v>
      </c>
      <c r="C106" s="61" t="s">
        <v>66</v>
      </c>
      <c r="D106" s="61" t="s">
        <v>478</v>
      </c>
      <c r="E106" s="30">
        <v>42512.752986111111</v>
      </c>
      <c r="F106" s="30">
        <v>42512.754363425927</v>
      </c>
      <c r="G106" s="38">
        <v>1</v>
      </c>
      <c r="H106" s="30" t="s">
        <v>488</v>
      </c>
      <c r="I106" s="30">
        <v>42512.784166666665</v>
      </c>
      <c r="J106" s="61">
        <v>1</v>
      </c>
      <c r="K106" s="61" t="str">
        <f>IF(ISEVEN(B106),(B106-1)&amp;"/"&amp;B106,B106&amp;"/"&amp;(B106+1))</f>
        <v>4017/4018</v>
      </c>
      <c r="L106" s="61" t="str">
        <f>VLOOKUP(A106,'Trips&amp;Operators'!$C$1:$E$9999,3,FALSE)</f>
        <v>GOODNIGHT</v>
      </c>
      <c r="M106" s="12">
        <f>I106-F106</f>
        <v>2.9803240737237502E-2</v>
      </c>
      <c r="N106" s="13">
        <f>24*60*SUM($M106:$M106)</f>
        <v>42.916666661622003</v>
      </c>
      <c r="O106" s="13"/>
      <c r="P106" s="13"/>
      <c r="Q106" s="62"/>
      <c r="R106" s="62"/>
      <c r="T106" s="74" t="str">
        <f>"https://search-rtdc-monitor-bjffxe2xuh6vdkpspy63sjmuny.us-east-1.es.amazonaws.com/_plugin/kibana/#/discover/Steve-Slow-Train-Analysis-(2080s-and-2083s)?_g=(refreshInterval:(display:Off,section:0,value:0),time:(from:'"&amp;TEXT(E106-1/24/60,"yyyy-MM-DD hh:mm:ss")&amp;"-0600',mode:absolute,to:'"&amp;TEXT(I106+1/24/60,"yyyy-MM-DD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106&amp;"%22')),sort:!(Time,asc))"</f>
        <v>https://search-rtdc-monitor-bjffxe2xuh6vdkpspy63sjmuny.us-east-1.es.amazonaws.com/_plugin/kibana/#/discover/Steve-Slow-Train-Analysis-(2080s-and-2083s)?_g=(refreshInterval:(display:Off,section:0,value:0),time:(from:'2016-05-22 18:03:18-0600',mode:absolute,to:'2016-05-22 18:50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06" s="74" t="str">
        <f>IF(Y106&lt;23,"Y","N")</f>
        <v>N</v>
      </c>
      <c r="V106" s="74">
        <f>VALUE(LEFT(A106,3))-VALUE(LEFT(A105,3))</f>
        <v>3</v>
      </c>
      <c r="W106" s="74">
        <f>RIGHT(D106,LEN(D106)-4)/10000</f>
        <v>4.3799999999999999E-2</v>
      </c>
      <c r="X106" s="74">
        <f>RIGHT(H106,LEN(H106)-4)/10000</f>
        <v>23.332100000000001</v>
      </c>
      <c r="Y106" s="74">
        <f>ABS(X106-W106)</f>
        <v>23.2883</v>
      </c>
      <c r="Z106" s="75">
        <f>VLOOKUP(A106,Enforcements!$C$3:$J$55,8,0)</f>
        <v>198242</v>
      </c>
      <c r="AA106" s="75" t="str">
        <f>VLOOKUP(A106,Enforcements!$C$3:$J$55,3,0)</f>
        <v>SIGNAL</v>
      </c>
    </row>
    <row r="107" spans="1:27" s="2" customFormat="1" x14ac:dyDescent="0.25">
      <c r="A107" s="61" t="s">
        <v>489</v>
      </c>
      <c r="B107" s="61">
        <v>4017</v>
      </c>
      <c r="C107" s="61" t="s">
        <v>66</v>
      </c>
      <c r="D107" s="61" t="s">
        <v>173</v>
      </c>
      <c r="E107" s="30">
        <v>42512.78696759259</v>
      </c>
      <c r="F107" s="30">
        <v>42512.788101851853</v>
      </c>
      <c r="G107" s="38">
        <v>1</v>
      </c>
      <c r="H107" s="30" t="s">
        <v>99</v>
      </c>
      <c r="I107" s="30">
        <v>42512.81763888889</v>
      </c>
      <c r="J107" s="61">
        <v>0</v>
      </c>
      <c r="K107" s="61" t="str">
        <f>IF(ISEVEN(B107),(B107-1)&amp;"/"&amp;B107,B107&amp;"/"&amp;(B107+1))</f>
        <v>4017/4018</v>
      </c>
      <c r="L107" s="61" t="str">
        <f>VLOOKUP(A107,'Trips&amp;Operators'!$C$1:$E$9999,3,FALSE)</f>
        <v>GOODNIGHT</v>
      </c>
      <c r="M107" s="12">
        <f>I107-F107</f>
        <v>2.9537037036789116E-2</v>
      </c>
      <c r="N107" s="13">
        <f>24*60*SUM($M107:$M107)</f>
        <v>42.533333332976326</v>
      </c>
      <c r="O107" s="13"/>
      <c r="P107" s="13"/>
      <c r="Q107" s="62"/>
      <c r="R107" s="62"/>
      <c r="T107" s="74" t="str">
        <f>"https://search-rtdc-monitor-bjffxe2xuh6vdkpspy63sjmuny.us-east-1.es.amazonaws.com/_plugin/kibana/#/discover/Steve-Slow-Train-Analysis-(2080s-and-2083s)?_g=(refreshInterval:(display:Off,section:0,value:0),time:(from:'"&amp;TEXT(E107-1/24/60,"yyyy-MM-DD hh:mm:ss")&amp;"-0600',mode:absolute,to:'"&amp;TEXT(I107+1/24/60,"yyyy-MM-DD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107&amp;"%22')),sort:!(Time,asc))"</f>
        <v>https://search-rtdc-monitor-bjffxe2xuh6vdkpspy63sjmuny.us-east-1.es.amazonaws.com/_plugin/kibana/#/discover/Steve-Slow-Train-Analysis-(2080s-and-2083s)?_g=(refreshInterval:(display:Off,section:0,value:0),time:(from:'2016-05-22 18:52:14-0600',mode:absolute,to:'2016-05-22 19:38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07" s="74" t="str">
        <f>IF(Y107&lt;23,"Y","N")</f>
        <v>N</v>
      </c>
      <c r="V107" s="74">
        <f>VALUE(LEFT(A107,3))-VALUE(LEFT(A106,3))</f>
        <v>1</v>
      </c>
      <c r="W107" s="74">
        <f>RIGHT(D107,LEN(D107)-4)/10000</f>
        <v>23.300599999999999</v>
      </c>
      <c r="X107" s="74">
        <f>RIGHT(H107,LEN(H107)-4)/10000</f>
        <v>1.47E-2</v>
      </c>
      <c r="Y107" s="74">
        <f>ABS(X107-W107)</f>
        <v>23.285899999999998</v>
      </c>
      <c r="Z107" s="75" t="e">
        <f>VLOOKUP(A107,Enforcements!$C$3:$J$55,8,0)</f>
        <v>#N/A</v>
      </c>
      <c r="AA107" s="75" t="e">
        <f>VLOOKUP(A107,Enforcements!$C$3:$J$55,3,0)</f>
        <v>#N/A</v>
      </c>
    </row>
    <row r="108" spans="1:27" s="2" customFormat="1" x14ac:dyDescent="0.25">
      <c r="A108" s="61" t="s">
        <v>370</v>
      </c>
      <c r="B108" s="61">
        <v>4011</v>
      </c>
      <c r="C108" s="61" t="s">
        <v>66</v>
      </c>
      <c r="D108" s="61" t="s">
        <v>76</v>
      </c>
      <c r="E108" s="30">
        <v>42512.759328703702</v>
      </c>
      <c r="F108" s="30">
        <v>42512.760659722226</v>
      </c>
      <c r="G108" s="38">
        <v>1</v>
      </c>
      <c r="H108" s="30" t="s">
        <v>417</v>
      </c>
      <c r="I108" s="30">
        <v>42512.794293981482</v>
      </c>
      <c r="J108" s="61">
        <v>1</v>
      </c>
      <c r="K108" s="61" t="str">
        <f>IF(ISEVEN(B108),(B108-1)&amp;"/"&amp;B108,B108&amp;"/"&amp;(B108+1))</f>
        <v>4011/4012</v>
      </c>
      <c r="L108" s="61" t="str">
        <f>VLOOKUP(A108,'Trips&amp;Operators'!$C$1:$E$9999,3,FALSE)</f>
        <v>HELVIE</v>
      </c>
      <c r="M108" s="12">
        <f>I108-F108</f>
        <v>3.3634259256359655E-2</v>
      </c>
      <c r="N108" s="13">
        <f>24*60*SUM($M108:$M108)</f>
        <v>48.433333329157904</v>
      </c>
      <c r="O108" s="13"/>
      <c r="P108" s="13"/>
      <c r="Q108" s="62"/>
      <c r="R108" s="62"/>
      <c r="T108" s="74" t="str">
        <f>"https://search-rtdc-monitor-bjffxe2xuh6vdkpspy63sjmuny.us-east-1.es.amazonaws.com/_plugin/kibana/#/discover/Steve-Slow-Train-Analysis-(2080s-and-2083s)?_g=(refreshInterval:(display:Off,section:0,value:0),time:(from:'"&amp;TEXT(E108-1/24/60,"yyyy-MM-DD hh:mm:ss")&amp;"-0600',mode:absolute,to:'"&amp;TEXT(I108+1/24/60,"yyyy-MM-DD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108&amp;"%22')),sort:!(Time,asc))"</f>
        <v>https://search-rtdc-monitor-bjffxe2xuh6vdkpspy63sjmuny.us-east-1.es.amazonaws.com/_plugin/kibana/#/discover/Steve-Slow-Train-Analysis-(2080s-and-2083s)?_g=(refreshInterval:(display:Off,section:0,value:0),time:(from:'2016-05-22 18:12:26-0600',mode:absolute,to:'2016-05-22 19:04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08" s="74" t="str">
        <f>IF(Y108&lt;23,"Y","N")</f>
        <v>N</v>
      </c>
      <c r="V108" s="74">
        <f>VALUE(LEFT(A108,3))-VALUE(LEFT(A107,3))</f>
        <v>1</v>
      </c>
      <c r="W108" s="74">
        <f>RIGHT(D108,LEN(D108)-4)/10000</f>
        <v>4.4699999999999997E-2</v>
      </c>
      <c r="X108" s="74">
        <f>RIGHT(H108,LEN(H108)-4)/10000</f>
        <v>23.329799999999999</v>
      </c>
      <c r="Y108" s="74">
        <f>ABS(X108-W108)</f>
        <v>23.2851</v>
      </c>
      <c r="Z108" s="75">
        <f>VLOOKUP(A108,Enforcements!$C$3:$J$55,8,0)</f>
        <v>53155</v>
      </c>
      <c r="AA108" s="75" t="str">
        <f>VLOOKUP(A108,Enforcements!$C$3:$J$55,3,0)</f>
        <v>GRADE CROSSING</v>
      </c>
    </row>
    <row r="109" spans="1:27" s="2" customFormat="1" x14ac:dyDescent="0.25">
      <c r="A109" s="61" t="s">
        <v>372</v>
      </c>
      <c r="B109" s="61">
        <v>4012</v>
      </c>
      <c r="C109" s="61" t="s">
        <v>66</v>
      </c>
      <c r="D109" s="61" t="s">
        <v>389</v>
      </c>
      <c r="E109" s="30">
        <v>42512.800138888888</v>
      </c>
      <c r="F109" s="30">
        <v>42512.800891203704</v>
      </c>
      <c r="G109" s="38">
        <v>1</v>
      </c>
      <c r="H109" s="30" t="s">
        <v>490</v>
      </c>
      <c r="I109" s="30">
        <v>42512.82916666667</v>
      </c>
      <c r="J109" s="61">
        <v>1</v>
      </c>
      <c r="K109" s="61" t="str">
        <f>IF(ISEVEN(B109),(B109-1)&amp;"/"&amp;B109,B109&amp;"/"&amp;(B109+1))</f>
        <v>4011/4012</v>
      </c>
      <c r="L109" s="61" t="str">
        <f>VLOOKUP(A109,'Trips&amp;Operators'!$C$1:$E$9999,3,FALSE)</f>
        <v>HELVIE</v>
      </c>
      <c r="M109" s="12">
        <f>I109-F109</f>
        <v>2.8275462966121268E-2</v>
      </c>
      <c r="N109" s="13">
        <f>24*60*SUM($M109:$M109)</f>
        <v>40.716666671214625</v>
      </c>
      <c r="O109" s="13"/>
      <c r="P109" s="13"/>
      <c r="Q109" s="62"/>
      <c r="R109" s="62"/>
      <c r="T109" s="74" t="str">
        <f>"https://search-rtdc-monitor-bjffxe2xuh6vdkpspy63sjmuny.us-east-1.es.amazonaws.com/_plugin/kibana/#/discover/Steve-Slow-Train-Analysis-(2080s-and-2083s)?_g=(refreshInterval:(display:Off,section:0,value:0),time:(from:'"&amp;TEXT(E109-1/24/60,"yyyy-MM-DD hh:mm:ss")&amp;"-0600',mode:absolute,to:'"&amp;TEXT(I109+1/24/60,"yyyy-MM-DD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109&amp;"%22')),sort:!(Time,asc))"</f>
        <v>https://search-rtdc-monitor-bjffxe2xuh6vdkpspy63sjmuny.us-east-1.es.amazonaws.com/_plugin/kibana/#/discover/Steve-Slow-Train-Analysis-(2080s-and-2083s)?_g=(refreshInterval:(display:Off,section:0,value:0),time:(from:'2016-05-22 19:11:12-0600',mode:absolute,to:'2016-05-22 19:55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09" s="74" t="str">
        <f>IF(Y109&lt;23,"Y","N")</f>
        <v>N</v>
      </c>
      <c r="V109" s="74">
        <f>VALUE(LEFT(A109,3))-VALUE(LEFT(A108,3))</f>
        <v>1</v>
      </c>
      <c r="W109" s="74">
        <f>RIGHT(D109,LEN(D109)-4)/10000</f>
        <v>23.299099999999999</v>
      </c>
      <c r="X109" s="74">
        <f>RIGHT(H109,LEN(H109)-4)/10000</f>
        <v>2.1399999999999999E-2</v>
      </c>
      <c r="Y109" s="74">
        <f>ABS(X109-W109)</f>
        <v>23.277699999999999</v>
      </c>
      <c r="Z109" s="75">
        <f>VLOOKUP(A109,Enforcements!$C$3:$J$55,8,0)</f>
        <v>1</v>
      </c>
      <c r="AA109" s="75" t="str">
        <f>VLOOKUP(A109,Enforcements!$C$3:$J$55,3,0)</f>
        <v>TRACK WARRANT AUTHORITY</v>
      </c>
    </row>
    <row r="110" spans="1:27" s="2" customFormat="1" x14ac:dyDescent="0.25">
      <c r="A110" s="61" t="s">
        <v>491</v>
      </c>
      <c r="B110" s="61">
        <v>4042</v>
      </c>
      <c r="C110" s="61" t="s">
        <v>66</v>
      </c>
      <c r="D110" s="61" t="s">
        <v>324</v>
      </c>
      <c r="E110" s="30">
        <v>42512.766898148147</v>
      </c>
      <c r="F110" s="30">
        <v>42512.768136574072</v>
      </c>
      <c r="G110" s="38">
        <v>1</v>
      </c>
      <c r="H110" s="30" t="s">
        <v>158</v>
      </c>
      <c r="I110" s="30">
        <v>42512.769328703704</v>
      </c>
      <c r="J110" s="61">
        <v>0</v>
      </c>
      <c r="K110" s="61" t="str">
        <f>IF(ISEVEN(B110),(B110-1)&amp;"/"&amp;B110,B110&amp;"/"&amp;(B110+1))</f>
        <v>4041/4042</v>
      </c>
      <c r="L110" s="61" t="str">
        <f>VLOOKUP(A110,'Trips&amp;Operators'!$C$1:$E$9999,3,FALSE)</f>
        <v>BARTLETT</v>
      </c>
      <c r="M110" s="12">
        <f>I110-F110</f>
        <v>1.1921296318178065E-3</v>
      </c>
      <c r="N110" s="13"/>
      <c r="O110" s="13"/>
      <c r="P110" s="13">
        <f>24*60*SUM($M110:$M110)</f>
        <v>1.7166666698176414</v>
      </c>
      <c r="Q110" s="62" t="s">
        <v>537</v>
      </c>
      <c r="R110" s="62" t="s">
        <v>538</v>
      </c>
      <c r="T110" s="74" t="str">
        <f>"https://search-rtdc-monitor-bjffxe2xuh6vdkpspy63sjmuny.us-east-1.es.amazonaws.com/_plugin/kibana/#/discover/Steve-Slow-Train-Analysis-(2080s-and-2083s)?_g=(refreshInterval:(display:Off,section:0,value:0),time:(from:'"&amp;TEXT(E110-1/24/60,"yyyy-MM-DD hh:mm:ss")&amp;"-0600',mode:absolute,to:'"&amp;TEXT(I110+1/24/60,"yyyy-MM-DD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110&amp;"%22')),sort:!(Time,asc))"</f>
        <v>https://search-rtdc-monitor-bjffxe2xuh6vdkpspy63sjmuny.us-east-1.es.amazonaws.com/_plugin/kibana/#/discover/Steve-Slow-Train-Analysis-(2080s-and-2083s)?_g=(refreshInterval:(display:Off,section:0,value:0),time:(from:'2016-05-22 18:23:20-0600',mode:absolute,to:'2016-05-22 18:28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10" s="74" t="str">
        <f>IF(Y110&lt;23,"Y","N")</f>
        <v>Y</v>
      </c>
      <c r="V110" s="74">
        <f>VALUE(LEFT(A110,3))-VALUE(LEFT(A109,3))</f>
        <v>1</v>
      </c>
      <c r="W110" s="74">
        <f>RIGHT(D110,LEN(D110)-4)/10000</f>
        <v>4.5699999999999998E-2</v>
      </c>
      <c r="X110" s="74">
        <f>RIGHT(H110,LEN(H110)-4)/10000</f>
        <v>4.6600000000000003E-2</v>
      </c>
      <c r="Y110" s="74">
        <f>ABS(X110-W110)</f>
        <v>9.0000000000000496E-4</v>
      </c>
      <c r="Z110" s="75" t="e">
        <f>VLOOKUP(A110,Enforcements!$C$3:$J$55,8,0)</f>
        <v>#N/A</v>
      </c>
      <c r="AA110" s="75" t="e">
        <f>VLOOKUP(A110,Enforcements!$C$3:$J$55,3,0)</f>
        <v>#N/A</v>
      </c>
    </row>
    <row r="111" spans="1:27" s="2" customFormat="1" x14ac:dyDescent="0.25">
      <c r="A111" s="61" t="s">
        <v>492</v>
      </c>
      <c r="B111" s="61">
        <v>4041</v>
      </c>
      <c r="C111" s="61" t="s">
        <v>66</v>
      </c>
      <c r="D111" s="61" t="s">
        <v>87</v>
      </c>
      <c r="E111" s="30">
        <v>42512.803576388891</v>
      </c>
      <c r="F111" s="30">
        <v>42512.804976851854</v>
      </c>
      <c r="G111" s="38">
        <v>2</v>
      </c>
      <c r="H111" s="30" t="s">
        <v>493</v>
      </c>
      <c r="I111" s="30">
        <v>42512.836724537039</v>
      </c>
      <c r="J111" s="61">
        <v>0</v>
      </c>
      <c r="K111" s="61" t="str">
        <f>IF(ISEVEN(B111),(B111-1)&amp;"/"&amp;B111,B111&amp;"/"&amp;(B111+1))</f>
        <v>4041/4042</v>
      </c>
      <c r="L111" s="61" t="str">
        <f>VLOOKUP(A111,'Trips&amp;Operators'!$C$1:$E$9999,3,FALSE)</f>
        <v>BARTLETT</v>
      </c>
      <c r="M111" s="12">
        <f>I111-F111</f>
        <v>3.1747685185109731E-2</v>
      </c>
      <c r="N111" s="13">
        <f>24*60*SUM($M111:$M111)</f>
        <v>45.716666666558012</v>
      </c>
      <c r="O111" s="13"/>
      <c r="P111" s="13"/>
      <c r="Q111" s="62"/>
      <c r="R111" s="62"/>
      <c r="T111" s="74" t="str">
        <f>"https://search-rtdc-monitor-bjffxe2xuh6vdkpspy63sjmuny.us-east-1.es.amazonaws.com/_plugin/kibana/#/discover/Steve-Slow-Train-Analysis-(2080s-and-2083s)?_g=(refreshInterval:(display:Off,section:0,value:0),time:(from:'"&amp;TEXT(E111-1/24/60,"yyyy-MM-DD hh:mm:ss")&amp;"-0600',mode:absolute,to:'"&amp;TEXT(I111+1/24/60,"yyyy-MM-DD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111&amp;"%22')),sort:!(Time,asc))"</f>
        <v>https://search-rtdc-monitor-bjffxe2xuh6vdkpspy63sjmuny.us-east-1.es.amazonaws.com/_plugin/kibana/#/discover/Steve-Slow-Train-Analysis-(2080s-and-2083s)?_g=(refreshInterval:(display:Off,section:0,value:0),time:(from:'2016-05-22 19:16:09-0600',mode:absolute,to:'2016-05-22 20:05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11" s="74" t="str">
        <f>IF(Y111&lt;23,"Y","N")</f>
        <v>N</v>
      </c>
      <c r="V111" s="74">
        <f>VALUE(LEFT(A111,3))-VALUE(LEFT(A110,3))</f>
        <v>1</v>
      </c>
      <c r="W111" s="74">
        <f>RIGHT(D111,LEN(D111)-4)/10000</f>
        <v>23.297999999999998</v>
      </c>
      <c r="X111" s="74">
        <f>RIGHT(H111,LEN(H111)-4)/10000</f>
        <v>0.17269999999999999</v>
      </c>
      <c r="Y111" s="74">
        <f>ABS(X111-W111)</f>
        <v>23.125299999999999</v>
      </c>
      <c r="Z111" s="75" t="e">
        <f>VLOOKUP(A111,Enforcements!$C$3:$J$55,8,0)</f>
        <v>#N/A</v>
      </c>
      <c r="AA111" s="75" t="e">
        <f>VLOOKUP(A111,Enforcements!$C$3:$J$55,3,0)</f>
        <v>#N/A</v>
      </c>
    </row>
    <row r="112" spans="1:27" s="2" customFormat="1" x14ac:dyDescent="0.25">
      <c r="A112" s="61" t="s">
        <v>494</v>
      </c>
      <c r="B112" s="61">
        <v>4007</v>
      </c>
      <c r="C112" s="61" t="s">
        <v>66</v>
      </c>
      <c r="D112" s="61" t="s">
        <v>313</v>
      </c>
      <c r="E112" s="30">
        <v>42512.789340277777</v>
      </c>
      <c r="F112" s="30">
        <v>42512.790300925924</v>
      </c>
      <c r="G112" s="38">
        <v>1</v>
      </c>
      <c r="H112" s="30" t="s">
        <v>312</v>
      </c>
      <c r="I112" s="30">
        <v>42512.817789351851</v>
      </c>
      <c r="J112" s="61">
        <v>0</v>
      </c>
      <c r="K112" s="61" t="str">
        <f>IF(ISEVEN(B112),(B112-1)&amp;"/"&amp;B112,B112&amp;"/"&amp;(B112+1))</f>
        <v>4007/4008</v>
      </c>
      <c r="L112" s="61" t="str">
        <f>VLOOKUP(A112,'Trips&amp;Operators'!$C$1:$E$9999,3,FALSE)</f>
        <v>JACKSON</v>
      </c>
      <c r="M112" s="12">
        <f>I112-F112</f>
        <v>2.7488425927003846E-2</v>
      </c>
      <c r="N112" s="13">
        <f>24*60*SUM($M112:$M112)</f>
        <v>39.583333334885538</v>
      </c>
      <c r="O112" s="13"/>
      <c r="P112" s="13"/>
      <c r="Q112" s="62"/>
      <c r="R112" s="62"/>
      <c r="T112" s="74" t="str">
        <f>"https://search-rtdc-monitor-bjffxe2xuh6vdkpspy63sjmuny.us-east-1.es.amazonaws.com/_plugin/kibana/#/discover/Steve-Slow-Train-Analysis-(2080s-and-2083s)?_g=(refreshInterval:(display:Off,section:0,value:0),time:(from:'"&amp;TEXT(E112-1/24/60,"yyyy-MM-DD hh:mm:ss")&amp;"-0600',mode:absolute,to:'"&amp;TEXT(I112+1/24/60,"yyyy-MM-DD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112&amp;"%22')),sort:!(Time,asc))"</f>
        <v>https://search-rtdc-monitor-bjffxe2xuh6vdkpspy63sjmuny.us-east-1.es.amazonaws.com/_plugin/kibana/#/discover/Steve-Slow-Train-Analysis-(2080s-and-2083s)?_g=(refreshInterval:(display:Off,section:0,value:0),time:(from:'2016-05-22 18:55:39-0600',mode:absolute,to:'2016-05-22 19:38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12" s="74" t="str">
        <f>IF(Y112&lt;23,"Y","N")</f>
        <v>N</v>
      </c>
      <c r="V112" s="74">
        <f>VALUE(LEFT(A112,3))-VALUE(LEFT(A111,3))</f>
        <v>1</v>
      </c>
      <c r="W112" s="74">
        <f>RIGHT(D112,LEN(D112)-4)/10000</f>
        <v>4.7100000000000003E-2</v>
      </c>
      <c r="X112" s="74">
        <f>RIGHT(H112,LEN(H112)-4)/10000</f>
        <v>23.328900000000001</v>
      </c>
      <c r="Y112" s="74">
        <f>ABS(X112-W112)</f>
        <v>23.2818</v>
      </c>
      <c r="Z112" s="75" t="e">
        <f>VLOOKUP(A112,Enforcements!$C$3:$J$55,8,0)</f>
        <v>#N/A</v>
      </c>
      <c r="AA112" s="75" t="e">
        <f>VLOOKUP(A112,Enforcements!$C$3:$J$55,3,0)</f>
        <v>#N/A</v>
      </c>
    </row>
    <row r="113" spans="1:27" s="2" customFormat="1" x14ac:dyDescent="0.25">
      <c r="A113" s="61" t="s">
        <v>495</v>
      </c>
      <c r="B113" s="61">
        <v>4031</v>
      </c>
      <c r="C113" s="61" t="s">
        <v>66</v>
      </c>
      <c r="D113" s="61" t="s">
        <v>168</v>
      </c>
      <c r="E113" s="30">
        <v>42512.800185185188</v>
      </c>
      <c r="F113" s="30">
        <v>42512.801238425927</v>
      </c>
      <c r="G113" s="38">
        <v>1</v>
      </c>
      <c r="H113" s="30" t="s">
        <v>317</v>
      </c>
      <c r="I113" s="30">
        <v>42512.842280092591</v>
      </c>
      <c r="J113" s="61">
        <v>0</v>
      </c>
      <c r="K113" s="61" t="str">
        <f>IF(ISEVEN(B113),(B113-1)&amp;"/"&amp;B113,B113&amp;"/"&amp;(B113+1))</f>
        <v>4031/4032</v>
      </c>
      <c r="L113" s="61" t="str">
        <f>VLOOKUP(A113,'Trips&amp;Operators'!$C$1:$E$9999,3,FALSE)</f>
        <v>YOUNG</v>
      </c>
      <c r="M113" s="12">
        <f>I113-F113</f>
        <v>4.1041666663659271E-2</v>
      </c>
      <c r="N113" s="13">
        <f>24*60*SUM($M113:$M113)</f>
        <v>59.09999999566935</v>
      </c>
      <c r="O113" s="13"/>
      <c r="P113" s="13"/>
      <c r="Q113" s="62"/>
      <c r="R113" s="62"/>
      <c r="T113" s="74" t="str">
        <f>"https://search-rtdc-monitor-bjffxe2xuh6vdkpspy63sjmuny.us-east-1.es.amazonaws.com/_plugin/kibana/#/discover/Steve-Slow-Train-Analysis-(2080s-and-2083s)?_g=(refreshInterval:(display:Off,section:0,value:0),time:(from:'"&amp;TEXT(E113-1/24/60,"yyyy-MM-DD hh:mm:ss")&amp;"-0600',mode:absolute,to:'"&amp;TEXT(I113+1/24/60,"yyyy-MM-DD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113&amp;"%22')),sort:!(Time,asc))"</f>
        <v>https://search-rtdc-monitor-bjffxe2xuh6vdkpspy63sjmuny.us-east-1.es.amazonaws.com/_plugin/kibana/#/discover/Steve-Slow-Train-Analysis-(2080s-and-2083s)?_g=(refreshInterval:(display:Off,section:0,value:0),time:(from:'2016-05-22 19:11:16-0600',mode:absolute,to:'2016-05-22 20:13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13" s="74" t="str">
        <f>IF(Y113&lt;23,"Y","N")</f>
        <v>N</v>
      </c>
      <c r="V113" s="74">
        <f>VALUE(LEFT(A113,3))-VALUE(LEFT(A112,3))</f>
        <v>2</v>
      </c>
      <c r="W113" s="74">
        <f>RIGHT(D113,LEN(D113)-4)/10000</f>
        <v>4.8399999999999999E-2</v>
      </c>
      <c r="X113" s="74">
        <f>RIGHT(H113,LEN(H113)-4)/10000</f>
        <v>23.327200000000001</v>
      </c>
      <c r="Y113" s="74">
        <f>ABS(X113-W113)</f>
        <v>23.2788</v>
      </c>
      <c r="Z113" s="75" t="e">
        <f>VLOOKUP(A113,Enforcements!$C$3:$J$55,8,0)</f>
        <v>#N/A</v>
      </c>
      <c r="AA113" s="75" t="e">
        <f>VLOOKUP(A113,Enforcements!$C$3:$J$55,3,0)</f>
        <v>#N/A</v>
      </c>
    </row>
    <row r="114" spans="1:27" s="2" customFormat="1" x14ac:dyDescent="0.25">
      <c r="A114" s="61" t="s">
        <v>496</v>
      </c>
      <c r="B114" s="61">
        <v>4032</v>
      </c>
      <c r="C114" s="61" t="s">
        <v>66</v>
      </c>
      <c r="D114" s="61" t="s">
        <v>406</v>
      </c>
      <c r="E114" s="30">
        <v>42512.849050925928</v>
      </c>
      <c r="F114" s="30">
        <v>42512.851689814815</v>
      </c>
      <c r="G114" s="38">
        <v>3</v>
      </c>
      <c r="H114" s="30" t="s">
        <v>75</v>
      </c>
      <c r="I114" s="30">
        <v>42512.886064814818</v>
      </c>
      <c r="J114" s="61">
        <v>0</v>
      </c>
      <c r="K114" s="61" t="str">
        <f>IF(ISEVEN(B114),(B114-1)&amp;"/"&amp;B114,B114&amp;"/"&amp;(B114+1))</f>
        <v>4031/4032</v>
      </c>
      <c r="L114" s="61" t="str">
        <f>VLOOKUP(A114,'Trips&amp;Operators'!$C$1:$E$9999,3,FALSE)</f>
        <v>YOUNG</v>
      </c>
      <c r="M114" s="12">
        <f>I114-F114</f>
        <v>3.4375000002910383E-2</v>
      </c>
      <c r="N114" s="13">
        <f>24*60*SUM($M114:$M114)</f>
        <v>49.500000004190952</v>
      </c>
      <c r="O114" s="13"/>
      <c r="P114" s="13"/>
      <c r="Q114" s="62"/>
      <c r="R114" s="62"/>
      <c r="T114" s="74" t="str">
        <f>"https://search-rtdc-monitor-bjffxe2xuh6vdkpspy63sjmuny.us-east-1.es.amazonaws.com/_plugin/kibana/#/discover/Steve-Slow-Train-Analysis-(2080s-and-2083s)?_g=(refreshInterval:(display:Off,section:0,value:0),time:(from:'"&amp;TEXT(E114-1/24/60,"yyyy-MM-DD hh:mm:ss")&amp;"-0600',mode:absolute,to:'"&amp;TEXT(I114+1/24/60,"yyyy-MM-DD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114&amp;"%22')),sort:!(Time,asc))"</f>
        <v>https://search-rtdc-monitor-bjffxe2xuh6vdkpspy63sjmuny.us-east-1.es.amazonaws.com/_plugin/kibana/#/discover/Steve-Slow-Train-Analysis-(2080s-and-2083s)?_g=(refreshInterval:(display:Off,section:0,value:0),time:(from:'2016-05-22 20:21:38-0600',mode:absolute,to:'2016-05-22 21:16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14" s="74" t="str">
        <f>IF(Y114&lt;23,"Y","N")</f>
        <v>N</v>
      </c>
      <c r="V114" s="74">
        <f>VALUE(LEFT(A114,3))-VALUE(LEFT(A113,3))</f>
        <v>1</v>
      </c>
      <c r="W114" s="74">
        <f>RIGHT(D114,LEN(D114)-4)/10000</f>
        <v>23.2974</v>
      </c>
      <c r="X114" s="74">
        <f>RIGHT(H114,LEN(H114)-4)/10000</f>
        <v>1.4500000000000001E-2</v>
      </c>
      <c r="Y114" s="74">
        <f>ABS(X114-W114)</f>
        <v>23.282899999999998</v>
      </c>
      <c r="Z114" s="75" t="e">
        <f>VLOOKUP(A114,Enforcements!$C$3:$J$55,8,0)</f>
        <v>#N/A</v>
      </c>
      <c r="AA114" s="75" t="e">
        <f>VLOOKUP(A114,Enforcements!$C$3:$J$55,3,0)</f>
        <v>#N/A</v>
      </c>
    </row>
    <row r="115" spans="1:27" s="2" customFormat="1" x14ac:dyDescent="0.25">
      <c r="A115" s="61" t="s">
        <v>497</v>
      </c>
      <c r="B115" s="61">
        <v>4011</v>
      </c>
      <c r="C115" s="61" t="s">
        <v>66</v>
      </c>
      <c r="D115" s="61" t="s">
        <v>498</v>
      </c>
      <c r="E115" s="30">
        <v>42512.831087962964</v>
      </c>
      <c r="F115" s="30">
        <v>42512.83221064815</v>
      </c>
      <c r="G115" s="38">
        <v>1</v>
      </c>
      <c r="H115" s="30" t="s">
        <v>67</v>
      </c>
      <c r="I115" s="30">
        <v>42512.862893518519</v>
      </c>
      <c r="J115" s="61">
        <v>0</v>
      </c>
      <c r="K115" s="61" t="str">
        <f>IF(ISEVEN(B115),(B115-1)&amp;"/"&amp;B115,B115&amp;"/"&amp;(B115+1))</f>
        <v>4011/4012</v>
      </c>
      <c r="L115" s="61" t="str">
        <f>VLOOKUP(A115,'Trips&amp;Operators'!$C$1:$E$9999,3,FALSE)</f>
        <v>HELVIE</v>
      </c>
      <c r="M115" s="12">
        <f>I115-F115</f>
        <v>3.068287036876427E-2</v>
      </c>
      <c r="N115" s="13">
        <f>24*60*SUM($M115:$M115)</f>
        <v>44.183333331020549</v>
      </c>
      <c r="O115" s="13"/>
      <c r="P115" s="13"/>
      <c r="Q115" s="62"/>
      <c r="R115" s="62"/>
      <c r="T115" s="74" t="str">
        <f>"https://search-rtdc-monitor-bjffxe2xuh6vdkpspy63sjmuny.us-east-1.es.amazonaws.com/_plugin/kibana/#/discover/Steve-Slow-Train-Analysis-(2080s-and-2083s)?_g=(refreshInterval:(display:Off,section:0,value:0),time:(from:'"&amp;TEXT(E115-1/24/60,"yyyy-MM-DD hh:mm:ss")&amp;"-0600',mode:absolute,to:'"&amp;TEXT(I115+1/24/60,"yyyy-MM-DD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115&amp;"%22')),sort:!(Time,asc))"</f>
        <v>https://search-rtdc-monitor-bjffxe2xuh6vdkpspy63sjmuny.us-east-1.es.amazonaws.com/_plugin/kibana/#/discover/Steve-Slow-Train-Analysis-(2080s-and-2083s)?_g=(refreshInterval:(display:Off,section:0,value:0),time:(from:'2016-05-22 19:55:46-0600',mode:absolute,to:'2016-05-22 20:43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15" s="74" t="str">
        <f>IF(Y115&lt;23,"Y","N")</f>
        <v>N</v>
      </c>
      <c r="V115" s="74">
        <f>VALUE(LEFT(A115,3))-VALUE(LEFT(A114,3))</f>
        <v>1</v>
      </c>
      <c r="W115" s="74">
        <f>RIGHT(D115,LEN(D115)-4)/10000</f>
        <v>5.1900000000000002E-2</v>
      </c>
      <c r="X115" s="74">
        <f>RIGHT(H115,LEN(H115)-4)/10000</f>
        <v>23.331</v>
      </c>
      <c r="Y115" s="74">
        <f>ABS(X115-W115)</f>
        <v>23.2791</v>
      </c>
      <c r="Z115" s="75" t="e">
        <f>VLOOKUP(A115,Enforcements!$C$3:$J$55,8,0)</f>
        <v>#N/A</v>
      </c>
      <c r="AA115" s="75" t="e">
        <f>VLOOKUP(A115,Enforcements!$C$3:$J$55,3,0)</f>
        <v>#N/A</v>
      </c>
    </row>
    <row r="116" spans="1:27" s="2" customFormat="1" x14ac:dyDescent="0.25">
      <c r="A116" s="61" t="s">
        <v>499</v>
      </c>
      <c r="B116" s="61">
        <v>4012</v>
      </c>
      <c r="C116" s="61" t="s">
        <v>66</v>
      </c>
      <c r="D116" s="61" t="s">
        <v>149</v>
      </c>
      <c r="E116" s="30">
        <v>42512.868495370371</v>
      </c>
      <c r="F116" s="30">
        <v>42512.869155092594</v>
      </c>
      <c r="G116" s="38">
        <v>0</v>
      </c>
      <c r="H116" s="30" t="s">
        <v>73</v>
      </c>
      <c r="I116" s="30">
        <v>42512.902870370373</v>
      </c>
      <c r="J116" s="61">
        <v>0</v>
      </c>
      <c r="K116" s="61" t="str">
        <f>IF(ISEVEN(B116),(B116-1)&amp;"/"&amp;B116,B116&amp;"/"&amp;(B116+1))</f>
        <v>4011/4012</v>
      </c>
      <c r="L116" s="61" t="str">
        <f>VLOOKUP(A116,'Trips&amp;Operators'!$C$1:$E$9999,3,FALSE)</f>
        <v>HELVIE</v>
      </c>
      <c r="M116" s="12">
        <f>I116-F116</f>
        <v>3.3715277779265307E-2</v>
      </c>
      <c r="N116" s="13">
        <f>24*60*SUM($M116:$M116)</f>
        <v>48.550000002142042</v>
      </c>
      <c r="O116" s="13"/>
      <c r="P116" s="13"/>
      <c r="Q116" s="62"/>
      <c r="R116" s="62"/>
      <c r="T116" s="74" t="str">
        <f>"https://search-rtdc-monitor-bjffxe2xuh6vdkpspy63sjmuny.us-east-1.es.amazonaws.com/_plugin/kibana/#/discover/Steve-Slow-Train-Analysis-(2080s-and-2083s)?_g=(refreshInterval:(display:Off,section:0,value:0),time:(from:'"&amp;TEXT(E116-1/24/60,"yyyy-MM-DD hh:mm:ss")&amp;"-0600',mode:absolute,to:'"&amp;TEXT(I116+1/24/60,"yyyy-MM-DD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116&amp;"%22')),sort:!(Time,asc))"</f>
        <v>https://search-rtdc-monitor-bjffxe2xuh6vdkpspy63sjmuny.us-east-1.es.amazonaws.com/_plugin/kibana/#/discover/Steve-Slow-Train-Analysis-(2080s-and-2083s)?_g=(refreshInterval:(display:Off,section:0,value:0),time:(from:'2016-05-22 20:49:38-0600',mode:absolute,to:'2016-05-22 21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16" s="74" t="str">
        <f>IF(Y116&lt;23,"Y","N")</f>
        <v>N</v>
      </c>
      <c r="V116" s="74">
        <f>VALUE(LEFT(A116,3))-VALUE(LEFT(A115,3))</f>
        <v>1</v>
      </c>
      <c r="W116" s="74">
        <f>RIGHT(D116,LEN(D116)-4)/10000</f>
        <v>23.299299999999999</v>
      </c>
      <c r="X116" s="74">
        <f>RIGHT(H116,LEN(H116)-4)/10000</f>
        <v>1.54E-2</v>
      </c>
      <c r="Y116" s="74">
        <f>ABS(X116-W116)</f>
        <v>23.283899999999999</v>
      </c>
      <c r="Z116" s="75" t="e">
        <f>VLOOKUP(A116,Enforcements!$C$3:$J$55,8,0)</f>
        <v>#N/A</v>
      </c>
      <c r="AA116" s="75" t="e">
        <f>VLOOKUP(A116,Enforcements!$C$3:$J$55,3,0)</f>
        <v>#N/A</v>
      </c>
    </row>
    <row r="117" spans="1:27" s="2" customFormat="1" x14ac:dyDescent="0.25">
      <c r="A117" s="61" t="s">
        <v>500</v>
      </c>
      <c r="B117" s="61">
        <v>4024</v>
      </c>
      <c r="C117" s="61" t="s">
        <v>66</v>
      </c>
      <c r="D117" s="61" t="s">
        <v>79</v>
      </c>
      <c r="E117" s="30">
        <v>42512.844270833331</v>
      </c>
      <c r="F117" s="30">
        <v>42512.845462962963</v>
      </c>
      <c r="G117" s="38">
        <v>1</v>
      </c>
      <c r="H117" s="30" t="s">
        <v>501</v>
      </c>
      <c r="I117" s="30">
        <v>42512.881655092591</v>
      </c>
      <c r="J117" s="61">
        <v>0</v>
      </c>
      <c r="K117" s="61" t="str">
        <f>IF(ISEVEN(B117),(B117-1)&amp;"/"&amp;B117,B117&amp;"/"&amp;(B117+1))</f>
        <v>4023/4024</v>
      </c>
      <c r="L117" s="61" t="str">
        <f>VLOOKUP(A117,'Trips&amp;Operators'!$C$1:$E$9999,3,FALSE)</f>
        <v>BARTLETT</v>
      </c>
      <c r="M117" s="12">
        <f>I117-F117</f>
        <v>3.6192129628034309E-2</v>
      </c>
      <c r="N117" s="13">
        <f>24*60*SUM($M117:$M117)</f>
        <v>52.116666664369404</v>
      </c>
      <c r="O117" s="13"/>
      <c r="P117" s="13"/>
      <c r="Q117" s="62"/>
      <c r="R117" s="62"/>
      <c r="T117" s="74" t="str">
        <f>"https://search-rtdc-monitor-bjffxe2xuh6vdkpspy63sjmuny.us-east-1.es.amazonaws.com/_plugin/kibana/#/discover/Steve-Slow-Train-Analysis-(2080s-and-2083s)?_g=(refreshInterval:(display:Off,section:0,value:0),time:(from:'"&amp;TEXT(E117-1/24/60,"yyyy-MM-DD hh:mm:ss")&amp;"-0600',mode:absolute,to:'"&amp;TEXT(I117+1/24/60,"yyyy-MM-DD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117&amp;"%22')),sort:!(Time,asc))"</f>
        <v>https://search-rtdc-monitor-bjffxe2xuh6vdkpspy63sjmuny.us-east-1.es.amazonaws.com/_plugin/kibana/#/discover/Steve-Slow-Train-Analysis-(2080s-and-2083s)?_g=(refreshInterval:(display:Off,section:0,value:0),time:(from:'2016-05-22 20:14:45-0600',mode:absolute,to:'2016-05-22 21:10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17" s="74" t="str">
        <f>IF(Y117&lt;23,"Y","N")</f>
        <v>N</v>
      </c>
      <c r="V117" s="74">
        <f>VALUE(LEFT(A117,3))-VALUE(LEFT(A116,3))</f>
        <v>1</v>
      </c>
      <c r="W117" s="74">
        <f>RIGHT(D117,LEN(D117)-4)/10000</f>
        <v>4.5499999999999999E-2</v>
      </c>
      <c r="X117" s="74">
        <f>RIGHT(H117,LEN(H117)-4)/10000</f>
        <v>23.331900000000001</v>
      </c>
      <c r="Y117" s="74">
        <f>ABS(X117-W117)</f>
        <v>23.2864</v>
      </c>
      <c r="Z117" s="75" t="e">
        <f>VLOOKUP(A117,Enforcements!$C$3:$J$55,8,0)</f>
        <v>#N/A</v>
      </c>
      <c r="AA117" s="75" t="e">
        <f>VLOOKUP(A117,Enforcements!$C$3:$J$55,3,0)</f>
        <v>#N/A</v>
      </c>
    </row>
    <row r="118" spans="1:27" s="2" customFormat="1" x14ac:dyDescent="0.25">
      <c r="A118" s="61" t="s">
        <v>502</v>
      </c>
      <c r="B118" s="61">
        <v>4023</v>
      </c>
      <c r="C118" s="61" t="s">
        <v>66</v>
      </c>
      <c r="D118" s="61" t="s">
        <v>503</v>
      </c>
      <c r="E118" s="30">
        <v>42512.89</v>
      </c>
      <c r="F118" s="30">
        <v>42512.890960648147</v>
      </c>
      <c r="G118" s="38">
        <v>1</v>
      </c>
      <c r="H118" s="30" t="s">
        <v>103</v>
      </c>
      <c r="I118" s="30">
        <v>42512.922569444447</v>
      </c>
      <c r="J118" s="61">
        <v>0</v>
      </c>
      <c r="K118" s="61" t="str">
        <f>IF(ISEVEN(B118),(B118-1)&amp;"/"&amp;B118,B118&amp;"/"&amp;(B118+1))</f>
        <v>4023/4024</v>
      </c>
      <c r="L118" s="61" t="str">
        <f>VLOOKUP(A118,'Trips&amp;Operators'!$C$1:$E$9999,3,FALSE)</f>
        <v>BARTLETT</v>
      </c>
      <c r="M118" s="12">
        <f>I118-F118</f>
        <v>3.160879630013369E-2</v>
      </c>
      <c r="N118" s="13">
        <f>24*60*SUM($M118:$M118)</f>
        <v>45.516666672192514</v>
      </c>
      <c r="O118" s="13"/>
      <c r="P118" s="13"/>
      <c r="Q118" s="62"/>
      <c r="R118" s="62"/>
      <c r="T118" s="74" t="str">
        <f>"https://search-rtdc-monitor-bjffxe2xuh6vdkpspy63sjmuny.us-east-1.es.amazonaws.com/_plugin/kibana/#/discover/Steve-Slow-Train-Analysis-(2080s-and-2083s)?_g=(refreshInterval:(display:Off,section:0,value:0),time:(from:'"&amp;TEXT(E118-1/24/60,"yyyy-MM-DD hh:mm:ss")&amp;"-0600',mode:absolute,to:'"&amp;TEXT(I118+1/24/60,"yyyy-MM-DD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118&amp;"%22')),sort:!(Time,asc))"</f>
        <v>https://search-rtdc-monitor-bjffxe2xuh6vdkpspy63sjmuny.us-east-1.es.amazonaws.com/_plugin/kibana/#/discover/Steve-Slow-Train-Analysis-(2080s-and-2083s)?_g=(refreshInterval:(display:Off,section:0,value:0),time:(from:'2016-05-22 21:20:36-0600',mode:absolute,to:'2016-05-22 22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18" s="74" t="str">
        <f>IF(Y118&lt;23,"Y","N")</f>
        <v>N</v>
      </c>
      <c r="V118" s="74">
        <f>VALUE(LEFT(A118,3))-VALUE(LEFT(A117,3))</f>
        <v>1</v>
      </c>
      <c r="W118" s="74">
        <f>RIGHT(D118,LEN(D118)-4)/10000</f>
        <v>23.300799999999999</v>
      </c>
      <c r="X118" s="74">
        <f>RIGHT(H118,LEN(H118)-4)/10000</f>
        <v>1.5800000000000002E-2</v>
      </c>
      <c r="Y118" s="74">
        <f>ABS(X118-W118)</f>
        <v>23.285</v>
      </c>
      <c r="Z118" s="75" t="e">
        <f>VLOOKUP(A118,Enforcements!$C$3:$J$55,8,0)</f>
        <v>#N/A</v>
      </c>
      <c r="AA118" s="75" t="e">
        <f>VLOOKUP(A118,Enforcements!$C$3:$J$55,3,0)</f>
        <v>#N/A</v>
      </c>
    </row>
    <row r="119" spans="1:27" s="2" customFormat="1" x14ac:dyDescent="0.25">
      <c r="A119" s="61" t="s">
        <v>504</v>
      </c>
      <c r="B119" s="61">
        <v>4007</v>
      </c>
      <c r="C119" s="61" t="s">
        <v>66</v>
      </c>
      <c r="D119" s="61" t="s">
        <v>319</v>
      </c>
      <c r="E119" s="30">
        <v>42512.870254629626</v>
      </c>
      <c r="F119" s="30">
        <v>42512.872060185182</v>
      </c>
      <c r="G119" s="38">
        <v>2</v>
      </c>
      <c r="H119" s="30" t="s">
        <v>67</v>
      </c>
      <c r="I119" s="30">
        <v>42512.903773148151</v>
      </c>
      <c r="J119" s="61">
        <v>0</v>
      </c>
      <c r="K119" s="61" t="str">
        <f>IF(ISEVEN(B119),(B119-1)&amp;"/"&amp;B119,B119&amp;"/"&amp;(B119+1))</f>
        <v>4007/4008</v>
      </c>
      <c r="L119" s="61" t="str">
        <f>VLOOKUP(A119,'Trips&amp;Operators'!$C$1:$E$9999,3,FALSE)</f>
        <v>JACKSON</v>
      </c>
      <c r="M119" s="12">
        <f>I119-F119</f>
        <v>3.1712962969322689E-2</v>
      </c>
      <c r="N119" s="13">
        <f>24*60*SUM($M119:$M119)</f>
        <v>45.666666675824672</v>
      </c>
      <c r="O119" s="13"/>
      <c r="P119" s="13"/>
      <c r="Q119" s="62"/>
      <c r="R119" s="62"/>
      <c r="T119" s="74" t="str">
        <f>"https://search-rtdc-monitor-bjffxe2xuh6vdkpspy63sjmuny.us-east-1.es.amazonaws.com/_plugin/kibana/#/discover/Steve-Slow-Train-Analysis-(2080s-and-2083s)?_g=(refreshInterval:(display:Off,section:0,value:0),time:(from:'"&amp;TEXT(E119-1/24/60,"yyyy-MM-DD hh:mm:ss")&amp;"-0600',mode:absolute,to:'"&amp;TEXT(I119+1/24/60,"yyyy-MM-DD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119&amp;"%22')),sort:!(Time,asc))"</f>
        <v>https://search-rtdc-monitor-bjffxe2xuh6vdkpspy63sjmuny.us-east-1.es.amazonaws.com/_plugin/kibana/#/discover/Steve-Slow-Train-Analysis-(2080s-and-2083s)?_g=(refreshInterval:(display:Off,section:0,value:0),time:(from:'2016-05-22 20:52:10-0600',mode:absolute,to:'2016-05-22 21:42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19" s="74" t="str">
        <f>IF(Y119&lt;23,"Y","N")</f>
        <v>N</v>
      </c>
      <c r="V119" s="74">
        <f>VALUE(LEFT(A119,3))-VALUE(LEFT(A118,3))</f>
        <v>1</v>
      </c>
      <c r="W119" s="74">
        <f>RIGHT(D119,LEN(D119)-4)/10000</f>
        <v>4.3299999999999998E-2</v>
      </c>
      <c r="X119" s="74">
        <f>RIGHT(H119,LEN(H119)-4)/10000</f>
        <v>23.331</v>
      </c>
      <c r="Y119" s="74">
        <f>ABS(X119-W119)</f>
        <v>23.287700000000001</v>
      </c>
      <c r="Z119" s="75" t="e">
        <f>VLOOKUP(A119,Enforcements!$C$3:$J$55,8,0)</f>
        <v>#N/A</v>
      </c>
      <c r="AA119" s="75" t="e">
        <f>VLOOKUP(A119,Enforcements!$C$3:$J$55,3,0)</f>
        <v>#N/A</v>
      </c>
    </row>
    <row r="120" spans="1:27" s="2" customFormat="1" x14ac:dyDescent="0.25">
      <c r="A120" s="61" t="s">
        <v>505</v>
      </c>
      <c r="B120" s="61">
        <v>4008</v>
      </c>
      <c r="C120" s="61" t="s">
        <v>66</v>
      </c>
      <c r="D120" s="61" t="s">
        <v>506</v>
      </c>
      <c r="E120" s="30">
        <v>42512.949664351851</v>
      </c>
      <c r="F120" s="30">
        <v>42512.950520833336</v>
      </c>
      <c r="G120" s="38">
        <v>1</v>
      </c>
      <c r="H120" s="30" t="s">
        <v>506</v>
      </c>
      <c r="I120" s="30">
        <v>42512.950520833336</v>
      </c>
      <c r="J120" s="61">
        <v>0</v>
      </c>
      <c r="K120" s="61" t="str">
        <f>IF(ISEVEN(B120),(B120-1)&amp;"/"&amp;B120,B120&amp;"/"&amp;(B120+1))</f>
        <v>4007/4008</v>
      </c>
      <c r="L120" s="61" t="str">
        <f>VLOOKUP(A120,'Trips&amp;Operators'!$C$1:$E$9999,3,FALSE)</f>
        <v>JACKSON</v>
      </c>
      <c r="M120" s="12">
        <f>I120-F120</f>
        <v>0</v>
      </c>
      <c r="N120" s="13"/>
      <c r="O120" s="13"/>
      <c r="P120" s="13">
        <f>24*60*SUM($M120:$M120)+1</f>
        <v>1</v>
      </c>
      <c r="Q120" s="62" t="s">
        <v>537</v>
      </c>
      <c r="R120" s="62" t="s">
        <v>543</v>
      </c>
      <c r="T120" s="74" t="str">
        <f>"https://search-rtdc-monitor-bjffxe2xuh6vdkpspy63sjmuny.us-east-1.es.amazonaws.com/_plugin/kibana/#/discover/Steve-Slow-Train-Analysis-(2080s-and-2083s)?_g=(refreshInterval:(display:Off,section:0,value:0),time:(from:'"&amp;TEXT(E120-1/24/60,"yyyy-MM-DD hh:mm:ss")&amp;"-0600',mode:absolute,to:'"&amp;TEXT(I120+1/24/60,"yyyy-MM-DD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120&amp;"%22')),sort:!(Time,asc))"</f>
        <v>https://search-rtdc-monitor-bjffxe2xuh6vdkpspy63sjmuny.us-east-1.es.amazonaws.com/_plugin/kibana/#/discover/Steve-Slow-Train-Analysis-(2080s-and-2083s)?_g=(refreshInterval:(display:Off,section:0,value:0),time:(from:'2016-05-22 22:46:31-0600',mode:absolute,to:'2016-05-22 22:49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20" s="74" t="str">
        <f>IF(Y120&lt;23,"Y","N")</f>
        <v>Y</v>
      </c>
      <c r="V120" s="74">
        <f>VALUE(LEFT(A120,3))-VALUE(LEFT(A119,3))</f>
        <v>1</v>
      </c>
      <c r="W120" s="74">
        <f>RIGHT(D120,LEN(D120)-4)/10000</f>
        <v>1.83E-2</v>
      </c>
      <c r="X120" s="74">
        <f>RIGHT(H120,LEN(H120)-4)/10000</f>
        <v>1.83E-2</v>
      </c>
      <c r="Y120" s="74">
        <f>ABS(X120-W120)</f>
        <v>0</v>
      </c>
      <c r="Z120" s="75" t="e">
        <f>VLOOKUP(A120,Enforcements!$C$3:$J$55,8,0)</f>
        <v>#N/A</v>
      </c>
      <c r="AA120" s="75" t="e">
        <f>VLOOKUP(A120,Enforcements!$C$3:$J$55,3,0)</f>
        <v>#N/A</v>
      </c>
    </row>
    <row r="121" spans="1:27" s="2" customFormat="1" x14ac:dyDescent="0.25">
      <c r="A121" s="61" t="s">
        <v>507</v>
      </c>
      <c r="B121" s="61">
        <v>4031</v>
      </c>
      <c r="C121" s="61" t="s">
        <v>66</v>
      </c>
      <c r="D121" s="61" t="s">
        <v>154</v>
      </c>
      <c r="E121" s="30">
        <v>42512.889351851853</v>
      </c>
      <c r="F121" s="30">
        <v>42512.890300925923</v>
      </c>
      <c r="G121" s="38">
        <v>1</v>
      </c>
      <c r="H121" s="30" t="s">
        <v>123</v>
      </c>
      <c r="I121" s="30">
        <v>42512.925856481481</v>
      </c>
      <c r="J121" s="61">
        <v>0</v>
      </c>
      <c r="K121" s="61" t="str">
        <f>IF(ISEVEN(B121),(B121-1)&amp;"/"&amp;B121,B121&amp;"/"&amp;(B121+1))</f>
        <v>4031/4032</v>
      </c>
      <c r="L121" s="61" t="str">
        <f>VLOOKUP(A121,'Trips&amp;Operators'!$C$1:$E$9999,3,FALSE)</f>
        <v>YOUNG</v>
      </c>
      <c r="M121" s="12">
        <f>I121-F121</f>
        <v>3.5555555557948537E-2</v>
      </c>
      <c r="N121" s="13">
        <f>24*60*SUM($M121:$M121)</f>
        <v>51.200000003445894</v>
      </c>
      <c r="O121" s="13"/>
      <c r="P121" s="13"/>
      <c r="Q121" s="62"/>
      <c r="R121" s="62"/>
      <c r="T121" s="74" t="str">
        <f>"https://search-rtdc-monitor-bjffxe2xuh6vdkpspy63sjmuny.us-east-1.es.amazonaws.com/_plugin/kibana/#/discover/Steve-Slow-Train-Analysis-(2080s-and-2083s)?_g=(refreshInterval:(display:Off,section:0,value:0),time:(from:'"&amp;TEXT(E121-1/24/60,"yyyy-MM-DD hh:mm:ss")&amp;"-0600',mode:absolute,to:'"&amp;TEXT(I121+1/24/60,"yyyy-MM-DD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121&amp;"%22')),sort:!(Time,asc))"</f>
        <v>https://search-rtdc-monitor-bjffxe2xuh6vdkpspy63sjmuny.us-east-1.es.amazonaws.com/_plugin/kibana/#/discover/Steve-Slow-Train-Analysis-(2080s-and-2083s)?_g=(refreshInterval:(display:Off,section:0,value:0),time:(from:'2016-05-22 21:19:40-0600',mode:absolute,to:'2016-05-22 22:14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21" s="74" t="str">
        <f>IF(Y121&lt;23,"Y","N")</f>
        <v>N</v>
      </c>
      <c r="V121" s="74">
        <f>VALUE(LEFT(A121,3))-VALUE(LEFT(A120,3))</f>
        <v>1</v>
      </c>
      <c r="W121" s="74">
        <f>RIGHT(D121,LEN(D121)-4)/10000</f>
        <v>4.7699999999999999E-2</v>
      </c>
      <c r="X121" s="74">
        <f>RIGHT(H121,LEN(H121)-4)/10000</f>
        <v>23.330200000000001</v>
      </c>
      <c r="Y121" s="74">
        <f>ABS(X121-W121)</f>
        <v>23.282500000000002</v>
      </c>
      <c r="Z121" s="75" t="e">
        <f>VLOOKUP(A121,Enforcements!$C$3:$J$55,8,0)</f>
        <v>#N/A</v>
      </c>
      <c r="AA121" s="75" t="e">
        <f>VLOOKUP(A121,Enforcements!$C$3:$J$55,3,0)</f>
        <v>#N/A</v>
      </c>
    </row>
    <row r="122" spans="1:27" s="2" customFormat="1" x14ac:dyDescent="0.25">
      <c r="A122" s="61" t="s">
        <v>508</v>
      </c>
      <c r="B122" s="61">
        <v>4032</v>
      </c>
      <c r="C122" s="61" t="s">
        <v>66</v>
      </c>
      <c r="D122" s="61" t="s">
        <v>156</v>
      </c>
      <c r="E122" s="30">
        <v>42512.928553240738</v>
      </c>
      <c r="F122" s="30">
        <v>42512.929560185185</v>
      </c>
      <c r="G122" s="38">
        <v>1</v>
      </c>
      <c r="H122" s="30" t="s">
        <v>83</v>
      </c>
      <c r="I122" s="30">
        <v>42512.975324074076</v>
      </c>
      <c r="J122" s="61">
        <v>0</v>
      </c>
      <c r="K122" s="61" t="str">
        <f>IF(ISEVEN(B122),(B122-1)&amp;"/"&amp;B122,B122&amp;"/"&amp;(B122+1))</f>
        <v>4031/4032</v>
      </c>
      <c r="L122" s="61" t="str">
        <f>VLOOKUP(A122,'Trips&amp;Operators'!$C$1:$E$9999,3,FALSE)</f>
        <v>YOUNG</v>
      </c>
      <c r="M122" s="12">
        <f>I122-F122</f>
        <v>4.5763888891087845E-2</v>
      </c>
      <c r="N122" s="13">
        <f>24*60*SUM($M122:$M122)</f>
        <v>65.900000003166497</v>
      </c>
      <c r="O122" s="13"/>
      <c r="P122" s="13"/>
      <c r="Q122" s="62"/>
      <c r="R122" s="62"/>
      <c r="T122" s="74" t="str">
        <f>"https://search-rtdc-monitor-bjffxe2xuh6vdkpspy63sjmuny.us-east-1.es.amazonaws.com/_plugin/kibana/#/discover/Steve-Slow-Train-Analysis-(2080s-and-2083s)?_g=(refreshInterval:(display:Off,section:0,value:0),time:(from:'"&amp;TEXT(E122-1/24/60,"yyyy-MM-DD hh:mm:ss")&amp;"-0600',mode:absolute,to:'"&amp;TEXT(I122+1/24/60,"yyyy-MM-DD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122&amp;"%22')),sort:!(Time,asc))"</f>
        <v>https://search-rtdc-monitor-bjffxe2xuh6vdkpspy63sjmuny.us-east-1.es.amazonaws.com/_plugin/kibana/#/discover/Steve-Slow-Train-Analysis-(2080s-and-2083s)?_g=(refreshInterval:(display:Off,section:0,value:0),time:(from:'2016-05-22 22:16:07-0600',mode:absolute,to:'2016-05-22 23:25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22" s="74" t="str">
        <f>IF(Y122&lt;23,"Y","N")</f>
        <v>N</v>
      </c>
      <c r="V122" s="74">
        <f>VALUE(LEFT(A122,3))-VALUE(LEFT(A121,3))</f>
        <v>1</v>
      </c>
      <c r="W122" s="74">
        <f>RIGHT(D122,LEN(D122)-4)/10000</f>
        <v>23.297699999999999</v>
      </c>
      <c r="X122" s="74">
        <f>RIGHT(H122,LEN(H122)-4)/10000</f>
        <v>1.52E-2</v>
      </c>
      <c r="Y122" s="74">
        <f>ABS(X122-W122)</f>
        <v>23.282499999999999</v>
      </c>
      <c r="Z122" s="75" t="e">
        <f>VLOOKUP(A122,Enforcements!$C$3:$J$55,8,0)</f>
        <v>#N/A</v>
      </c>
      <c r="AA122" s="75" t="e">
        <f>VLOOKUP(A122,Enforcements!$C$3:$J$55,3,0)</f>
        <v>#N/A</v>
      </c>
    </row>
    <row r="123" spans="1:27" s="2" customFormat="1" x14ac:dyDescent="0.25">
      <c r="A123" s="61" t="s">
        <v>509</v>
      </c>
      <c r="B123" s="61">
        <v>4011</v>
      </c>
      <c r="C123" s="61" t="s">
        <v>66</v>
      </c>
      <c r="D123" s="61" t="s">
        <v>171</v>
      </c>
      <c r="E123" s="30">
        <v>42512.910798611112</v>
      </c>
      <c r="F123" s="30">
        <v>42512.911944444444</v>
      </c>
      <c r="G123" s="38">
        <v>1</v>
      </c>
      <c r="H123" s="30" t="s">
        <v>417</v>
      </c>
      <c r="I123" s="30">
        <v>42512.943043981482</v>
      </c>
      <c r="J123" s="61">
        <v>0</v>
      </c>
      <c r="K123" s="61" t="str">
        <f>IF(ISEVEN(B123),(B123-1)&amp;"/"&amp;B123,B123&amp;"/"&amp;(B123+1))</f>
        <v>4011/4012</v>
      </c>
      <c r="L123" s="61" t="str">
        <f>VLOOKUP(A123,'Trips&amp;Operators'!$C$1:$E$9999,3,FALSE)</f>
        <v>HELVIE</v>
      </c>
      <c r="M123" s="12">
        <f>I123-F123</f>
        <v>3.1099537038244307E-2</v>
      </c>
      <c r="N123" s="13">
        <f>24*60*SUM($M123:$M123)</f>
        <v>44.783333335071802</v>
      </c>
      <c r="O123" s="13"/>
      <c r="P123" s="13"/>
      <c r="Q123" s="62"/>
      <c r="R123" s="62"/>
      <c r="T123" s="74" t="str">
        <f>"https://search-rtdc-monitor-bjffxe2xuh6vdkpspy63sjmuny.us-east-1.es.amazonaws.com/_plugin/kibana/#/discover/Steve-Slow-Train-Analysis-(2080s-and-2083s)?_g=(refreshInterval:(display:Off,section:0,value:0),time:(from:'"&amp;TEXT(E123-1/24/60,"yyyy-MM-DD hh:mm:ss")&amp;"-0600',mode:absolute,to:'"&amp;TEXT(I123+1/24/60,"yyyy-MM-DD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123&amp;"%22')),sort:!(Time,asc))"</f>
        <v>https://search-rtdc-monitor-bjffxe2xuh6vdkpspy63sjmuny.us-east-1.es.amazonaws.com/_plugin/kibana/#/discover/Steve-Slow-Train-Analysis-(2080s-and-2083s)?_g=(refreshInterval:(display:Off,section:0,value:0),time:(from:'2016-05-22 21:50:33-0600',mode:absolute,to:'2016-05-22 22:38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23" s="74" t="str">
        <f>IF(Y123&lt;23,"Y","N")</f>
        <v>N</v>
      </c>
      <c r="V123" s="74">
        <f>VALUE(LEFT(A123,3))-VALUE(LEFT(A122,3))</f>
        <v>1</v>
      </c>
      <c r="W123" s="74">
        <f>RIGHT(D123,LEN(D123)-4)/10000</f>
        <v>4.6199999999999998E-2</v>
      </c>
      <c r="X123" s="74">
        <f>RIGHT(H123,LEN(H123)-4)/10000</f>
        <v>23.329799999999999</v>
      </c>
      <c r="Y123" s="74">
        <f>ABS(X123-W123)</f>
        <v>23.2836</v>
      </c>
      <c r="Z123" s="75" t="e">
        <f>VLOOKUP(A123,Enforcements!$C$3:$J$55,8,0)</f>
        <v>#N/A</v>
      </c>
      <c r="AA123" s="75" t="e">
        <f>VLOOKUP(A123,Enforcements!$C$3:$J$55,3,0)</f>
        <v>#N/A</v>
      </c>
    </row>
    <row r="124" spans="1:27" s="2" customFormat="1" x14ac:dyDescent="0.25">
      <c r="A124" s="61" t="s">
        <v>373</v>
      </c>
      <c r="B124" s="61">
        <v>4012</v>
      </c>
      <c r="C124" s="61" t="s">
        <v>66</v>
      </c>
      <c r="D124" s="61" t="s">
        <v>167</v>
      </c>
      <c r="E124" s="30">
        <v>42512.951006944444</v>
      </c>
      <c r="F124" s="30">
        <v>42512.952118055553</v>
      </c>
      <c r="G124" s="38">
        <v>1</v>
      </c>
      <c r="H124" s="30" t="s">
        <v>326</v>
      </c>
      <c r="I124" s="30">
        <v>42512.991736111115</v>
      </c>
      <c r="J124" s="61">
        <v>1</v>
      </c>
      <c r="K124" s="61" t="str">
        <f>IF(ISEVEN(B124),(B124-1)&amp;"/"&amp;B124,B124&amp;"/"&amp;(B124+1))</f>
        <v>4011/4012</v>
      </c>
      <c r="L124" s="61" t="str">
        <f>VLOOKUP(A124,'Trips&amp;Operators'!$C$1:$E$9999,3,FALSE)</f>
        <v>HELVIE</v>
      </c>
      <c r="M124" s="12">
        <f>I124-F124</f>
        <v>3.9618055561732035E-2</v>
      </c>
      <c r="N124" s="13">
        <f>24*60*SUM($M124:$M124)</f>
        <v>57.050000008894131</v>
      </c>
      <c r="O124" s="13"/>
      <c r="P124" s="13"/>
      <c r="Q124" s="62"/>
      <c r="R124" s="62"/>
      <c r="T124" s="74" t="str">
        <f>"https://search-rtdc-monitor-bjffxe2xuh6vdkpspy63sjmuny.us-east-1.es.amazonaws.com/_plugin/kibana/#/discover/Steve-Slow-Train-Analysis-(2080s-and-2083s)?_g=(refreshInterval:(display:Off,section:0,value:0),time:(from:'"&amp;TEXT(E124-1/24/60,"yyyy-MM-DD hh:mm:ss")&amp;"-0600',mode:absolute,to:'"&amp;TEXT(I124+1/24/60,"yyyy-MM-DD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124&amp;"%22')),sort:!(Time,asc))"</f>
        <v>https://search-rtdc-monitor-bjffxe2xuh6vdkpspy63sjmuny.us-east-1.es.amazonaws.com/_plugin/kibana/#/discover/Steve-Slow-Train-Analysis-(2080s-and-2083s)?_g=(refreshInterval:(display:Off,section:0,value:0),time:(from:'2016-05-22 22:48:27-0600',mode:absolute,to:'2016-05-22 23:49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24" s="74" t="str">
        <f>IF(Y124&lt;23,"Y","N")</f>
        <v>N</v>
      </c>
      <c r="V124" s="74">
        <f>VALUE(LEFT(A124,3))-VALUE(LEFT(A123,3))</f>
        <v>1</v>
      </c>
      <c r="W124" s="74">
        <f>RIGHT(D124,LEN(D124)-4)/10000</f>
        <v>23.298100000000002</v>
      </c>
      <c r="X124" s="74">
        <f>RIGHT(H124,LEN(H124)-4)/10000</f>
        <v>3.8899999999999997E-2</v>
      </c>
      <c r="Y124" s="74">
        <f>ABS(X124-W124)</f>
        <v>23.2592</v>
      </c>
      <c r="Z124" s="75">
        <f>VLOOKUP(A124,Enforcements!$C$3:$J$55,8,0)</f>
        <v>1</v>
      </c>
      <c r="AA124" s="75" t="str">
        <f>VLOOKUP(A124,Enforcements!$C$3:$J$55,3,0)</f>
        <v>TRACK WARRANT AUTHORITY</v>
      </c>
    </row>
    <row r="125" spans="1:27" s="2" customFormat="1" x14ac:dyDescent="0.25">
      <c r="A125" s="61" t="s">
        <v>510</v>
      </c>
      <c r="B125" s="61">
        <v>4024</v>
      </c>
      <c r="C125" s="61" t="s">
        <v>66</v>
      </c>
      <c r="D125" s="61" t="s">
        <v>430</v>
      </c>
      <c r="E125" s="30">
        <v>42512.92659722222</v>
      </c>
      <c r="F125" s="30">
        <v>42512.927766203706</v>
      </c>
      <c r="G125" s="38">
        <v>1</v>
      </c>
      <c r="H125" s="30" t="s">
        <v>157</v>
      </c>
      <c r="I125" s="30">
        <v>42512.938784722224</v>
      </c>
      <c r="J125" s="61">
        <v>0</v>
      </c>
      <c r="K125" s="61" t="str">
        <f>IF(ISEVEN(B125),(B125-1)&amp;"/"&amp;B125,B125&amp;"/"&amp;(B125+1))</f>
        <v>4023/4024</v>
      </c>
      <c r="L125" s="61" t="str">
        <f>VLOOKUP(A125,'Trips&amp;Operators'!$C$1:$E$9999,3,FALSE)</f>
        <v>BARTLETT</v>
      </c>
      <c r="M125" s="12">
        <f>I125-F125</f>
        <v>1.1018518518540077E-2</v>
      </c>
      <c r="N125" s="13"/>
      <c r="O125" s="13"/>
      <c r="P125" s="13">
        <f>24*60*SUM($M125:$M125)+1</f>
        <v>16.866666666697711</v>
      </c>
      <c r="Q125" s="62" t="s">
        <v>537</v>
      </c>
      <c r="R125" s="62" t="s">
        <v>538</v>
      </c>
      <c r="T125" s="74" t="str">
        <f>"https://search-rtdc-monitor-bjffxe2xuh6vdkpspy63sjmuny.us-east-1.es.amazonaws.com/_plugin/kibana/#/discover/Steve-Slow-Train-Analysis-(2080s-and-2083s)?_g=(refreshInterval:(display:Off,section:0,value:0),time:(from:'"&amp;TEXT(E125-1/24/60,"yyyy-MM-DD hh:mm:ss")&amp;"-0600',mode:absolute,to:'"&amp;TEXT(I125+1/24/60,"yyyy-MM-DD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125&amp;"%22')),sort:!(Time,asc))"</f>
        <v>https://search-rtdc-monitor-bjffxe2xuh6vdkpspy63sjmuny.us-east-1.es.amazonaws.com/_plugin/kibana/#/discover/Steve-Slow-Train-Analysis-(2080s-and-2083s)?_g=(refreshInterval:(display:Off,section:0,value:0),time:(from:'2016-05-22 22:13:18-0600',mode:absolute,to:'2016-05-22 22:32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25" s="74" t="str">
        <f>IF(Y125&lt;23,"Y","N")</f>
        <v>N</v>
      </c>
      <c r="V125" s="74">
        <f>VALUE(LEFT(A125,3))-VALUE(LEFT(A124,3))</f>
        <v>1</v>
      </c>
      <c r="W125" s="74">
        <f>RIGHT(D125,LEN(D125)-4)/10000</f>
        <v>4.8000000000000001E-2</v>
      </c>
      <c r="X125" s="74">
        <f>RIGHT(H125,LEN(H125)-4)/10000</f>
        <v>23.330400000000001</v>
      </c>
      <c r="Y125" s="74">
        <f>ABS(X125-W125)</f>
        <v>23.282400000000003</v>
      </c>
      <c r="Z125" s="75" t="e">
        <f>VLOOKUP(A125,Enforcements!$C$3:$J$55,8,0)</f>
        <v>#N/A</v>
      </c>
      <c r="AA125" s="75" t="e">
        <f>VLOOKUP(A125,Enforcements!$C$3:$J$55,3,0)</f>
        <v>#N/A</v>
      </c>
    </row>
    <row r="126" spans="1:27" s="2" customFormat="1" x14ac:dyDescent="0.25">
      <c r="A126" s="61" t="s">
        <v>511</v>
      </c>
      <c r="B126" s="61">
        <v>4023</v>
      </c>
      <c r="C126" s="61" t="s">
        <v>66</v>
      </c>
      <c r="D126" s="61" t="s">
        <v>512</v>
      </c>
      <c r="E126" s="30">
        <v>42512.971354166664</v>
      </c>
      <c r="F126" s="30">
        <v>42512.973749999997</v>
      </c>
      <c r="G126" s="38">
        <v>3</v>
      </c>
      <c r="H126" s="30" t="s">
        <v>94</v>
      </c>
      <c r="I126" s="30">
        <v>42513.007870370369</v>
      </c>
      <c r="J126" s="61">
        <v>0</v>
      </c>
      <c r="K126" s="61" t="str">
        <f t="shared" ref="K70:K131" si="17">IF(ISEVEN(B126),(B126-1)&amp;"/"&amp;B126,B126&amp;"/"&amp;(B126+1))</f>
        <v>4023/4024</v>
      </c>
      <c r="L126" s="61" t="str">
        <f>VLOOKUP(A126,'Trips&amp;Operators'!$C$1:$E$9999,3,FALSE)</f>
        <v>BARTLETT</v>
      </c>
      <c r="M126" s="12">
        <f t="shared" ref="M70:M131" si="18">I126-F126</f>
        <v>3.4120370371965691E-2</v>
      </c>
      <c r="N126" s="13">
        <f t="shared" ref="N75:N134" si="19">24*60*SUM($M126:$M126)</f>
        <v>49.133333335630596</v>
      </c>
      <c r="O126" s="13"/>
      <c r="P126" s="13"/>
      <c r="Q126" s="62"/>
      <c r="R126" s="62"/>
      <c r="T126" s="74" t="str">
        <f t="shared" ref="T70:T131" si="20">"https://search-rtdc-monitor-bjffxe2xuh6vdkpspy63sjmuny.us-east-1.es.amazonaws.com/_plugin/kibana/#/discover/Steve-Slow-Train-Analysis-(2080s-and-2083s)?_g=(refreshInterval:(display:Off,section:0,value:0),time:(from:'"&amp;TEXT(E126-1/24/60,"yyyy-MM-DD hh:mm:ss")&amp;"-0600',mode:absolute,to:'"&amp;TEXT(I126+1/24/60,"yyyy-MM-DD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126&amp;"%22')),sort:!(Time,asc))"</f>
        <v>https://search-rtdc-monitor-bjffxe2xuh6vdkpspy63sjmuny.us-east-1.es.amazonaws.com/_plugin/kibana/#/discover/Steve-Slow-Train-Analysis-(2080s-and-2083s)?_g=(refreshInterval:(display:Off,section:0,value:0),time:(from:'2016-05-22 23:17:45-0600',mode:absolute,to:'2016-05-23 00:12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26" s="74" t="str">
        <f t="shared" ref="U70:U131" si="21">IF(Y126&lt;23,"Y","N")</f>
        <v>N</v>
      </c>
      <c r="V126" s="74">
        <f t="shared" ref="V70:V131" si="22">VALUE(LEFT(A126,3))-VALUE(LEFT(A125,3))</f>
        <v>1</v>
      </c>
      <c r="W126" s="74">
        <f t="shared" ref="W70:W131" si="23">RIGHT(D126,LEN(D126)-4)/10000</f>
        <v>23.300999999999998</v>
      </c>
      <c r="X126" s="74">
        <f t="shared" ref="X70:X131" si="24">RIGHT(H126,LEN(H126)-4)/10000</f>
        <v>1.41E-2</v>
      </c>
      <c r="Y126" s="74">
        <f t="shared" ref="Y70:Y131" si="25">ABS(X126-W126)</f>
        <v>23.286899999999999</v>
      </c>
      <c r="Z126" s="75" t="e">
        <f>VLOOKUP(A126,Enforcements!$C$3:$J$55,8,0)</f>
        <v>#N/A</v>
      </c>
      <c r="AA126" s="75" t="e">
        <f>VLOOKUP(A126,Enforcements!$C$3:$J$55,3,0)</f>
        <v>#N/A</v>
      </c>
    </row>
    <row r="127" spans="1:27" s="2" customFormat="1" x14ac:dyDescent="0.25">
      <c r="A127" s="61" t="s">
        <v>513</v>
      </c>
      <c r="B127" s="61">
        <v>4007</v>
      </c>
      <c r="C127" s="61" t="s">
        <v>66</v>
      </c>
      <c r="D127" s="61" t="s">
        <v>104</v>
      </c>
      <c r="E127" s="30">
        <v>42512.952256944445</v>
      </c>
      <c r="F127" s="30">
        <v>42512.953206018516</v>
      </c>
      <c r="G127" s="38">
        <v>1</v>
      </c>
      <c r="H127" s="30" t="s">
        <v>501</v>
      </c>
      <c r="I127" s="30">
        <v>42512.993703703702</v>
      </c>
      <c r="J127" s="61">
        <v>0</v>
      </c>
      <c r="K127" s="61" t="str">
        <f t="shared" si="17"/>
        <v>4007/4008</v>
      </c>
      <c r="L127" s="61" t="str">
        <f>VLOOKUP(A127,'Trips&amp;Operators'!$C$1:$E$9999,3,FALSE)</f>
        <v>JACKSON</v>
      </c>
      <c r="M127" s="12">
        <f t="shared" si="18"/>
        <v>4.0497685185982846E-2</v>
      </c>
      <c r="N127" s="13">
        <f t="shared" si="19"/>
        <v>58.316666667815298</v>
      </c>
      <c r="O127" s="13"/>
      <c r="P127" s="13"/>
      <c r="Q127" s="62"/>
      <c r="R127" s="62"/>
      <c r="T12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https://search-rtdc-monitor-bjffxe2xuh6vdkpspy63sjmuny.us-east-1.es.amazonaws.com/_plugin/kibana/#/discover/Steve-Slow-Train-Analysis-(2080s-and-2083s)?_g=(refreshInterval:(display:Off,section:0,value:0),time:(from:'2016-05-22 22:50:15-0600',mode:absolute,to:'2016-05-22 23:51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27" s="74" t="str">
        <f t="shared" si="21"/>
        <v>N</v>
      </c>
      <c r="V127" s="74">
        <f t="shared" si="22"/>
        <v>1</v>
      </c>
      <c r="W127" s="74">
        <f t="shared" si="23"/>
        <v>4.6699999999999998E-2</v>
      </c>
      <c r="X127" s="74">
        <f t="shared" si="24"/>
        <v>23.331900000000001</v>
      </c>
      <c r="Y127" s="74">
        <f t="shared" si="25"/>
        <v>23.2852</v>
      </c>
      <c r="Z127" s="75" t="e">
        <f>VLOOKUP(A127,Enforcements!$C$3:$J$55,8,0)</f>
        <v>#N/A</v>
      </c>
      <c r="AA127" s="75" t="e">
        <f>VLOOKUP(A127,Enforcements!$C$3:$J$55,3,0)</f>
        <v>#N/A</v>
      </c>
    </row>
    <row r="128" spans="1:27" s="2" customFormat="1" x14ac:dyDescent="0.25">
      <c r="A128" s="61" t="s">
        <v>514</v>
      </c>
      <c r="B128" s="61">
        <v>4008</v>
      </c>
      <c r="C128" s="61" t="s">
        <v>66</v>
      </c>
      <c r="D128" s="61" t="s">
        <v>315</v>
      </c>
      <c r="E128" s="30">
        <v>42512.996446759258</v>
      </c>
      <c r="F128" s="30">
        <v>42512.997395833336</v>
      </c>
      <c r="G128" s="38">
        <v>1</v>
      </c>
      <c r="H128" s="30" t="s">
        <v>75</v>
      </c>
      <c r="I128" s="30">
        <v>42513.031192129631</v>
      </c>
      <c r="J128" s="61">
        <v>0</v>
      </c>
      <c r="K128" s="61" t="str">
        <f t="shared" si="17"/>
        <v>4007/4008</v>
      </c>
      <c r="L128" s="61" t="str">
        <f>VLOOKUP(A128,'Trips&amp;Operators'!$C$1:$E$9999,3,FALSE)</f>
        <v>JACKSON</v>
      </c>
      <c r="M128" s="12">
        <f t="shared" si="18"/>
        <v>3.3796296294895001E-2</v>
      </c>
      <c r="N128" s="13">
        <f t="shared" si="19"/>
        <v>48.666666664648801</v>
      </c>
      <c r="O128" s="13"/>
      <c r="P128" s="13"/>
      <c r="Q128" s="62"/>
      <c r="R128" s="62"/>
      <c r="T12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https://search-rtdc-monitor-bjffxe2xuh6vdkpspy63sjmuny.us-east-1.es.amazonaws.com/_plugin/kibana/#/discover/Steve-Slow-Train-Analysis-(2080s-and-2083s)?_g=(refreshInterval:(display:Off,section:0,value:0),time:(from:'2016-05-22 23:53:53-0600',mode:absolute,to:'2016-05-23 00:45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28" s="74" t="str">
        <f t="shared" si="21"/>
        <v>N</v>
      </c>
      <c r="V128" s="74">
        <f t="shared" si="22"/>
        <v>1</v>
      </c>
      <c r="W128" s="74">
        <f t="shared" si="23"/>
        <v>23.298300000000001</v>
      </c>
      <c r="X128" s="74">
        <f t="shared" si="24"/>
        <v>1.4500000000000001E-2</v>
      </c>
      <c r="Y128" s="74">
        <f t="shared" si="25"/>
        <v>23.283799999999999</v>
      </c>
      <c r="Z128" s="75" t="e">
        <f>VLOOKUP(A128,Enforcements!$C$3:$J$55,8,0)</f>
        <v>#N/A</v>
      </c>
      <c r="AA128" s="75" t="e">
        <f>VLOOKUP(A128,Enforcements!$C$3:$J$55,3,0)</f>
        <v>#N/A</v>
      </c>
    </row>
    <row r="129" spans="1:27" s="2" customFormat="1" x14ac:dyDescent="0.25">
      <c r="A129" s="61" t="s">
        <v>515</v>
      </c>
      <c r="B129" s="61">
        <v>4031</v>
      </c>
      <c r="C129" s="61" t="s">
        <v>66</v>
      </c>
      <c r="D129" s="61" t="s">
        <v>127</v>
      </c>
      <c r="E129" s="30">
        <v>42512.979363425926</v>
      </c>
      <c r="F129" s="30">
        <v>42512.980833333335</v>
      </c>
      <c r="G129" s="38">
        <v>2</v>
      </c>
      <c r="H129" s="30" t="s">
        <v>147</v>
      </c>
      <c r="I129" s="30">
        <v>42513.014618055553</v>
      </c>
      <c r="J129" s="61">
        <v>0</v>
      </c>
      <c r="K129" s="61" t="str">
        <f t="shared" si="17"/>
        <v>4031/4032</v>
      </c>
      <c r="L129" s="61" t="str">
        <f>VLOOKUP(A129,'Trips&amp;Operators'!$C$1:$E$9999,3,FALSE)</f>
        <v>YOUNG</v>
      </c>
      <c r="M129" s="12">
        <f t="shared" si="18"/>
        <v>3.3784722218115348E-2</v>
      </c>
      <c r="N129" s="13">
        <f t="shared" si="19"/>
        <v>48.649999994086102</v>
      </c>
      <c r="O129" s="13"/>
      <c r="P129" s="13"/>
      <c r="Q129" s="62"/>
      <c r="R129" s="62"/>
      <c r="T12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https://search-rtdc-monitor-bjffxe2xuh6vdkpspy63sjmuny.us-east-1.es.amazonaws.com/_plugin/kibana/#/discover/Steve-Slow-Train-Analysis-(2080s-and-2083s)?_g=(refreshInterval:(display:Off,section:0,value:0),time:(from:'2016-05-22 23:29:17-0600',mode:absolute,to:'2016-05-23 00:22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29" s="74" t="str">
        <f t="shared" si="21"/>
        <v>N</v>
      </c>
      <c r="V129" s="74">
        <f t="shared" si="22"/>
        <v>1</v>
      </c>
      <c r="W129" s="74">
        <f t="shared" si="23"/>
        <v>4.5999999999999999E-2</v>
      </c>
      <c r="X129" s="74">
        <f t="shared" si="24"/>
        <v>23.331399999999999</v>
      </c>
      <c r="Y129" s="74">
        <f t="shared" si="25"/>
        <v>23.285399999999999</v>
      </c>
      <c r="Z129" s="75" t="e">
        <f>VLOOKUP(A129,Enforcements!$C$3:$J$55,8,0)</f>
        <v>#N/A</v>
      </c>
      <c r="AA129" s="75" t="e">
        <f>VLOOKUP(A129,Enforcements!$C$3:$J$55,3,0)</f>
        <v>#N/A</v>
      </c>
    </row>
    <row r="130" spans="1:27" s="2" customFormat="1" x14ac:dyDescent="0.25">
      <c r="A130" s="61" t="s">
        <v>516</v>
      </c>
      <c r="B130" s="61">
        <v>4032</v>
      </c>
      <c r="C130" s="61" t="s">
        <v>66</v>
      </c>
      <c r="D130" s="61" t="s">
        <v>125</v>
      </c>
      <c r="E130" s="30">
        <v>42513.015636574077</v>
      </c>
      <c r="F130" s="30">
        <v>42513.016539351855</v>
      </c>
      <c r="G130" s="38">
        <v>1</v>
      </c>
      <c r="H130" s="30" t="s">
        <v>328</v>
      </c>
      <c r="I130" s="30">
        <v>42513.053124999999</v>
      </c>
      <c r="J130" s="61">
        <v>0</v>
      </c>
      <c r="K130" s="61" t="str">
        <f t="shared" si="17"/>
        <v>4031/4032</v>
      </c>
      <c r="L130" s="61" t="str">
        <f>VLOOKUP(A130,'Trips&amp;Operators'!$C$1:$E$9999,3,FALSE)</f>
        <v>YOUNG</v>
      </c>
      <c r="M130" s="12">
        <f t="shared" si="18"/>
        <v>3.6585648143955041E-2</v>
      </c>
      <c r="N130" s="13">
        <f t="shared" si="19"/>
        <v>52.683333327295259</v>
      </c>
      <c r="O130" s="13"/>
      <c r="P130" s="13"/>
      <c r="Q130" s="62"/>
      <c r="R130" s="62"/>
      <c r="T13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https://search-rtdc-monitor-bjffxe2xuh6vdkpspy63sjmuny.us-east-1.es.amazonaws.com/_plugin/kibana/#/discover/Steve-Slow-Train-Analysis-(2080s-and-2083s)?_g=(refreshInterval:(display:Off,section:0,value:0),time:(from:'2016-05-23 00:21:31-0600',mode:absolute,to:'2016-05-23 01:17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30" s="74" t="str">
        <f t="shared" si="21"/>
        <v>N</v>
      </c>
      <c r="V130" s="74">
        <f t="shared" si="22"/>
        <v>1</v>
      </c>
      <c r="W130" s="74">
        <f t="shared" si="23"/>
        <v>23.299600000000002</v>
      </c>
      <c r="X130" s="74">
        <f t="shared" si="24"/>
        <v>1.32E-2</v>
      </c>
      <c r="Y130" s="74">
        <f t="shared" si="25"/>
        <v>23.2864</v>
      </c>
      <c r="Z130" s="75" t="e">
        <f>VLOOKUP(A130,Enforcements!$C$3:$J$55,8,0)</f>
        <v>#N/A</v>
      </c>
      <c r="AA130" s="75" t="e">
        <f>VLOOKUP(A130,Enforcements!$C$3:$J$55,3,0)</f>
        <v>#N/A</v>
      </c>
    </row>
    <row r="131" spans="1:27" s="2" customFormat="1" x14ac:dyDescent="0.25">
      <c r="A131" s="61" t="s">
        <v>374</v>
      </c>
      <c r="B131" s="61">
        <v>4011</v>
      </c>
      <c r="C131" s="61" t="s">
        <v>66</v>
      </c>
      <c r="D131" s="61" t="s">
        <v>517</v>
      </c>
      <c r="E131" s="30">
        <v>42512.995208333334</v>
      </c>
      <c r="F131" s="30">
        <v>42512.996400462966</v>
      </c>
      <c r="G131" s="38">
        <v>1</v>
      </c>
      <c r="H131" s="30" t="s">
        <v>417</v>
      </c>
      <c r="I131" s="30">
        <v>42513.025740740741</v>
      </c>
      <c r="J131" s="61">
        <v>1</v>
      </c>
      <c r="K131" s="61" t="str">
        <f t="shared" si="17"/>
        <v>4011/4012</v>
      </c>
      <c r="L131" s="61" t="str">
        <f>VLOOKUP(A131,'Trips&amp;Operators'!$C$1:$E$9999,3,FALSE)</f>
        <v>HELVIE</v>
      </c>
      <c r="M131" s="12">
        <f t="shared" si="18"/>
        <v>2.9340277775190771E-2</v>
      </c>
      <c r="N131" s="13">
        <f t="shared" si="19"/>
        <v>42.24999999627471</v>
      </c>
      <c r="O131" s="13"/>
      <c r="P131" s="13"/>
      <c r="Q131" s="62"/>
      <c r="R131" s="62"/>
      <c r="T13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https://search-rtdc-monitor-bjffxe2xuh6vdkpspy63sjmuny.us-east-1.es.amazonaws.com/_plugin/kibana/#/discover/Steve-Slow-Train-Analysis-(2080s-and-2083s)?_g=(refreshInterval:(display:Off,section:0,value:0),time:(from:'2016-05-22 23:52:06-0600',mode:absolute,to:'2016-05-23 00:38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31" s="74" t="str">
        <f t="shared" si="21"/>
        <v>N</v>
      </c>
      <c r="V131" s="74">
        <f t="shared" si="22"/>
        <v>1</v>
      </c>
      <c r="W131" s="74">
        <f t="shared" si="23"/>
        <v>6.83E-2</v>
      </c>
      <c r="X131" s="74">
        <f t="shared" si="24"/>
        <v>23.329799999999999</v>
      </c>
      <c r="Y131" s="74">
        <f t="shared" si="25"/>
        <v>23.261499999999998</v>
      </c>
      <c r="Z131" s="75">
        <f>VLOOKUP(A131,Enforcements!$C$3:$J$55,8,0)</f>
        <v>230436</v>
      </c>
      <c r="AA131" s="75" t="str">
        <f>VLOOKUP(A131,Enforcements!$C$3:$J$55,3,0)</f>
        <v>PERMANENT SPEED RESTRICTION</v>
      </c>
    </row>
    <row r="132" spans="1:27" s="2" customFormat="1" x14ac:dyDescent="0.25">
      <c r="A132" s="61" t="s">
        <v>375</v>
      </c>
      <c r="B132" s="61">
        <v>4012</v>
      </c>
      <c r="C132" s="61" t="s">
        <v>66</v>
      </c>
      <c r="D132" s="61" t="s">
        <v>74</v>
      </c>
      <c r="E132" s="30">
        <v>42513.033726851849</v>
      </c>
      <c r="F132" s="30">
        <v>42513.034479166665</v>
      </c>
      <c r="G132" s="38">
        <v>1</v>
      </c>
      <c r="H132" s="30" t="s">
        <v>103</v>
      </c>
      <c r="I132" s="30">
        <v>42513.069953703707</v>
      </c>
      <c r="J132" s="61">
        <v>2</v>
      </c>
      <c r="K132" s="61" t="str">
        <f t="shared" ref="K132:K134" si="26">IF(ISEVEN(B132),(B132-1)&amp;"/"&amp;B132,B132&amp;"/"&amp;(B132+1))</f>
        <v>4011/4012</v>
      </c>
      <c r="L132" s="61" t="str">
        <f>VLOOKUP(A132,'Trips&amp;Operators'!$C$1:$E$9999,3,FALSE)</f>
        <v>HELVIE</v>
      </c>
      <c r="M132" s="12">
        <f t="shared" ref="M132:M134" si="27">I132-F132</f>
        <v>3.5474537042318843E-2</v>
      </c>
      <c r="N132" s="13">
        <f t="shared" si="19"/>
        <v>51.083333340939134</v>
      </c>
      <c r="O132" s="13"/>
      <c r="P132" s="13"/>
      <c r="Q132" s="62"/>
      <c r="R132" s="62"/>
      <c r="T132" s="74" t="str">
        <f t="shared" ref="T132:T134" si="28">"https://search-rtdc-monitor-bjffxe2xuh6vdkpspy63sjmuny.us-east-1.es.amazonaws.com/_plugin/kibana/#/discover/Steve-Slow-Train-Analysis-(2080s-and-2083s)?_g=(refreshInterval:(display:Off,section:0,value:0),time:(from:'"&amp;TEXT(E132-1/24/60,"yyyy-MM-DD hh:mm:ss")&amp;"-0600',mode:absolute,to:'"&amp;TEXT(I132+1/24/60,"yyyy-MM-DD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132&amp;"%22')),sort:!(Time,asc))"</f>
        <v>https://search-rtdc-monitor-bjffxe2xuh6vdkpspy63sjmuny.us-east-1.es.amazonaws.com/_plugin/kibana/#/discover/Steve-Slow-Train-Analysis-(2080s-and-2083s)?_g=(refreshInterval:(display:Off,section:0,value:0),time:(from:'2016-05-23 00:47:34-0600',mode:absolute,to:'2016-05-23 01:41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32" s="74" t="str">
        <f t="shared" ref="U132:U134" si="29">IF(Y132&lt;23,"Y","N")</f>
        <v>N</v>
      </c>
      <c r="V132" s="74">
        <f t="shared" ref="V132:V134" si="30">VALUE(LEFT(A132,3))-VALUE(LEFT(A131,3))</f>
        <v>1</v>
      </c>
      <c r="W132" s="74">
        <f t="shared" ref="W132:W134" si="31">RIGHT(D132,LEN(D132)-4)/10000</f>
        <v>23.2989</v>
      </c>
      <c r="X132" s="74">
        <f t="shared" ref="X132:X134" si="32">RIGHT(H132,LEN(H132)-4)/10000</f>
        <v>1.5800000000000002E-2</v>
      </c>
      <c r="Y132" s="74">
        <f t="shared" ref="Y132:Y134" si="33">ABS(X132-W132)</f>
        <v>23.283100000000001</v>
      </c>
      <c r="Z132" s="75">
        <f>VLOOKUP(A132,Enforcements!$C$3:$J$55,8,0)</f>
        <v>30562</v>
      </c>
      <c r="AA132" s="75" t="str">
        <f>VLOOKUP(A132,Enforcements!$C$3:$J$55,3,0)</f>
        <v>PERMANENT SPEED RESTRICTION</v>
      </c>
    </row>
    <row r="133" spans="1:27" s="2" customFormat="1" x14ac:dyDescent="0.25">
      <c r="A133" s="61" t="s">
        <v>518</v>
      </c>
      <c r="B133" s="61">
        <v>4024</v>
      </c>
      <c r="C133" s="61" t="s">
        <v>66</v>
      </c>
      <c r="D133" s="61" t="s">
        <v>107</v>
      </c>
      <c r="E133" s="30">
        <v>42513.013449074075</v>
      </c>
      <c r="F133" s="30">
        <v>42513.019444444442</v>
      </c>
      <c r="G133" s="38">
        <v>8</v>
      </c>
      <c r="H133" s="30" t="s">
        <v>157</v>
      </c>
      <c r="I133" s="30">
        <v>42513.049976851849</v>
      </c>
      <c r="J133" s="61">
        <v>0</v>
      </c>
      <c r="K133" s="61" t="str">
        <f t="shared" si="26"/>
        <v>4023/4024</v>
      </c>
      <c r="L133" s="61" t="str">
        <f>VLOOKUP(A133,'Trips&amp;Operators'!$C$1:$E$9999,3,FALSE)</f>
        <v>BARTLETT</v>
      </c>
      <c r="M133" s="12">
        <f t="shared" si="27"/>
        <v>3.0532407407008577E-2</v>
      </c>
      <c r="N133" s="13">
        <f t="shared" si="19"/>
        <v>43.966666666092351</v>
      </c>
      <c r="O133" s="13"/>
      <c r="P133" s="13"/>
      <c r="Q133" s="62"/>
      <c r="R133" s="62"/>
      <c r="T133" s="74" t="str">
        <f t="shared" si="28"/>
        <v>https://search-rtdc-monitor-bjffxe2xuh6vdkpspy63sjmuny.us-east-1.es.amazonaws.com/_plugin/kibana/#/discover/Steve-Slow-Train-Analysis-(2080s-and-2083s)?_g=(refreshInterval:(display:Off,section:0,value:0),time:(from:'2016-05-23 00:18:22-0600',mode:absolute,to:'2016-05-23 01:12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3" s="74" t="str">
        <f t="shared" si="29"/>
        <v>N</v>
      </c>
      <c r="V133" s="74">
        <f t="shared" si="30"/>
        <v>1</v>
      </c>
      <c r="W133" s="74">
        <f t="shared" si="31"/>
        <v>4.6899999999999997E-2</v>
      </c>
      <c r="X133" s="74">
        <f t="shared" si="32"/>
        <v>23.330400000000001</v>
      </c>
      <c r="Y133" s="74">
        <f t="shared" si="33"/>
        <v>23.2835</v>
      </c>
      <c r="Z133" s="75" t="e">
        <f>VLOOKUP(A133,Enforcements!$C$3:$J$55,8,0)</f>
        <v>#N/A</v>
      </c>
      <c r="AA133" s="75" t="e">
        <f>VLOOKUP(A133,Enforcements!$C$3:$J$55,3,0)</f>
        <v>#N/A</v>
      </c>
    </row>
    <row r="134" spans="1:27" s="2" customFormat="1" x14ac:dyDescent="0.25">
      <c r="A134" s="61" t="s">
        <v>519</v>
      </c>
      <c r="B134" s="61">
        <v>4023</v>
      </c>
      <c r="C134" s="61" t="s">
        <v>66</v>
      </c>
      <c r="D134" s="61" t="s">
        <v>167</v>
      </c>
      <c r="E134" s="30">
        <v>42513.055509259262</v>
      </c>
      <c r="F134" s="30">
        <v>42513.05636574074</v>
      </c>
      <c r="G134" s="38">
        <v>1</v>
      </c>
      <c r="H134" s="30" t="s">
        <v>321</v>
      </c>
      <c r="I134" s="30">
        <v>42513.089074074072</v>
      </c>
      <c r="J134" s="61">
        <v>1</v>
      </c>
      <c r="K134" s="61" t="str">
        <f t="shared" si="26"/>
        <v>4023/4024</v>
      </c>
      <c r="L134" s="61" t="str">
        <f>VLOOKUP(A134,'Trips&amp;Operators'!$C$1:$E$9999,3,FALSE)</f>
        <v>BARTLETT</v>
      </c>
      <c r="M134" s="12">
        <f t="shared" si="27"/>
        <v>3.2708333332266193E-2</v>
      </c>
      <c r="N134" s="13">
        <f t="shared" si="19"/>
        <v>47.099999998463318</v>
      </c>
      <c r="O134" s="13"/>
      <c r="P134" s="13"/>
      <c r="Q134" s="62"/>
      <c r="R134" s="62"/>
      <c r="T134" s="74" t="str">
        <f t="shared" si="28"/>
        <v>https://search-rtdc-monitor-bjffxe2xuh6vdkpspy63sjmuny.us-east-1.es.amazonaws.com/_plugin/kibana/#/discover/Steve-Slow-Train-Analysis-(2080s-and-2083s)?_g=(refreshInterval:(display:Off,section:0,value:0),time:(from:'2016-05-23 01:18:56-0600',mode:absolute,to:'2016-05-23 02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34" s="74" t="str">
        <f t="shared" si="29"/>
        <v>N</v>
      </c>
      <c r="V134" s="74">
        <f t="shared" si="30"/>
        <v>1</v>
      </c>
      <c r="W134" s="74">
        <f t="shared" si="31"/>
        <v>23.298100000000002</v>
      </c>
      <c r="X134" s="74">
        <f t="shared" si="32"/>
        <v>1.6500000000000001E-2</v>
      </c>
      <c r="Y134" s="74">
        <f t="shared" si="33"/>
        <v>23.281600000000001</v>
      </c>
      <c r="Z134" s="75" t="e">
        <f>VLOOKUP(A134,Enforcements!$C$3:$J$55,8,0)</f>
        <v>#N/A</v>
      </c>
      <c r="AA134" s="75" t="e">
        <f>VLOOKUP(A134,Enforcements!$C$3:$J$55,3,0)</f>
        <v>#N/A</v>
      </c>
    </row>
    <row r="135" spans="1:27" s="2" customFormat="1" ht="15.75" thickBot="1" x14ac:dyDescent="0.3">
      <c r="A135" s="63"/>
      <c r="B135" s="63"/>
      <c r="C135" s="63"/>
      <c r="D135" s="63"/>
      <c r="E135" s="64"/>
      <c r="F135" s="64"/>
      <c r="G135" s="65"/>
      <c r="H135" s="64"/>
      <c r="I135" s="64"/>
      <c r="J135" s="63"/>
      <c r="K135" s="63"/>
      <c r="L135" s="63"/>
      <c r="M135" s="66"/>
      <c r="N135" s="67"/>
      <c r="O135" s="67"/>
      <c r="P135" s="67"/>
      <c r="Q135" s="68"/>
      <c r="R135" s="68"/>
      <c r="T135" s="69"/>
      <c r="U135" s="69"/>
      <c r="V135" s="69"/>
      <c r="W135" s="69"/>
      <c r="X135" s="69"/>
      <c r="Y135" s="69"/>
      <c r="Z135" s="70"/>
      <c r="AA135" s="70"/>
    </row>
    <row r="136" spans="1:27" s="2" customFormat="1" ht="15.75" thickBot="1" x14ac:dyDescent="0.3">
      <c r="E136" s="31"/>
      <c r="F136" s="31"/>
      <c r="G136" s="39"/>
      <c r="H136" s="31"/>
      <c r="I136" s="85">
        <f>Variables!A2</f>
        <v>42512</v>
      </c>
      <c r="J136" s="86"/>
      <c r="K136" s="76"/>
      <c r="L136" s="76"/>
      <c r="M136" s="87" t="s">
        <v>8</v>
      </c>
      <c r="N136" s="88"/>
      <c r="O136" s="89"/>
      <c r="P136" s="5"/>
      <c r="T136" s="57"/>
      <c r="U136" s="57"/>
      <c r="V136" s="57"/>
      <c r="W136" s="57"/>
      <c r="X136" s="57"/>
      <c r="Y136" s="57"/>
      <c r="Z136" s="58"/>
      <c r="AA136" s="58"/>
    </row>
    <row r="137" spans="1:27" s="2" customFormat="1" ht="15.75" thickBot="1" x14ac:dyDescent="0.3">
      <c r="E137" s="31"/>
      <c r="F137" s="31"/>
      <c r="G137" s="39"/>
      <c r="H137" s="31"/>
      <c r="I137" s="90" t="s">
        <v>10</v>
      </c>
      <c r="J137" s="91"/>
      <c r="K137" s="35"/>
      <c r="L137" s="59"/>
      <c r="M137" s="9" t="s">
        <v>11</v>
      </c>
      <c r="N137" s="6" t="s">
        <v>12</v>
      </c>
      <c r="O137" s="7" t="s">
        <v>13</v>
      </c>
      <c r="P137" s="5"/>
      <c r="T137" s="57"/>
      <c r="U137" s="57"/>
      <c r="V137" s="57"/>
      <c r="W137" s="57"/>
      <c r="X137" s="57"/>
      <c r="Y137" s="57"/>
      <c r="Z137" s="58"/>
      <c r="AA137" s="58"/>
    </row>
    <row r="138" spans="1:27" s="2" customFormat="1" ht="15.75" thickBot="1" x14ac:dyDescent="0.3">
      <c r="E138" s="31"/>
      <c r="F138" s="31"/>
      <c r="G138" s="39"/>
      <c r="H138" s="31"/>
      <c r="I138" s="32" t="s">
        <v>14</v>
      </c>
      <c r="J138" s="3">
        <f>COUNT(N3:P134)</f>
        <v>131</v>
      </c>
      <c r="K138" s="3"/>
      <c r="L138" s="3"/>
      <c r="M138" s="71" t="s">
        <v>15</v>
      </c>
      <c r="N138" s="6" t="s">
        <v>15</v>
      </c>
      <c r="O138" s="7" t="s">
        <v>15</v>
      </c>
      <c r="P138" s="5"/>
      <c r="T138" s="57"/>
      <c r="U138" s="57"/>
      <c r="V138" s="57"/>
      <c r="W138" s="57"/>
      <c r="X138" s="57"/>
      <c r="Y138" s="57"/>
      <c r="Z138" s="58"/>
      <c r="AA138" s="58"/>
    </row>
    <row r="139" spans="1:27" s="2" customFormat="1" ht="15.75" thickBot="1" x14ac:dyDescent="0.3">
      <c r="E139" s="31"/>
      <c r="F139" s="31"/>
      <c r="G139" s="39"/>
      <c r="H139" s="31"/>
      <c r="I139" s="32" t="s">
        <v>17</v>
      </c>
      <c r="J139" s="3">
        <f>COUNT(N3:N134)</f>
        <v>122</v>
      </c>
      <c r="K139" s="3"/>
      <c r="L139" s="3"/>
      <c r="M139" s="71">
        <f>AVERAGE(N3:N134)</f>
        <v>46.704644808912128</v>
      </c>
      <c r="N139" s="6">
        <f>MIN(N3:N134)</f>
        <v>35.216666663764045</v>
      </c>
      <c r="O139" s="7">
        <f>MAX(N3:N134)</f>
        <v>65.900000003166497</v>
      </c>
      <c r="P139" s="5"/>
      <c r="T139" s="57"/>
      <c r="U139" s="57"/>
      <c r="V139" s="57"/>
      <c r="W139" s="57"/>
      <c r="X139" s="57"/>
      <c r="Y139" s="57"/>
      <c r="Z139" s="58"/>
      <c r="AA139" s="58"/>
    </row>
    <row r="140" spans="1:27" s="2" customFormat="1" ht="15.75" thickBot="1" x14ac:dyDescent="0.3">
      <c r="B140" s="60"/>
      <c r="C140" s="60"/>
      <c r="D140" s="60"/>
      <c r="E140" s="14"/>
      <c r="F140" s="14"/>
      <c r="G140" s="40"/>
      <c r="H140" s="14"/>
      <c r="I140" s="33" t="s">
        <v>45</v>
      </c>
      <c r="J140" s="3">
        <f>COUNT(O3:O134)</f>
        <v>0</v>
      </c>
      <c r="K140" s="3"/>
      <c r="L140" s="3"/>
      <c r="M140" s="71">
        <f>IFERROR(AVERAGE(O3:O134),0)</f>
        <v>0</v>
      </c>
      <c r="N140" s="6">
        <f>MIN(O3:O134)</f>
        <v>0</v>
      </c>
      <c r="O140" s="7">
        <f>MAX(O3:O134)</f>
        <v>0</v>
      </c>
      <c r="P140" s="4"/>
      <c r="Q140"/>
      <c r="R140"/>
      <c r="S140"/>
      <c r="T140" s="55"/>
      <c r="U140" s="55"/>
      <c r="V140" s="55"/>
      <c r="W140" s="55"/>
      <c r="X140" s="55"/>
      <c r="Y140" s="55"/>
      <c r="Z140" s="56"/>
      <c r="AA140" s="56"/>
    </row>
    <row r="141" spans="1:27" s="2" customFormat="1" ht="15.75" thickBot="1" x14ac:dyDescent="0.3">
      <c r="B141" s="60"/>
      <c r="C141" s="60"/>
      <c r="D141" s="60"/>
      <c r="E141" s="14"/>
      <c r="F141" s="14"/>
      <c r="G141" s="40"/>
      <c r="H141" s="14"/>
      <c r="I141" s="34" t="s">
        <v>9</v>
      </c>
      <c r="J141" s="3">
        <f>COUNT(P3:P134)</f>
        <v>9</v>
      </c>
      <c r="K141" s="3"/>
      <c r="L141" s="3"/>
      <c r="M141" s="71" t="s">
        <v>15</v>
      </c>
      <c r="N141" s="6" t="s">
        <v>15</v>
      </c>
      <c r="O141" s="7" t="s">
        <v>15</v>
      </c>
      <c r="P141" s="4"/>
      <c r="Q141"/>
      <c r="R141"/>
      <c r="S141"/>
      <c r="T141" s="55"/>
      <c r="U141" s="55"/>
      <c r="V141" s="55"/>
      <c r="W141" s="55"/>
      <c r="X141" s="55"/>
      <c r="Y141" s="55"/>
      <c r="Z141" s="56"/>
      <c r="AA141" s="56"/>
    </row>
    <row r="142" spans="1:27" s="2" customFormat="1" ht="30.75" thickBot="1" x14ac:dyDescent="0.3">
      <c r="E142" s="31"/>
      <c r="F142" s="31"/>
      <c r="G142" s="39"/>
      <c r="H142" s="31"/>
      <c r="I142" s="32" t="s">
        <v>16</v>
      </c>
      <c r="J142" s="3">
        <f>COUNT(N3:O134)</f>
        <v>122</v>
      </c>
      <c r="K142" s="3"/>
      <c r="L142" s="3"/>
      <c r="M142" s="71">
        <f>AVERAGE(N3:P134)</f>
        <v>44.897582697443923</v>
      </c>
      <c r="N142" s="6">
        <f>MIN(N3:O134)</f>
        <v>35.216666663764045</v>
      </c>
      <c r="O142" s="7">
        <f>MAX(N3:O134)</f>
        <v>65.900000003166497</v>
      </c>
      <c r="P142" s="5"/>
      <c r="T142" s="57"/>
      <c r="U142" s="57"/>
      <c r="V142" s="57"/>
      <c r="W142" s="57"/>
      <c r="X142" s="57"/>
      <c r="Y142" s="57"/>
      <c r="Z142" s="58"/>
      <c r="AA142" s="58"/>
    </row>
    <row r="143" spans="1:27" s="2" customFormat="1" ht="30.75" thickBot="1" x14ac:dyDescent="0.3">
      <c r="B143" s="60"/>
      <c r="C143" s="60"/>
      <c r="D143" s="60"/>
      <c r="E143" s="14"/>
      <c r="F143" s="14"/>
      <c r="G143" s="40"/>
      <c r="H143" s="14"/>
      <c r="I143" s="32" t="s">
        <v>19</v>
      </c>
      <c r="J143" s="8">
        <f>J142/J138</f>
        <v>0.93129770992366412</v>
      </c>
      <c r="K143" s="8"/>
      <c r="L143" s="8"/>
      <c r="M143" s="1"/>
      <c r="N143" s="4"/>
      <c r="O143" s="4"/>
      <c r="P143" s="4"/>
      <c r="Q143"/>
      <c r="R143"/>
      <c r="S143"/>
      <c r="T143" s="55"/>
      <c r="U143" s="55"/>
      <c r="V143" s="55"/>
      <c r="W143" s="55"/>
      <c r="X143" s="55"/>
      <c r="Y143" s="55"/>
      <c r="Z143" s="56"/>
      <c r="AA143" s="56"/>
    </row>
    <row r="144" spans="1:27" s="2" customFormat="1" x14ac:dyDescent="0.25">
      <c r="B144" s="60"/>
      <c r="C144" s="60"/>
      <c r="D144" s="60"/>
      <c r="E144" s="14"/>
      <c r="F144" s="14"/>
      <c r="G144" s="40"/>
      <c r="H144" s="14"/>
      <c r="I144" s="14"/>
      <c r="J144" s="60"/>
      <c r="K144"/>
      <c r="L144" s="60"/>
      <c r="M144" s="1"/>
      <c r="N144" s="4"/>
      <c r="O144" s="4"/>
      <c r="P144" s="4"/>
      <c r="Q144"/>
      <c r="R144"/>
      <c r="S144"/>
      <c r="T144" s="55"/>
      <c r="U144" s="55"/>
      <c r="V144" s="55"/>
      <c r="W144" s="55"/>
      <c r="X144" s="55"/>
      <c r="Y144" s="55"/>
      <c r="Z144" s="56"/>
      <c r="AA144" s="56"/>
    </row>
    <row r="145" spans="2:27" s="2" customFormat="1" x14ac:dyDescent="0.25">
      <c r="B145"/>
      <c r="C145"/>
      <c r="D145"/>
      <c r="E145" s="14"/>
      <c r="F145" s="14"/>
      <c r="G145" s="40"/>
      <c r="H145" s="14"/>
      <c r="I145" s="14"/>
      <c r="J145"/>
      <c r="K145"/>
      <c r="L145" s="60"/>
      <c r="M145" s="1"/>
      <c r="N145" s="4"/>
      <c r="O145" s="4"/>
      <c r="P145" s="4"/>
      <c r="Q145"/>
      <c r="R145"/>
      <c r="S145"/>
      <c r="T145" s="55"/>
      <c r="U145" s="55"/>
      <c r="V145" s="55"/>
      <c r="W145" s="55"/>
      <c r="X145" s="55"/>
      <c r="Y145" s="55"/>
      <c r="Z145" s="56"/>
      <c r="AA145" s="56"/>
    </row>
    <row r="146" spans="2:27" s="2" customFormat="1" x14ac:dyDescent="0.25">
      <c r="B146"/>
      <c r="C146"/>
      <c r="D146"/>
      <c r="E146" s="14"/>
      <c r="F146" s="14"/>
      <c r="G146" s="40"/>
      <c r="H146" s="14"/>
      <c r="I146" s="14"/>
      <c r="J146"/>
      <c r="K146"/>
      <c r="L146" s="60"/>
      <c r="M146" s="1"/>
      <c r="N146" s="4"/>
      <c r="O146" s="4"/>
      <c r="P146" s="4"/>
      <c r="Q146"/>
      <c r="R146"/>
      <c r="S146"/>
      <c r="T146" s="55"/>
      <c r="U146" s="55"/>
      <c r="V146" s="55"/>
      <c r="W146" s="55"/>
      <c r="X146" s="55"/>
      <c r="Y146" s="55"/>
      <c r="Z146" s="56"/>
      <c r="AA146" s="56"/>
    </row>
    <row r="147" spans="2:27" s="2" customFormat="1" x14ac:dyDescent="0.25">
      <c r="B147"/>
      <c r="C147"/>
      <c r="D147"/>
      <c r="E147" s="14"/>
      <c r="F147" s="14"/>
      <c r="G147" s="40"/>
      <c r="H147" s="14"/>
      <c r="I147" s="14"/>
      <c r="J147"/>
      <c r="K147"/>
      <c r="L147" s="60"/>
      <c r="M147" s="1"/>
      <c r="N147" s="4"/>
      <c r="O147" s="4"/>
      <c r="P147" s="4"/>
      <c r="Q147"/>
      <c r="R147"/>
      <c r="S147"/>
      <c r="T147" s="55"/>
      <c r="U147" s="55"/>
      <c r="V147" s="55"/>
      <c r="W147" s="55"/>
      <c r="X147" s="55"/>
      <c r="Y147" s="55"/>
      <c r="Z147" s="56"/>
      <c r="AA147" s="56"/>
    </row>
    <row r="148" spans="2:27" s="2" customFormat="1" x14ac:dyDescent="0.25">
      <c r="B148"/>
      <c r="C148"/>
      <c r="D148"/>
      <c r="E148" s="14"/>
      <c r="F148" s="14"/>
      <c r="G148" s="40"/>
      <c r="H148" s="14"/>
      <c r="I148" s="14"/>
      <c r="J148"/>
      <c r="K148"/>
      <c r="L148" s="60"/>
      <c r="M148" s="1"/>
      <c r="N148" s="4"/>
      <c r="O148" s="4"/>
      <c r="P148" s="4"/>
      <c r="Q148"/>
      <c r="R148"/>
      <c r="S148"/>
      <c r="T148" s="55"/>
      <c r="U148" s="55"/>
      <c r="V148" s="55"/>
      <c r="W148" s="55"/>
      <c r="X148" s="55"/>
      <c r="Y148" s="55"/>
      <c r="Z148" s="56"/>
      <c r="AA148" s="56"/>
    </row>
    <row r="151" spans="2:27" s="2" customFormat="1" x14ac:dyDescent="0.25">
      <c r="B151"/>
      <c r="C151"/>
      <c r="D151"/>
      <c r="E151" s="14"/>
      <c r="F151" s="14"/>
      <c r="G151" s="40"/>
      <c r="H151" s="14"/>
      <c r="I151" s="14"/>
      <c r="J151"/>
      <c r="K151"/>
      <c r="L151" s="60"/>
      <c r="M151" s="1"/>
      <c r="N151" s="4"/>
      <c r="O151" s="4"/>
      <c r="P151" s="4"/>
      <c r="Q151"/>
      <c r="R151"/>
      <c r="S151"/>
      <c r="T151" s="55"/>
      <c r="U151" s="55"/>
      <c r="V151" s="55"/>
      <c r="W151" s="55"/>
      <c r="X151" s="55"/>
      <c r="Y151" s="55"/>
      <c r="Z151" s="56"/>
      <c r="AA151" s="56"/>
    </row>
  </sheetData>
  <autoFilter ref="A2:AA134"/>
  <sortState ref="A3:Y144">
    <sortCondition ref="A3:A144"/>
  </sortState>
  <mergeCells count="4">
    <mergeCell ref="I136:J136"/>
    <mergeCell ref="M136:O136"/>
    <mergeCell ref="I137:J137"/>
    <mergeCell ref="A1:P1"/>
  </mergeCells>
  <conditionalFormatting sqref="U1:U2 U3:V1048576">
    <cfRule type="cellIs" dxfId="12" priority="24" operator="equal">
      <formula>"Y"</formula>
    </cfRule>
  </conditionalFormatting>
  <conditionalFormatting sqref="V3:V1048576">
    <cfRule type="cellIs" dxfId="11" priority="7" operator="greaterThan">
      <formula>1</formula>
    </cfRule>
  </conditionalFormatting>
  <conditionalFormatting sqref="A135:P135 A3:R67 A69:R134 A68:H68 J68:R68">
    <cfRule type="expression" dxfId="10" priority="38">
      <formula>$P3&gt;0</formula>
    </cfRule>
    <cfRule type="expression" dxfId="9" priority="39">
      <formula>$O3&gt;0</formula>
    </cfRule>
  </conditionalFormatting>
  <conditionalFormatting sqref="Q135:R135">
    <cfRule type="expression" dxfId="8" priority="80">
      <formula>$P135&gt;0</formula>
    </cfRule>
    <cfRule type="expression" dxfId="7" priority="81">
      <formula>$O154&gt;0</formula>
    </cfRule>
  </conditionalFormatting>
  <conditionalFormatting sqref="V2:V1048576">
    <cfRule type="cellIs" dxfId="6" priority="4" operator="equal">
      <formula>0</formula>
    </cfRule>
  </conditionalFormatting>
  <conditionalFormatting sqref="I68">
    <cfRule type="expression" dxfId="5" priority="2">
      <formula>$P68&gt;0</formula>
    </cfRule>
    <cfRule type="expression" dxfId="4" priority="3">
      <formula>$O68&gt;0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BC54A837-71A9-4A94-B0E2-11F0B57C895C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A3:R67 A69:R135 A68:H68 J68:R68</xm:sqref>
        </x14:conditionalFormatting>
        <x14:conditionalFormatting xmlns:xm="http://schemas.microsoft.com/office/excel/2006/main">
          <x14:cfRule type="expression" priority="1" id="{B14E9B7F-78E7-4C92-AD54-00F66720C8B2}">
            <xm:f>$N68&gt;Variables!$C$2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I68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showGridLines="0" zoomScale="85" zoomScaleNormal="85" workbookViewId="0">
      <selection activeCell="M34" sqref="M34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43.5703125" bestFit="1" customWidth="1"/>
    <col min="16" max="16" width="9.140625" style="82"/>
  </cols>
  <sheetData>
    <row r="1" spans="1:17" s="26" customFormat="1" ht="15" customHeight="1" x14ac:dyDescent="0.25">
      <c r="A1" s="93" t="str">
        <f>"Eagle P3 Braking Events - "&amp;TEXT(Variables!$A$2,"YYYY-mm-dd")</f>
        <v>Eagle P3 Braking Events - 2016-05-22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27"/>
      <c r="P1" s="80"/>
    </row>
    <row r="2" spans="1:17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  <c r="P2" s="83" t="s">
        <v>208</v>
      </c>
    </row>
    <row r="3" spans="1:17" s="19" customFormat="1" x14ac:dyDescent="0.25">
      <c r="A3" s="23">
        <v>42512.486087962963</v>
      </c>
      <c r="B3" s="22" t="s">
        <v>131</v>
      </c>
      <c r="C3" s="22" t="s">
        <v>350</v>
      </c>
      <c r="D3" s="22" t="s">
        <v>52</v>
      </c>
      <c r="E3" s="22" t="s">
        <v>311</v>
      </c>
      <c r="F3" s="22">
        <v>790</v>
      </c>
      <c r="G3" s="22">
        <v>153</v>
      </c>
      <c r="H3" s="22">
        <v>63921</v>
      </c>
      <c r="I3" s="22" t="s">
        <v>61</v>
      </c>
      <c r="J3" s="22">
        <v>103864</v>
      </c>
      <c r="K3" s="21" t="s">
        <v>56</v>
      </c>
      <c r="L3" s="21" t="str">
        <f>VLOOKUP(C3,'Trips&amp;Operators'!$C$1:$E$9999,3,FALSE)</f>
        <v>ACKERMAN</v>
      </c>
      <c r="M3" s="20" t="s">
        <v>144</v>
      </c>
      <c r="N3" s="21" t="s">
        <v>209</v>
      </c>
      <c r="P3" s="81" t="str">
        <f>VLOOKUP(C3,'Train Runs'!$A$3:$T$243,20,0)</f>
        <v>https://search-rtdc-monitor-bjffxe2xuh6vdkpspy63sjmuny.us-east-1.es.amazonaws.com/_plugin/kibana/#/discover/Steve-Slow-Train-Analysis-(2080s-and-2083s)?_g=(refreshInterval:(display:Off,section:0,value:0),time:(from:'2016-05-22 11:06:10-0600',mode:absolute,to:'2016-05-22 11:41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3" s="19" t="str">
        <f>MID(B3,13,4)</f>
        <v>4032</v>
      </c>
    </row>
    <row r="4" spans="1:17" s="19" customFormat="1" x14ac:dyDescent="0.25">
      <c r="A4" s="23">
        <v>42512.277048611111</v>
      </c>
      <c r="B4" s="22" t="s">
        <v>65</v>
      </c>
      <c r="C4" s="22" t="s">
        <v>332</v>
      </c>
      <c r="D4" s="22" t="s">
        <v>52</v>
      </c>
      <c r="E4" s="22" t="s">
        <v>137</v>
      </c>
      <c r="F4" s="22">
        <v>150</v>
      </c>
      <c r="G4" s="22">
        <v>130</v>
      </c>
      <c r="H4" s="22">
        <v>53279</v>
      </c>
      <c r="I4" s="22" t="s">
        <v>138</v>
      </c>
      <c r="J4" s="22">
        <v>53277</v>
      </c>
      <c r="K4" s="21" t="s">
        <v>56</v>
      </c>
      <c r="L4" s="21" t="str">
        <f>VLOOKUP(C4,'Trips&amp;Operators'!$C$1:$E$9999,3,FALSE)</f>
        <v>LEVIN</v>
      </c>
      <c r="M4" s="20" t="s">
        <v>88</v>
      </c>
      <c r="N4" s="21" t="s">
        <v>378</v>
      </c>
      <c r="P4" s="81" t="str">
        <f>VLOOKUP(C4,'Train Runs'!$A$3:$T$243,20,0)</f>
        <v>https://search-rtdc-monitor-bjffxe2xuh6vdkpspy63sjmuny.us-east-1.es.amazonaws.com/_plugin/kibana/#/discover/Steve-Slow-Train-Analysis-(2080s-and-2083s)?_g=(refreshInterval:(display:Off,section:0,value:0),time:(from:'2016-05-22 06:07:38-0600',mode:absolute,to:'2016-05-22 06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4" s="19" t="str">
        <f t="shared" ref="Q4:Q55" si="0">MID(B4,13,4)</f>
        <v>4019</v>
      </c>
    </row>
    <row r="5" spans="1:17" s="19" customFormat="1" x14ac:dyDescent="0.25">
      <c r="A5" s="23">
        <v>42512.310960648145</v>
      </c>
      <c r="B5" s="22" t="s">
        <v>116</v>
      </c>
      <c r="C5" s="22" t="s">
        <v>336</v>
      </c>
      <c r="D5" s="22" t="s">
        <v>52</v>
      </c>
      <c r="E5" s="22" t="s">
        <v>137</v>
      </c>
      <c r="F5" s="22">
        <v>0</v>
      </c>
      <c r="G5" s="22">
        <v>41</v>
      </c>
      <c r="H5" s="22">
        <v>53069</v>
      </c>
      <c r="I5" s="22" t="s">
        <v>138</v>
      </c>
      <c r="J5" s="22">
        <v>53155</v>
      </c>
      <c r="K5" s="21" t="s">
        <v>55</v>
      </c>
      <c r="L5" s="21" t="str">
        <f>VLOOKUP(C5,'Trips&amp;Operators'!$C$1:$E$9999,3,FALSE)</f>
        <v>REBOLETTI</v>
      </c>
      <c r="M5" s="20" t="s">
        <v>88</v>
      </c>
      <c r="N5" s="21" t="s">
        <v>541</v>
      </c>
      <c r="P5" s="81" t="str">
        <f>VLOOKUP(C5,'Train Runs'!$A$3:$T$243,20,0)</f>
        <v>https://search-rtdc-monitor-bjffxe2xuh6vdkpspy63sjmuny.us-east-1.es.amazonaws.com/_plugin/kibana/#/discover/Steve-Slow-Train-Analysis-(2080s-and-2083s)?_g=(refreshInterval:(display:Off,section:0,value:0),time:(from:'2016-05-22 07:11:04-0600',mode:absolute,to:'2016-05-22 07:52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5" s="19" t="str">
        <f t="shared" si="0"/>
        <v>4018</v>
      </c>
    </row>
    <row r="6" spans="1:17" s="19" customFormat="1" x14ac:dyDescent="0.25">
      <c r="A6" s="23">
        <v>42512.332349537035</v>
      </c>
      <c r="B6" s="22" t="s">
        <v>139</v>
      </c>
      <c r="C6" s="22" t="s">
        <v>341</v>
      </c>
      <c r="D6" s="22" t="s">
        <v>52</v>
      </c>
      <c r="E6" s="22" t="s">
        <v>137</v>
      </c>
      <c r="F6" s="22">
        <v>0</v>
      </c>
      <c r="G6" s="22">
        <v>372</v>
      </c>
      <c r="H6" s="22">
        <v>51368</v>
      </c>
      <c r="I6" s="22" t="s">
        <v>138</v>
      </c>
      <c r="J6" s="22">
        <v>53155</v>
      </c>
      <c r="K6" s="21" t="s">
        <v>55</v>
      </c>
      <c r="L6" s="21" t="str">
        <f>VLOOKUP(C6,'Trips&amp;Operators'!$C$1:$E$9999,3,FALSE)</f>
        <v>LEDERHAUSE</v>
      </c>
      <c r="M6" s="20" t="s">
        <v>88</v>
      </c>
      <c r="N6" s="21" t="s">
        <v>541</v>
      </c>
      <c r="P6" s="81" t="str">
        <f>VLOOKUP(C6,'Train Runs'!$A$3:$T$243,20,0)</f>
        <v>https://search-rtdc-monitor-bjffxe2xuh6vdkpspy63sjmuny.us-east-1.es.amazonaws.com/_plugin/kibana/#/discover/Steve-Slow-Train-Analysis-(2080s-and-2083s)?_g=(refreshInterval:(display:Off,section:0,value:0),time:(from:'2016-05-22 07:36:40-0600',mode:absolute,to:'2016-05-22 08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6" s="19" t="str">
        <f t="shared" si="0"/>
        <v>4042</v>
      </c>
    </row>
    <row r="7" spans="1:17" s="19" customFormat="1" x14ac:dyDescent="0.25">
      <c r="A7" s="23">
        <v>42512.364074074074</v>
      </c>
      <c r="B7" s="22" t="s">
        <v>114</v>
      </c>
      <c r="C7" s="22" t="s">
        <v>342</v>
      </c>
      <c r="D7" s="22" t="s">
        <v>52</v>
      </c>
      <c r="E7" s="22" t="s">
        <v>137</v>
      </c>
      <c r="F7" s="22">
        <v>0</v>
      </c>
      <c r="G7" s="22">
        <v>49</v>
      </c>
      <c r="H7" s="22">
        <v>33527</v>
      </c>
      <c r="I7" s="22" t="s">
        <v>138</v>
      </c>
      <c r="J7" s="22">
        <v>33257</v>
      </c>
      <c r="K7" s="21" t="s">
        <v>56</v>
      </c>
      <c r="L7" s="21" t="str">
        <f>VLOOKUP(C7,'Trips&amp;Operators'!$C$1:$E$9999,3,FALSE)</f>
        <v>REBOLETTI</v>
      </c>
      <c r="M7" s="20" t="s">
        <v>88</v>
      </c>
      <c r="N7" s="21" t="s">
        <v>541</v>
      </c>
      <c r="P7" s="81" t="str">
        <f>VLOOKUP(C7,'Train Runs'!$A$3:$T$243,20,0)</f>
        <v>https://search-rtdc-monitor-bjffxe2xuh6vdkpspy63sjmuny.us-east-1.es.amazonaws.com/_plugin/kibana/#/discover/Steve-Slow-Train-Analysis-(2080s-and-2083s)?_g=(refreshInterval:(display:Off,section:0,value:0),time:(from:'2016-05-22 08:02:43-0600',mode:absolute,to:'2016-05-22 08:57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7" s="19" t="str">
        <f t="shared" si="0"/>
        <v>4017</v>
      </c>
    </row>
    <row r="8" spans="1:17" s="19" customFormat="1" x14ac:dyDescent="0.25">
      <c r="A8" s="23">
        <v>42512.37054398148</v>
      </c>
      <c r="B8" s="22" t="s">
        <v>334</v>
      </c>
      <c r="C8" s="22" t="s">
        <v>343</v>
      </c>
      <c r="D8" s="22" t="s">
        <v>52</v>
      </c>
      <c r="E8" s="22" t="s">
        <v>137</v>
      </c>
      <c r="F8" s="22">
        <v>150</v>
      </c>
      <c r="G8" s="22">
        <v>367</v>
      </c>
      <c r="H8" s="22">
        <v>54963</v>
      </c>
      <c r="I8" s="22" t="s">
        <v>138</v>
      </c>
      <c r="J8" s="22">
        <v>53277</v>
      </c>
      <c r="K8" s="21" t="s">
        <v>56</v>
      </c>
      <c r="L8" s="21" t="str">
        <f>VLOOKUP(C8,'Trips&amp;Operators'!$C$1:$E$9999,3,FALSE)</f>
        <v>STRICKLAND</v>
      </c>
      <c r="M8" s="20" t="s">
        <v>88</v>
      </c>
      <c r="N8" s="21" t="s">
        <v>378</v>
      </c>
      <c r="P8" s="81" t="str">
        <f>VLOOKUP(C8,'Train Runs'!$A$3:$T$243,20,0)</f>
        <v>https://search-rtdc-monitor-bjffxe2xuh6vdkpspy63sjmuny.us-east-1.es.amazonaws.com/_plugin/kibana/#/discover/Steve-Slow-Train-Analysis-(2080s-and-2083s)?_g=(refreshInterval:(display:Off,section:0,value:0),time:(from:'2016-05-22 08:12:05-0600',mode:absolute,to:'2016-05-22 09:13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8" s="19" t="str">
        <f t="shared" si="0"/>
        <v>4028</v>
      </c>
    </row>
    <row r="9" spans="1:17" s="19" customFormat="1" x14ac:dyDescent="0.25">
      <c r="A9" s="23">
        <v>42512.421493055554</v>
      </c>
      <c r="B9" s="22" t="s">
        <v>65</v>
      </c>
      <c r="C9" s="22" t="s">
        <v>346</v>
      </c>
      <c r="D9" s="22" t="s">
        <v>52</v>
      </c>
      <c r="E9" s="22" t="s">
        <v>137</v>
      </c>
      <c r="F9" s="22">
        <v>150</v>
      </c>
      <c r="G9" s="22">
        <v>120</v>
      </c>
      <c r="H9" s="22">
        <v>53325</v>
      </c>
      <c r="I9" s="22" t="s">
        <v>138</v>
      </c>
      <c r="J9" s="22">
        <v>53277</v>
      </c>
      <c r="K9" s="21" t="s">
        <v>56</v>
      </c>
      <c r="L9" s="21" t="str">
        <f>VLOOKUP(C9,'Trips&amp;Operators'!$C$1:$E$9999,3,FALSE)</f>
        <v>LEVIN</v>
      </c>
      <c r="M9" s="20" t="s">
        <v>88</v>
      </c>
      <c r="N9" s="21" t="s">
        <v>378</v>
      </c>
      <c r="P9" s="81" t="str">
        <f>VLOOKUP(C9,'Train Runs'!$A$3:$T$243,20,0)</f>
        <v>https://search-rtdc-monitor-bjffxe2xuh6vdkpspy63sjmuny.us-east-1.es.amazonaws.com/_plugin/kibana/#/discover/Steve-Slow-Train-Analysis-(2080s-and-2083s)?_g=(refreshInterval:(display:Off,section:0,value:0),time:(from:'2016-05-22 09:39:34-0600',mode:absolute,to:'2016-05-22 10:22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9" s="19" t="str">
        <f t="shared" si="0"/>
        <v>4019</v>
      </c>
    </row>
    <row r="10" spans="1:17" s="19" customFormat="1" x14ac:dyDescent="0.25">
      <c r="A10" s="23">
        <v>42512.686377314814</v>
      </c>
      <c r="B10" s="22" t="s">
        <v>114</v>
      </c>
      <c r="C10" s="22" t="s">
        <v>365</v>
      </c>
      <c r="D10" s="22" t="s">
        <v>52</v>
      </c>
      <c r="E10" s="22" t="s">
        <v>137</v>
      </c>
      <c r="F10" s="22">
        <v>0</v>
      </c>
      <c r="G10" s="22">
        <v>79</v>
      </c>
      <c r="H10" s="22">
        <v>52797</v>
      </c>
      <c r="I10" s="22" t="s">
        <v>138</v>
      </c>
      <c r="J10" s="22">
        <v>53155</v>
      </c>
      <c r="K10" s="21" t="s">
        <v>55</v>
      </c>
      <c r="L10" s="21" t="str">
        <f>VLOOKUP(C10,'Trips&amp;Operators'!$C$1:$E$9999,3,FALSE)</f>
        <v>YORK</v>
      </c>
      <c r="M10" s="20" t="s">
        <v>88</v>
      </c>
      <c r="N10" s="21" t="s">
        <v>541</v>
      </c>
      <c r="P10" s="81" t="str">
        <f>VLOOKUP(C10,'Train Runs'!$A$3:$T$243,20,0)</f>
        <v>https://search-rtdc-monitor-bjffxe2xuh6vdkpspy63sjmuny.us-east-1.es.amazonaws.com/_plugin/kibana/#/discover/Steve-Slow-Train-Analysis-(2080s-and-2083s)?_g=(refreshInterval:(display:Off,section:0,value:0),time:(from:'2016-05-22 15:20:29-0600',mode:absolute,to:'2016-05-22 16:08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0" s="19" t="str">
        <f t="shared" si="0"/>
        <v>4017</v>
      </c>
    </row>
    <row r="11" spans="1:17" s="19" customFormat="1" x14ac:dyDescent="0.25">
      <c r="A11" s="23">
        <v>42512.688194444447</v>
      </c>
      <c r="B11" s="22" t="s">
        <v>114</v>
      </c>
      <c r="C11" s="22" t="s">
        <v>365</v>
      </c>
      <c r="D11" s="22" t="s">
        <v>57</v>
      </c>
      <c r="E11" s="22" t="s">
        <v>137</v>
      </c>
      <c r="F11" s="22">
        <v>0</v>
      </c>
      <c r="G11" s="22">
        <v>13</v>
      </c>
      <c r="H11" s="22">
        <v>53164</v>
      </c>
      <c r="I11" s="22" t="s">
        <v>138</v>
      </c>
      <c r="J11" s="22">
        <v>53155</v>
      </c>
      <c r="K11" s="21" t="s">
        <v>55</v>
      </c>
      <c r="L11" s="21" t="str">
        <f>VLOOKUP(C11,'Trips&amp;Operators'!$C$1:$E$9999,3,FALSE)</f>
        <v>YORK</v>
      </c>
      <c r="M11" s="20" t="s">
        <v>88</v>
      </c>
      <c r="N11" s="21" t="s">
        <v>541</v>
      </c>
      <c r="P11" s="81" t="str">
        <f>VLOOKUP(C11,'Train Runs'!$A$3:$T$243,20,0)</f>
        <v>https://search-rtdc-monitor-bjffxe2xuh6vdkpspy63sjmuny.us-east-1.es.amazonaws.com/_plugin/kibana/#/discover/Steve-Slow-Train-Analysis-(2080s-and-2083s)?_g=(refreshInterval:(display:Off,section:0,value:0),time:(from:'2016-05-22 15:20:29-0600',mode:absolute,to:'2016-05-22 16:08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1" s="19" t="str">
        <f t="shared" si="0"/>
        <v>4017</v>
      </c>
    </row>
    <row r="12" spans="1:17" s="19" customFormat="1" x14ac:dyDescent="0.25">
      <c r="A12" s="23">
        <v>42512.7184375</v>
      </c>
      <c r="B12" s="22" t="s">
        <v>118</v>
      </c>
      <c r="C12" s="22" t="s">
        <v>366</v>
      </c>
      <c r="D12" s="22" t="s">
        <v>52</v>
      </c>
      <c r="E12" s="22" t="s">
        <v>137</v>
      </c>
      <c r="F12" s="22">
        <v>0</v>
      </c>
      <c r="G12" s="22">
        <v>513</v>
      </c>
      <c r="H12" s="22">
        <v>50277</v>
      </c>
      <c r="I12" s="22" t="s">
        <v>138</v>
      </c>
      <c r="J12" s="22">
        <v>53155</v>
      </c>
      <c r="K12" s="21" t="s">
        <v>55</v>
      </c>
      <c r="L12" s="21" t="str">
        <f>VLOOKUP(C12,'Trips&amp;Operators'!$C$1:$E$9999,3,FALSE)</f>
        <v>BRUDER</v>
      </c>
      <c r="M12" s="20" t="s">
        <v>88</v>
      </c>
      <c r="N12" s="21" t="s">
        <v>541</v>
      </c>
      <c r="P12" s="81" t="str">
        <f>VLOOKUP(C12,'Train Runs'!$A$3:$T$243,20,0)</f>
        <v>https://search-rtdc-monitor-bjffxe2xuh6vdkpspy63sjmuny.us-east-1.es.amazonaws.com/_plugin/kibana/#/discover/Steve-Slow-Train-Analysis-(2080s-and-2083s)?_g=(refreshInterval:(display:Off,section:0,value:0),time:(from:'2016-05-22 16:59:31-0600',mode:absolute,to:'2016-05-22 17:42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12" s="19" t="str">
        <f t="shared" si="0"/>
        <v>4024</v>
      </c>
    </row>
    <row r="13" spans="1:17" s="19" customFormat="1" x14ac:dyDescent="0.25">
      <c r="A13" s="23">
        <v>42512.77270833333</v>
      </c>
      <c r="B13" s="22" t="s">
        <v>133</v>
      </c>
      <c r="C13" s="22" t="s">
        <v>370</v>
      </c>
      <c r="D13" s="22" t="s">
        <v>57</v>
      </c>
      <c r="E13" s="22" t="s">
        <v>137</v>
      </c>
      <c r="F13" s="22">
        <v>150</v>
      </c>
      <c r="G13" s="22">
        <v>203</v>
      </c>
      <c r="H13" s="22">
        <v>53288</v>
      </c>
      <c r="I13" s="22" t="s">
        <v>138</v>
      </c>
      <c r="J13" s="22">
        <v>53155</v>
      </c>
      <c r="K13" s="21" t="s">
        <v>55</v>
      </c>
      <c r="L13" s="21" t="str">
        <f>VLOOKUP(C13,'Trips&amp;Operators'!$C$1:$E$9999,3,FALSE)</f>
        <v>HELVIE</v>
      </c>
      <c r="M13" s="20" t="s">
        <v>88</v>
      </c>
      <c r="N13" s="21" t="s">
        <v>378</v>
      </c>
      <c r="P13" s="81" t="str">
        <f>VLOOKUP(C13,'Train Runs'!$A$3:$T$243,20,0)</f>
        <v>https://search-rtdc-monitor-bjffxe2xuh6vdkpspy63sjmuny.us-east-1.es.amazonaws.com/_plugin/kibana/#/discover/Steve-Slow-Train-Analysis-(2080s-and-2083s)?_g=(refreshInterval:(display:Off,section:0,value:0),time:(from:'2016-05-22 18:12:26-0600',mode:absolute,to:'2016-05-22 19:04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13" s="19" t="str">
        <f t="shared" si="0"/>
        <v>4011</v>
      </c>
    </row>
    <row r="14" spans="1:17" s="19" customFormat="1" x14ac:dyDescent="0.25">
      <c r="A14" s="23">
        <v>42512.254374999997</v>
      </c>
      <c r="B14" s="22" t="s">
        <v>139</v>
      </c>
      <c r="C14" s="22" t="s">
        <v>331</v>
      </c>
      <c r="D14" s="22" t="s">
        <v>52</v>
      </c>
      <c r="E14" s="22" t="s">
        <v>60</v>
      </c>
      <c r="F14" s="22">
        <v>150</v>
      </c>
      <c r="G14" s="22">
        <v>128</v>
      </c>
      <c r="H14" s="22">
        <v>1875</v>
      </c>
      <c r="I14" s="22" t="s">
        <v>61</v>
      </c>
      <c r="J14" s="22">
        <v>2096</v>
      </c>
      <c r="K14" s="21" t="s">
        <v>55</v>
      </c>
      <c r="L14" s="21" t="str">
        <f>VLOOKUP(C14,'Trips&amp;Operators'!$C$1:$E$9999,3,FALSE)</f>
        <v>LEDERHAUSE</v>
      </c>
      <c r="M14" s="20" t="s">
        <v>88</v>
      </c>
      <c r="N14" s="21"/>
      <c r="P14" s="81" t="str">
        <f>VLOOKUP(C14,'Train Runs'!$A$3:$T$243,20,0)</f>
        <v>https://search-rtdc-monitor-bjffxe2xuh6vdkpspy63sjmuny.us-east-1.es.amazonaws.com/_plugin/kibana/#/discover/Steve-Slow-Train-Analysis-(2080s-and-2083s)?_g=(refreshInterval:(display:Off,section:0,value:0),time:(from:'2016-05-22 05:59:04-0600',mode:absolute,to:'2016-05-22 06:52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14" s="19" t="str">
        <f t="shared" si="0"/>
        <v>4042</v>
      </c>
    </row>
    <row r="15" spans="1:17" s="19" customFormat="1" x14ac:dyDescent="0.25">
      <c r="A15" s="23">
        <v>42512.329143518517</v>
      </c>
      <c r="B15" s="22" t="s">
        <v>339</v>
      </c>
      <c r="C15" s="22" t="s">
        <v>340</v>
      </c>
      <c r="D15" s="22" t="s">
        <v>52</v>
      </c>
      <c r="E15" s="22" t="s">
        <v>60</v>
      </c>
      <c r="F15" s="22">
        <v>400</v>
      </c>
      <c r="G15" s="22">
        <v>503</v>
      </c>
      <c r="H15" s="22">
        <v>115854</v>
      </c>
      <c r="I15" s="22" t="s">
        <v>61</v>
      </c>
      <c r="J15" s="22">
        <v>116838</v>
      </c>
      <c r="K15" s="21" t="s">
        <v>55</v>
      </c>
      <c r="L15" s="21" t="str">
        <f>VLOOKUP(C15,'Trips&amp;Operators'!$C$1:$E$9999,3,FALSE)</f>
        <v>STRICKLAND</v>
      </c>
      <c r="M15" s="20" t="s">
        <v>88</v>
      </c>
      <c r="N15" s="21"/>
      <c r="P15" s="81" t="str">
        <f>VLOOKUP(C15,'Train Runs'!$A$3:$T$243,20,0)</f>
        <v>https://search-rtdc-monitor-bjffxe2xuh6vdkpspy63sjmuny.us-east-1.es.amazonaws.com/_plugin/kibana/#/discover/Steve-Slow-Train-Analysis-(2080s-and-2083s)?_g=(refreshInterval:(display:Off,section:0,value:0),time:(from:'2016-05-22 07:23:58-0600',mode:absolute,to:'2016-05-22 08:12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5" s="19" t="str">
        <f t="shared" si="0"/>
        <v>4027</v>
      </c>
    </row>
    <row r="16" spans="1:17" s="19" customFormat="1" x14ac:dyDescent="0.25">
      <c r="A16" s="23">
        <v>42512.36645833333</v>
      </c>
      <c r="B16" s="22" t="s">
        <v>114</v>
      </c>
      <c r="C16" s="22" t="s">
        <v>342</v>
      </c>
      <c r="D16" s="22" t="s">
        <v>52</v>
      </c>
      <c r="E16" s="22" t="s">
        <v>60</v>
      </c>
      <c r="F16" s="22">
        <v>200</v>
      </c>
      <c r="G16" s="22">
        <v>200</v>
      </c>
      <c r="H16" s="22">
        <v>30697</v>
      </c>
      <c r="I16" s="22" t="s">
        <v>61</v>
      </c>
      <c r="J16" s="22">
        <v>30562</v>
      </c>
      <c r="K16" s="21" t="s">
        <v>56</v>
      </c>
      <c r="L16" s="21" t="str">
        <f>VLOOKUP(C16,'Trips&amp;Operators'!$C$1:$E$9999,3,FALSE)</f>
        <v>REBOLETTI</v>
      </c>
      <c r="M16" s="20" t="s">
        <v>88</v>
      </c>
      <c r="N16" s="21"/>
      <c r="P16" s="81" t="str">
        <f>VLOOKUP(C16,'Train Runs'!$A$3:$T$243,20,0)</f>
        <v>https://search-rtdc-monitor-bjffxe2xuh6vdkpspy63sjmuny.us-east-1.es.amazonaws.com/_plugin/kibana/#/discover/Steve-Slow-Train-Analysis-(2080s-and-2083s)?_g=(refreshInterval:(display:Off,section:0,value:0),time:(from:'2016-05-22 08:02:43-0600',mode:absolute,to:'2016-05-22 08:57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6" s="19" t="str">
        <f t="shared" si="0"/>
        <v>4017</v>
      </c>
    </row>
    <row r="17" spans="1:17" s="19" customFormat="1" x14ac:dyDescent="0.25">
      <c r="A17" s="23">
        <v>42512.384236111109</v>
      </c>
      <c r="B17" s="22" t="s">
        <v>142</v>
      </c>
      <c r="C17" s="22" t="s">
        <v>344</v>
      </c>
      <c r="D17" s="22" t="s">
        <v>52</v>
      </c>
      <c r="E17" s="22" t="s">
        <v>60</v>
      </c>
      <c r="F17" s="22">
        <v>200</v>
      </c>
      <c r="G17" s="22">
        <v>145</v>
      </c>
      <c r="H17" s="22">
        <v>30851</v>
      </c>
      <c r="I17" s="22" t="s">
        <v>61</v>
      </c>
      <c r="J17" s="22">
        <v>30562</v>
      </c>
      <c r="K17" s="21" t="s">
        <v>56</v>
      </c>
      <c r="L17" s="21" t="str">
        <f>VLOOKUP(C17,'Trips&amp;Operators'!$C$1:$E$9999,3,FALSE)</f>
        <v>LEDERHAUSE</v>
      </c>
      <c r="M17" s="20" t="s">
        <v>88</v>
      </c>
      <c r="N17" s="21"/>
      <c r="P17" s="81" t="str">
        <f>VLOOKUP(C17,'Train Runs'!$A$3:$T$243,20,0)</f>
        <v>https://search-rtdc-monitor-bjffxe2xuh6vdkpspy63sjmuny.us-east-1.es.amazonaws.com/_plugin/kibana/#/discover/Steve-Slow-Train-Analysis-(2080s-and-2083s)?_g=(refreshInterval:(display:Off,section:0,value:0),time:(from:'2016-05-22 08:29:38-0600',mode:absolute,to:'2016-05-22 09:22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7" s="19" t="str">
        <f t="shared" si="0"/>
        <v>4041</v>
      </c>
    </row>
    <row r="18" spans="1:17" s="19" customFormat="1" x14ac:dyDescent="0.25">
      <c r="A18" s="23">
        <v>42512.416261574072</v>
      </c>
      <c r="B18" s="22" t="s">
        <v>114</v>
      </c>
      <c r="C18" s="22" t="s">
        <v>347</v>
      </c>
      <c r="D18" s="22" t="s">
        <v>57</v>
      </c>
      <c r="E18" s="22" t="s">
        <v>60</v>
      </c>
      <c r="F18" s="22">
        <v>350</v>
      </c>
      <c r="G18" s="22">
        <v>401</v>
      </c>
      <c r="H18" s="22">
        <v>224772</v>
      </c>
      <c r="I18" s="22" t="s">
        <v>61</v>
      </c>
      <c r="J18" s="22">
        <v>228668</v>
      </c>
      <c r="K18" s="21" t="s">
        <v>56</v>
      </c>
      <c r="L18" s="21" t="str">
        <f>VLOOKUP(C18,'Trips&amp;Operators'!$C$1:$E$9999,3,FALSE)</f>
        <v>REBOLETTI</v>
      </c>
      <c r="M18" s="20" t="s">
        <v>88</v>
      </c>
      <c r="N18" s="21"/>
      <c r="P18" s="81" t="str">
        <f>VLOOKUP(C18,'Train Runs'!$A$3:$T$243,20,0)</f>
        <v>https://search-rtdc-monitor-bjffxe2xuh6vdkpspy63sjmuny.us-east-1.es.amazonaws.com/_plugin/kibana/#/discover/Steve-Slow-Train-Analysis-(2080s-and-2083s)?_g=(refreshInterval:(display:Off,section:0,value:0),time:(from:'2016-05-22 09:47:09-0600',mode:absolute,to:'2016-05-22 10:45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8" s="19" t="str">
        <f t="shared" si="0"/>
        <v>4017</v>
      </c>
    </row>
    <row r="19" spans="1:17" s="19" customFormat="1" x14ac:dyDescent="0.25">
      <c r="A19" s="23">
        <v>42512.425810185188</v>
      </c>
      <c r="B19" s="22" t="s">
        <v>65</v>
      </c>
      <c r="C19" s="22" t="s">
        <v>346</v>
      </c>
      <c r="D19" s="22" t="s">
        <v>52</v>
      </c>
      <c r="E19" s="22" t="s">
        <v>60</v>
      </c>
      <c r="F19" s="22">
        <v>200</v>
      </c>
      <c r="G19" s="22">
        <v>201</v>
      </c>
      <c r="H19" s="22">
        <v>30633</v>
      </c>
      <c r="I19" s="22" t="s">
        <v>61</v>
      </c>
      <c r="J19" s="22">
        <v>30562</v>
      </c>
      <c r="K19" s="21" t="s">
        <v>56</v>
      </c>
      <c r="L19" s="21" t="str">
        <f>VLOOKUP(C19,'Trips&amp;Operators'!$C$1:$E$9999,3,FALSE)</f>
        <v>LEVIN</v>
      </c>
      <c r="M19" s="20" t="s">
        <v>88</v>
      </c>
      <c r="N19" s="21"/>
      <c r="P19" s="81" t="str">
        <f>VLOOKUP(C19,'Train Runs'!$A$3:$T$243,20,0)</f>
        <v>https://search-rtdc-monitor-bjffxe2xuh6vdkpspy63sjmuny.us-east-1.es.amazonaws.com/_plugin/kibana/#/discover/Steve-Slow-Train-Analysis-(2080s-and-2083s)?_g=(refreshInterval:(display:Off,section:0,value:0),time:(from:'2016-05-22 09:39:34-0600',mode:absolute,to:'2016-05-22 10:22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19" s="19" t="str">
        <f t="shared" si="0"/>
        <v>4019</v>
      </c>
    </row>
    <row r="20" spans="1:17" s="19" customFormat="1" x14ac:dyDescent="0.25">
      <c r="A20" s="23">
        <v>42512.491273148145</v>
      </c>
      <c r="B20" s="22" t="s">
        <v>114</v>
      </c>
      <c r="C20" s="22" t="s">
        <v>351</v>
      </c>
      <c r="D20" s="22" t="s">
        <v>57</v>
      </c>
      <c r="E20" s="22" t="s">
        <v>60</v>
      </c>
      <c r="F20" s="22">
        <v>600</v>
      </c>
      <c r="G20" s="22">
        <v>652</v>
      </c>
      <c r="H20" s="22">
        <v>184168</v>
      </c>
      <c r="I20" s="22" t="s">
        <v>61</v>
      </c>
      <c r="J20" s="22">
        <v>190834</v>
      </c>
      <c r="K20" s="21" t="s">
        <v>56</v>
      </c>
      <c r="L20" s="21" t="str">
        <f>VLOOKUP(C20,'Trips&amp;Operators'!$C$1:$E$9999,3,FALSE)</f>
        <v>YORK</v>
      </c>
      <c r="M20" s="20" t="s">
        <v>88</v>
      </c>
      <c r="N20" s="21"/>
      <c r="P20" s="81" t="str">
        <f>VLOOKUP(C20,'Train Runs'!$A$3:$T$243,20,0)</f>
        <v>https://search-rtdc-monitor-bjffxe2xuh6vdkpspy63sjmuny.us-east-1.es.amazonaws.com/_plugin/kibana/#/discover/Steve-Slow-Train-Analysis-(2080s-and-2083s)?_g=(refreshInterval:(display:Off,section:0,value:0),time:(from:'2016-05-22 11:37:02-0600',mode:absolute,to:'2016-05-22 12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20" s="19" t="str">
        <f t="shared" si="0"/>
        <v>4017</v>
      </c>
    </row>
    <row r="21" spans="1:17" s="19" customFormat="1" x14ac:dyDescent="0.25">
      <c r="A21" s="23">
        <v>42512.535277777781</v>
      </c>
      <c r="B21" s="22" t="s">
        <v>64</v>
      </c>
      <c r="C21" s="22" t="s">
        <v>354</v>
      </c>
      <c r="D21" s="22" t="s">
        <v>57</v>
      </c>
      <c r="E21" s="22" t="s">
        <v>60</v>
      </c>
      <c r="F21" s="22">
        <v>400</v>
      </c>
      <c r="G21" s="22">
        <v>454</v>
      </c>
      <c r="H21" s="22">
        <v>119346</v>
      </c>
      <c r="I21" s="22" t="s">
        <v>61</v>
      </c>
      <c r="J21" s="22">
        <v>116838</v>
      </c>
      <c r="K21" s="21" t="s">
        <v>55</v>
      </c>
      <c r="L21" s="21" t="str">
        <f>VLOOKUP(C21,'Trips&amp;Operators'!$C$1:$E$9999,3,FALSE)</f>
        <v>STEWART</v>
      </c>
      <c r="M21" s="20" t="s">
        <v>88</v>
      </c>
      <c r="N21" s="21"/>
      <c r="P21" s="81" t="str">
        <f>VLOOKUP(C21,'Train Runs'!$A$3:$T$243,20,0)</f>
        <v>https://search-rtdc-monitor-bjffxe2xuh6vdkpspy63sjmuny.us-east-1.es.amazonaws.com/_plugin/kibana/#/discover/Steve-Slow-Train-Analysis-(2080s-and-2083s)?_g=(refreshInterval:(display:Off,section:0,value:0),time:(from:'2016-05-22 12:12:41-0600',mode:absolute,to:'2016-05-22 12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21" s="19" t="str">
        <f t="shared" si="0"/>
        <v>4020</v>
      </c>
    </row>
    <row r="22" spans="1:17" s="19" customFormat="1" x14ac:dyDescent="0.25">
      <c r="A22" s="23">
        <v>42512.739074074074</v>
      </c>
      <c r="B22" s="22" t="s">
        <v>120</v>
      </c>
      <c r="C22" s="22" t="s">
        <v>368</v>
      </c>
      <c r="D22" s="22" t="s">
        <v>52</v>
      </c>
      <c r="E22" s="22" t="s">
        <v>60</v>
      </c>
      <c r="F22" s="22">
        <v>300</v>
      </c>
      <c r="G22" s="22">
        <v>285</v>
      </c>
      <c r="H22" s="22">
        <v>20323</v>
      </c>
      <c r="I22" s="22" t="s">
        <v>61</v>
      </c>
      <c r="J22" s="22">
        <v>20338</v>
      </c>
      <c r="K22" s="21" t="s">
        <v>55</v>
      </c>
      <c r="L22" s="21" t="str">
        <f>VLOOKUP(C22,'Trips&amp;Operators'!$C$1:$E$9999,3,FALSE)</f>
        <v>YOUNG</v>
      </c>
      <c r="M22" s="20" t="s">
        <v>88</v>
      </c>
      <c r="N22" s="21"/>
      <c r="P22" s="81" t="str">
        <f>VLOOKUP(C22,'Train Runs'!$A$3:$T$243,20,0)</f>
        <v>https://search-rtdc-monitor-bjffxe2xuh6vdkpspy63sjmuny.us-east-1.es.amazonaws.com/_plugin/kibana/#/discover/Steve-Slow-Train-Analysis-(2080s-and-2083s)?_g=(refreshInterval:(display:Off,section:0,value:0),time:(from:'2016-05-22 17:35:16-0600',mode:absolute,to:'2016-05-22 18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22" s="19" t="str">
        <f t="shared" si="0"/>
        <v>4031</v>
      </c>
    </row>
    <row r="23" spans="1:17" s="19" customFormat="1" x14ac:dyDescent="0.25">
      <c r="A23" s="23">
        <v>42513.024247685185</v>
      </c>
      <c r="B23" s="22" t="s">
        <v>133</v>
      </c>
      <c r="C23" s="22" t="s">
        <v>374</v>
      </c>
      <c r="D23" s="22" t="s">
        <v>52</v>
      </c>
      <c r="E23" s="22" t="s">
        <v>60</v>
      </c>
      <c r="F23" s="22">
        <v>150</v>
      </c>
      <c r="G23" s="22">
        <v>235</v>
      </c>
      <c r="H23" s="22">
        <v>229446</v>
      </c>
      <c r="I23" s="22" t="s">
        <v>61</v>
      </c>
      <c r="J23" s="22">
        <v>230436</v>
      </c>
      <c r="K23" s="21" t="s">
        <v>55</v>
      </c>
      <c r="L23" s="21" t="str">
        <f>VLOOKUP(C23,'Trips&amp;Operators'!$C$1:$E$9999,3,FALSE)</f>
        <v>HELVIE</v>
      </c>
      <c r="M23" s="20" t="s">
        <v>88</v>
      </c>
      <c r="N23" s="21"/>
      <c r="P23" s="81" t="str">
        <f>VLOOKUP(C23,'Train Runs'!$A$3:$T$243,20,0)</f>
        <v>https://search-rtdc-monitor-bjffxe2xuh6vdkpspy63sjmuny.us-east-1.es.amazonaws.com/_plugin/kibana/#/discover/Steve-Slow-Train-Analysis-(2080s-and-2083s)?_g=(refreshInterval:(display:Off,section:0,value:0),time:(from:'2016-05-22 23:52:06-0600',mode:absolute,to:'2016-05-23 00:38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23" s="19" t="str">
        <f t="shared" si="0"/>
        <v>4011</v>
      </c>
    </row>
    <row r="24" spans="1:17" s="19" customFormat="1" x14ac:dyDescent="0.25">
      <c r="A24" s="23">
        <v>42513.063090277778</v>
      </c>
      <c r="B24" s="22" t="s">
        <v>132</v>
      </c>
      <c r="C24" s="22" t="s">
        <v>375</v>
      </c>
      <c r="D24" s="22" t="s">
        <v>52</v>
      </c>
      <c r="E24" s="22" t="s">
        <v>60</v>
      </c>
      <c r="F24" s="22">
        <v>200</v>
      </c>
      <c r="G24" s="22">
        <v>160</v>
      </c>
      <c r="H24" s="22">
        <v>30833</v>
      </c>
      <c r="I24" s="22" t="s">
        <v>61</v>
      </c>
      <c r="J24" s="22">
        <v>30562</v>
      </c>
      <c r="K24" s="21" t="s">
        <v>56</v>
      </c>
      <c r="L24" s="21" t="str">
        <f>VLOOKUP(C24,'Trips&amp;Operators'!$C$1:$E$9999,3,FALSE)</f>
        <v>HELVIE</v>
      </c>
      <c r="M24" s="20" t="s">
        <v>88</v>
      </c>
      <c r="N24" s="21"/>
      <c r="P24" s="81" t="str">
        <f>VLOOKUP(C24,'Train Runs'!$A$3:$T$243,20,0)</f>
        <v>https://search-rtdc-monitor-bjffxe2xuh6vdkpspy63sjmuny.us-east-1.es.amazonaws.com/_plugin/kibana/#/discover/Steve-Slow-Train-Analysis-(2080s-and-2083s)?_g=(refreshInterval:(display:Off,section:0,value:0),time:(from:'2016-05-23 00:47:34-0600',mode:absolute,to:'2016-05-23 01:41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24" s="19" t="str">
        <f t="shared" si="0"/>
        <v>4012</v>
      </c>
    </row>
    <row r="25" spans="1:17" s="19" customFormat="1" x14ac:dyDescent="0.25">
      <c r="A25" s="23">
        <v>42512.285231481481</v>
      </c>
      <c r="B25" s="22" t="s">
        <v>118</v>
      </c>
      <c r="C25" s="22" t="s">
        <v>333</v>
      </c>
      <c r="D25" s="22" t="s">
        <v>52</v>
      </c>
      <c r="E25" s="22" t="s">
        <v>58</v>
      </c>
      <c r="F25" s="22">
        <v>0</v>
      </c>
      <c r="G25" s="22">
        <v>463</v>
      </c>
      <c r="H25" s="22">
        <v>152973</v>
      </c>
      <c r="I25" s="22" t="s">
        <v>59</v>
      </c>
      <c r="J25" s="22">
        <v>155600</v>
      </c>
      <c r="K25" s="21" t="s">
        <v>55</v>
      </c>
      <c r="L25" s="21" t="str">
        <f>VLOOKUP(C25,'Trips&amp;Operators'!$C$1:$E$9999,3,FALSE)</f>
        <v>DE LA ROSA</v>
      </c>
      <c r="M25" s="20" t="s">
        <v>88</v>
      </c>
      <c r="N25" s="21" t="s">
        <v>544</v>
      </c>
      <c r="P25" s="81" t="str">
        <f>VLOOKUP(C25,'Train Runs'!$A$3:$T$243,20,0)</f>
        <v>https://search-rtdc-monitor-bjffxe2xuh6vdkpspy63sjmuny.us-east-1.es.amazonaws.com/_plugin/kibana/#/discover/Steve-Slow-Train-Analysis-(2080s-and-2083s)?_g=(refreshInterval:(display:Off,section:0,value:0),time:(from:'2016-05-22 06:10:38-0600',mode:absolute,to:'2016-05-22 07:02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25" s="19" t="str">
        <f t="shared" si="0"/>
        <v>4024</v>
      </c>
    </row>
    <row r="26" spans="1:17" s="19" customFormat="1" x14ac:dyDescent="0.25">
      <c r="A26" s="23">
        <v>42512.318645833337</v>
      </c>
      <c r="B26" s="22" t="s">
        <v>92</v>
      </c>
      <c r="C26" s="22" t="s">
        <v>338</v>
      </c>
      <c r="D26" s="22" t="s">
        <v>52</v>
      </c>
      <c r="E26" s="22" t="s">
        <v>58</v>
      </c>
      <c r="F26" s="22">
        <v>0</v>
      </c>
      <c r="G26" s="22">
        <v>428</v>
      </c>
      <c r="H26" s="22">
        <v>130494</v>
      </c>
      <c r="I26" s="22" t="s">
        <v>59</v>
      </c>
      <c r="J26" s="22">
        <v>127587</v>
      </c>
      <c r="K26" s="21" t="s">
        <v>56</v>
      </c>
      <c r="L26" s="21" t="str">
        <f>VLOOKUP(C26,'Trips&amp;Operators'!$C$1:$E$9999,3,FALSE)</f>
        <v>COCA</v>
      </c>
      <c r="M26" s="20" t="s">
        <v>88</v>
      </c>
      <c r="N26" s="21" t="s">
        <v>545</v>
      </c>
      <c r="P26" s="81" t="str">
        <f>VLOOKUP(C26,'Train Runs'!$A$3:$T$243,20,0)</f>
        <v>https://search-rtdc-monitor-bjffxe2xuh6vdkpspy63sjmuny.us-east-1.es.amazonaws.com/_plugin/kibana/#/discover/Steve-Slow-Train-Analysis-(2080s-and-2083s)?_g=(refreshInterval:(display:Off,section:0,value:0),time:(from:'2016-05-22 07:20:35-0600',mode:absolute,to:'2016-05-22 08:13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26" s="19" t="str">
        <f t="shared" si="0"/>
        <v>4008</v>
      </c>
    </row>
    <row r="27" spans="1:17" s="19" customFormat="1" x14ac:dyDescent="0.25">
      <c r="A27" s="23">
        <v>42512.346099537041</v>
      </c>
      <c r="B27" s="22" t="s">
        <v>114</v>
      </c>
      <c r="C27" s="22" t="s">
        <v>342</v>
      </c>
      <c r="D27" s="22" t="s">
        <v>52</v>
      </c>
      <c r="E27" s="22" t="s">
        <v>58</v>
      </c>
      <c r="F27" s="22">
        <v>0</v>
      </c>
      <c r="G27" s="22">
        <v>569</v>
      </c>
      <c r="H27" s="22">
        <v>195775</v>
      </c>
      <c r="I27" s="22" t="s">
        <v>59</v>
      </c>
      <c r="J27" s="22">
        <v>191723</v>
      </c>
      <c r="K27" s="21" t="s">
        <v>56</v>
      </c>
      <c r="L27" s="21" t="str">
        <f>VLOOKUP(C27,'Trips&amp;Operators'!$C$1:$E$9999,3,FALSE)</f>
        <v>REBOLETTI</v>
      </c>
      <c r="M27" s="20" t="s">
        <v>88</v>
      </c>
      <c r="N27" s="21" t="s">
        <v>546</v>
      </c>
      <c r="P27" s="81" t="str">
        <f>VLOOKUP(C27,'Train Runs'!$A$3:$T$243,20,0)</f>
        <v>https://search-rtdc-monitor-bjffxe2xuh6vdkpspy63sjmuny.us-east-1.es.amazonaws.com/_plugin/kibana/#/discover/Steve-Slow-Train-Analysis-(2080s-and-2083s)?_g=(refreshInterval:(display:Off,section:0,value:0),time:(from:'2016-05-22 08:02:43-0600',mode:absolute,to:'2016-05-22 08:57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27" s="19" t="str">
        <f t="shared" si="0"/>
        <v>4017</v>
      </c>
    </row>
    <row r="28" spans="1:17" s="19" customFormat="1" x14ac:dyDescent="0.25">
      <c r="A28" s="23">
        <v>42512.41238425926</v>
      </c>
      <c r="B28" s="22" t="s">
        <v>65</v>
      </c>
      <c r="C28" s="22" t="s">
        <v>346</v>
      </c>
      <c r="D28" s="22" t="s">
        <v>52</v>
      </c>
      <c r="E28" s="22" t="s">
        <v>58</v>
      </c>
      <c r="F28" s="22">
        <v>0</v>
      </c>
      <c r="G28" s="22">
        <v>571</v>
      </c>
      <c r="H28" s="22">
        <v>131611</v>
      </c>
      <c r="I28" s="22" t="s">
        <v>59</v>
      </c>
      <c r="J28" s="22">
        <v>127587</v>
      </c>
      <c r="K28" s="21" t="s">
        <v>56</v>
      </c>
      <c r="L28" s="21" t="str">
        <f>VLOOKUP(C28,'Trips&amp;Operators'!$C$1:$E$9999,3,FALSE)</f>
        <v>LEVIN</v>
      </c>
      <c r="M28" s="20" t="s">
        <v>88</v>
      </c>
      <c r="N28" s="21" t="s">
        <v>545</v>
      </c>
      <c r="P28" s="81" t="str">
        <f>VLOOKUP(C28,'Train Runs'!$A$3:$T$243,20,0)</f>
        <v>https://search-rtdc-monitor-bjffxe2xuh6vdkpspy63sjmuny.us-east-1.es.amazonaws.com/_plugin/kibana/#/discover/Steve-Slow-Train-Analysis-(2080s-and-2083s)?_g=(refreshInterval:(display:Off,section:0,value:0),time:(from:'2016-05-22 09:39:34-0600',mode:absolute,to:'2016-05-22 10:22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28" s="19" t="str">
        <f t="shared" si="0"/>
        <v>4019</v>
      </c>
    </row>
    <row r="29" spans="1:17" s="19" customFormat="1" x14ac:dyDescent="0.25">
      <c r="A29" s="23">
        <v>42512.454131944447</v>
      </c>
      <c r="B29" s="22" t="s">
        <v>119</v>
      </c>
      <c r="C29" s="22" t="s">
        <v>348</v>
      </c>
      <c r="D29" s="22" t="s">
        <v>52</v>
      </c>
      <c r="E29" s="22" t="s">
        <v>58</v>
      </c>
      <c r="F29" s="22">
        <v>0</v>
      </c>
      <c r="G29" s="22">
        <v>524</v>
      </c>
      <c r="H29" s="22">
        <v>130454</v>
      </c>
      <c r="I29" s="22" t="s">
        <v>59</v>
      </c>
      <c r="J29" s="22">
        <v>127587</v>
      </c>
      <c r="K29" s="21" t="s">
        <v>56</v>
      </c>
      <c r="L29" s="21" t="str">
        <f>VLOOKUP(C29,'Trips&amp;Operators'!$C$1:$E$9999,3,FALSE)</f>
        <v>DE LA ROSA</v>
      </c>
      <c r="M29" s="20" t="s">
        <v>88</v>
      </c>
      <c r="N29" s="21" t="s">
        <v>545</v>
      </c>
      <c r="P29" s="81" t="str">
        <f>VLOOKUP(C29,'Train Runs'!$A$3:$T$243,20,0)</f>
        <v>https://search-rtdc-monitor-bjffxe2xuh6vdkpspy63sjmuny.us-east-1.es.amazonaws.com/_plugin/kibana/#/discover/Steve-Slow-Train-Analysis-(2080s-and-2083s)?_g=(refreshInterval:(display:Off,section:0,value:0),time:(from:'2016-05-22 10:33:35-0600',mode:absolute,to:'2016-05-22 11:26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29" s="19" t="str">
        <f t="shared" si="0"/>
        <v>4023</v>
      </c>
    </row>
    <row r="30" spans="1:17" s="19" customFormat="1" x14ac:dyDescent="0.25">
      <c r="A30" s="23">
        <v>42512.496053240742</v>
      </c>
      <c r="B30" s="22" t="s">
        <v>114</v>
      </c>
      <c r="C30" s="22" t="s">
        <v>351</v>
      </c>
      <c r="D30" s="22" t="s">
        <v>52</v>
      </c>
      <c r="E30" s="22" t="s">
        <v>58</v>
      </c>
      <c r="F30" s="22">
        <v>0</v>
      </c>
      <c r="G30" s="22">
        <v>352</v>
      </c>
      <c r="H30" s="22">
        <v>128940</v>
      </c>
      <c r="I30" s="22" t="s">
        <v>59</v>
      </c>
      <c r="J30" s="22">
        <v>127587</v>
      </c>
      <c r="K30" s="21" t="s">
        <v>56</v>
      </c>
      <c r="L30" s="21" t="str">
        <f>VLOOKUP(C30,'Trips&amp;Operators'!$C$1:$E$9999,3,FALSE)</f>
        <v>YORK</v>
      </c>
      <c r="M30" s="20" t="s">
        <v>88</v>
      </c>
      <c r="N30" s="21" t="s">
        <v>545</v>
      </c>
      <c r="P30" s="81" t="str">
        <f>VLOOKUP(C30,'Train Runs'!$A$3:$T$243,20,0)</f>
        <v>https://search-rtdc-monitor-bjffxe2xuh6vdkpspy63sjmuny.us-east-1.es.amazonaws.com/_plugin/kibana/#/discover/Steve-Slow-Train-Analysis-(2080s-and-2083s)?_g=(refreshInterval:(display:Off,section:0,value:0),time:(from:'2016-05-22 11:37:02-0600',mode:absolute,to:'2016-05-22 12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30" s="19" t="str">
        <f t="shared" si="0"/>
        <v>4017</v>
      </c>
    </row>
    <row r="31" spans="1:17" s="19" customFormat="1" x14ac:dyDescent="0.25">
      <c r="A31" s="23">
        <v>42512.528425925928</v>
      </c>
      <c r="B31" s="22" t="s">
        <v>119</v>
      </c>
      <c r="C31" s="22" t="s">
        <v>353</v>
      </c>
      <c r="D31" s="22" t="s">
        <v>52</v>
      </c>
      <c r="E31" s="22" t="s">
        <v>58</v>
      </c>
      <c r="F31" s="22">
        <v>0</v>
      </c>
      <c r="G31" s="22">
        <v>106</v>
      </c>
      <c r="H31" s="22">
        <v>127944</v>
      </c>
      <c r="I31" s="22" t="s">
        <v>59</v>
      </c>
      <c r="J31" s="22">
        <v>127587</v>
      </c>
      <c r="K31" s="21" t="s">
        <v>56</v>
      </c>
      <c r="L31" s="21" t="str">
        <f>VLOOKUP(C31,'Trips&amp;Operators'!$C$1:$E$9999,3,FALSE)</f>
        <v>BONDS</v>
      </c>
      <c r="M31" s="20" t="s">
        <v>88</v>
      </c>
      <c r="N31" s="21" t="s">
        <v>545</v>
      </c>
      <c r="P31" s="81" t="str">
        <f>VLOOKUP(C31,'Train Runs'!$A$3:$T$243,20,0)</f>
        <v>https://search-rtdc-monitor-bjffxe2xuh6vdkpspy63sjmuny.us-east-1.es.amazonaws.com/_plugin/kibana/#/discover/Steve-Slow-Train-Analysis-(2080s-and-2083s)?_g=(refreshInterval:(display:Off,section:0,value:0),time:(from:'2016-05-22 12:22:57-0600',mode:absolute,to:'2016-05-22 12:56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31" s="19" t="str">
        <f t="shared" si="0"/>
        <v>4023</v>
      </c>
    </row>
    <row r="32" spans="1:17" s="19" customFormat="1" x14ac:dyDescent="0.25">
      <c r="A32" s="23">
        <v>42512.672731481478</v>
      </c>
      <c r="B32" s="22" t="s">
        <v>142</v>
      </c>
      <c r="C32" s="22" t="s">
        <v>364</v>
      </c>
      <c r="D32" s="22" t="s">
        <v>52</v>
      </c>
      <c r="E32" s="22" t="s">
        <v>58</v>
      </c>
      <c r="F32" s="22">
        <v>0</v>
      </c>
      <c r="G32" s="22">
        <v>396</v>
      </c>
      <c r="H32" s="22">
        <v>129379</v>
      </c>
      <c r="I32" s="22" t="s">
        <v>59</v>
      </c>
      <c r="J32" s="22">
        <v>127587</v>
      </c>
      <c r="K32" s="21" t="s">
        <v>56</v>
      </c>
      <c r="L32" s="21" t="str">
        <f>VLOOKUP(C32,'Trips&amp;Operators'!$C$1:$E$9999,3,FALSE)</f>
        <v>BUTLER</v>
      </c>
      <c r="M32" s="20" t="s">
        <v>88</v>
      </c>
      <c r="N32" s="21" t="s">
        <v>545</v>
      </c>
      <c r="P32" s="81" t="str">
        <f>VLOOKUP(C32,'Train Runs'!$A$3:$T$243,20,0)</f>
        <v>https://search-rtdc-monitor-bjffxe2xuh6vdkpspy63sjmuny.us-east-1.es.amazonaws.com/_plugin/kibana/#/discover/Steve-Slow-Train-Analysis-(2080s-and-2083s)?_g=(refreshInterval:(display:Off,section:0,value:0),time:(from:'2016-05-22 15:42:15-0600',mode:absolute,to:'2016-05-22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32" s="19" t="str">
        <f t="shared" si="0"/>
        <v>4041</v>
      </c>
    </row>
    <row r="33" spans="1:18" s="19" customFormat="1" x14ac:dyDescent="0.25">
      <c r="A33" s="23">
        <v>42512.755729166667</v>
      </c>
      <c r="B33" s="22" t="s">
        <v>119</v>
      </c>
      <c r="C33" s="22" t="s">
        <v>369</v>
      </c>
      <c r="D33" s="22" t="s">
        <v>52</v>
      </c>
      <c r="E33" s="22" t="s">
        <v>58</v>
      </c>
      <c r="F33" s="22">
        <v>0</v>
      </c>
      <c r="G33" s="22">
        <v>752</v>
      </c>
      <c r="H33" s="22">
        <v>137621</v>
      </c>
      <c r="I33" s="22" t="s">
        <v>59</v>
      </c>
      <c r="J33" s="22">
        <v>133166</v>
      </c>
      <c r="K33" s="21" t="s">
        <v>56</v>
      </c>
      <c r="L33" s="21" t="str">
        <f>VLOOKUP(C33,'Trips&amp;Operators'!$C$1:$E$9999,3,FALSE)</f>
        <v>BRUDER</v>
      </c>
      <c r="M33" s="20" t="s">
        <v>144</v>
      </c>
      <c r="N33" s="21" t="s">
        <v>547</v>
      </c>
      <c r="P33" s="81" t="str">
        <f>VLOOKUP(C33,'Train Runs'!$A$3:$T$243,20,0)</f>
        <v>https://search-rtdc-monitor-bjffxe2xuh6vdkpspy63sjmuny.us-east-1.es.amazonaws.com/_plugin/kibana/#/discover/Steve-Slow-Train-Analysis-(2080s-and-2083s)?_g=(refreshInterval:(display:Off,section:0,value:0),time:(from:'2016-05-22 17:50:00-0600',mode:absolute,to:'2016-05-22 18:38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33" s="19" t="str">
        <f t="shared" si="0"/>
        <v>4023</v>
      </c>
      <c r="R33" s="84" t="s">
        <v>548</v>
      </c>
    </row>
    <row r="34" spans="1:18" s="19" customFormat="1" x14ac:dyDescent="0.25">
      <c r="A34" s="23">
        <v>42512.779444444444</v>
      </c>
      <c r="B34" s="22" t="s">
        <v>116</v>
      </c>
      <c r="C34" s="22" t="s">
        <v>371</v>
      </c>
      <c r="D34" s="22" t="s">
        <v>52</v>
      </c>
      <c r="E34" s="22" t="s">
        <v>58</v>
      </c>
      <c r="F34" s="22">
        <v>0</v>
      </c>
      <c r="G34" s="22">
        <v>625</v>
      </c>
      <c r="H34" s="22">
        <v>194583</v>
      </c>
      <c r="I34" s="22" t="s">
        <v>59</v>
      </c>
      <c r="J34" s="22">
        <v>198242</v>
      </c>
      <c r="K34" s="21" t="s">
        <v>55</v>
      </c>
      <c r="L34" s="21" t="str">
        <f>VLOOKUP(C34,'Trips&amp;Operators'!$C$1:$E$9999,3,FALSE)</f>
        <v>GOODNIGHT</v>
      </c>
      <c r="M34" s="20" t="s">
        <v>144</v>
      </c>
      <c r="N34" s="21" t="s">
        <v>549</v>
      </c>
      <c r="P34" s="81" t="str">
        <f>VLOOKUP(C34,'Train Runs'!$A$3:$T$243,20,0)</f>
        <v>https://search-rtdc-monitor-bjffxe2xuh6vdkpspy63sjmuny.us-east-1.es.amazonaws.com/_plugin/kibana/#/discover/Steve-Slow-Train-Analysis-(2080s-and-2083s)?_g=(refreshInterval:(display:Off,section:0,value:0),time:(from:'2016-05-22 18:03:18-0600',mode:absolute,to:'2016-05-22 18:50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34" s="19" t="str">
        <f t="shared" si="0"/>
        <v>4018</v>
      </c>
    </row>
    <row r="35" spans="1:18" s="19" customFormat="1" x14ac:dyDescent="0.25">
      <c r="A35" s="23">
        <v>42513.050671296296</v>
      </c>
      <c r="B35" s="22" t="s">
        <v>132</v>
      </c>
      <c r="C35" s="22" t="s">
        <v>375</v>
      </c>
      <c r="D35" s="22" t="s">
        <v>52</v>
      </c>
      <c r="E35" s="22" t="s">
        <v>376</v>
      </c>
      <c r="F35" s="22">
        <v>0</v>
      </c>
      <c r="G35" s="22">
        <v>524</v>
      </c>
      <c r="H35" s="22">
        <v>130349</v>
      </c>
      <c r="I35" s="22" t="s">
        <v>377</v>
      </c>
      <c r="J35" s="22">
        <v>127587</v>
      </c>
      <c r="K35" s="21" t="s">
        <v>56</v>
      </c>
      <c r="L35" s="21" t="str">
        <f>VLOOKUP(C35,'Trips&amp;Operators'!$C$1:$E$9999,3,FALSE)</f>
        <v>HELVIE</v>
      </c>
      <c r="M35" s="20" t="s">
        <v>144</v>
      </c>
      <c r="N35" s="21" t="s">
        <v>547</v>
      </c>
      <c r="P35" s="81" t="str">
        <f>VLOOKUP(C35,'Train Runs'!$A$3:$T$243,20,0)</f>
        <v>https://search-rtdc-monitor-bjffxe2xuh6vdkpspy63sjmuny.us-east-1.es.amazonaws.com/_plugin/kibana/#/discover/Steve-Slow-Train-Analysis-(2080s-and-2083s)?_g=(refreshInterval:(display:Off,section:0,value:0),time:(from:'2016-05-23 00:47:34-0600',mode:absolute,to:'2016-05-23 01:41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35" s="19" t="str">
        <f t="shared" si="0"/>
        <v>4012</v>
      </c>
      <c r="R35" s="84" t="s">
        <v>550</v>
      </c>
    </row>
    <row r="36" spans="1:18" s="19" customFormat="1" x14ac:dyDescent="0.25">
      <c r="A36" s="23">
        <v>42512.182881944442</v>
      </c>
      <c r="B36" s="22" t="s">
        <v>116</v>
      </c>
      <c r="C36" s="22" t="s">
        <v>329</v>
      </c>
      <c r="D36" s="22" t="s">
        <v>52</v>
      </c>
      <c r="E36" s="22" t="s">
        <v>53</v>
      </c>
      <c r="F36" s="22">
        <v>0</v>
      </c>
      <c r="G36" s="22">
        <v>7</v>
      </c>
      <c r="H36" s="22">
        <v>233297</v>
      </c>
      <c r="I36" s="22" t="s">
        <v>54</v>
      </c>
      <c r="J36" s="22">
        <v>233491</v>
      </c>
      <c r="K36" s="21" t="s">
        <v>55</v>
      </c>
      <c r="L36" s="21" t="str">
        <f>VLOOKUP(C36,'Trips&amp;Operators'!$C$1:$E$9999,3,FALSE)</f>
        <v>STRICKLAND</v>
      </c>
      <c r="M36" s="20" t="s">
        <v>88</v>
      </c>
      <c r="N36" s="21"/>
      <c r="P36" s="81" t="str">
        <f>VLOOKUP(C36,'Train Runs'!$A$3:$T$243,20,0)</f>
        <v>https://search-rtdc-monitor-bjffxe2xuh6vdkpspy63sjmuny.us-east-1.es.amazonaws.com/_plugin/kibana/#/discover/Steve-Slow-Train-Analysis-(2080s-and-2083s)?_g=(refreshInterval:(display:Off,section:0,value:0),time:(from:'2016-05-22 03:37:13-0600',mode:absolute,to:'2016-05-22 04:24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36" s="19" t="str">
        <f t="shared" si="0"/>
        <v>4018</v>
      </c>
    </row>
    <row r="37" spans="1:18" s="19" customFormat="1" x14ac:dyDescent="0.25">
      <c r="A37" s="23">
        <v>42512.227002314816</v>
      </c>
      <c r="B37" s="22" t="s">
        <v>93</v>
      </c>
      <c r="C37" s="22" t="s">
        <v>330</v>
      </c>
      <c r="D37" s="22" t="s">
        <v>52</v>
      </c>
      <c r="E37" s="22" t="s">
        <v>53</v>
      </c>
      <c r="F37" s="22">
        <v>0</v>
      </c>
      <c r="G37" s="22">
        <v>8</v>
      </c>
      <c r="H37" s="22">
        <v>233303</v>
      </c>
      <c r="I37" s="22" t="s">
        <v>54</v>
      </c>
      <c r="J37" s="22">
        <v>233491</v>
      </c>
      <c r="K37" s="21" t="s">
        <v>55</v>
      </c>
      <c r="L37" s="21" t="str">
        <f>VLOOKUP(C37,'Trips&amp;Operators'!$C$1:$E$9999,3,FALSE)</f>
        <v>COCA</v>
      </c>
      <c r="M37" s="20" t="s">
        <v>88</v>
      </c>
      <c r="N37" s="21"/>
      <c r="P37" s="81" t="str">
        <f>VLOOKUP(C37,'Train Runs'!$A$3:$T$243,20,0)</f>
        <v>https://search-rtdc-monitor-bjffxe2xuh6vdkpspy63sjmuny.us-east-1.es.amazonaws.com/_plugin/kibana/#/discover/Steve-Slow-Train-Analysis-(2080s-and-2083s)?_g=(refreshInterval:(display:Off,section:0,value:0),time:(from:'2016-05-22 04:29:53-0600',mode:absolute,to:'2016-05-22 05:28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37" s="19" t="str">
        <f t="shared" si="0"/>
        <v>4007</v>
      </c>
    </row>
    <row r="38" spans="1:18" s="19" customFormat="1" x14ac:dyDescent="0.25">
      <c r="A38" s="23">
        <v>42512.307835648149</v>
      </c>
      <c r="B38" s="22" t="s">
        <v>334</v>
      </c>
      <c r="C38" s="22" t="s">
        <v>335</v>
      </c>
      <c r="D38" s="22" t="s">
        <v>52</v>
      </c>
      <c r="E38" s="22" t="s">
        <v>53</v>
      </c>
      <c r="F38" s="22">
        <v>0</v>
      </c>
      <c r="G38" s="22">
        <v>4</v>
      </c>
      <c r="H38" s="22">
        <v>132</v>
      </c>
      <c r="I38" s="22" t="s">
        <v>54</v>
      </c>
      <c r="J38" s="22">
        <v>1</v>
      </c>
      <c r="K38" s="21" t="s">
        <v>56</v>
      </c>
      <c r="L38" s="21" t="str">
        <f>VLOOKUP(C38,'Trips&amp;Operators'!$C$1:$E$9999,3,FALSE)</f>
        <v>STRICKLAND</v>
      </c>
      <c r="M38" s="20" t="s">
        <v>88</v>
      </c>
      <c r="N38" s="21"/>
      <c r="P38" s="81" t="str">
        <f>VLOOKUP(C38,'Train Runs'!$A$3:$T$243,20,0)</f>
        <v>https://search-rtdc-monitor-bjffxe2xuh6vdkpspy63sjmuny.us-east-1.es.amazonaws.com/_plugin/kibana/#/discover/Steve-Slow-Train-Analysis-(2080s-and-2083s)?_g=(refreshInterval:(display:Off,section:0,value:0),time:(from:'2016-05-22 06:31:53-0600',mode:absolute,to:'2016-05-22 07:24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8" s="19" t="str">
        <f t="shared" si="0"/>
        <v>4028</v>
      </c>
    </row>
    <row r="39" spans="1:18" s="19" customFormat="1" x14ac:dyDescent="0.25">
      <c r="A39" s="23">
        <v>42512.316365740742</v>
      </c>
      <c r="B39" s="22" t="s">
        <v>142</v>
      </c>
      <c r="C39" s="22" t="s">
        <v>337</v>
      </c>
      <c r="D39" s="22" t="s">
        <v>52</v>
      </c>
      <c r="E39" s="22" t="s">
        <v>53</v>
      </c>
      <c r="F39" s="22">
        <v>0</v>
      </c>
      <c r="G39" s="22">
        <v>9</v>
      </c>
      <c r="H39" s="22">
        <v>138</v>
      </c>
      <c r="I39" s="22" t="s">
        <v>54</v>
      </c>
      <c r="J39" s="22">
        <v>1</v>
      </c>
      <c r="K39" s="21" t="s">
        <v>56</v>
      </c>
      <c r="L39" s="21" t="str">
        <f>VLOOKUP(C39,'Trips&amp;Operators'!$C$1:$E$9999,3,FALSE)</f>
        <v>LEDERHAUSE</v>
      </c>
      <c r="M39" s="20" t="s">
        <v>88</v>
      </c>
      <c r="N39" s="21"/>
      <c r="P39" s="81" t="str">
        <f>VLOOKUP(C39,'Train Runs'!$A$3:$T$243,20,0)</f>
        <v>https://search-rtdc-monitor-bjffxe2xuh6vdkpspy63sjmuny.us-east-1.es.amazonaws.com/_plugin/kibana/#/discover/Steve-Slow-Train-Analysis-(2080s-and-2083s)?_g=(refreshInterval:(display:Off,section:0,value:0),time:(from:'2016-05-22 06:53:15-0600',mode:absolute,to:'2016-05-22 07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39" s="19" t="str">
        <f t="shared" si="0"/>
        <v>4041</v>
      </c>
    </row>
    <row r="40" spans="1:18" s="19" customFormat="1" x14ac:dyDescent="0.25">
      <c r="A40" s="23">
        <v>42512.340208333335</v>
      </c>
      <c r="B40" s="22" t="s">
        <v>339</v>
      </c>
      <c r="C40" s="22" t="s">
        <v>340</v>
      </c>
      <c r="D40" s="22" t="s">
        <v>52</v>
      </c>
      <c r="E40" s="22" t="s">
        <v>53</v>
      </c>
      <c r="F40" s="22">
        <v>0</v>
      </c>
      <c r="G40" s="22">
        <v>9</v>
      </c>
      <c r="H40" s="22">
        <v>233329</v>
      </c>
      <c r="I40" s="22" t="s">
        <v>54</v>
      </c>
      <c r="J40" s="22">
        <v>233491</v>
      </c>
      <c r="K40" s="21" t="s">
        <v>55</v>
      </c>
      <c r="L40" s="21" t="str">
        <f>VLOOKUP(C40,'Trips&amp;Operators'!$C$1:$E$9999,3,FALSE)</f>
        <v>STRICKLAND</v>
      </c>
      <c r="M40" s="20" t="s">
        <v>88</v>
      </c>
      <c r="N40" s="21"/>
      <c r="P40" s="81" t="str">
        <f>VLOOKUP(C40,'Train Runs'!$A$3:$T$243,20,0)</f>
        <v>https://search-rtdc-monitor-bjffxe2xuh6vdkpspy63sjmuny.us-east-1.es.amazonaws.com/_plugin/kibana/#/discover/Steve-Slow-Train-Analysis-(2080s-and-2083s)?_g=(refreshInterval:(display:Off,section:0,value:0),time:(from:'2016-05-22 07:23:58-0600',mode:absolute,to:'2016-05-22 08:12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40" s="19" t="str">
        <f t="shared" si="0"/>
        <v>4027</v>
      </c>
    </row>
    <row r="41" spans="1:18" s="19" customFormat="1" x14ac:dyDescent="0.25">
      <c r="A41" s="23">
        <v>42512.387094907404</v>
      </c>
      <c r="B41" s="22" t="s">
        <v>120</v>
      </c>
      <c r="C41" s="22" t="s">
        <v>345</v>
      </c>
      <c r="D41" s="22" t="s">
        <v>52</v>
      </c>
      <c r="E41" s="22" t="s">
        <v>53</v>
      </c>
      <c r="F41" s="22">
        <v>0</v>
      </c>
      <c r="G41" s="22">
        <v>6</v>
      </c>
      <c r="H41" s="22">
        <v>233349</v>
      </c>
      <c r="I41" s="22" t="s">
        <v>54</v>
      </c>
      <c r="J41" s="22">
        <v>233491</v>
      </c>
      <c r="K41" s="21" t="s">
        <v>55</v>
      </c>
      <c r="L41" s="21" t="str">
        <f>VLOOKUP(C41,'Trips&amp;Operators'!$C$1:$E$9999,3,FALSE)</f>
        <v>GEBRETEKLE</v>
      </c>
      <c r="M41" s="20" t="s">
        <v>88</v>
      </c>
      <c r="N41" s="21"/>
      <c r="P41" s="81" t="str">
        <f>VLOOKUP(C41,'Train Runs'!$A$3:$T$243,20,0)</f>
        <v>https://search-rtdc-monitor-bjffxe2xuh6vdkpspy63sjmuny.us-east-1.es.amazonaws.com/_plugin/kibana/#/discover/Steve-Slow-Train-Analysis-(2080s-and-2083s)?_g=(refreshInterval:(display:Off,section:0,value:0),time:(from:'2016-05-22 08:30:02-0600',mode:absolute,to:'2016-05-22 09:18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41" s="19" t="str">
        <f t="shared" si="0"/>
        <v>4031</v>
      </c>
    </row>
    <row r="42" spans="1:18" s="19" customFormat="1" x14ac:dyDescent="0.25">
      <c r="A42" s="23">
        <v>42512.467326388891</v>
      </c>
      <c r="B42" s="22" t="s">
        <v>142</v>
      </c>
      <c r="C42" s="22" t="s">
        <v>349</v>
      </c>
      <c r="D42" s="22" t="s">
        <v>52</v>
      </c>
      <c r="E42" s="22" t="s">
        <v>53</v>
      </c>
      <c r="F42" s="22">
        <v>0</v>
      </c>
      <c r="G42" s="22">
        <v>40</v>
      </c>
      <c r="H42" s="22">
        <v>149</v>
      </c>
      <c r="I42" s="22" t="s">
        <v>54</v>
      </c>
      <c r="J42" s="22">
        <v>1</v>
      </c>
      <c r="K42" s="21" t="s">
        <v>56</v>
      </c>
      <c r="L42" s="21" t="str">
        <f>VLOOKUP(C42,'Trips&amp;Operators'!$C$1:$E$9999,3,FALSE)</f>
        <v>LEDERHAUSE</v>
      </c>
      <c r="M42" s="20" t="s">
        <v>88</v>
      </c>
      <c r="N42" s="21"/>
      <c r="P42" s="81" t="str">
        <f>VLOOKUP(C42,'Train Runs'!$A$3:$T$243,20,0)</f>
        <v>https://search-rtdc-monitor-bjffxe2xuh6vdkpspy63sjmuny.us-east-1.es.amazonaws.com/_plugin/kibana/#/discover/Steve-Slow-Train-Analysis-(2080s-and-2083s)?_g=(refreshInterval:(display:Off,section:0,value:0),time:(from:'2016-05-22 10:20:49-0600',mode:absolute,to:'2016-05-22 11:14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42" s="19" t="str">
        <f t="shared" si="0"/>
        <v>4041</v>
      </c>
    </row>
    <row r="43" spans="1:18" s="19" customFormat="1" x14ac:dyDescent="0.25">
      <c r="A43" s="23">
        <v>42512.518993055557</v>
      </c>
      <c r="B43" s="22" t="s">
        <v>93</v>
      </c>
      <c r="C43" s="22" t="s">
        <v>352</v>
      </c>
      <c r="D43" s="22" t="s">
        <v>52</v>
      </c>
      <c r="E43" s="22" t="s">
        <v>53</v>
      </c>
      <c r="F43" s="22">
        <v>0</v>
      </c>
      <c r="G43" s="22">
        <v>7</v>
      </c>
      <c r="H43" s="22">
        <v>233410</v>
      </c>
      <c r="I43" s="22" t="s">
        <v>54</v>
      </c>
      <c r="J43" s="22">
        <v>233491</v>
      </c>
      <c r="K43" s="21" t="s">
        <v>55</v>
      </c>
      <c r="L43" s="21" t="str">
        <f>VLOOKUP(C43,'Trips&amp;Operators'!$C$1:$E$9999,3,FALSE)</f>
        <v>LOCKLEAR</v>
      </c>
      <c r="M43" s="20" t="s">
        <v>88</v>
      </c>
      <c r="N43" s="21"/>
      <c r="P43" s="81" t="str">
        <f>VLOOKUP(C43,'Train Runs'!$A$3:$T$243,20,0)</f>
        <v>https://search-rtdc-monitor-bjffxe2xuh6vdkpspy63sjmuny.us-east-1.es.amazonaws.com/_plugin/kibana/#/discover/Steve-Slow-Train-Analysis-(2080s-and-2083s)?_g=(refreshInterval:(display:Off,section:0,value:0),time:(from:'2016-05-22 11:39:04-0600',mode:absolute,to:'2016-05-22 12:28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43" s="19" t="str">
        <f t="shared" si="0"/>
        <v>4007</v>
      </c>
    </row>
    <row r="44" spans="1:18" s="19" customFormat="1" x14ac:dyDescent="0.25">
      <c r="A44" s="23">
        <v>42512.549050925925</v>
      </c>
      <c r="B44" s="22" t="s">
        <v>116</v>
      </c>
      <c r="C44" s="22" t="s">
        <v>355</v>
      </c>
      <c r="D44" s="22" t="s">
        <v>52</v>
      </c>
      <c r="E44" s="22" t="s">
        <v>53</v>
      </c>
      <c r="F44" s="22">
        <v>0</v>
      </c>
      <c r="G44" s="22">
        <v>8</v>
      </c>
      <c r="H44" s="22">
        <v>233347</v>
      </c>
      <c r="I44" s="22" t="s">
        <v>54</v>
      </c>
      <c r="J44" s="22">
        <v>233491</v>
      </c>
      <c r="K44" s="21" t="s">
        <v>55</v>
      </c>
      <c r="L44" s="21" t="str">
        <f>VLOOKUP(C44,'Trips&amp;Operators'!$C$1:$E$9999,3,FALSE)</f>
        <v>YORK</v>
      </c>
      <c r="M44" s="20" t="s">
        <v>88</v>
      </c>
      <c r="N44" s="21"/>
      <c r="P44" s="81" t="str">
        <f>VLOOKUP(C44,'Train Runs'!$A$3:$T$243,20,0)</f>
        <v>https://search-rtdc-monitor-bjffxe2xuh6vdkpspy63sjmuny.us-east-1.es.amazonaws.com/_plugin/kibana/#/discover/Steve-Slow-Train-Analysis-(2080s-and-2083s)?_g=(refreshInterval:(display:Off,section:0,value:0),time:(from:'2016-05-22 12:23:05-0600',mode:absolute,to:'2016-05-22 13:11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44" s="19" t="str">
        <f t="shared" si="0"/>
        <v>4018</v>
      </c>
    </row>
    <row r="45" spans="1:18" s="19" customFormat="1" x14ac:dyDescent="0.25">
      <c r="A45" s="23">
        <v>42512.569687499999</v>
      </c>
      <c r="B45" s="22" t="s">
        <v>356</v>
      </c>
      <c r="C45" s="22" t="s">
        <v>357</v>
      </c>
      <c r="D45" s="22" t="s">
        <v>52</v>
      </c>
      <c r="E45" s="22" t="s">
        <v>53</v>
      </c>
      <c r="F45" s="22">
        <v>0</v>
      </c>
      <c r="G45" s="22">
        <v>54</v>
      </c>
      <c r="H45" s="22">
        <v>147</v>
      </c>
      <c r="I45" s="22" t="s">
        <v>54</v>
      </c>
      <c r="J45" s="22">
        <v>1</v>
      </c>
      <c r="K45" s="21" t="s">
        <v>56</v>
      </c>
      <c r="L45" s="21" t="str">
        <f>VLOOKUP(C45,'Trips&amp;Operators'!$C$1:$E$9999,3,FALSE)</f>
        <v>ACKERMAN</v>
      </c>
      <c r="M45" s="20" t="s">
        <v>88</v>
      </c>
      <c r="N45" s="21"/>
      <c r="P45" s="81" t="str">
        <f>VLOOKUP(C45,'Train Runs'!$A$3:$T$243,20,0)</f>
        <v>https://search-rtdc-monitor-bjffxe2xuh6vdkpspy63sjmuny.us-east-1.es.amazonaws.com/_plugin/kibana/#/discover/Steve-Slow-Train-Analysis-(2080s-and-2083s)?_g=(refreshInterval:(display:Off,section:0,value:0),time:(from:'2016-05-22 12:58:51-0600',mode:absolute,to:'2016-05-22 13:41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4001%22')),sort:!(Time,asc))</v>
      </c>
      <c r="Q45" s="19" t="str">
        <f t="shared" si="0"/>
        <v>4001</v>
      </c>
    </row>
    <row r="46" spans="1:18" s="19" customFormat="1" x14ac:dyDescent="0.25">
      <c r="A46" s="23">
        <v>42512.574074074073</v>
      </c>
      <c r="B46" s="22" t="s">
        <v>133</v>
      </c>
      <c r="C46" s="22" t="s">
        <v>358</v>
      </c>
      <c r="D46" s="22" t="s">
        <v>52</v>
      </c>
      <c r="E46" s="22" t="s">
        <v>53</v>
      </c>
      <c r="F46" s="22">
        <v>0</v>
      </c>
      <c r="G46" s="22">
        <v>9</v>
      </c>
      <c r="H46" s="22">
        <v>233331</v>
      </c>
      <c r="I46" s="22" t="s">
        <v>54</v>
      </c>
      <c r="J46" s="22">
        <v>233491</v>
      </c>
      <c r="K46" s="21" t="s">
        <v>55</v>
      </c>
      <c r="L46" s="21" t="str">
        <f>VLOOKUP(C46,'Trips&amp;Operators'!$C$1:$E$9999,3,FALSE)</f>
        <v>WEBSTER</v>
      </c>
      <c r="M46" s="20" t="s">
        <v>88</v>
      </c>
      <c r="N46" s="21"/>
      <c r="P46" s="81" t="str">
        <f>VLOOKUP(C46,'Train Runs'!$A$3:$T$243,20,0)</f>
        <v>https://search-rtdc-monitor-bjffxe2xuh6vdkpspy63sjmuny.us-east-1.es.amazonaws.com/_plugin/kibana/#/discover/Steve-Slow-Train-Analysis-(2080s-and-2083s)?_g=(refreshInterval:(display:Off,section:0,value:0),time:(from:'2016-05-22 12:58:11-0600',mode:absolute,to:'2016-05-22 13:47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46" s="19" t="str">
        <f t="shared" si="0"/>
        <v>4011</v>
      </c>
    </row>
    <row r="47" spans="1:18" s="19" customFormat="1" x14ac:dyDescent="0.25">
      <c r="A47" s="23">
        <v>42512.598368055558</v>
      </c>
      <c r="B47" s="22" t="s">
        <v>93</v>
      </c>
      <c r="C47" s="22" t="s">
        <v>359</v>
      </c>
      <c r="D47" s="22" t="s">
        <v>52</v>
      </c>
      <c r="E47" s="22" t="s">
        <v>53</v>
      </c>
      <c r="F47" s="22">
        <v>0</v>
      </c>
      <c r="G47" s="22">
        <v>5</v>
      </c>
      <c r="H47" s="22">
        <v>233405</v>
      </c>
      <c r="I47" s="22" t="s">
        <v>54</v>
      </c>
      <c r="J47" s="22">
        <v>233491</v>
      </c>
      <c r="K47" s="21" t="s">
        <v>55</v>
      </c>
      <c r="L47" s="21" t="str">
        <f>VLOOKUP(C47,'Trips&amp;Operators'!$C$1:$E$9999,3,FALSE)</f>
        <v>LOCKLEAR</v>
      </c>
      <c r="M47" s="20" t="s">
        <v>88</v>
      </c>
      <c r="N47" s="21"/>
      <c r="P47" s="81" t="str">
        <f>VLOOKUP(C47,'Train Runs'!$A$3:$T$243,20,0)</f>
        <v>https://search-rtdc-monitor-bjffxe2xuh6vdkpspy63sjmuny.us-east-1.es.amazonaws.com/_plugin/kibana/#/discover/Steve-Slow-Train-Analysis-(2080s-and-2083s)?_g=(refreshInterval:(display:Off,section:0,value:0),time:(from:'2016-05-22 13:40:40-0600',mode:absolute,to:'2016-05-22 14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47" s="19" t="str">
        <f t="shared" si="0"/>
        <v>4007</v>
      </c>
    </row>
    <row r="48" spans="1:18" s="19" customFormat="1" x14ac:dyDescent="0.25">
      <c r="A48" s="23">
        <v>42512.629490740743</v>
      </c>
      <c r="B48" s="22" t="s">
        <v>119</v>
      </c>
      <c r="C48" s="22" t="s">
        <v>360</v>
      </c>
      <c r="D48" s="22" t="s">
        <v>52</v>
      </c>
      <c r="E48" s="22" t="s">
        <v>53</v>
      </c>
      <c r="F48" s="22">
        <v>0</v>
      </c>
      <c r="G48" s="22">
        <v>7</v>
      </c>
      <c r="H48" s="22">
        <v>112</v>
      </c>
      <c r="I48" s="22" t="s">
        <v>54</v>
      </c>
      <c r="J48" s="22">
        <v>1</v>
      </c>
      <c r="K48" s="21" t="s">
        <v>56</v>
      </c>
      <c r="L48" s="21" t="str">
        <f>VLOOKUP(C48,'Trips&amp;Operators'!$C$1:$E$9999,3,FALSE)</f>
        <v>BRUDER</v>
      </c>
      <c r="M48" s="20" t="s">
        <v>88</v>
      </c>
      <c r="N48" s="21"/>
      <c r="P48" s="81" t="str">
        <f>VLOOKUP(C48,'Train Runs'!$A$3:$T$243,20,0)</f>
        <v>https://search-rtdc-monitor-bjffxe2xuh6vdkpspy63sjmuny.us-east-1.es.amazonaws.com/_plugin/kibana/#/discover/Steve-Slow-Train-Analysis-(2080s-and-2083s)?_g=(refreshInterval:(display:Off,section:0,value:0),time:(from:'2016-05-22 14:23:22-0600',mode:absolute,to:'2016-05-22 15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48" s="19" t="str">
        <f t="shared" si="0"/>
        <v>4023</v>
      </c>
    </row>
    <row r="49" spans="1:17" s="19" customFormat="1" x14ac:dyDescent="0.25">
      <c r="A49" s="23">
        <v>42512.632685185185</v>
      </c>
      <c r="B49" s="22" t="s">
        <v>116</v>
      </c>
      <c r="C49" s="22" t="s">
        <v>361</v>
      </c>
      <c r="D49" s="22" t="s">
        <v>52</v>
      </c>
      <c r="E49" s="22" t="s">
        <v>53</v>
      </c>
      <c r="F49" s="22">
        <v>0</v>
      </c>
      <c r="G49" s="22">
        <v>9</v>
      </c>
      <c r="H49" s="22">
        <v>233334</v>
      </c>
      <c r="I49" s="22" t="s">
        <v>54</v>
      </c>
      <c r="J49" s="22">
        <v>233491</v>
      </c>
      <c r="K49" s="21" t="s">
        <v>55</v>
      </c>
      <c r="L49" s="21" t="str">
        <f>VLOOKUP(C49,'Trips&amp;Operators'!$C$1:$E$9999,3,FALSE)</f>
        <v>YORK</v>
      </c>
      <c r="M49" s="20" t="s">
        <v>88</v>
      </c>
      <c r="N49" s="21"/>
      <c r="P49" s="81" t="str">
        <f>VLOOKUP(C49,'Train Runs'!$A$3:$T$243,20,0)</f>
        <v>https://search-rtdc-monitor-bjffxe2xuh6vdkpspy63sjmuny.us-east-1.es.amazonaws.com/_plugin/kibana/#/discover/Steve-Slow-Train-Analysis-(2080s-and-2083s)?_g=(refreshInterval:(display:Off,section:0,value:0),time:(from:'2016-05-22 14:10:25-0600',mode:absolute,to:'2016-05-22 14:40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49" s="19" t="str">
        <f t="shared" si="0"/>
        <v>4018</v>
      </c>
    </row>
    <row r="50" spans="1:17" s="19" customFormat="1" x14ac:dyDescent="0.25">
      <c r="A50" s="23">
        <v>42512.647847222222</v>
      </c>
      <c r="B50" s="22" t="s">
        <v>133</v>
      </c>
      <c r="C50" s="22" t="s">
        <v>362</v>
      </c>
      <c r="D50" s="22" t="s">
        <v>52</v>
      </c>
      <c r="E50" s="22" t="s">
        <v>53</v>
      </c>
      <c r="F50" s="22">
        <v>0</v>
      </c>
      <c r="G50" s="22">
        <v>7</v>
      </c>
      <c r="H50" s="22">
        <v>233328</v>
      </c>
      <c r="I50" s="22" t="s">
        <v>54</v>
      </c>
      <c r="J50" s="22">
        <v>233491</v>
      </c>
      <c r="K50" s="21" t="s">
        <v>55</v>
      </c>
      <c r="L50" s="21" t="str">
        <f>VLOOKUP(C50,'Trips&amp;Operators'!$C$1:$E$9999,3,FALSE)</f>
        <v>WEBSTER</v>
      </c>
      <c r="M50" s="20" t="s">
        <v>88</v>
      </c>
      <c r="N50" s="21"/>
      <c r="P50" s="81" t="str">
        <f>VLOOKUP(C50,'Train Runs'!$A$3:$T$243,20,0)</f>
        <v>https://search-rtdc-monitor-bjffxe2xuh6vdkpspy63sjmuny.us-east-1.es.amazonaws.com/_plugin/kibana/#/discover/Steve-Slow-Train-Analysis-(2080s-and-2083s)?_g=(refreshInterval:(display:Off,section:0,value:0),time:(from:'2016-05-22 14:42:33-0600',mode:absolute,to:'2016-05-22 15:34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50" s="19" t="str">
        <f t="shared" si="0"/>
        <v>4011</v>
      </c>
    </row>
    <row r="51" spans="1:17" s="19" customFormat="1" x14ac:dyDescent="0.25">
      <c r="A51" s="23">
        <v>42512.661562499998</v>
      </c>
      <c r="B51" s="22" t="s">
        <v>118</v>
      </c>
      <c r="C51" s="22" t="s">
        <v>363</v>
      </c>
      <c r="D51" s="22" t="s">
        <v>52</v>
      </c>
      <c r="E51" s="22" t="s">
        <v>53</v>
      </c>
      <c r="F51" s="22">
        <v>0</v>
      </c>
      <c r="G51" s="22">
        <v>6</v>
      </c>
      <c r="H51" s="22">
        <v>233328</v>
      </c>
      <c r="I51" s="22" t="s">
        <v>54</v>
      </c>
      <c r="J51" s="22">
        <v>233491</v>
      </c>
      <c r="K51" s="21" t="s">
        <v>55</v>
      </c>
      <c r="L51" s="21" t="str">
        <f>VLOOKUP(C51,'Trips&amp;Operators'!$C$1:$E$9999,3,FALSE)</f>
        <v>BRUDER</v>
      </c>
      <c r="M51" s="20" t="s">
        <v>88</v>
      </c>
      <c r="N51" s="21"/>
      <c r="P51" s="81" t="str">
        <f>VLOOKUP(C51,'Train Runs'!$A$3:$T$243,20,0)</f>
        <v>https://search-rtdc-monitor-bjffxe2xuh6vdkpspy63sjmuny.us-east-1.es.amazonaws.com/_plugin/kibana/#/discover/Steve-Slow-Train-Analysis-(2080s-and-2083s)?_g=(refreshInterval:(display:Off,section:0,value:0),time:(from:'2016-05-22 15:10:29-0600',mode:absolute,to:'2016-05-22 15:53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Q51" s="19" t="str">
        <f t="shared" si="0"/>
        <v>4024</v>
      </c>
    </row>
    <row r="52" spans="1:17" s="19" customFormat="1" x14ac:dyDescent="0.25">
      <c r="A52" s="23">
        <v>42512.724872685183</v>
      </c>
      <c r="B52" s="22" t="s">
        <v>356</v>
      </c>
      <c r="C52" s="22" t="s">
        <v>367</v>
      </c>
      <c r="D52" s="22" t="s">
        <v>52</v>
      </c>
      <c r="E52" s="22" t="s">
        <v>53</v>
      </c>
      <c r="F52" s="22">
        <v>0</v>
      </c>
      <c r="G52" s="22">
        <v>60</v>
      </c>
      <c r="H52" s="22">
        <v>174</v>
      </c>
      <c r="I52" s="22" t="s">
        <v>54</v>
      </c>
      <c r="J52" s="22">
        <v>1</v>
      </c>
      <c r="K52" s="21" t="s">
        <v>56</v>
      </c>
      <c r="L52" s="21" t="str">
        <f>VLOOKUP(C52,'Trips&amp;Operators'!$C$1:$E$9999,3,FALSE)</f>
        <v>ACKERMAN</v>
      </c>
      <c r="M52" s="20" t="s">
        <v>88</v>
      </c>
      <c r="N52" s="21"/>
      <c r="P52" s="81" t="str">
        <f>VLOOKUP(C52,'Train Runs'!$A$3:$T$243,20,0)</f>
        <v>https://search-rtdc-monitor-bjffxe2xuh6vdkpspy63sjmuny.us-east-1.es.amazonaws.com/_plugin/kibana/#/discover/Steve-Slow-Train-Analysis-(2080s-and-2083s)?_g=(refreshInterval:(display:Off,section:0,value:0),time:(from:'2016-05-22 16:35:16-0600',mode:absolute,to:'2016-05-22 17:25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4001%22')),sort:!(Time,asc))</v>
      </c>
      <c r="Q52" s="19" t="str">
        <f t="shared" si="0"/>
        <v>4001</v>
      </c>
    </row>
    <row r="53" spans="1:17" s="19" customFormat="1" x14ac:dyDescent="0.25">
      <c r="A53" s="23">
        <v>42512.77516203704</v>
      </c>
      <c r="B53" s="22" t="s">
        <v>119</v>
      </c>
      <c r="C53" s="22" t="s">
        <v>369</v>
      </c>
      <c r="D53" s="22" t="s">
        <v>52</v>
      </c>
      <c r="E53" s="22" t="s">
        <v>53</v>
      </c>
      <c r="F53" s="22">
        <v>0</v>
      </c>
      <c r="G53" s="22">
        <v>2</v>
      </c>
      <c r="H53" s="22">
        <v>172</v>
      </c>
      <c r="I53" s="22" t="s">
        <v>54</v>
      </c>
      <c r="J53" s="22">
        <v>1</v>
      </c>
      <c r="K53" s="21" t="s">
        <v>56</v>
      </c>
      <c r="L53" s="21" t="str">
        <f>VLOOKUP(C53,'Trips&amp;Operators'!$C$1:$E$9999,3,FALSE)</f>
        <v>BRUDER</v>
      </c>
      <c r="M53" s="20" t="s">
        <v>88</v>
      </c>
      <c r="N53" s="21"/>
      <c r="P53" s="81" t="str">
        <f>VLOOKUP(C53,'Train Runs'!$A$3:$T$243,20,0)</f>
        <v>https://search-rtdc-monitor-bjffxe2xuh6vdkpspy63sjmuny.us-east-1.es.amazonaws.com/_plugin/kibana/#/discover/Steve-Slow-Train-Analysis-(2080s-and-2083s)?_g=(refreshInterval:(display:Off,section:0,value:0),time:(from:'2016-05-22 17:50:00-0600',mode:absolute,to:'2016-05-22 18:38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Q53" s="19" t="str">
        <f t="shared" si="0"/>
        <v>4023</v>
      </c>
    </row>
    <row r="54" spans="1:17" s="19" customFormat="1" x14ac:dyDescent="0.25">
      <c r="A54" s="23">
        <v>42512.829062500001</v>
      </c>
      <c r="B54" s="22" t="s">
        <v>132</v>
      </c>
      <c r="C54" s="22" t="s">
        <v>372</v>
      </c>
      <c r="D54" s="22" t="s">
        <v>52</v>
      </c>
      <c r="E54" s="22" t="s">
        <v>53</v>
      </c>
      <c r="F54" s="22">
        <v>0</v>
      </c>
      <c r="G54" s="22">
        <v>79</v>
      </c>
      <c r="H54" s="22">
        <v>267</v>
      </c>
      <c r="I54" s="22" t="s">
        <v>54</v>
      </c>
      <c r="J54" s="22">
        <v>1</v>
      </c>
      <c r="K54" s="21" t="s">
        <v>56</v>
      </c>
      <c r="L54" s="21" t="str">
        <f>VLOOKUP(C54,'Trips&amp;Operators'!$C$1:$E$9999,3,FALSE)</f>
        <v>HELVIE</v>
      </c>
      <c r="M54" s="20" t="s">
        <v>88</v>
      </c>
      <c r="N54" s="21"/>
      <c r="P54" s="81" t="str">
        <f>VLOOKUP(C54,'Train Runs'!$A$3:$T$243,20,0)</f>
        <v>https://search-rtdc-monitor-bjffxe2xuh6vdkpspy63sjmuny.us-east-1.es.amazonaws.com/_plugin/kibana/#/discover/Steve-Slow-Train-Analysis-(2080s-and-2083s)?_g=(refreshInterval:(display:Off,section:0,value:0),time:(from:'2016-05-22 19:11:12-0600',mode:absolute,to:'2016-05-22 19:55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54" s="19" t="str">
        <f t="shared" si="0"/>
        <v>4012</v>
      </c>
    </row>
    <row r="55" spans="1:17" s="19" customFormat="1" x14ac:dyDescent="0.25">
      <c r="A55" s="23">
        <v>42512.991122685184</v>
      </c>
      <c r="B55" s="22" t="s">
        <v>132</v>
      </c>
      <c r="C55" s="22" t="s">
        <v>373</v>
      </c>
      <c r="D55" s="22" t="s">
        <v>52</v>
      </c>
      <c r="E55" s="22" t="s">
        <v>53</v>
      </c>
      <c r="F55" s="22">
        <v>0</v>
      </c>
      <c r="G55" s="22">
        <v>8</v>
      </c>
      <c r="H55" s="22">
        <v>375</v>
      </c>
      <c r="I55" s="22" t="s">
        <v>54</v>
      </c>
      <c r="J55" s="22">
        <v>1</v>
      </c>
      <c r="K55" s="21" t="s">
        <v>56</v>
      </c>
      <c r="L55" s="21" t="str">
        <f>VLOOKUP(C55,'Trips&amp;Operators'!$C$1:$E$9999,3,FALSE)</f>
        <v>HELVIE</v>
      </c>
      <c r="M55" s="20" t="s">
        <v>88</v>
      </c>
      <c r="N55" s="21"/>
      <c r="P55" s="81" t="str">
        <f>VLOOKUP(C55,'Train Runs'!$A$3:$T$243,20,0)</f>
        <v>https://search-rtdc-monitor-bjffxe2xuh6vdkpspy63sjmuny.us-east-1.es.amazonaws.com/_plugin/kibana/#/discover/Steve-Slow-Train-Analysis-(2080s-and-2083s)?_g=(refreshInterval:(display:Off,section:0,value:0),time:(from:'2016-05-22 22:48:27-0600',mode:absolute,to:'2016-05-22 23:49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55" s="19" t="str">
        <f t="shared" si="0"/>
        <v>4012</v>
      </c>
    </row>
    <row r="56" spans="1:17" s="19" customFormat="1" ht="15.75" thickBot="1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3"/>
      <c r="L56" s="43"/>
      <c r="M56" s="44"/>
      <c r="N56" s="43"/>
      <c r="P56" s="81"/>
    </row>
    <row r="57" spans="1:17" ht="30" x14ac:dyDescent="0.25">
      <c r="B57" s="60"/>
      <c r="C57" s="60"/>
      <c r="D57" s="60"/>
      <c r="E57" s="60"/>
      <c r="F57" s="60"/>
      <c r="G57" s="60"/>
      <c r="H57" s="60"/>
      <c r="I57" s="60"/>
      <c r="J57" s="60"/>
      <c r="K57" s="18" t="s">
        <v>28</v>
      </c>
      <c r="L57" s="53"/>
      <c r="M57" s="17">
        <f>COUNTIF(M3:M55,"=Y")</f>
        <v>4</v>
      </c>
    </row>
    <row r="58" spans="1:17" ht="15.75" thickBot="1" x14ac:dyDescent="0.3">
      <c r="B58" s="60"/>
      <c r="C58" s="60"/>
      <c r="D58" s="60"/>
      <c r="E58" s="60"/>
      <c r="F58" s="60"/>
      <c r="G58" s="60"/>
      <c r="H58" s="60"/>
      <c r="I58" s="60"/>
      <c r="J58" s="60"/>
      <c r="K58" s="16" t="s">
        <v>27</v>
      </c>
      <c r="L58" s="54"/>
      <c r="M58" s="15">
        <f>COUNTA(M3:M55)-M57</f>
        <v>49</v>
      </c>
    </row>
  </sheetData>
  <autoFilter ref="A2:N55"/>
  <sortState ref="A3:N63">
    <sortCondition ref="E3:E63"/>
  </sortState>
  <mergeCells count="1">
    <mergeCell ref="A1:M1"/>
  </mergeCells>
  <conditionalFormatting sqref="N2 P2 M2:M1048576">
    <cfRule type="cellIs" dxfId="1" priority="7" operator="equal">
      <formula>"Y"</formula>
    </cfRule>
  </conditionalFormatting>
  <conditionalFormatting sqref="B3:N56">
    <cfRule type="expression" dxfId="0" priority="6">
      <formula>$M3="Y"</formula>
    </cfRule>
  </conditionalFormatting>
  <hyperlinks>
    <hyperlink ref="R33" r:id="rId1"/>
    <hyperlink ref="R3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2"/>
    </sheetView>
  </sheetViews>
  <sheetFormatPr defaultRowHeight="15" x14ac:dyDescent="0.25"/>
  <cols>
    <col min="2" max="2" width="26.42578125" bestFit="1" customWidth="1"/>
  </cols>
  <sheetData>
    <row r="1" spans="1:2" s="60" customFormat="1" x14ac:dyDescent="0.25">
      <c r="A1" s="77" t="str">
        <f>"Trips that did not appear in PTC Data "&amp;TEXT(Variables!$A$2,"YYYY-mm-dd")</f>
        <v>Trips that did not appear in PTC Data 2016-05-22</v>
      </c>
      <c r="B1" s="78"/>
    </row>
    <row r="2" spans="1:2" x14ac:dyDescent="0.25">
      <c r="A2" s="78" t="s">
        <v>551</v>
      </c>
      <c r="B2" s="78" t="s">
        <v>557</v>
      </c>
    </row>
    <row r="3" spans="1:2" x14ac:dyDescent="0.25">
      <c r="A3" s="78" t="s">
        <v>552</v>
      </c>
      <c r="B3" s="78" t="s">
        <v>557</v>
      </c>
    </row>
    <row r="4" spans="1:2" x14ac:dyDescent="0.25">
      <c r="A4" s="79" t="s">
        <v>553</v>
      </c>
      <c r="B4" s="78" t="s">
        <v>557</v>
      </c>
    </row>
    <row r="5" spans="1:2" x14ac:dyDescent="0.25">
      <c r="A5" s="79" t="s">
        <v>554</v>
      </c>
      <c r="B5" s="78" t="s">
        <v>557</v>
      </c>
    </row>
    <row r="6" spans="1:2" x14ac:dyDescent="0.25">
      <c r="A6" s="79" t="s">
        <v>555</v>
      </c>
      <c r="B6" s="78" t="s">
        <v>557</v>
      </c>
    </row>
    <row r="7" spans="1:2" x14ac:dyDescent="0.25">
      <c r="A7" s="79" t="s">
        <v>556</v>
      </c>
      <c r="B7" s="78" t="s">
        <v>557</v>
      </c>
    </row>
    <row r="8" spans="1:2" x14ac:dyDescent="0.25">
      <c r="A8" s="79" t="s">
        <v>531</v>
      </c>
      <c r="B8" s="78" t="s">
        <v>557</v>
      </c>
    </row>
    <row r="9" spans="1:2" x14ac:dyDescent="0.25">
      <c r="A9" s="79" t="s">
        <v>525</v>
      </c>
      <c r="B9" s="78" t="s">
        <v>557</v>
      </c>
    </row>
    <row r="10" spans="1:2" x14ac:dyDescent="0.25">
      <c r="A10" s="79" t="s">
        <v>535</v>
      </c>
      <c r="B10" s="78" t="s">
        <v>557</v>
      </c>
    </row>
    <row r="11" spans="1:2" x14ac:dyDescent="0.25">
      <c r="A11" s="79" t="s">
        <v>532</v>
      </c>
      <c r="B11" s="78" t="s">
        <v>557</v>
      </c>
    </row>
    <row r="12" spans="1:2" x14ac:dyDescent="0.25">
      <c r="A12" s="79" t="s">
        <v>487</v>
      </c>
      <c r="B12" s="78" t="s">
        <v>542</v>
      </c>
    </row>
    <row r="13" spans="1:2" x14ac:dyDescent="0.25">
      <c r="A13" s="79" t="s">
        <v>536</v>
      </c>
      <c r="B13" s="78" t="s">
        <v>557</v>
      </c>
    </row>
    <row r="14" spans="1:2" x14ac:dyDescent="0.25">
      <c r="A14" s="79" t="s">
        <v>527</v>
      </c>
      <c r="B14" s="78" t="s">
        <v>557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42"/>
  <sheetViews>
    <sheetView workbookViewId="0">
      <selection sqref="A1:E180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1" spans="1:5" x14ac:dyDescent="0.25">
      <c r="A1" s="14">
        <v>42512.248090277775</v>
      </c>
      <c r="B1" t="s">
        <v>131</v>
      </c>
      <c r="C1" t="s">
        <v>395</v>
      </c>
      <c r="D1">
        <v>1100000</v>
      </c>
      <c r="E1" t="s">
        <v>129</v>
      </c>
    </row>
    <row r="2" spans="1:5" x14ac:dyDescent="0.25">
      <c r="A2" s="14">
        <v>42512.723263888889</v>
      </c>
      <c r="B2" t="s">
        <v>132</v>
      </c>
      <c r="C2" t="s">
        <v>479</v>
      </c>
      <c r="D2">
        <v>950000</v>
      </c>
      <c r="E2" t="s">
        <v>521</v>
      </c>
    </row>
    <row r="3" spans="1:5" x14ac:dyDescent="0.25">
      <c r="A3" s="14">
        <v>42512.294791666667</v>
      </c>
      <c r="B3" t="s">
        <v>119</v>
      </c>
      <c r="C3" t="s">
        <v>407</v>
      </c>
      <c r="D3">
        <v>1780000</v>
      </c>
      <c r="E3" t="s">
        <v>112</v>
      </c>
    </row>
    <row r="4" spans="1:5" x14ac:dyDescent="0.25">
      <c r="A4" s="14">
        <v>42512.432233796295</v>
      </c>
      <c r="B4" t="s">
        <v>142</v>
      </c>
      <c r="C4" t="s">
        <v>349</v>
      </c>
      <c r="D4">
        <v>1430000</v>
      </c>
      <c r="E4" t="s">
        <v>130</v>
      </c>
    </row>
    <row r="5" spans="1:5" x14ac:dyDescent="0.25">
      <c r="A5" s="14">
        <v>42512.640243055554</v>
      </c>
      <c r="B5" t="s">
        <v>114</v>
      </c>
      <c r="C5" t="s">
        <v>365</v>
      </c>
      <c r="D5">
        <v>1830000</v>
      </c>
      <c r="E5" t="s">
        <v>140</v>
      </c>
    </row>
    <row r="6" spans="1:5" x14ac:dyDescent="0.25">
      <c r="A6" s="14">
        <v>42512.600682870368</v>
      </c>
      <c r="B6" t="s">
        <v>119</v>
      </c>
      <c r="C6" t="s">
        <v>360</v>
      </c>
      <c r="D6">
        <v>1770000</v>
      </c>
      <c r="E6" t="s">
        <v>100</v>
      </c>
    </row>
    <row r="7" spans="1:5" x14ac:dyDescent="0.25">
      <c r="A7" s="14">
        <v>42512.788564814815</v>
      </c>
      <c r="B7" t="s">
        <v>93</v>
      </c>
      <c r="C7" t="s">
        <v>494</v>
      </c>
      <c r="D7">
        <v>970000</v>
      </c>
      <c r="E7" t="s">
        <v>190</v>
      </c>
    </row>
    <row r="8" spans="1:5" x14ac:dyDescent="0.25">
      <c r="A8" s="14">
        <v>42512.355092592596</v>
      </c>
      <c r="B8" t="s">
        <v>142</v>
      </c>
      <c r="C8" t="s">
        <v>344</v>
      </c>
      <c r="D8">
        <v>1430000</v>
      </c>
      <c r="E8" t="s">
        <v>130</v>
      </c>
    </row>
    <row r="9" spans="1:5" x14ac:dyDescent="0.25">
      <c r="A9" s="14">
        <v>42512.434293981481</v>
      </c>
      <c r="B9" t="s">
        <v>64</v>
      </c>
      <c r="C9" t="s">
        <v>432</v>
      </c>
      <c r="D9">
        <v>1100000</v>
      </c>
      <c r="E9" t="s">
        <v>129</v>
      </c>
    </row>
    <row r="10" spans="1:5" x14ac:dyDescent="0.25">
      <c r="A10" s="14">
        <v>42512.616724537038</v>
      </c>
      <c r="B10" t="s">
        <v>116</v>
      </c>
      <c r="C10" t="s">
        <v>361</v>
      </c>
      <c r="D10">
        <v>1830000</v>
      </c>
      <c r="E10" t="s">
        <v>140</v>
      </c>
    </row>
    <row r="11" spans="1:5" x14ac:dyDescent="0.25">
      <c r="A11" s="14">
        <v>42512.48846064815</v>
      </c>
      <c r="B11" t="s">
        <v>93</v>
      </c>
      <c r="C11" t="s">
        <v>352</v>
      </c>
      <c r="D11">
        <v>1120000</v>
      </c>
      <c r="E11" t="s">
        <v>522</v>
      </c>
    </row>
    <row r="12" spans="1:5" x14ac:dyDescent="0.25">
      <c r="A12" s="14">
        <v>42512.616759259261</v>
      </c>
      <c r="B12" t="s">
        <v>356</v>
      </c>
      <c r="C12" t="s">
        <v>463</v>
      </c>
      <c r="D12">
        <v>1260000</v>
      </c>
      <c r="E12" t="s">
        <v>523</v>
      </c>
    </row>
    <row r="13" spans="1:5" x14ac:dyDescent="0.25">
      <c r="A13" s="14">
        <v>42512.470729166664</v>
      </c>
      <c r="B13" t="s">
        <v>139</v>
      </c>
      <c r="C13" t="s">
        <v>441</v>
      </c>
      <c r="D13">
        <v>1490000</v>
      </c>
      <c r="E13" t="s">
        <v>524</v>
      </c>
    </row>
    <row r="14" spans="1:5" x14ac:dyDescent="0.25">
      <c r="A14" s="14">
        <v>42512.631145833337</v>
      </c>
      <c r="B14" t="s">
        <v>65</v>
      </c>
      <c r="C14" t="s">
        <v>525</v>
      </c>
      <c r="D14">
        <v>880000</v>
      </c>
      <c r="E14" t="s">
        <v>111</v>
      </c>
    </row>
    <row r="15" spans="1:5" x14ac:dyDescent="0.25">
      <c r="A15" s="14">
        <v>42512.831620370373</v>
      </c>
      <c r="B15" t="s">
        <v>133</v>
      </c>
      <c r="C15" t="s">
        <v>497</v>
      </c>
      <c r="D15">
        <v>1540000</v>
      </c>
      <c r="E15" t="s">
        <v>526</v>
      </c>
    </row>
    <row r="16" spans="1:5" x14ac:dyDescent="0.25">
      <c r="A16" s="14">
        <v>42512.65415509259</v>
      </c>
      <c r="B16" t="s">
        <v>142</v>
      </c>
      <c r="C16" t="s">
        <v>364</v>
      </c>
      <c r="D16">
        <v>1490000</v>
      </c>
      <c r="E16" t="s">
        <v>524</v>
      </c>
    </row>
    <row r="17" spans="1:5" x14ac:dyDescent="0.25">
      <c r="A17" s="14">
        <v>42512.719293981485</v>
      </c>
      <c r="B17" t="s">
        <v>93</v>
      </c>
      <c r="C17" t="s">
        <v>483</v>
      </c>
      <c r="D17">
        <v>970000</v>
      </c>
      <c r="E17" t="s">
        <v>190</v>
      </c>
    </row>
    <row r="18" spans="1:5" x14ac:dyDescent="0.25">
      <c r="A18" s="14">
        <v>42512.824317129627</v>
      </c>
      <c r="B18" t="s">
        <v>92</v>
      </c>
      <c r="C18" t="s">
        <v>527</v>
      </c>
      <c r="D18">
        <v>970000</v>
      </c>
      <c r="E18" t="s">
        <v>190</v>
      </c>
    </row>
    <row r="19" spans="1:5" x14ac:dyDescent="0.25">
      <c r="A19" s="14">
        <v>42512.337407407409</v>
      </c>
      <c r="B19" t="s">
        <v>114</v>
      </c>
      <c r="C19" t="s">
        <v>342</v>
      </c>
      <c r="D19">
        <v>1750000</v>
      </c>
      <c r="E19" t="s">
        <v>105</v>
      </c>
    </row>
    <row r="20" spans="1:5" x14ac:dyDescent="0.25">
      <c r="A20" s="14">
        <v>42512.978460648148</v>
      </c>
      <c r="B20" t="s">
        <v>120</v>
      </c>
      <c r="C20" t="s">
        <v>515</v>
      </c>
      <c r="D20">
        <v>1140000</v>
      </c>
      <c r="E20" t="s">
        <v>62</v>
      </c>
    </row>
    <row r="21" spans="1:5" x14ac:dyDescent="0.25">
      <c r="A21" s="14">
        <v>42512.271319444444</v>
      </c>
      <c r="B21" t="s">
        <v>93</v>
      </c>
      <c r="C21" t="s">
        <v>408</v>
      </c>
      <c r="D21">
        <v>1510000</v>
      </c>
      <c r="E21" t="s">
        <v>528</v>
      </c>
    </row>
    <row r="22" spans="1:5" x14ac:dyDescent="0.25">
      <c r="A22" s="14">
        <v>42512.412719907406</v>
      </c>
      <c r="B22" t="s">
        <v>93</v>
      </c>
      <c r="C22" t="s">
        <v>426</v>
      </c>
      <c r="D22">
        <v>1510000</v>
      </c>
      <c r="E22" t="s">
        <v>528</v>
      </c>
    </row>
    <row r="23" spans="1:5" x14ac:dyDescent="0.25">
      <c r="A23" s="14">
        <v>42512.707094907404</v>
      </c>
      <c r="B23" t="s">
        <v>114</v>
      </c>
      <c r="C23" t="s">
        <v>476</v>
      </c>
      <c r="D23">
        <v>1830000</v>
      </c>
      <c r="E23" t="s">
        <v>140</v>
      </c>
    </row>
    <row r="24" spans="1:5" x14ac:dyDescent="0.25">
      <c r="A24" s="14">
        <v>42512.570960648147</v>
      </c>
      <c r="B24" t="s">
        <v>93</v>
      </c>
      <c r="C24" t="s">
        <v>359</v>
      </c>
      <c r="D24">
        <v>1120000</v>
      </c>
      <c r="E24" t="s">
        <v>522</v>
      </c>
    </row>
    <row r="25" spans="1:5" x14ac:dyDescent="0.25">
      <c r="A25" s="14">
        <v>42512.576180555552</v>
      </c>
      <c r="B25" t="s">
        <v>529</v>
      </c>
      <c r="C25" t="s">
        <v>462</v>
      </c>
      <c r="D25">
        <v>1260000</v>
      </c>
      <c r="E25" t="s">
        <v>523</v>
      </c>
    </row>
    <row r="26" spans="1:5" x14ac:dyDescent="0.25">
      <c r="A26" s="14">
        <v>42512.578599537039</v>
      </c>
      <c r="B26" t="s">
        <v>529</v>
      </c>
      <c r="C26" t="s">
        <v>462</v>
      </c>
      <c r="D26">
        <v>1260000</v>
      </c>
      <c r="E26" t="s">
        <v>523</v>
      </c>
    </row>
    <row r="27" spans="1:5" x14ac:dyDescent="0.25">
      <c r="A27" s="14">
        <v>42512.570034722223</v>
      </c>
      <c r="B27" t="s">
        <v>93</v>
      </c>
      <c r="C27" t="s">
        <v>359</v>
      </c>
      <c r="D27">
        <v>1120000</v>
      </c>
      <c r="E27" t="s">
        <v>522</v>
      </c>
    </row>
    <row r="28" spans="1:5" x14ac:dyDescent="0.25">
      <c r="A28" s="14">
        <v>42512.643321759257</v>
      </c>
      <c r="B28" t="s">
        <v>93</v>
      </c>
      <c r="C28" t="s">
        <v>470</v>
      </c>
      <c r="D28">
        <v>1120000</v>
      </c>
      <c r="E28" t="s">
        <v>522</v>
      </c>
    </row>
    <row r="29" spans="1:5" x14ac:dyDescent="0.25">
      <c r="A29" s="14">
        <v>42512.542187500003</v>
      </c>
      <c r="B29" t="s">
        <v>356</v>
      </c>
      <c r="C29" t="s">
        <v>357</v>
      </c>
      <c r="D29">
        <v>1260000</v>
      </c>
      <c r="E29" t="s">
        <v>523</v>
      </c>
    </row>
    <row r="30" spans="1:5" x14ac:dyDescent="0.25">
      <c r="A30" s="14">
        <v>42512.888101851851</v>
      </c>
      <c r="B30" t="s">
        <v>120</v>
      </c>
      <c r="C30" t="s">
        <v>507</v>
      </c>
      <c r="D30">
        <v>1140000</v>
      </c>
      <c r="E30" t="s">
        <v>62</v>
      </c>
    </row>
    <row r="31" spans="1:5" x14ac:dyDescent="0.25">
      <c r="A31" s="14">
        <v>42512.517372685186</v>
      </c>
      <c r="B31" t="s">
        <v>119</v>
      </c>
      <c r="C31" t="s">
        <v>353</v>
      </c>
      <c r="D31">
        <v>940000</v>
      </c>
      <c r="E31" t="s">
        <v>530</v>
      </c>
    </row>
    <row r="32" spans="1:5" x14ac:dyDescent="0.25">
      <c r="A32" s="14">
        <v>42512.235092592593</v>
      </c>
      <c r="B32" t="s">
        <v>92</v>
      </c>
      <c r="C32" t="s">
        <v>391</v>
      </c>
      <c r="D32">
        <v>1510000</v>
      </c>
      <c r="E32" t="s">
        <v>528</v>
      </c>
    </row>
    <row r="33" spans="1:5" x14ac:dyDescent="0.25">
      <c r="A33" s="14">
        <v>42512.461678240739</v>
      </c>
      <c r="B33" t="s">
        <v>339</v>
      </c>
      <c r="C33" t="s">
        <v>435</v>
      </c>
      <c r="D33">
        <v>1750000</v>
      </c>
      <c r="E33" t="s">
        <v>105</v>
      </c>
    </row>
    <row r="34" spans="1:5" x14ac:dyDescent="0.25">
      <c r="A34" s="14">
        <v>42512.250497685185</v>
      </c>
      <c r="B34" t="s">
        <v>139</v>
      </c>
      <c r="C34" t="s">
        <v>331</v>
      </c>
      <c r="D34">
        <v>1430000</v>
      </c>
      <c r="E34" t="s">
        <v>130</v>
      </c>
    </row>
    <row r="35" spans="1:5" x14ac:dyDescent="0.25">
      <c r="A35" s="14">
        <v>42512.225590277776</v>
      </c>
      <c r="B35" t="s">
        <v>119</v>
      </c>
      <c r="C35" t="s">
        <v>388</v>
      </c>
      <c r="D35">
        <v>1780000</v>
      </c>
      <c r="E35" t="s">
        <v>112</v>
      </c>
    </row>
    <row r="36" spans="1:5" x14ac:dyDescent="0.25">
      <c r="A36" s="14">
        <v>42512.288206018522</v>
      </c>
      <c r="B36" t="s">
        <v>142</v>
      </c>
      <c r="C36" t="s">
        <v>337</v>
      </c>
      <c r="D36">
        <v>1430000</v>
      </c>
      <c r="E36" t="s">
        <v>130</v>
      </c>
    </row>
    <row r="37" spans="1:5" x14ac:dyDescent="0.25">
      <c r="A37" s="14">
        <v>42512.951643518521</v>
      </c>
      <c r="B37" t="s">
        <v>132</v>
      </c>
      <c r="C37" t="s">
        <v>373</v>
      </c>
      <c r="D37">
        <v>1540000</v>
      </c>
      <c r="E37" t="s">
        <v>526</v>
      </c>
    </row>
    <row r="38" spans="1:5" x14ac:dyDescent="0.25">
      <c r="A38" s="14">
        <v>42512.372256944444</v>
      </c>
      <c r="B38" t="s">
        <v>119</v>
      </c>
      <c r="C38" t="s">
        <v>413</v>
      </c>
      <c r="D38">
        <v>1780000</v>
      </c>
      <c r="E38" t="s">
        <v>112</v>
      </c>
    </row>
    <row r="39" spans="1:5" x14ac:dyDescent="0.25">
      <c r="A39" s="14">
        <v>42512.679675925923</v>
      </c>
      <c r="B39" t="s">
        <v>92</v>
      </c>
      <c r="C39" t="s">
        <v>472</v>
      </c>
      <c r="D39">
        <v>1120000</v>
      </c>
      <c r="E39" t="s">
        <v>522</v>
      </c>
    </row>
    <row r="40" spans="1:5" x14ac:dyDescent="0.25">
      <c r="A40" s="14">
        <v>42512.515057870369</v>
      </c>
      <c r="B40" t="s">
        <v>529</v>
      </c>
      <c r="C40" t="s">
        <v>449</v>
      </c>
      <c r="D40">
        <v>1260000</v>
      </c>
      <c r="E40" t="s">
        <v>523</v>
      </c>
    </row>
    <row r="41" spans="1:5" x14ac:dyDescent="0.25">
      <c r="A41" s="14">
        <v>42512.517222222225</v>
      </c>
      <c r="B41" t="s">
        <v>116</v>
      </c>
      <c r="C41" t="s">
        <v>355</v>
      </c>
      <c r="D41">
        <v>1830000</v>
      </c>
      <c r="E41" t="s">
        <v>140</v>
      </c>
    </row>
    <row r="42" spans="1:5" x14ac:dyDescent="0.25">
      <c r="A42" s="14">
        <v>42512.593425925923</v>
      </c>
      <c r="B42" t="s">
        <v>64</v>
      </c>
      <c r="C42" t="s">
        <v>531</v>
      </c>
      <c r="D42">
        <v>880000</v>
      </c>
      <c r="E42" t="s">
        <v>111</v>
      </c>
    </row>
    <row r="43" spans="1:5" x14ac:dyDescent="0.25">
      <c r="A43" s="14">
        <v>42512.12572916667</v>
      </c>
      <c r="B43" t="s">
        <v>120</v>
      </c>
      <c r="C43" t="s">
        <v>379</v>
      </c>
      <c r="D43">
        <v>1300000</v>
      </c>
      <c r="E43" t="s">
        <v>113</v>
      </c>
    </row>
    <row r="44" spans="1:5" x14ac:dyDescent="0.25">
      <c r="A44" s="14">
        <v>42512.669548611113</v>
      </c>
      <c r="B44" t="s">
        <v>119</v>
      </c>
      <c r="C44" t="s">
        <v>469</v>
      </c>
      <c r="D44">
        <v>1770000</v>
      </c>
      <c r="E44" t="s">
        <v>100</v>
      </c>
    </row>
    <row r="45" spans="1:5" x14ac:dyDescent="0.25">
      <c r="A45" s="14">
        <v>42513.031967592593</v>
      </c>
      <c r="B45" t="s">
        <v>132</v>
      </c>
      <c r="C45" t="s">
        <v>375</v>
      </c>
      <c r="D45">
        <v>1540000</v>
      </c>
      <c r="E45" t="s">
        <v>526</v>
      </c>
    </row>
    <row r="46" spans="1:5" x14ac:dyDescent="0.25">
      <c r="A46" s="14">
        <v>42512.683564814812</v>
      </c>
      <c r="B46" t="s">
        <v>133</v>
      </c>
      <c r="C46" t="s">
        <v>477</v>
      </c>
      <c r="D46">
        <v>950000</v>
      </c>
      <c r="E46" t="s">
        <v>521</v>
      </c>
    </row>
    <row r="47" spans="1:5" x14ac:dyDescent="0.25">
      <c r="A47" s="14">
        <v>42513.018784722219</v>
      </c>
      <c r="B47" t="s">
        <v>118</v>
      </c>
      <c r="C47" t="s">
        <v>518</v>
      </c>
      <c r="D47">
        <v>1280000</v>
      </c>
      <c r="E47" t="s">
        <v>63</v>
      </c>
    </row>
    <row r="48" spans="1:5" x14ac:dyDescent="0.25">
      <c r="A48" s="14">
        <v>42512.952627314815</v>
      </c>
      <c r="B48" t="s">
        <v>93</v>
      </c>
      <c r="C48" t="s">
        <v>513</v>
      </c>
      <c r="D48">
        <v>970000</v>
      </c>
      <c r="E48" t="s">
        <v>190</v>
      </c>
    </row>
    <row r="49" spans="1:5" x14ac:dyDescent="0.25">
      <c r="A49" s="14">
        <v>42512.871493055558</v>
      </c>
      <c r="B49" t="s">
        <v>93</v>
      </c>
      <c r="C49" t="s">
        <v>504</v>
      </c>
      <c r="D49">
        <v>970000</v>
      </c>
      <c r="E49" t="s">
        <v>190</v>
      </c>
    </row>
    <row r="50" spans="1:5" x14ac:dyDescent="0.25">
      <c r="A50" s="14">
        <v>42513.032951388886</v>
      </c>
      <c r="B50" t="s">
        <v>132</v>
      </c>
      <c r="C50" t="s">
        <v>375</v>
      </c>
      <c r="D50">
        <v>1540000</v>
      </c>
      <c r="E50" t="s">
        <v>526</v>
      </c>
    </row>
    <row r="51" spans="1:5" x14ac:dyDescent="0.25">
      <c r="A51" s="14">
        <v>42512.767511574071</v>
      </c>
      <c r="B51" t="s">
        <v>139</v>
      </c>
      <c r="C51" t="s">
        <v>491</v>
      </c>
      <c r="D51">
        <v>1280000</v>
      </c>
      <c r="E51" t="s">
        <v>63</v>
      </c>
    </row>
    <row r="52" spans="1:5" x14ac:dyDescent="0.25">
      <c r="A52" s="14">
        <v>42513.034085648149</v>
      </c>
      <c r="B52" t="s">
        <v>132</v>
      </c>
      <c r="C52" t="s">
        <v>375</v>
      </c>
      <c r="D52">
        <v>1540000</v>
      </c>
      <c r="E52" t="s">
        <v>526</v>
      </c>
    </row>
    <row r="53" spans="1:5" x14ac:dyDescent="0.25">
      <c r="A53" s="14">
        <v>42512.767500000002</v>
      </c>
      <c r="B53" t="s">
        <v>131</v>
      </c>
      <c r="C53" t="s">
        <v>486</v>
      </c>
      <c r="D53">
        <v>1140000</v>
      </c>
      <c r="E53" t="s">
        <v>62</v>
      </c>
    </row>
    <row r="54" spans="1:5" x14ac:dyDescent="0.25">
      <c r="A54" s="14">
        <v>42512.168622685182</v>
      </c>
      <c r="B54" t="s">
        <v>65</v>
      </c>
      <c r="C54" t="s">
        <v>381</v>
      </c>
      <c r="D54">
        <v>1300000</v>
      </c>
      <c r="E54" t="s">
        <v>113</v>
      </c>
    </row>
    <row r="55" spans="1:5" x14ac:dyDescent="0.25">
      <c r="A55" s="14">
        <v>42512.727673611109</v>
      </c>
      <c r="B55" t="s">
        <v>142</v>
      </c>
      <c r="C55" t="s">
        <v>481</v>
      </c>
      <c r="D55">
        <v>1490000</v>
      </c>
      <c r="E55" t="s">
        <v>524</v>
      </c>
    </row>
    <row r="56" spans="1:5" x14ac:dyDescent="0.25">
      <c r="A56" s="14">
        <v>42512.584687499999</v>
      </c>
      <c r="B56" t="s">
        <v>142</v>
      </c>
      <c r="C56" t="s">
        <v>457</v>
      </c>
      <c r="D56">
        <v>1490000</v>
      </c>
      <c r="E56" t="s">
        <v>524</v>
      </c>
    </row>
    <row r="57" spans="1:5" x14ac:dyDescent="0.25">
      <c r="A57" s="14">
        <v>42512.59039351852</v>
      </c>
      <c r="B57" t="s">
        <v>64</v>
      </c>
      <c r="C57" t="s">
        <v>531</v>
      </c>
      <c r="D57">
        <v>880000</v>
      </c>
      <c r="E57" t="s">
        <v>111</v>
      </c>
    </row>
    <row r="58" spans="1:5" x14ac:dyDescent="0.25">
      <c r="A58" s="14">
        <v>42512.692430555559</v>
      </c>
      <c r="B58" t="s">
        <v>356</v>
      </c>
      <c r="C58" t="s">
        <v>367</v>
      </c>
      <c r="D58">
        <v>1260000</v>
      </c>
      <c r="E58" t="s">
        <v>523</v>
      </c>
    </row>
    <row r="59" spans="1:5" x14ac:dyDescent="0.25">
      <c r="A59" s="14">
        <v>42512.421875</v>
      </c>
      <c r="B59" t="s">
        <v>334</v>
      </c>
      <c r="C59" t="s">
        <v>423</v>
      </c>
      <c r="D59">
        <v>1760000</v>
      </c>
      <c r="E59" t="s">
        <v>143</v>
      </c>
    </row>
    <row r="60" spans="1:5" x14ac:dyDescent="0.25">
      <c r="A60" s="14">
        <v>42512.188217592593</v>
      </c>
      <c r="B60" t="s">
        <v>334</v>
      </c>
      <c r="C60" t="s">
        <v>385</v>
      </c>
      <c r="D60">
        <v>1760000</v>
      </c>
      <c r="E60" t="s">
        <v>143</v>
      </c>
    </row>
    <row r="61" spans="1:5" x14ac:dyDescent="0.25">
      <c r="A61" s="14">
        <v>42512.802881944444</v>
      </c>
      <c r="B61" t="s">
        <v>142</v>
      </c>
      <c r="C61" t="s">
        <v>492</v>
      </c>
      <c r="D61">
        <v>1280000</v>
      </c>
      <c r="E61" t="s">
        <v>63</v>
      </c>
    </row>
    <row r="62" spans="1:5" x14ac:dyDescent="0.25">
      <c r="A62" s="14">
        <v>42512.510474537034</v>
      </c>
      <c r="B62" t="s">
        <v>64</v>
      </c>
      <c r="C62" t="s">
        <v>354</v>
      </c>
      <c r="D62">
        <v>880000</v>
      </c>
      <c r="E62" t="s">
        <v>111</v>
      </c>
    </row>
    <row r="63" spans="1:5" x14ac:dyDescent="0.25">
      <c r="A63" s="14">
        <v>42512.760069444441</v>
      </c>
      <c r="B63" t="s">
        <v>133</v>
      </c>
      <c r="C63" t="s">
        <v>370</v>
      </c>
      <c r="D63">
        <v>1540000</v>
      </c>
      <c r="E63" t="s">
        <v>526</v>
      </c>
    </row>
    <row r="64" spans="1:5" x14ac:dyDescent="0.25">
      <c r="A64" s="14">
        <v>42512.581574074073</v>
      </c>
      <c r="B64" t="s">
        <v>132</v>
      </c>
      <c r="C64" t="s">
        <v>455</v>
      </c>
      <c r="D64">
        <v>950000</v>
      </c>
      <c r="E64" t="s">
        <v>521</v>
      </c>
    </row>
    <row r="65" spans="1:5" x14ac:dyDescent="0.25">
      <c r="A65" s="14">
        <v>42512.309548611112</v>
      </c>
      <c r="B65" t="s">
        <v>339</v>
      </c>
      <c r="C65" t="s">
        <v>340</v>
      </c>
      <c r="D65">
        <v>1760000</v>
      </c>
      <c r="E65" t="s">
        <v>143</v>
      </c>
    </row>
    <row r="66" spans="1:5" x14ac:dyDescent="0.25">
      <c r="A66" s="14">
        <v>42512.582592592589</v>
      </c>
      <c r="B66" t="s">
        <v>132</v>
      </c>
      <c r="C66" t="s">
        <v>455</v>
      </c>
      <c r="D66">
        <v>950000</v>
      </c>
      <c r="E66" t="s">
        <v>521</v>
      </c>
    </row>
    <row r="67" spans="1:5" x14ac:dyDescent="0.25">
      <c r="A67" s="14">
        <v>42512.230856481481</v>
      </c>
      <c r="B67" t="s">
        <v>339</v>
      </c>
      <c r="C67" t="s">
        <v>403</v>
      </c>
      <c r="D67">
        <v>1760000</v>
      </c>
      <c r="E67" t="s">
        <v>143</v>
      </c>
    </row>
    <row r="68" spans="1:5" x14ac:dyDescent="0.25">
      <c r="A68" s="14">
        <v>42512.694502314815</v>
      </c>
      <c r="B68" t="s">
        <v>139</v>
      </c>
      <c r="C68" t="s">
        <v>480</v>
      </c>
      <c r="D68">
        <v>1490000</v>
      </c>
      <c r="E68" t="s">
        <v>524</v>
      </c>
    </row>
    <row r="69" spans="1:5" x14ac:dyDescent="0.25">
      <c r="A69" s="14">
        <v>42512.218182870369</v>
      </c>
      <c r="B69" t="s">
        <v>64</v>
      </c>
      <c r="C69" t="s">
        <v>398</v>
      </c>
      <c r="D69">
        <v>1300000</v>
      </c>
      <c r="E69" t="s">
        <v>113</v>
      </c>
    </row>
    <row r="70" spans="1:5" x14ac:dyDescent="0.25">
      <c r="A70" s="14">
        <v>42512.734039351853</v>
      </c>
      <c r="B70" t="s">
        <v>120</v>
      </c>
      <c r="C70" t="s">
        <v>368</v>
      </c>
      <c r="D70">
        <v>1140000</v>
      </c>
      <c r="E70" t="s">
        <v>62</v>
      </c>
    </row>
    <row r="71" spans="1:5" x14ac:dyDescent="0.25">
      <c r="A71" s="14">
        <v>42512.972071759257</v>
      </c>
      <c r="B71" t="s">
        <v>119</v>
      </c>
      <c r="C71" t="s">
        <v>511</v>
      </c>
      <c r="D71">
        <v>1280000</v>
      </c>
      <c r="E71" t="s">
        <v>63</v>
      </c>
    </row>
    <row r="72" spans="1:5" x14ac:dyDescent="0.25">
      <c r="A72" s="14">
        <v>42512.928969907407</v>
      </c>
      <c r="B72" t="s">
        <v>131</v>
      </c>
      <c r="C72" t="s">
        <v>508</v>
      </c>
      <c r="D72">
        <v>1140000</v>
      </c>
      <c r="E72" t="s">
        <v>62</v>
      </c>
    </row>
    <row r="73" spans="1:5" x14ac:dyDescent="0.25">
      <c r="A73" s="14">
        <v>42512.842048611114</v>
      </c>
      <c r="B73" t="s">
        <v>118</v>
      </c>
      <c r="C73" t="s">
        <v>500</v>
      </c>
      <c r="D73">
        <v>1280000</v>
      </c>
      <c r="E73" t="s">
        <v>63</v>
      </c>
    </row>
    <row r="74" spans="1:5" x14ac:dyDescent="0.25">
      <c r="A74" s="14">
        <v>42512.230752314812</v>
      </c>
      <c r="B74" t="s">
        <v>116</v>
      </c>
      <c r="C74" t="s">
        <v>400</v>
      </c>
      <c r="D74">
        <v>1750000</v>
      </c>
      <c r="E74" t="s">
        <v>105</v>
      </c>
    </row>
    <row r="75" spans="1:5" x14ac:dyDescent="0.25">
      <c r="A75" s="14">
        <v>42512.705567129633</v>
      </c>
      <c r="B75" t="s">
        <v>65</v>
      </c>
      <c r="C75" t="s">
        <v>532</v>
      </c>
      <c r="D75">
        <v>880000</v>
      </c>
      <c r="E75" t="s">
        <v>111</v>
      </c>
    </row>
    <row r="76" spans="1:5" x14ac:dyDescent="0.25">
      <c r="A76" s="14">
        <v>42512.343587962961</v>
      </c>
      <c r="B76" t="s">
        <v>93</v>
      </c>
      <c r="C76" t="s">
        <v>415</v>
      </c>
      <c r="D76">
        <v>1510000</v>
      </c>
      <c r="E76" t="s">
        <v>528</v>
      </c>
    </row>
    <row r="77" spans="1:5" x14ac:dyDescent="0.25">
      <c r="A77" s="14">
        <v>42512.554803240739</v>
      </c>
      <c r="B77" t="s">
        <v>114</v>
      </c>
      <c r="C77" t="s">
        <v>452</v>
      </c>
      <c r="D77">
        <v>1830000</v>
      </c>
      <c r="E77" t="s">
        <v>140</v>
      </c>
    </row>
    <row r="78" spans="1:5" x14ac:dyDescent="0.25">
      <c r="A78" s="14">
        <v>42512.355254629627</v>
      </c>
      <c r="B78" t="s">
        <v>120</v>
      </c>
      <c r="C78" t="s">
        <v>345</v>
      </c>
      <c r="D78">
        <v>1100000</v>
      </c>
      <c r="E78" t="s">
        <v>129</v>
      </c>
    </row>
    <row r="79" spans="1:5" x14ac:dyDescent="0.25">
      <c r="A79" s="14">
        <v>42512.373981481483</v>
      </c>
      <c r="B79" t="s">
        <v>116</v>
      </c>
      <c r="C79" t="s">
        <v>421</v>
      </c>
      <c r="D79">
        <v>1750000</v>
      </c>
      <c r="E79" t="s">
        <v>105</v>
      </c>
    </row>
    <row r="80" spans="1:5" x14ac:dyDescent="0.25">
      <c r="A80" s="14">
        <v>42512.384976851848</v>
      </c>
      <c r="B80" t="s">
        <v>339</v>
      </c>
      <c r="C80" t="s">
        <v>422</v>
      </c>
      <c r="D80">
        <v>1760000</v>
      </c>
      <c r="E80" t="s">
        <v>143</v>
      </c>
    </row>
    <row r="81" spans="1:5" x14ac:dyDescent="0.25">
      <c r="A81" s="14">
        <v>42512.2653125</v>
      </c>
      <c r="B81" t="s">
        <v>114</v>
      </c>
      <c r="C81" t="s">
        <v>402</v>
      </c>
      <c r="D81">
        <v>1750000</v>
      </c>
      <c r="E81" t="s">
        <v>105</v>
      </c>
    </row>
    <row r="82" spans="1:5" x14ac:dyDescent="0.25">
      <c r="A82" s="14">
        <v>42512.447129629632</v>
      </c>
      <c r="B82" t="s">
        <v>92</v>
      </c>
      <c r="C82" t="s">
        <v>428</v>
      </c>
      <c r="D82">
        <v>1510000</v>
      </c>
      <c r="E82" t="s">
        <v>528</v>
      </c>
    </row>
    <row r="83" spans="1:5" x14ac:dyDescent="0.25">
      <c r="A83" s="14">
        <v>42512.258877314816</v>
      </c>
      <c r="B83" t="s">
        <v>118</v>
      </c>
      <c r="C83" t="s">
        <v>333</v>
      </c>
      <c r="D83">
        <v>1780000</v>
      </c>
      <c r="E83" t="s">
        <v>112</v>
      </c>
    </row>
    <row r="84" spans="1:5" x14ac:dyDescent="0.25">
      <c r="A84" s="14">
        <v>42512.47388888889</v>
      </c>
      <c r="B84" t="s">
        <v>65</v>
      </c>
      <c r="C84" t="s">
        <v>433</v>
      </c>
      <c r="D84">
        <v>1100000</v>
      </c>
      <c r="E84" t="s">
        <v>129</v>
      </c>
    </row>
    <row r="85" spans="1:5" x14ac:dyDescent="0.25">
      <c r="A85" s="14">
        <v>42512.980208333334</v>
      </c>
      <c r="B85" t="s">
        <v>120</v>
      </c>
      <c r="C85" t="s">
        <v>515</v>
      </c>
      <c r="D85">
        <v>1140000</v>
      </c>
      <c r="E85" t="s">
        <v>62</v>
      </c>
    </row>
    <row r="86" spans="1:5" x14ac:dyDescent="0.25">
      <c r="A86" s="14">
        <v>42512.507673611108</v>
      </c>
      <c r="B86" t="s">
        <v>142</v>
      </c>
      <c r="C86" t="s">
        <v>442</v>
      </c>
      <c r="D86">
        <v>1490000</v>
      </c>
      <c r="E86" t="s">
        <v>524</v>
      </c>
    </row>
    <row r="87" spans="1:5" x14ac:dyDescent="0.25">
      <c r="A87" s="14">
        <v>42512.72934027778</v>
      </c>
      <c r="B87" t="s">
        <v>120</v>
      </c>
      <c r="C87" t="s">
        <v>487</v>
      </c>
      <c r="D87">
        <v>1140000</v>
      </c>
      <c r="E87" t="s">
        <v>62</v>
      </c>
    </row>
    <row r="88" spans="1:5" x14ac:dyDescent="0.25">
      <c r="A88" s="14">
        <v>42512.927048611113</v>
      </c>
      <c r="B88" t="s">
        <v>118</v>
      </c>
      <c r="C88" t="s">
        <v>510</v>
      </c>
      <c r="D88">
        <v>1280000</v>
      </c>
      <c r="E88" t="s">
        <v>63</v>
      </c>
    </row>
    <row r="89" spans="1:5" x14ac:dyDescent="0.25">
      <c r="A89" s="14">
        <v>42512.652569444443</v>
      </c>
      <c r="B89" t="s">
        <v>132</v>
      </c>
      <c r="C89" t="s">
        <v>466</v>
      </c>
      <c r="D89">
        <v>950000</v>
      </c>
      <c r="E89" t="s">
        <v>521</v>
      </c>
    </row>
    <row r="90" spans="1:5" x14ac:dyDescent="0.25">
      <c r="A90" s="14">
        <v>42512.485405092593</v>
      </c>
      <c r="B90" t="s">
        <v>114</v>
      </c>
      <c r="C90" t="s">
        <v>351</v>
      </c>
      <c r="D90">
        <v>1830000</v>
      </c>
      <c r="E90" t="s">
        <v>140</v>
      </c>
    </row>
    <row r="91" spans="1:5" x14ac:dyDescent="0.25">
      <c r="A91" s="14">
        <v>42512.214930555558</v>
      </c>
      <c r="B91" t="s">
        <v>120</v>
      </c>
      <c r="C91" t="s">
        <v>393</v>
      </c>
      <c r="D91">
        <v>1100000</v>
      </c>
      <c r="E91" t="s">
        <v>129</v>
      </c>
    </row>
    <row r="92" spans="1:5" x14ac:dyDescent="0.25">
      <c r="A92" s="14">
        <v>42512.513784722221</v>
      </c>
      <c r="B92" t="s">
        <v>529</v>
      </c>
      <c r="C92" t="s">
        <v>449</v>
      </c>
      <c r="D92">
        <v>1260000</v>
      </c>
      <c r="E92" t="s">
        <v>523</v>
      </c>
    </row>
    <row r="93" spans="1:5" x14ac:dyDescent="0.25">
      <c r="A93" s="14">
        <v>42512.508634259262</v>
      </c>
      <c r="B93" t="s">
        <v>334</v>
      </c>
      <c r="C93" t="s">
        <v>438</v>
      </c>
      <c r="D93">
        <v>1750000</v>
      </c>
      <c r="E93" t="s">
        <v>105</v>
      </c>
    </row>
    <row r="94" spans="1:5" x14ac:dyDescent="0.25">
      <c r="A94" s="14">
        <v>42512.911689814813</v>
      </c>
      <c r="B94" t="s">
        <v>92</v>
      </c>
      <c r="C94" t="s">
        <v>505</v>
      </c>
      <c r="D94">
        <v>970000</v>
      </c>
      <c r="E94" t="s">
        <v>190</v>
      </c>
    </row>
    <row r="95" spans="1:5" x14ac:dyDescent="0.25">
      <c r="A95" s="14">
        <v>42512.343124999999</v>
      </c>
      <c r="B95" t="s">
        <v>334</v>
      </c>
      <c r="C95" t="s">
        <v>343</v>
      </c>
      <c r="D95">
        <v>1760000</v>
      </c>
      <c r="E95" t="s">
        <v>143</v>
      </c>
    </row>
    <row r="96" spans="1:5" x14ac:dyDescent="0.25">
      <c r="A96" s="14">
        <v>42512.913611111115</v>
      </c>
      <c r="B96" t="s">
        <v>92</v>
      </c>
      <c r="C96" t="s">
        <v>505</v>
      </c>
      <c r="D96">
        <v>970000</v>
      </c>
      <c r="E96" t="s">
        <v>190</v>
      </c>
    </row>
    <row r="97" spans="1:5" x14ac:dyDescent="0.25">
      <c r="A97" s="14">
        <v>42512.287314814814</v>
      </c>
      <c r="B97" t="s">
        <v>64</v>
      </c>
      <c r="C97" t="s">
        <v>411</v>
      </c>
      <c r="D97">
        <v>1300000</v>
      </c>
      <c r="E97" t="s">
        <v>113</v>
      </c>
    </row>
    <row r="98" spans="1:5" x14ac:dyDescent="0.25">
      <c r="A98" s="14">
        <v>42512.542013888888</v>
      </c>
      <c r="B98" t="s">
        <v>133</v>
      </c>
      <c r="C98" t="s">
        <v>358</v>
      </c>
      <c r="D98">
        <v>950000</v>
      </c>
      <c r="E98" t="s">
        <v>521</v>
      </c>
    </row>
    <row r="99" spans="1:5" x14ac:dyDescent="0.25">
      <c r="A99" s="14">
        <v>42512.270324074074</v>
      </c>
      <c r="B99" t="s">
        <v>93</v>
      </c>
      <c r="C99" t="s">
        <v>338</v>
      </c>
      <c r="D99">
        <v>1510000</v>
      </c>
      <c r="E99" t="s">
        <v>528</v>
      </c>
    </row>
    <row r="100" spans="1:5" x14ac:dyDescent="0.25">
      <c r="A100" s="14">
        <v>42512.59275462963</v>
      </c>
      <c r="B100" t="s">
        <v>116</v>
      </c>
      <c r="C100" t="s">
        <v>361</v>
      </c>
      <c r="D100">
        <v>1830000</v>
      </c>
      <c r="E100" t="s">
        <v>140</v>
      </c>
    </row>
    <row r="101" spans="1:5" x14ac:dyDescent="0.25">
      <c r="A101" s="14">
        <v>42512.25640046296</v>
      </c>
      <c r="B101" t="s">
        <v>65</v>
      </c>
      <c r="C101" t="s">
        <v>332</v>
      </c>
      <c r="D101">
        <v>1300000</v>
      </c>
      <c r="E101" t="s">
        <v>113</v>
      </c>
    </row>
    <row r="102" spans="1:5" x14ac:dyDescent="0.25">
      <c r="A102" s="14">
        <v>42512.657997685186</v>
      </c>
      <c r="B102" t="s">
        <v>529</v>
      </c>
      <c r="C102" t="s">
        <v>474</v>
      </c>
      <c r="D102">
        <v>1260000</v>
      </c>
      <c r="E102" t="s">
        <v>523</v>
      </c>
    </row>
    <row r="103" spans="1:5" x14ac:dyDescent="0.25">
      <c r="A103" s="14">
        <v>42512.844965277778</v>
      </c>
      <c r="B103" t="s">
        <v>118</v>
      </c>
      <c r="C103" t="s">
        <v>500</v>
      </c>
      <c r="D103">
        <v>1280000</v>
      </c>
      <c r="E103" t="s">
        <v>63</v>
      </c>
    </row>
    <row r="104" spans="1:5" x14ac:dyDescent="0.25">
      <c r="A104" s="14">
        <v>42512.670798611114</v>
      </c>
      <c r="B104" t="s">
        <v>119</v>
      </c>
      <c r="C104" t="s">
        <v>469</v>
      </c>
      <c r="D104">
        <v>1770000</v>
      </c>
      <c r="E104" t="s">
        <v>100</v>
      </c>
    </row>
    <row r="105" spans="1:5" x14ac:dyDescent="0.25">
      <c r="A105" s="14">
        <v>42512.609907407408</v>
      </c>
      <c r="B105" t="s">
        <v>92</v>
      </c>
      <c r="C105" t="s">
        <v>461</v>
      </c>
      <c r="D105">
        <v>1120000</v>
      </c>
      <c r="E105" t="s">
        <v>522</v>
      </c>
    </row>
    <row r="106" spans="1:5" x14ac:dyDescent="0.25">
      <c r="A106" s="14">
        <v>42512.709097222221</v>
      </c>
      <c r="B106" t="s">
        <v>118</v>
      </c>
      <c r="C106" t="s">
        <v>366</v>
      </c>
      <c r="D106">
        <v>1770000</v>
      </c>
      <c r="E106" t="s">
        <v>100</v>
      </c>
    </row>
    <row r="107" spans="1:5" x14ac:dyDescent="0.25">
      <c r="A107" s="14">
        <v>42512.55296296296</v>
      </c>
      <c r="B107" t="s">
        <v>65</v>
      </c>
      <c r="C107" t="s">
        <v>533</v>
      </c>
      <c r="D107">
        <v>880000</v>
      </c>
      <c r="E107" t="s">
        <v>111</v>
      </c>
    </row>
    <row r="108" spans="1:5" x14ac:dyDescent="0.25">
      <c r="A108" s="14">
        <v>42512.716932870368</v>
      </c>
      <c r="B108" t="s">
        <v>93</v>
      </c>
      <c r="C108" t="s">
        <v>483</v>
      </c>
      <c r="D108">
        <v>970000</v>
      </c>
      <c r="E108" t="s">
        <v>190</v>
      </c>
    </row>
    <row r="109" spans="1:5" x14ac:dyDescent="0.25">
      <c r="A109" s="14">
        <v>42512.509085648147</v>
      </c>
      <c r="B109" t="s">
        <v>529</v>
      </c>
      <c r="C109" t="s">
        <v>449</v>
      </c>
      <c r="D109">
        <v>1260000</v>
      </c>
      <c r="E109" t="s">
        <v>523</v>
      </c>
    </row>
    <row r="110" spans="1:5" x14ac:dyDescent="0.25">
      <c r="A110" s="14">
        <v>42512.316712962966</v>
      </c>
      <c r="B110" t="s">
        <v>131</v>
      </c>
      <c r="C110" t="s">
        <v>410</v>
      </c>
      <c r="D110">
        <v>1100000</v>
      </c>
      <c r="E110" t="s">
        <v>129</v>
      </c>
    </row>
    <row r="111" spans="1:5" x14ac:dyDescent="0.25">
      <c r="A111" s="14">
        <v>42512.307013888887</v>
      </c>
      <c r="B111" t="s">
        <v>92</v>
      </c>
      <c r="C111" t="s">
        <v>338</v>
      </c>
      <c r="D111">
        <v>1510000</v>
      </c>
      <c r="E111" t="s">
        <v>528</v>
      </c>
    </row>
    <row r="112" spans="1:5" x14ac:dyDescent="0.25">
      <c r="A112" s="14">
        <v>42512.426076388889</v>
      </c>
      <c r="B112" t="s">
        <v>120</v>
      </c>
      <c r="C112" t="s">
        <v>429</v>
      </c>
      <c r="D112">
        <v>1260000</v>
      </c>
      <c r="E112" t="s">
        <v>523</v>
      </c>
    </row>
    <row r="113" spans="1:5" x14ac:dyDescent="0.25">
      <c r="A113" s="14">
        <v>42512.80395833333</v>
      </c>
      <c r="B113" t="s">
        <v>142</v>
      </c>
      <c r="C113" t="s">
        <v>492</v>
      </c>
      <c r="D113">
        <v>1280000</v>
      </c>
      <c r="E113" t="s">
        <v>63</v>
      </c>
    </row>
    <row r="114" spans="1:5" x14ac:dyDescent="0.25">
      <c r="A114" s="14">
        <v>42512.789849537039</v>
      </c>
      <c r="B114" t="s">
        <v>93</v>
      </c>
      <c r="C114" t="s">
        <v>494</v>
      </c>
      <c r="D114">
        <v>970000</v>
      </c>
      <c r="E114" t="s">
        <v>190</v>
      </c>
    </row>
    <row r="115" spans="1:5" x14ac:dyDescent="0.25">
      <c r="A115" s="14">
        <v>42512.655370370368</v>
      </c>
      <c r="B115" t="s">
        <v>142</v>
      </c>
      <c r="C115" t="s">
        <v>364</v>
      </c>
      <c r="D115">
        <v>1490000</v>
      </c>
      <c r="E115" t="s">
        <v>524</v>
      </c>
    </row>
    <row r="116" spans="1:5" x14ac:dyDescent="0.25">
      <c r="A116" s="14">
        <v>42513.036817129629</v>
      </c>
      <c r="B116" t="s">
        <v>93</v>
      </c>
      <c r="C116" t="s">
        <v>520</v>
      </c>
      <c r="D116">
        <v>970000</v>
      </c>
      <c r="E116" t="s">
        <v>190</v>
      </c>
    </row>
    <row r="117" spans="1:5" x14ac:dyDescent="0.25">
      <c r="A117" s="14">
        <v>42512.620555555557</v>
      </c>
      <c r="B117" t="s">
        <v>139</v>
      </c>
      <c r="C117" t="s">
        <v>467</v>
      </c>
      <c r="D117">
        <v>1490000</v>
      </c>
      <c r="E117" t="s">
        <v>524</v>
      </c>
    </row>
    <row r="118" spans="1:5" x14ac:dyDescent="0.25">
      <c r="A118" s="14">
        <v>42512.318402777775</v>
      </c>
      <c r="B118" t="s">
        <v>139</v>
      </c>
      <c r="C118" t="s">
        <v>341</v>
      </c>
      <c r="D118">
        <v>1430000</v>
      </c>
      <c r="E118" t="s">
        <v>130</v>
      </c>
    </row>
    <row r="119" spans="1:5" x14ac:dyDescent="0.25">
      <c r="A119" s="14">
        <v>42512.614074074074</v>
      </c>
      <c r="B119" t="s">
        <v>133</v>
      </c>
      <c r="C119" t="s">
        <v>362</v>
      </c>
      <c r="D119">
        <v>950000</v>
      </c>
      <c r="E119" t="s">
        <v>521</v>
      </c>
    </row>
    <row r="120" spans="1:5" x14ac:dyDescent="0.25">
      <c r="A120" s="14">
        <v>42512.592152777775</v>
      </c>
      <c r="B120" t="s">
        <v>64</v>
      </c>
      <c r="C120" t="s">
        <v>531</v>
      </c>
      <c r="D120">
        <v>880000</v>
      </c>
      <c r="E120" t="s">
        <v>111</v>
      </c>
    </row>
    <row r="121" spans="1:5" x14ac:dyDescent="0.25">
      <c r="A121" s="14">
        <v>42512.599432870367</v>
      </c>
      <c r="B121" t="s">
        <v>119</v>
      </c>
      <c r="C121" t="s">
        <v>360</v>
      </c>
      <c r="D121">
        <v>1770000</v>
      </c>
      <c r="E121" t="s">
        <v>100</v>
      </c>
    </row>
    <row r="122" spans="1:5" x14ac:dyDescent="0.25">
      <c r="A122" s="14">
        <v>42512.849351851852</v>
      </c>
      <c r="B122" t="s">
        <v>131</v>
      </c>
      <c r="C122" t="s">
        <v>496</v>
      </c>
      <c r="D122">
        <v>1140000</v>
      </c>
      <c r="E122" t="s">
        <v>62</v>
      </c>
    </row>
    <row r="123" spans="1:5" x14ac:dyDescent="0.25">
      <c r="A123" s="14">
        <v>42512.337384259263</v>
      </c>
      <c r="B123" t="s">
        <v>118</v>
      </c>
      <c r="C123" t="s">
        <v>412</v>
      </c>
      <c r="D123">
        <v>1780000</v>
      </c>
      <c r="E123" t="s">
        <v>112</v>
      </c>
    </row>
    <row r="124" spans="1:5" x14ac:dyDescent="0.25">
      <c r="A124" s="14">
        <v>42513.037847222222</v>
      </c>
      <c r="B124" t="s">
        <v>93</v>
      </c>
      <c r="C124" t="s">
        <v>520</v>
      </c>
      <c r="D124">
        <v>970000</v>
      </c>
      <c r="E124" t="s">
        <v>190</v>
      </c>
    </row>
    <row r="125" spans="1:5" x14ac:dyDescent="0.25">
      <c r="A125" s="14">
        <v>42512.188703703701</v>
      </c>
      <c r="B125" t="s">
        <v>93</v>
      </c>
      <c r="C125" t="s">
        <v>330</v>
      </c>
      <c r="D125">
        <v>1510000</v>
      </c>
      <c r="E125" t="s">
        <v>528</v>
      </c>
    </row>
    <row r="126" spans="1:5" x14ac:dyDescent="0.25">
      <c r="A126" s="14">
        <v>42512.183333333334</v>
      </c>
      <c r="B126" t="s">
        <v>118</v>
      </c>
      <c r="C126" t="s">
        <v>387</v>
      </c>
      <c r="D126">
        <v>1780000</v>
      </c>
      <c r="E126" t="s">
        <v>112</v>
      </c>
    </row>
    <row r="127" spans="1:5" x14ac:dyDescent="0.25">
      <c r="A127" s="14">
        <v>42513.016192129631</v>
      </c>
      <c r="B127" t="s">
        <v>131</v>
      </c>
      <c r="C127" t="s">
        <v>516</v>
      </c>
      <c r="D127">
        <v>1140000</v>
      </c>
      <c r="E127" t="s">
        <v>62</v>
      </c>
    </row>
    <row r="128" spans="1:5" x14ac:dyDescent="0.25">
      <c r="A128" s="14">
        <v>42512.379293981481</v>
      </c>
      <c r="B128" t="s">
        <v>92</v>
      </c>
      <c r="C128" t="s">
        <v>418</v>
      </c>
      <c r="D128">
        <v>1510000</v>
      </c>
      <c r="E128" t="s">
        <v>528</v>
      </c>
    </row>
    <row r="129" spans="1:5" x14ac:dyDescent="0.25">
      <c r="A129" s="14">
        <v>42512.995775462965</v>
      </c>
      <c r="B129" t="s">
        <v>133</v>
      </c>
      <c r="C129" t="s">
        <v>374</v>
      </c>
      <c r="D129">
        <v>1540000</v>
      </c>
      <c r="E129" t="s">
        <v>526</v>
      </c>
    </row>
    <row r="130" spans="1:5" x14ac:dyDescent="0.25">
      <c r="A130" s="14">
        <v>42512.389467592591</v>
      </c>
      <c r="B130" t="s">
        <v>131</v>
      </c>
      <c r="C130" t="s">
        <v>419</v>
      </c>
      <c r="D130">
        <v>1100000</v>
      </c>
      <c r="E130" t="s">
        <v>129</v>
      </c>
    </row>
    <row r="131" spans="1:5" x14ac:dyDescent="0.25">
      <c r="A131" s="14">
        <v>42512.911261574074</v>
      </c>
      <c r="B131" t="s">
        <v>133</v>
      </c>
      <c r="C131" t="s">
        <v>509</v>
      </c>
      <c r="D131">
        <v>1540000</v>
      </c>
      <c r="E131" t="s">
        <v>526</v>
      </c>
    </row>
    <row r="132" spans="1:5" x14ac:dyDescent="0.25">
      <c r="A132" s="14">
        <v>42512.392141203702</v>
      </c>
      <c r="B132" t="s">
        <v>139</v>
      </c>
      <c r="C132" t="s">
        <v>424</v>
      </c>
      <c r="D132">
        <v>1430000</v>
      </c>
      <c r="E132" t="s">
        <v>130</v>
      </c>
    </row>
    <row r="133" spans="1:5" x14ac:dyDescent="0.25">
      <c r="A133" s="14">
        <v>42512.868819444448</v>
      </c>
      <c r="B133" t="s">
        <v>132</v>
      </c>
      <c r="C133" t="s">
        <v>499</v>
      </c>
      <c r="D133">
        <v>1540000</v>
      </c>
      <c r="E133" t="s">
        <v>526</v>
      </c>
    </row>
    <row r="134" spans="1:5" x14ac:dyDescent="0.25">
      <c r="A134" s="14">
        <v>42512.403819444444</v>
      </c>
      <c r="B134" t="s">
        <v>118</v>
      </c>
      <c r="C134" t="s">
        <v>425</v>
      </c>
      <c r="D134">
        <v>1780000</v>
      </c>
      <c r="E134" t="s">
        <v>112</v>
      </c>
    </row>
    <row r="135" spans="1:5" x14ac:dyDescent="0.25">
      <c r="A135" s="14">
        <v>42512.847777777781</v>
      </c>
      <c r="B135" t="s">
        <v>131</v>
      </c>
      <c r="C135" t="s">
        <v>496</v>
      </c>
      <c r="D135">
        <v>1140000</v>
      </c>
      <c r="E135" t="s">
        <v>62</v>
      </c>
    </row>
    <row r="136" spans="1:5" x14ac:dyDescent="0.25">
      <c r="A136" s="14">
        <v>42512.527326388888</v>
      </c>
      <c r="B136" t="s">
        <v>64</v>
      </c>
      <c r="C136" t="s">
        <v>354</v>
      </c>
      <c r="D136">
        <v>880000</v>
      </c>
      <c r="E136" t="s">
        <v>111</v>
      </c>
    </row>
    <row r="137" spans="1:5" x14ac:dyDescent="0.25">
      <c r="A137" s="14">
        <v>42512.753761574073</v>
      </c>
      <c r="B137" t="s">
        <v>116</v>
      </c>
      <c r="C137" t="s">
        <v>371</v>
      </c>
      <c r="D137">
        <v>1500000</v>
      </c>
      <c r="E137" t="s">
        <v>534</v>
      </c>
    </row>
    <row r="138" spans="1:5" x14ac:dyDescent="0.25">
      <c r="A138" s="14">
        <v>42512.583483796298</v>
      </c>
      <c r="B138" t="s">
        <v>142</v>
      </c>
      <c r="C138" t="s">
        <v>457</v>
      </c>
      <c r="D138">
        <v>1490000</v>
      </c>
      <c r="E138" t="s">
        <v>524</v>
      </c>
    </row>
    <row r="139" spans="1:5" x14ac:dyDescent="0.25">
      <c r="A139" s="14">
        <v>42512.64402777778</v>
      </c>
      <c r="B139" t="s">
        <v>93</v>
      </c>
      <c r="C139" t="s">
        <v>470</v>
      </c>
      <c r="D139">
        <v>1120000</v>
      </c>
      <c r="E139" t="s">
        <v>522</v>
      </c>
    </row>
    <row r="140" spans="1:5" x14ac:dyDescent="0.25">
      <c r="A140" s="14">
        <v>42512.632662037038</v>
      </c>
      <c r="B140" t="s">
        <v>65</v>
      </c>
      <c r="C140" t="s">
        <v>525</v>
      </c>
      <c r="D140">
        <v>880000</v>
      </c>
      <c r="E140" t="s">
        <v>111</v>
      </c>
    </row>
    <row r="141" spans="1:5" x14ac:dyDescent="0.25">
      <c r="A141" s="14">
        <v>42512.545775462961</v>
      </c>
      <c r="B141" t="s">
        <v>139</v>
      </c>
      <c r="C141" t="s">
        <v>456</v>
      </c>
      <c r="D141">
        <v>1490000</v>
      </c>
      <c r="E141" t="s">
        <v>524</v>
      </c>
    </row>
    <row r="142" spans="1:5" x14ac:dyDescent="0.25">
      <c r="A142" s="14">
        <v>42512.633703703701</v>
      </c>
      <c r="B142" t="s">
        <v>118</v>
      </c>
      <c r="C142" t="s">
        <v>363</v>
      </c>
      <c r="D142">
        <v>1770000</v>
      </c>
      <c r="E142" t="s">
        <v>100</v>
      </c>
    </row>
    <row r="143" spans="1:5" x14ac:dyDescent="0.25">
      <c r="A143" s="14">
        <v>42512.441307870373</v>
      </c>
      <c r="B143" t="s">
        <v>119</v>
      </c>
      <c r="C143" t="s">
        <v>348</v>
      </c>
      <c r="D143">
        <v>1780000</v>
      </c>
      <c r="E143" t="s">
        <v>112</v>
      </c>
    </row>
    <row r="144" spans="1:5" x14ac:dyDescent="0.25">
      <c r="A144" s="14">
        <v>42512.656840277778</v>
      </c>
      <c r="B144" t="s">
        <v>529</v>
      </c>
      <c r="C144" t="s">
        <v>474</v>
      </c>
      <c r="D144">
        <v>1260000</v>
      </c>
      <c r="E144" t="s">
        <v>523</v>
      </c>
    </row>
    <row r="145" spans="1:5" x14ac:dyDescent="0.25">
      <c r="A145" s="14">
        <v>42512.401550925926</v>
      </c>
      <c r="B145" t="s">
        <v>65</v>
      </c>
      <c r="C145" t="s">
        <v>420</v>
      </c>
      <c r="D145">
        <v>1300000</v>
      </c>
      <c r="E145" t="s">
        <v>113</v>
      </c>
    </row>
    <row r="146" spans="1:5" x14ac:dyDescent="0.25">
      <c r="A146" s="14">
        <v>42512.67391203704</v>
      </c>
      <c r="B146" t="s">
        <v>116</v>
      </c>
      <c r="C146" t="s">
        <v>475</v>
      </c>
      <c r="D146">
        <v>1830000</v>
      </c>
      <c r="E146" t="s">
        <v>140</v>
      </c>
    </row>
    <row r="147" spans="1:5" x14ac:dyDescent="0.25">
      <c r="A147" s="14">
        <v>42512.799016203702</v>
      </c>
      <c r="B147" t="s">
        <v>132</v>
      </c>
      <c r="C147" t="s">
        <v>372</v>
      </c>
      <c r="D147">
        <v>1540000</v>
      </c>
      <c r="E147" t="s">
        <v>526</v>
      </c>
    </row>
    <row r="148" spans="1:5" x14ac:dyDescent="0.25">
      <c r="A148" s="14">
        <v>42512.724432870367</v>
      </c>
      <c r="B148" t="s">
        <v>132</v>
      </c>
      <c r="C148" t="s">
        <v>479</v>
      </c>
      <c r="D148">
        <v>950000</v>
      </c>
      <c r="E148" t="s">
        <v>521</v>
      </c>
    </row>
    <row r="149" spans="1:5" x14ac:dyDescent="0.25">
      <c r="A149" s="14">
        <v>42512.704398148147</v>
      </c>
      <c r="B149" t="s">
        <v>65</v>
      </c>
      <c r="C149" t="s">
        <v>532</v>
      </c>
      <c r="D149">
        <v>880000</v>
      </c>
      <c r="E149" t="s">
        <v>111</v>
      </c>
    </row>
    <row r="150" spans="1:5" x14ac:dyDescent="0.25">
      <c r="A150" s="14">
        <v>42512.725648148145</v>
      </c>
      <c r="B150" t="s">
        <v>142</v>
      </c>
      <c r="C150" t="s">
        <v>481</v>
      </c>
      <c r="D150">
        <v>1490000</v>
      </c>
      <c r="E150" t="s">
        <v>524</v>
      </c>
    </row>
    <row r="151" spans="1:5" x14ac:dyDescent="0.25">
      <c r="A151" s="14">
        <v>42512.671620370369</v>
      </c>
      <c r="B151" t="s">
        <v>64</v>
      </c>
      <c r="C151" t="s">
        <v>535</v>
      </c>
      <c r="D151">
        <v>880000</v>
      </c>
      <c r="E151" t="s">
        <v>111</v>
      </c>
    </row>
    <row r="152" spans="1:5" x14ac:dyDescent="0.25">
      <c r="A152" s="14">
        <v>42512.740601851852</v>
      </c>
      <c r="B152" t="s">
        <v>64</v>
      </c>
      <c r="C152" t="s">
        <v>487</v>
      </c>
      <c r="D152">
        <v>880000</v>
      </c>
      <c r="E152" t="s">
        <v>111</v>
      </c>
    </row>
    <row r="153" spans="1:5" x14ac:dyDescent="0.25">
      <c r="A153" s="14">
        <v>42512.654108796298</v>
      </c>
      <c r="B153" t="s">
        <v>132</v>
      </c>
      <c r="C153" t="s">
        <v>466</v>
      </c>
      <c r="D153">
        <v>950000</v>
      </c>
      <c r="E153" t="s">
        <v>521</v>
      </c>
    </row>
    <row r="154" spans="1:5" x14ac:dyDescent="0.25">
      <c r="A154" s="14">
        <v>42512.74324074074</v>
      </c>
      <c r="B154" t="s">
        <v>119</v>
      </c>
      <c r="C154" t="s">
        <v>369</v>
      </c>
      <c r="D154">
        <v>1770000</v>
      </c>
      <c r="E154" t="s">
        <v>100</v>
      </c>
    </row>
    <row r="155" spans="1:5" x14ac:dyDescent="0.25">
      <c r="A155" s="14">
        <v>42512.629803240743</v>
      </c>
      <c r="B155" t="s">
        <v>65</v>
      </c>
      <c r="C155" t="s">
        <v>525</v>
      </c>
      <c r="D155">
        <v>880000</v>
      </c>
      <c r="E155" t="s">
        <v>111</v>
      </c>
    </row>
    <row r="156" spans="1:5" x14ac:dyDescent="0.25">
      <c r="A156" s="14">
        <v>42512.744189814817</v>
      </c>
      <c r="B156" t="s">
        <v>119</v>
      </c>
      <c r="C156" t="s">
        <v>369</v>
      </c>
      <c r="D156">
        <v>1770000</v>
      </c>
      <c r="E156" t="s">
        <v>100</v>
      </c>
    </row>
    <row r="157" spans="1:5" x14ac:dyDescent="0.25">
      <c r="A157" s="14">
        <v>42512.58016203704</v>
      </c>
      <c r="B157" t="s">
        <v>132</v>
      </c>
      <c r="C157" t="s">
        <v>455</v>
      </c>
      <c r="D157">
        <v>950000</v>
      </c>
      <c r="E157" t="s">
        <v>521</v>
      </c>
    </row>
    <row r="158" spans="1:5" x14ac:dyDescent="0.25">
      <c r="A158" s="14">
        <v>42512.750451388885</v>
      </c>
      <c r="B158" t="s">
        <v>92</v>
      </c>
      <c r="C158" t="s">
        <v>484</v>
      </c>
      <c r="D158">
        <v>970000</v>
      </c>
      <c r="E158" t="s">
        <v>190</v>
      </c>
    </row>
    <row r="159" spans="1:5" x14ac:dyDescent="0.25">
      <c r="A159" s="14">
        <v>42512.562384259261</v>
      </c>
      <c r="B159" t="s">
        <v>118</v>
      </c>
      <c r="C159" t="s">
        <v>458</v>
      </c>
      <c r="D159">
        <v>1770000</v>
      </c>
      <c r="E159" t="s">
        <v>100</v>
      </c>
    </row>
    <row r="160" spans="1:5" x14ac:dyDescent="0.25">
      <c r="A160" s="14">
        <v>42512.777233796296</v>
      </c>
      <c r="B160" t="s">
        <v>65</v>
      </c>
      <c r="C160" t="s">
        <v>536</v>
      </c>
      <c r="D160">
        <v>880000</v>
      </c>
      <c r="E160" t="s">
        <v>111</v>
      </c>
    </row>
    <row r="161" spans="1:5" x14ac:dyDescent="0.25">
      <c r="A161" s="14">
        <v>42512.527824074074</v>
      </c>
      <c r="B161" t="s">
        <v>92</v>
      </c>
      <c r="C161" t="s">
        <v>447</v>
      </c>
      <c r="D161">
        <v>1120000</v>
      </c>
      <c r="E161" t="s">
        <v>522</v>
      </c>
    </row>
    <row r="162" spans="1:5" x14ac:dyDescent="0.25">
      <c r="A162" s="14">
        <v>42512.787534722222</v>
      </c>
      <c r="B162" t="s">
        <v>114</v>
      </c>
      <c r="C162" t="s">
        <v>489</v>
      </c>
      <c r="D162">
        <v>1500000</v>
      </c>
      <c r="E162" t="s">
        <v>534</v>
      </c>
    </row>
    <row r="163" spans="1:5" x14ac:dyDescent="0.25">
      <c r="A163" s="14">
        <v>42512.463888888888</v>
      </c>
      <c r="B163" t="s">
        <v>131</v>
      </c>
      <c r="C163" t="s">
        <v>350</v>
      </c>
      <c r="D163">
        <v>1260000</v>
      </c>
      <c r="E163" t="s">
        <v>523</v>
      </c>
    </row>
    <row r="164" spans="1:5" x14ac:dyDescent="0.25">
      <c r="A164" s="14">
        <v>42512.800474537034</v>
      </c>
      <c r="B164" t="s">
        <v>132</v>
      </c>
      <c r="C164" t="s">
        <v>372</v>
      </c>
      <c r="D164">
        <v>1540000</v>
      </c>
      <c r="E164" t="s">
        <v>526</v>
      </c>
    </row>
    <row r="165" spans="1:5" x14ac:dyDescent="0.25">
      <c r="A165" s="14">
        <v>42512.409131944441</v>
      </c>
      <c r="B165" t="s">
        <v>114</v>
      </c>
      <c r="C165" t="s">
        <v>347</v>
      </c>
      <c r="D165">
        <v>1750000</v>
      </c>
      <c r="E165" t="s">
        <v>105</v>
      </c>
    </row>
    <row r="166" spans="1:5" x14ac:dyDescent="0.25">
      <c r="A166" s="14">
        <v>42512.80064814815</v>
      </c>
      <c r="B166" t="s">
        <v>120</v>
      </c>
      <c r="C166" t="s">
        <v>495</v>
      </c>
      <c r="D166">
        <v>1140000</v>
      </c>
      <c r="E166" t="s">
        <v>62</v>
      </c>
    </row>
    <row r="167" spans="1:5" x14ac:dyDescent="0.25">
      <c r="A167" s="14">
        <v>42512.403495370374</v>
      </c>
      <c r="B167" t="s">
        <v>65</v>
      </c>
      <c r="C167" t="s">
        <v>346</v>
      </c>
      <c r="D167">
        <v>1300000</v>
      </c>
      <c r="E167" t="s">
        <v>113</v>
      </c>
    </row>
    <row r="168" spans="1:5" x14ac:dyDescent="0.25">
      <c r="A168" s="14">
        <v>42512.867488425924</v>
      </c>
      <c r="B168" t="s">
        <v>132</v>
      </c>
      <c r="C168" t="s">
        <v>499</v>
      </c>
      <c r="D168">
        <v>1540000</v>
      </c>
      <c r="E168" t="s">
        <v>526</v>
      </c>
    </row>
    <row r="169" spans="1:5" x14ac:dyDescent="0.25">
      <c r="A169" s="14">
        <v>42512.36550925926</v>
      </c>
      <c r="B169" t="s">
        <v>64</v>
      </c>
      <c r="C169" t="s">
        <v>420</v>
      </c>
      <c r="D169">
        <v>1300000</v>
      </c>
      <c r="E169" t="s">
        <v>113</v>
      </c>
    </row>
    <row r="170" spans="1:5" x14ac:dyDescent="0.25">
      <c r="A170" s="14">
        <v>42512.889699074076</v>
      </c>
      <c r="B170" t="s">
        <v>120</v>
      </c>
      <c r="C170" t="s">
        <v>507</v>
      </c>
      <c r="D170">
        <v>1140000</v>
      </c>
      <c r="E170" t="s">
        <v>62</v>
      </c>
    </row>
    <row r="171" spans="1:5" x14ac:dyDescent="0.25">
      <c r="A171" s="14">
        <v>42512.300462962965</v>
      </c>
      <c r="B171" t="s">
        <v>116</v>
      </c>
      <c r="C171" t="s">
        <v>336</v>
      </c>
      <c r="D171">
        <v>1750000</v>
      </c>
      <c r="E171" t="s">
        <v>105</v>
      </c>
    </row>
    <row r="172" spans="1:5" x14ac:dyDescent="0.25">
      <c r="A172" s="14">
        <v>42512.8905787037</v>
      </c>
      <c r="B172" t="s">
        <v>119</v>
      </c>
      <c r="C172" t="s">
        <v>502</v>
      </c>
      <c r="D172">
        <v>1280000</v>
      </c>
      <c r="E172" t="s">
        <v>63</v>
      </c>
    </row>
    <row r="173" spans="1:5" x14ac:dyDescent="0.25">
      <c r="A173" s="14">
        <v>42512.280381944445</v>
      </c>
      <c r="B173" t="s">
        <v>120</v>
      </c>
      <c r="C173" t="s">
        <v>409</v>
      </c>
      <c r="D173">
        <v>1100000</v>
      </c>
      <c r="E173" t="s">
        <v>129</v>
      </c>
    </row>
    <row r="174" spans="1:5" x14ac:dyDescent="0.25">
      <c r="A174" s="14">
        <v>42512.950173611112</v>
      </c>
      <c r="B174" t="s">
        <v>92</v>
      </c>
      <c r="C174" t="s">
        <v>505</v>
      </c>
      <c r="D174">
        <v>970000</v>
      </c>
      <c r="E174" t="s">
        <v>190</v>
      </c>
    </row>
    <row r="175" spans="1:5" x14ac:dyDescent="0.25">
      <c r="A175" s="14">
        <v>42512.152326388888</v>
      </c>
      <c r="B175" t="s">
        <v>116</v>
      </c>
      <c r="C175" t="s">
        <v>329</v>
      </c>
      <c r="D175">
        <v>1760000</v>
      </c>
      <c r="E175" t="s">
        <v>143</v>
      </c>
    </row>
    <row r="176" spans="1:5" x14ac:dyDescent="0.25">
      <c r="A176" s="14">
        <v>42512.996898148151</v>
      </c>
      <c r="B176" t="s">
        <v>92</v>
      </c>
      <c r="C176" t="s">
        <v>514</v>
      </c>
      <c r="D176">
        <v>970000</v>
      </c>
      <c r="E176" t="s">
        <v>190</v>
      </c>
    </row>
    <row r="177" spans="1:5" x14ac:dyDescent="0.25">
      <c r="A177" s="14">
        <v>42512.273402777777</v>
      </c>
      <c r="B177" t="s">
        <v>334</v>
      </c>
      <c r="C177" t="s">
        <v>335</v>
      </c>
      <c r="D177">
        <v>1760000</v>
      </c>
      <c r="E177" t="s">
        <v>143</v>
      </c>
    </row>
    <row r="178" spans="1:5" x14ac:dyDescent="0.25">
      <c r="A178" s="14">
        <v>42513.055937500001</v>
      </c>
      <c r="B178" t="s">
        <v>119</v>
      </c>
      <c r="C178" t="s">
        <v>519</v>
      </c>
      <c r="D178">
        <v>1280000</v>
      </c>
      <c r="E178" t="s">
        <v>63</v>
      </c>
    </row>
    <row r="179" spans="1:5" x14ac:dyDescent="0.25">
      <c r="A179" s="14">
        <v>42512.450740740744</v>
      </c>
      <c r="B179" t="s">
        <v>116</v>
      </c>
      <c r="C179" t="s">
        <v>434</v>
      </c>
      <c r="D179">
        <v>1830000</v>
      </c>
      <c r="E179" t="s">
        <v>140</v>
      </c>
    </row>
    <row r="181" spans="1:5" x14ac:dyDescent="0.25">
      <c r="A181" s="14">
        <v>42509.482222222221</v>
      </c>
      <c r="B181" t="s">
        <v>142</v>
      </c>
      <c r="C181" t="s">
        <v>225</v>
      </c>
      <c r="D181">
        <v>1100000</v>
      </c>
      <c r="E181" t="s">
        <v>129</v>
      </c>
    </row>
    <row r="182" spans="1:5" x14ac:dyDescent="0.25">
      <c r="A182" s="14">
        <v>42509.588854166665</v>
      </c>
      <c r="B182" t="s">
        <v>121</v>
      </c>
      <c r="C182" t="s">
        <v>226</v>
      </c>
      <c r="D182">
        <v>1280000</v>
      </c>
      <c r="E182" t="s">
        <v>63</v>
      </c>
    </row>
    <row r="183" spans="1:5" x14ac:dyDescent="0.25">
      <c r="A183" s="14">
        <v>42509.554016203707</v>
      </c>
      <c r="B183" t="s">
        <v>131</v>
      </c>
      <c r="C183" t="s">
        <v>227</v>
      </c>
      <c r="D183">
        <v>1770000</v>
      </c>
      <c r="E183" t="s">
        <v>100</v>
      </c>
    </row>
    <row r="184" spans="1:5" x14ac:dyDescent="0.25">
      <c r="A184" s="14">
        <v>42509.553287037037</v>
      </c>
      <c r="B184" t="s">
        <v>93</v>
      </c>
      <c r="C184" t="s">
        <v>228</v>
      </c>
      <c r="D184">
        <v>1090000</v>
      </c>
      <c r="E184" t="s">
        <v>189</v>
      </c>
    </row>
    <row r="185" spans="1:5" x14ac:dyDescent="0.25">
      <c r="A185" s="14">
        <v>42509.578263888892</v>
      </c>
      <c r="B185" t="s">
        <v>118</v>
      </c>
      <c r="C185" t="s">
        <v>229</v>
      </c>
      <c r="D185">
        <v>1290000</v>
      </c>
      <c r="E185" t="s">
        <v>164</v>
      </c>
    </row>
    <row r="186" spans="1:5" x14ac:dyDescent="0.25">
      <c r="A186" s="14">
        <v>42509.550243055557</v>
      </c>
      <c r="B186" t="s">
        <v>132</v>
      </c>
      <c r="C186" t="s">
        <v>230</v>
      </c>
      <c r="D186">
        <v>1750000</v>
      </c>
      <c r="E186" t="s">
        <v>105</v>
      </c>
    </row>
    <row r="187" spans="1:5" x14ac:dyDescent="0.25">
      <c r="A187" s="14">
        <v>42509.586018518516</v>
      </c>
      <c r="B187" t="s">
        <v>133</v>
      </c>
      <c r="C187" t="s">
        <v>216</v>
      </c>
      <c r="D187">
        <v>1780000</v>
      </c>
      <c r="E187" t="s">
        <v>112</v>
      </c>
    </row>
    <row r="188" spans="1:5" x14ac:dyDescent="0.25">
      <c r="A188" s="14">
        <v>42509.526863425926</v>
      </c>
      <c r="B188" t="s">
        <v>139</v>
      </c>
      <c r="C188" t="s">
        <v>231</v>
      </c>
      <c r="D188">
        <v>1140000</v>
      </c>
      <c r="E188" t="s">
        <v>62</v>
      </c>
    </row>
    <row r="189" spans="1:5" x14ac:dyDescent="0.25">
      <c r="A189" s="14">
        <v>42509.660694444443</v>
      </c>
      <c r="B189" t="s">
        <v>121</v>
      </c>
      <c r="C189" t="s">
        <v>232</v>
      </c>
      <c r="D189">
        <v>1280000</v>
      </c>
      <c r="E189" t="s">
        <v>63</v>
      </c>
    </row>
    <row r="190" spans="1:5" x14ac:dyDescent="0.25">
      <c r="A190" s="14">
        <v>42509.50712962963</v>
      </c>
      <c r="B190" t="s">
        <v>92</v>
      </c>
      <c r="C190" t="s">
        <v>233</v>
      </c>
      <c r="D190">
        <v>1090000</v>
      </c>
      <c r="E190" t="s">
        <v>189</v>
      </c>
    </row>
    <row r="191" spans="1:5" x14ac:dyDescent="0.25">
      <c r="A191" s="14">
        <v>42509.690671296295</v>
      </c>
      <c r="B191" t="s">
        <v>119</v>
      </c>
      <c r="C191" t="s">
        <v>219</v>
      </c>
      <c r="D191">
        <v>1290000</v>
      </c>
      <c r="E191" t="s">
        <v>164</v>
      </c>
    </row>
    <row r="192" spans="1:5" x14ac:dyDescent="0.25">
      <c r="A192" s="14">
        <v>42509.494108796294</v>
      </c>
      <c r="B192" t="s">
        <v>121</v>
      </c>
      <c r="C192" t="s">
        <v>224</v>
      </c>
      <c r="D192">
        <v>1200000</v>
      </c>
      <c r="E192" t="s">
        <v>193</v>
      </c>
    </row>
    <row r="193" spans="1:5" x14ac:dyDescent="0.25">
      <c r="A193" s="14">
        <v>42509.703530092593</v>
      </c>
      <c r="B193" t="s">
        <v>119</v>
      </c>
      <c r="C193" t="s">
        <v>219</v>
      </c>
      <c r="D193">
        <v>1290000</v>
      </c>
      <c r="E193" t="s">
        <v>164</v>
      </c>
    </row>
    <row r="194" spans="1:5" x14ac:dyDescent="0.25">
      <c r="A194" s="14">
        <v>42509.722222222219</v>
      </c>
      <c r="B194" t="s">
        <v>142</v>
      </c>
      <c r="C194" t="s">
        <v>215</v>
      </c>
      <c r="D194">
        <v>1140000</v>
      </c>
      <c r="E194" t="s">
        <v>62</v>
      </c>
    </row>
    <row r="195" spans="1:5" x14ac:dyDescent="0.25">
      <c r="A195" s="14">
        <v>42509.819861111115</v>
      </c>
      <c r="B195" t="s">
        <v>131</v>
      </c>
      <c r="C195" t="s">
        <v>234</v>
      </c>
      <c r="D195">
        <v>1770000</v>
      </c>
      <c r="E195" t="s">
        <v>100</v>
      </c>
    </row>
    <row r="196" spans="1:5" x14ac:dyDescent="0.25">
      <c r="A196" s="14">
        <v>42509.687442129631</v>
      </c>
      <c r="B196" t="s">
        <v>139</v>
      </c>
      <c r="C196" t="s">
        <v>235</v>
      </c>
      <c r="D196">
        <v>1140000</v>
      </c>
      <c r="E196" t="s">
        <v>62</v>
      </c>
    </row>
    <row r="197" spans="1:5" x14ac:dyDescent="0.25">
      <c r="A197" s="14">
        <v>42509.906284722223</v>
      </c>
      <c r="B197" t="s">
        <v>139</v>
      </c>
      <c r="C197" t="s">
        <v>236</v>
      </c>
      <c r="D197">
        <v>1840000</v>
      </c>
      <c r="E197" t="s">
        <v>213</v>
      </c>
    </row>
    <row r="198" spans="1:5" x14ac:dyDescent="0.25">
      <c r="A198" s="14">
        <v>42509.630902777775</v>
      </c>
      <c r="B198" t="s">
        <v>132</v>
      </c>
      <c r="C198" t="s">
        <v>211</v>
      </c>
      <c r="D198">
        <v>1780000</v>
      </c>
      <c r="E198" t="s">
        <v>112</v>
      </c>
    </row>
    <row r="199" spans="1:5" x14ac:dyDescent="0.25">
      <c r="A199" s="14">
        <v>42510.224629629629</v>
      </c>
      <c r="B199" t="s">
        <v>142</v>
      </c>
      <c r="C199" t="s">
        <v>237</v>
      </c>
      <c r="D199">
        <v>1110000</v>
      </c>
      <c r="E199" t="s">
        <v>128</v>
      </c>
    </row>
    <row r="200" spans="1:5" x14ac:dyDescent="0.25">
      <c r="A200" s="14">
        <v>42509.35659722222</v>
      </c>
      <c r="B200" t="s">
        <v>132</v>
      </c>
      <c r="C200" t="s">
        <v>238</v>
      </c>
      <c r="D200">
        <v>1430000</v>
      </c>
      <c r="E200" t="s">
        <v>130</v>
      </c>
    </row>
    <row r="201" spans="1:5" x14ac:dyDescent="0.25">
      <c r="A201" s="14">
        <v>42510.264085648145</v>
      </c>
      <c r="B201" t="s">
        <v>121</v>
      </c>
      <c r="C201" t="s">
        <v>239</v>
      </c>
      <c r="D201">
        <v>1360000</v>
      </c>
      <c r="E201" t="s">
        <v>221</v>
      </c>
    </row>
    <row r="202" spans="1:5" x14ac:dyDescent="0.25">
      <c r="A202" s="14">
        <v>42509.168993055559</v>
      </c>
      <c r="B202" t="s">
        <v>131</v>
      </c>
      <c r="C202" t="s">
        <v>195</v>
      </c>
      <c r="D202">
        <v>1300000</v>
      </c>
      <c r="E202" t="s">
        <v>113</v>
      </c>
    </row>
    <row r="203" spans="1:5" x14ac:dyDescent="0.25">
      <c r="A203" s="14">
        <v>42509.575937499998</v>
      </c>
      <c r="B203" t="s">
        <v>142</v>
      </c>
      <c r="C203" t="s">
        <v>218</v>
      </c>
      <c r="D203">
        <v>1140000</v>
      </c>
      <c r="E203" t="s">
        <v>62</v>
      </c>
    </row>
    <row r="204" spans="1:5" x14ac:dyDescent="0.25">
      <c r="A204" s="14">
        <v>42509.156747685185</v>
      </c>
      <c r="B204" t="s">
        <v>139</v>
      </c>
      <c r="C204" t="s">
        <v>194</v>
      </c>
      <c r="D204">
        <v>1110000</v>
      </c>
      <c r="E204" t="s">
        <v>128</v>
      </c>
    </row>
    <row r="205" spans="1:5" x14ac:dyDescent="0.25">
      <c r="A205" s="14">
        <v>42509.704363425924</v>
      </c>
      <c r="B205" t="s">
        <v>93</v>
      </c>
      <c r="C205" t="s">
        <v>240</v>
      </c>
      <c r="D205">
        <v>1090000</v>
      </c>
      <c r="E205" t="s">
        <v>189</v>
      </c>
    </row>
    <row r="206" spans="1:5" x14ac:dyDescent="0.25">
      <c r="A206" s="14">
        <v>42509.86346064815</v>
      </c>
      <c r="B206" t="s">
        <v>142</v>
      </c>
      <c r="C206" t="s">
        <v>212</v>
      </c>
      <c r="D206">
        <v>1840000</v>
      </c>
      <c r="E206" t="s">
        <v>213</v>
      </c>
    </row>
    <row r="207" spans="1:5" x14ac:dyDescent="0.25">
      <c r="A207" s="14">
        <v>42509.98578703704</v>
      </c>
      <c r="B207" t="s">
        <v>139</v>
      </c>
      <c r="C207" t="s">
        <v>241</v>
      </c>
      <c r="D207">
        <v>1840000</v>
      </c>
      <c r="E207" t="s">
        <v>213</v>
      </c>
    </row>
    <row r="208" spans="1:5" x14ac:dyDescent="0.25">
      <c r="A208" s="14">
        <v>42509.831250000003</v>
      </c>
      <c r="B208" t="s">
        <v>139</v>
      </c>
      <c r="C208" t="s">
        <v>242</v>
      </c>
      <c r="D208">
        <v>1840000</v>
      </c>
      <c r="E208" t="s">
        <v>213</v>
      </c>
    </row>
    <row r="209" spans="1:5" x14ac:dyDescent="0.25">
      <c r="A209" s="14">
        <v>42510.047488425924</v>
      </c>
      <c r="B209" t="s">
        <v>133</v>
      </c>
      <c r="C209" t="s">
        <v>243</v>
      </c>
      <c r="D209">
        <v>1820000</v>
      </c>
      <c r="E209" t="s">
        <v>141</v>
      </c>
    </row>
    <row r="210" spans="1:5" x14ac:dyDescent="0.25">
      <c r="A210" s="14">
        <v>42509.824340277781</v>
      </c>
      <c r="B210" t="s">
        <v>109</v>
      </c>
      <c r="C210" t="s">
        <v>244</v>
      </c>
      <c r="D210">
        <v>1830000</v>
      </c>
      <c r="E210" t="s">
        <v>140</v>
      </c>
    </row>
    <row r="211" spans="1:5" x14ac:dyDescent="0.25">
      <c r="A211" s="14">
        <v>42509.421967592592</v>
      </c>
      <c r="B211" t="s">
        <v>121</v>
      </c>
      <c r="C211" t="s">
        <v>245</v>
      </c>
      <c r="D211">
        <v>1110000</v>
      </c>
      <c r="E211" t="s">
        <v>128</v>
      </c>
    </row>
    <row r="212" spans="1:5" x14ac:dyDescent="0.25">
      <c r="A212" s="14">
        <v>42509.785219907404</v>
      </c>
      <c r="B212" t="s">
        <v>131</v>
      </c>
      <c r="C212" t="s">
        <v>234</v>
      </c>
      <c r="D212">
        <v>1770000</v>
      </c>
      <c r="E212" t="s">
        <v>100</v>
      </c>
    </row>
    <row r="213" spans="1:5" x14ac:dyDescent="0.25">
      <c r="A213" s="14">
        <v>42509.423877314817</v>
      </c>
      <c r="B213" t="s">
        <v>121</v>
      </c>
      <c r="C213" t="s">
        <v>245</v>
      </c>
      <c r="D213">
        <v>1110000</v>
      </c>
      <c r="E213" t="s">
        <v>128</v>
      </c>
    </row>
    <row r="214" spans="1:5" x14ac:dyDescent="0.25">
      <c r="A214" s="14">
        <v>42509.74628472222</v>
      </c>
      <c r="B214" t="s">
        <v>120</v>
      </c>
      <c r="C214" t="s">
        <v>246</v>
      </c>
      <c r="D214">
        <v>1770000</v>
      </c>
      <c r="E214" t="s">
        <v>100</v>
      </c>
    </row>
    <row r="215" spans="1:5" x14ac:dyDescent="0.25">
      <c r="A215" s="14">
        <v>42509.528900462959</v>
      </c>
      <c r="B215" t="s">
        <v>135</v>
      </c>
      <c r="C215" t="s">
        <v>247</v>
      </c>
      <c r="D215">
        <v>1780000</v>
      </c>
      <c r="E215" t="s">
        <v>112</v>
      </c>
    </row>
    <row r="216" spans="1:5" x14ac:dyDescent="0.25">
      <c r="A216" s="14">
        <v>42509.740300925929</v>
      </c>
      <c r="B216" t="s">
        <v>92</v>
      </c>
      <c r="C216" t="s">
        <v>248</v>
      </c>
      <c r="D216">
        <v>1090000</v>
      </c>
      <c r="E216" t="s">
        <v>189</v>
      </c>
    </row>
    <row r="217" spans="1:5" x14ac:dyDescent="0.25">
      <c r="A217" s="14">
        <v>42509.594467592593</v>
      </c>
      <c r="B217" t="s">
        <v>92</v>
      </c>
      <c r="C217" t="s">
        <v>217</v>
      </c>
      <c r="D217">
        <v>1090000</v>
      </c>
      <c r="E217" t="s">
        <v>189</v>
      </c>
    </row>
    <row r="218" spans="1:5" x14ac:dyDescent="0.25">
      <c r="A218" s="14">
        <v>42509.739085648151</v>
      </c>
      <c r="B218" t="s">
        <v>133</v>
      </c>
      <c r="C218" t="s">
        <v>249</v>
      </c>
      <c r="D218">
        <v>1820000</v>
      </c>
      <c r="E218" t="s">
        <v>141</v>
      </c>
    </row>
    <row r="219" spans="1:5" x14ac:dyDescent="0.25">
      <c r="A219" s="14">
        <v>42509.621006944442</v>
      </c>
      <c r="B219" t="s">
        <v>119</v>
      </c>
      <c r="C219" t="s">
        <v>250</v>
      </c>
      <c r="D219">
        <v>1290000</v>
      </c>
      <c r="E219" t="s">
        <v>164</v>
      </c>
    </row>
    <row r="220" spans="1:5" x14ac:dyDescent="0.25">
      <c r="A220" s="14">
        <v>42509.706655092596</v>
      </c>
      <c r="B220" t="s">
        <v>131</v>
      </c>
      <c r="C220" t="s">
        <v>251</v>
      </c>
      <c r="D220">
        <v>1770000</v>
      </c>
      <c r="E220" t="s">
        <v>100</v>
      </c>
    </row>
    <row r="221" spans="1:5" x14ac:dyDescent="0.25">
      <c r="A221" s="14">
        <v>42509.631932870368</v>
      </c>
      <c r="B221" t="s">
        <v>132</v>
      </c>
      <c r="C221" t="s">
        <v>211</v>
      </c>
      <c r="D221">
        <v>1780000</v>
      </c>
      <c r="E221" t="s">
        <v>112</v>
      </c>
    </row>
    <row r="222" spans="1:5" x14ac:dyDescent="0.25">
      <c r="A222" s="14">
        <v>42509.646122685182</v>
      </c>
      <c r="B222" t="s">
        <v>108</v>
      </c>
      <c r="C222" t="s">
        <v>252</v>
      </c>
      <c r="D222">
        <v>880000</v>
      </c>
      <c r="E222" t="s">
        <v>111</v>
      </c>
    </row>
    <row r="223" spans="1:5" x14ac:dyDescent="0.25">
      <c r="A223" s="14">
        <v>42509.644942129627</v>
      </c>
      <c r="B223" t="s">
        <v>108</v>
      </c>
      <c r="C223" t="s">
        <v>252</v>
      </c>
      <c r="D223">
        <v>880000</v>
      </c>
      <c r="E223" t="s">
        <v>111</v>
      </c>
    </row>
    <row r="224" spans="1:5" x14ac:dyDescent="0.25">
      <c r="A224" s="14">
        <v>42509.619189814817</v>
      </c>
      <c r="B224" t="s">
        <v>119</v>
      </c>
      <c r="C224" t="s">
        <v>250</v>
      </c>
      <c r="D224">
        <v>1290000</v>
      </c>
      <c r="E224" t="s">
        <v>164</v>
      </c>
    </row>
    <row r="225" spans="1:5" x14ac:dyDescent="0.25">
      <c r="A225" s="14">
        <v>42509.733993055554</v>
      </c>
      <c r="B225" t="s">
        <v>121</v>
      </c>
      <c r="C225" t="s">
        <v>253</v>
      </c>
      <c r="D225">
        <v>1280000</v>
      </c>
      <c r="E225" t="s">
        <v>63</v>
      </c>
    </row>
    <row r="226" spans="1:5" x14ac:dyDescent="0.25">
      <c r="A226" s="14">
        <v>42509.595000000001</v>
      </c>
      <c r="B226" t="s">
        <v>120</v>
      </c>
      <c r="C226" t="s">
        <v>254</v>
      </c>
      <c r="D226">
        <v>1770000</v>
      </c>
      <c r="E226" t="s">
        <v>100</v>
      </c>
    </row>
    <row r="227" spans="1:5" x14ac:dyDescent="0.25">
      <c r="A227" s="14">
        <v>42509.750925925924</v>
      </c>
      <c r="B227" t="s">
        <v>109</v>
      </c>
      <c r="C227" t="s">
        <v>255</v>
      </c>
      <c r="D227">
        <v>1830000</v>
      </c>
      <c r="E227" t="s">
        <v>140</v>
      </c>
    </row>
    <row r="228" spans="1:5" x14ac:dyDescent="0.25">
      <c r="A228" s="14">
        <v>42509.56863425926</v>
      </c>
      <c r="B228" t="s">
        <v>142</v>
      </c>
      <c r="C228" t="s">
        <v>218</v>
      </c>
      <c r="D228">
        <v>1140000</v>
      </c>
      <c r="E228" t="s">
        <v>62</v>
      </c>
    </row>
    <row r="229" spans="1:5" x14ac:dyDescent="0.25">
      <c r="A229" s="14">
        <v>42509.946145833332</v>
      </c>
      <c r="B229" t="s">
        <v>142</v>
      </c>
      <c r="C229" t="s">
        <v>256</v>
      </c>
      <c r="D229">
        <v>1840000</v>
      </c>
      <c r="E229" t="s">
        <v>213</v>
      </c>
    </row>
    <row r="230" spans="1:5" x14ac:dyDescent="0.25">
      <c r="A230" s="14">
        <v>42509.534085648149</v>
      </c>
      <c r="B230" t="s">
        <v>119</v>
      </c>
      <c r="C230" t="s">
        <v>257</v>
      </c>
      <c r="D230">
        <v>1290000</v>
      </c>
      <c r="E230" t="s">
        <v>164</v>
      </c>
    </row>
    <row r="231" spans="1:5" x14ac:dyDescent="0.25">
      <c r="A231" s="14">
        <v>42510.028043981481</v>
      </c>
      <c r="B231" t="s">
        <v>142</v>
      </c>
      <c r="C231" t="s">
        <v>223</v>
      </c>
      <c r="D231">
        <v>1840000</v>
      </c>
      <c r="E231" t="s">
        <v>213</v>
      </c>
    </row>
    <row r="232" spans="1:5" x14ac:dyDescent="0.25">
      <c r="A232" s="14">
        <v>42509.4612037037</v>
      </c>
      <c r="B232" t="s">
        <v>119</v>
      </c>
      <c r="C232" t="s">
        <v>258</v>
      </c>
      <c r="D232">
        <v>1800000</v>
      </c>
      <c r="E232" t="s">
        <v>101</v>
      </c>
    </row>
    <row r="233" spans="1:5" x14ac:dyDescent="0.25">
      <c r="A233" s="14">
        <v>42510.170173611114</v>
      </c>
      <c r="B233" t="s">
        <v>133</v>
      </c>
      <c r="C233" t="s">
        <v>259</v>
      </c>
      <c r="D233">
        <v>1740000</v>
      </c>
      <c r="E233" t="s">
        <v>102</v>
      </c>
    </row>
    <row r="234" spans="1:5" x14ac:dyDescent="0.25">
      <c r="A234" s="14">
        <v>42509.349814814814</v>
      </c>
      <c r="B234" t="s">
        <v>118</v>
      </c>
      <c r="C234" t="s">
        <v>260</v>
      </c>
      <c r="D234">
        <v>1100000</v>
      </c>
      <c r="E234" t="s">
        <v>129</v>
      </c>
    </row>
    <row r="235" spans="1:5" x14ac:dyDescent="0.25">
      <c r="A235" s="14">
        <v>42508.843541666669</v>
      </c>
      <c r="B235" t="s">
        <v>135</v>
      </c>
      <c r="C235" t="s">
        <v>177</v>
      </c>
      <c r="D235">
        <v>1820000</v>
      </c>
      <c r="E235" t="s">
        <v>141</v>
      </c>
    </row>
    <row r="236" spans="1:5" x14ac:dyDescent="0.25">
      <c r="A236" s="14">
        <v>42509.230567129627</v>
      </c>
      <c r="B236" t="s">
        <v>135</v>
      </c>
      <c r="C236" t="s">
        <v>191</v>
      </c>
      <c r="D236">
        <v>1800000</v>
      </c>
      <c r="E236" t="s">
        <v>101</v>
      </c>
    </row>
    <row r="237" spans="1:5" x14ac:dyDescent="0.25">
      <c r="A237" s="14">
        <v>42509.155497685184</v>
      </c>
      <c r="B237" t="s">
        <v>139</v>
      </c>
      <c r="C237" t="s">
        <v>194</v>
      </c>
      <c r="D237">
        <v>1110000</v>
      </c>
      <c r="E237" t="s">
        <v>128</v>
      </c>
    </row>
    <row r="238" spans="1:5" x14ac:dyDescent="0.25">
      <c r="A238" s="14">
        <v>42509.016562500001</v>
      </c>
      <c r="B238" t="s">
        <v>64</v>
      </c>
      <c r="C238" t="s">
        <v>186</v>
      </c>
      <c r="D238">
        <v>1810000</v>
      </c>
      <c r="E238" t="s">
        <v>162</v>
      </c>
    </row>
    <row r="239" spans="1:5" x14ac:dyDescent="0.25">
      <c r="A239" s="14">
        <v>42509.276435185187</v>
      </c>
      <c r="B239" t="s">
        <v>121</v>
      </c>
      <c r="C239" t="s">
        <v>205</v>
      </c>
      <c r="D239">
        <v>1110000</v>
      </c>
      <c r="E239" t="s">
        <v>128</v>
      </c>
    </row>
    <row r="240" spans="1:5" x14ac:dyDescent="0.25">
      <c r="A240" s="14">
        <v>42508.80091435185</v>
      </c>
      <c r="B240" t="s">
        <v>118</v>
      </c>
      <c r="C240" t="s">
        <v>188</v>
      </c>
      <c r="D240">
        <v>970000</v>
      </c>
      <c r="E240" t="s">
        <v>190</v>
      </c>
    </row>
    <row r="241" spans="1:5" x14ac:dyDescent="0.25">
      <c r="A241" s="14">
        <v>42509.286458333336</v>
      </c>
      <c r="B241" t="s">
        <v>132</v>
      </c>
      <c r="C241" t="s">
        <v>201</v>
      </c>
      <c r="D241">
        <v>1430000</v>
      </c>
      <c r="E241" t="s">
        <v>130</v>
      </c>
    </row>
    <row r="242" spans="1:5" x14ac:dyDescent="0.25">
      <c r="A242" s="14">
        <v>42508.777453703704</v>
      </c>
      <c r="B242" t="s">
        <v>135</v>
      </c>
      <c r="C242" t="s">
        <v>192</v>
      </c>
      <c r="D242">
        <v>1820000</v>
      </c>
      <c r="E242" t="s">
        <v>141</v>
      </c>
    </row>
    <row r="243" spans="1:5" x14ac:dyDescent="0.25">
      <c r="A243" s="14">
        <v>42509.396412037036</v>
      </c>
      <c r="B243" t="s">
        <v>131</v>
      </c>
      <c r="C243" t="s">
        <v>261</v>
      </c>
      <c r="D243">
        <v>1300000</v>
      </c>
      <c r="E243" t="s">
        <v>113</v>
      </c>
    </row>
    <row r="244" spans="1:5" x14ac:dyDescent="0.25">
      <c r="A244" s="14">
        <v>42508.778773148151</v>
      </c>
      <c r="B244" t="s">
        <v>135</v>
      </c>
      <c r="C244" t="s">
        <v>192</v>
      </c>
      <c r="D244">
        <v>1820000</v>
      </c>
      <c r="E244" t="s">
        <v>141</v>
      </c>
    </row>
    <row r="245" spans="1:5" x14ac:dyDescent="0.25">
      <c r="A245" s="14">
        <v>42509.446099537039</v>
      </c>
      <c r="B245" t="s">
        <v>139</v>
      </c>
      <c r="C245" t="s">
        <v>262</v>
      </c>
      <c r="D245">
        <v>880000</v>
      </c>
      <c r="E245" t="s">
        <v>111</v>
      </c>
    </row>
    <row r="246" spans="1:5" x14ac:dyDescent="0.25">
      <c r="A246" s="14">
        <v>42509.122523148151</v>
      </c>
      <c r="B246" t="s">
        <v>118</v>
      </c>
      <c r="C246" t="s">
        <v>196</v>
      </c>
      <c r="D246">
        <v>1300000</v>
      </c>
      <c r="E246" t="s">
        <v>113</v>
      </c>
    </row>
    <row r="247" spans="1:5" x14ac:dyDescent="0.25">
      <c r="A247" s="14">
        <v>42509.639918981484</v>
      </c>
      <c r="B247" t="s">
        <v>131</v>
      </c>
      <c r="C247" t="s">
        <v>263</v>
      </c>
      <c r="D247">
        <v>1770000</v>
      </c>
      <c r="E247" t="s">
        <v>100</v>
      </c>
    </row>
    <row r="248" spans="1:5" x14ac:dyDescent="0.25">
      <c r="A248" s="14">
        <v>42508.829155092593</v>
      </c>
      <c r="B248" t="s">
        <v>108</v>
      </c>
      <c r="C248" t="s">
        <v>178</v>
      </c>
      <c r="D248">
        <v>1410000</v>
      </c>
      <c r="E248" t="s">
        <v>163</v>
      </c>
    </row>
    <row r="249" spans="1:5" x14ac:dyDescent="0.25">
      <c r="A249" s="14">
        <v>42509.671724537038</v>
      </c>
      <c r="B249" t="s">
        <v>92</v>
      </c>
      <c r="C249" t="s">
        <v>264</v>
      </c>
      <c r="D249">
        <v>1090000</v>
      </c>
      <c r="E249" t="s">
        <v>189</v>
      </c>
    </row>
    <row r="250" spans="1:5" x14ac:dyDescent="0.25">
      <c r="A250" s="14">
        <v>42509.968634259261</v>
      </c>
      <c r="B250" t="s">
        <v>135</v>
      </c>
      <c r="C250" t="s">
        <v>265</v>
      </c>
      <c r="D250">
        <v>1810000</v>
      </c>
      <c r="E250" t="s">
        <v>162</v>
      </c>
    </row>
    <row r="251" spans="1:5" x14ac:dyDescent="0.25">
      <c r="A251" s="14">
        <v>42508.79178240741</v>
      </c>
      <c r="B251" t="s">
        <v>109</v>
      </c>
      <c r="C251" t="s">
        <v>174</v>
      </c>
      <c r="D251">
        <v>1410000</v>
      </c>
      <c r="E251" t="s">
        <v>163</v>
      </c>
    </row>
    <row r="252" spans="1:5" x14ac:dyDescent="0.25">
      <c r="A252" s="14">
        <v>42509.875578703701</v>
      </c>
      <c r="B252" t="s">
        <v>116</v>
      </c>
      <c r="C252" t="s">
        <v>266</v>
      </c>
      <c r="D252">
        <v>1830000</v>
      </c>
      <c r="E252" t="s">
        <v>140</v>
      </c>
    </row>
    <row r="253" spans="1:5" x14ac:dyDescent="0.25">
      <c r="A253" s="14">
        <v>42509.194305555553</v>
      </c>
      <c r="B253" t="s">
        <v>121</v>
      </c>
      <c r="C253" t="s">
        <v>203</v>
      </c>
      <c r="D253">
        <v>1110000</v>
      </c>
      <c r="E253" t="s">
        <v>128</v>
      </c>
    </row>
    <row r="254" spans="1:5" x14ac:dyDescent="0.25">
      <c r="A254" s="14">
        <v>42509.72755787037</v>
      </c>
      <c r="B254" t="s">
        <v>118</v>
      </c>
      <c r="C254" t="s">
        <v>267</v>
      </c>
      <c r="D254">
        <v>1290000</v>
      </c>
      <c r="E254" t="s">
        <v>164</v>
      </c>
    </row>
    <row r="255" spans="1:5" x14ac:dyDescent="0.25">
      <c r="A255" s="14">
        <v>42509.30840277778</v>
      </c>
      <c r="B255" t="s">
        <v>122</v>
      </c>
      <c r="C255" t="s">
        <v>268</v>
      </c>
      <c r="D255">
        <v>1110000</v>
      </c>
      <c r="E255" t="s">
        <v>128</v>
      </c>
    </row>
    <row r="256" spans="1:5" x14ac:dyDescent="0.25">
      <c r="A256" s="14">
        <v>42509.712037037039</v>
      </c>
      <c r="B256" t="s">
        <v>132</v>
      </c>
      <c r="C256" t="s">
        <v>269</v>
      </c>
      <c r="D256">
        <v>1780000</v>
      </c>
      <c r="E256" t="s">
        <v>112</v>
      </c>
    </row>
    <row r="257" spans="1:5" x14ac:dyDescent="0.25">
      <c r="A257" s="14">
        <v>42509.425613425927</v>
      </c>
      <c r="B257" t="s">
        <v>118</v>
      </c>
      <c r="C257" t="s">
        <v>270</v>
      </c>
      <c r="D257">
        <v>1770000</v>
      </c>
      <c r="E257" t="s">
        <v>100</v>
      </c>
    </row>
    <row r="258" spans="1:5" x14ac:dyDescent="0.25">
      <c r="A258" s="14">
        <v>42509.590057870373</v>
      </c>
      <c r="B258" t="s">
        <v>121</v>
      </c>
      <c r="C258" t="s">
        <v>226</v>
      </c>
      <c r="D258">
        <v>1280000</v>
      </c>
      <c r="E258" t="s">
        <v>63</v>
      </c>
    </row>
    <row r="259" spans="1:5" x14ac:dyDescent="0.25">
      <c r="A259" s="14">
        <v>42509.44730324074</v>
      </c>
      <c r="B259" t="s">
        <v>135</v>
      </c>
      <c r="C259" t="s">
        <v>271</v>
      </c>
      <c r="D259">
        <v>1760000</v>
      </c>
      <c r="E259" t="s">
        <v>143</v>
      </c>
    </row>
    <row r="260" spans="1:5" x14ac:dyDescent="0.25">
      <c r="A260" s="14">
        <v>42509.46974537037</v>
      </c>
      <c r="B260" t="s">
        <v>108</v>
      </c>
      <c r="C260" t="s">
        <v>230</v>
      </c>
      <c r="D260">
        <v>1750000</v>
      </c>
      <c r="E260" t="s">
        <v>105</v>
      </c>
    </row>
    <row r="261" spans="1:5" x14ac:dyDescent="0.25">
      <c r="A261" s="14">
        <v>42509.460173611114</v>
      </c>
      <c r="B261" t="s">
        <v>119</v>
      </c>
      <c r="C261" t="s">
        <v>258</v>
      </c>
      <c r="D261">
        <v>1800000</v>
      </c>
      <c r="E261" t="s">
        <v>101</v>
      </c>
    </row>
    <row r="262" spans="1:5" x14ac:dyDescent="0.25">
      <c r="A262" s="14">
        <v>42509.408865740741</v>
      </c>
      <c r="B262" t="s">
        <v>142</v>
      </c>
      <c r="C262" t="s">
        <v>272</v>
      </c>
      <c r="D262">
        <v>1200000</v>
      </c>
      <c r="E262" t="s">
        <v>193</v>
      </c>
    </row>
    <row r="263" spans="1:5" x14ac:dyDescent="0.25">
      <c r="A263" s="14">
        <v>42509.470752314817</v>
      </c>
      <c r="B263" t="s">
        <v>131</v>
      </c>
      <c r="C263" t="s">
        <v>273</v>
      </c>
      <c r="D263">
        <v>1770000</v>
      </c>
      <c r="E263" t="s">
        <v>100</v>
      </c>
    </row>
    <row r="264" spans="1:5" x14ac:dyDescent="0.25">
      <c r="A264" s="14">
        <v>42509.403020833335</v>
      </c>
      <c r="B264" t="s">
        <v>108</v>
      </c>
      <c r="C264" t="s">
        <v>274</v>
      </c>
      <c r="D264">
        <v>1760000</v>
      </c>
      <c r="E264" t="s">
        <v>143</v>
      </c>
    </row>
    <row r="265" spans="1:5" x14ac:dyDescent="0.25">
      <c r="A265" s="14">
        <v>42509.575057870374</v>
      </c>
      <c r="B265" t="s">
        <v>131</v>
      </c>
      <c r="C265" t="s">
        <v>227</v>
      </c>
      <c r="D265">
        <v>1770000</v>
      </c>
      <c r="E265" t="s">
        <v>100</v>
      </c>
    </row>
    <row r="266" spans="1:5" x14ac:dyDescent="0.25">
      <c r="A266" s="14">
        <v>42509.381666666668</v>
      </c>
      <c r="B266" t="s">
        <v>122</v>
      </c>
      <c r="C266" t="s">
        <v>275</v>
      </c>
      <c r="D266">
        <v>1110000</v>
      </c>
      <c r="E266" t="s">
        <v>128</v>
      </c>
    </row>
    <row r="267" spans="1:5" x14ac:dyDescent="0.25">
      <c r="A267" s="14">
        <v>42508.989918981482</v>
      </c>
      <c r="B267" t="s">
        <v>108</v>
      </c>
      <c r="C267" t="s">
        <v>185</v>
      </c>
      <c r="D267">
        <v>1410000</v>
      </c>
      <c r="E267" t="s">
        <v>163</v>
      </c>
    </row>
    <row r="268" spans="1:5" x14ac:dyDescent="0.25">
      <c r="A268" s="14">
        <v>42509.361203703702</v>
      </c>
      <c r="B268" t="s">
        <v>120</v>
      </c>
      <c r="C268" t="s">
        <v>276</v>
      </c>
      <c r="D268">
        <v>1300000</v>
      </c>
      <c r="E268" t="s">
        <v>113</v>
      </c>
    </row>
    <row r="269" spans="1:5" x14ac:dyDescent="0.25">
      <c r="A269" s="14">
        <v>42509.389791666668</v>
      </c>
      <c r="B269" t="s">
        <v>133</v>
      </c>
      <c r="C269" t="s">
        <v>277</v>
      </c>
      <c r="D269">
        <v>1430000</v>
      </c>
      <c r="E269" t="s">
        <v>130</v>
      </c>
    </row>
    <row r="270" spans="1:5" x14ac:dyDescent="0.25">
      <c r="A270" s="14">
        <v>42509.314201388886</v>
      </c>
      <c r="B270" t="s">
        <v>119</v>
      </c>
      <c r="C270" t="s">
        <v>278</v>
      </c>
      <c r="D270">
        <v>1100000</v>
      </c>
      <c r="E270" t="s">
        <v>129</v>
      </c>
    </row>
    <row r="271" spans="1:5" x14ac:dyDescent="0.25">
      <c r="A271" s="14">
        <v>42509.422743055555</v>
      </c>
      <c r="B271" t="s">
        <v>121</v>
      </c>
      <c r="C271" t="s">
        <v>245</v>
      </c>
      <c r="D271">
        <v>1110000</v>
      </c>
      <c r="E271" t="s">
        <v>128</v>
      </c>
    </row>
    <row r="272" spans="1:5" x14ac:dyDescent="0.25">
      <c r="A272" s="14">
        <v>42509.182106481479</v>
      </c>
      <c r="B272" t="s">
        <v>108</v>
      </c>
      <c r="C272" t="s">
        <v>198</v>
      </c>
      <c r="D272">
        <v>1760000</v>
      </c>
      <c r="E272" t="s">
        <v>143</v>
      </c>
    </row>
    <row r="273" spans="1:5" x14ac:dyDescent="0.25">
      <c r="A273" s="14">
        <v>42509.546886574077</v>
      </c>
      <c r="B273" t="s">
        <v>132</v>
      </c>
      <c r="C273" t="s">
        <v>230</v>
      </c>
      <c r="D273">
        <v>1750000</v>
      </c>
      <c r="E273" t="s">
        <v>105</v>
      </c>
    </row>
    <row r="274" spans="1:5" x14ac:dyDescent="0.25">
      <c r="A274" s="14">
        <v>42510.017488425925</v>
      </c>
      <c r="B274" t="s">
        <v>136</v>
      </c>
      <c r="C274" t="s">
        <v>279</v>
      </c>
      <c r="D274">
        <v>1810000</v>
      </c>
      <c r="E274" t="s">
        <v>162</v>
      </c>
    </row>
    <row r="275" spans="1:5" x14ac:dyDescent="0.25">
      <c r="A275" s="14">
        <v>42509.632696759261</v>
      </c>
      <c r="B275" t="s">
        <v>132</v>
      </c>
      <c r="C275" t="s">
        <v>211</v>
      </c>
      <c r="D275">
        <v>1780000</v>
      </c>
      <c r="E275" t="s">
        <v>112</v>
      </c>
    </row>
    <row r="276" spans="1:5" x14ac:dyDescent="0.25">
      <c r="A276" s="14">
        <v>42509.771354166667</v>
      </c>
      <c r="B276" t="s">
        <v>122</v>
      </c>
      <c r="C276" t="s">
        <v>280</v>
      </c>
      <c r="D276">
        <v>1810000</v>
      </c>
      <c r="E276" t="s">
        <v>162</v>
      </c>
    </row>
    <row r="277" spans="1:5" x14ac:dyDescent="0.25">
      <c r="A277" s="14">
        <v>42509.641446759262</v>
      </c>
      <c r="B277" t="s">
        <v>131</v>
      </c>
      <c r="C277" t="s">
        <v>263</v>
      </c>
      <c r="D277">
        <v>1770000</v>
      </c>
      <c r="E277" t="s">
        <v>100</v>
      </c>
    </row>
    <row r="278" spans="1:5" x14ac:dyDescent="0.25">
      <c r="A278" s="14">
        <v>42509.771990740737</v>
      </c>
      <c r="B278" t="s">
        <v>122</v>
      </c>
      <c r="C278" t="s">
        <v>280</v>
      </c>
      <c r="D278">
        <v>1810000</v>
      </c>
      <c r="E278" t="s">
        <v>162</v>
      </c>
    </row>
    <row r="279" spans="1:5" x14ac:dyDescent="0.25">
      <c r="A279" s="14">
        <v>42508.975185185183</v>
      </c>
      <c r="B279" t="s">
        <v>136</v>
      </c>
      <c r="C279" t="s">
        <v>183</v>
      </c>
      <c r="D279">
        <v>1820000</v>
      </c>
      <c r="E279" t="s">
        <v>141</v>
      </c>
    </row>
    <row r="280" spans="1:5" x14ac:dyDescent="0.25">
      <c r="A280" s="14">
        <v>42509.767534722225</v>
      </c>
      <c r="B280" t="s">
        <v>119</v>
      </c>
      <c r="C280" t="s">
        <v>214</v>
      </c>
      <c r="D280">
        <v>1290000</v>
      </c>
      <c r="E280" t="s">
        <v>164</v>
      </c>
    </row>
    <row r="281" spans="1:5" x14ac:dyDescent="0.25">
      <c r="A281" s="14">
        <v>42509.175011574072</v>
      </c>
      <c r="B281" t="s">
        <v>135</v>
      </c>
      <c r="C281" t="s">
        <v>207</v>
      </c>
      <c r="D281">
        <v>1800000</v>
      </c>
      <c r="E281" t="s">
        <v>101</v>
      </c>
    </row>
    <row r="282" spans="1:5" x14ac:dyDescent="0.25">
      <c r="A282" s="14">
        <v>42509.672662037039</v>
      </c>
      <c r="B282" t="s">
        <v>120</v>
      </c>
      <c r="C282" t="s">
        <v>281</v>
      </c>
      <c r="D282">
        <v>1770000</v>
      </c>
      <c r="E282" t="s">
        <v>100</v>
      </c>
    </row>
    <row r="283" spans="1:5" x14ac:dyDescent="0.25">
      <c r="A283" s="14">
        <v>42509.191099537034</v>
      </c>
      <c r="B283" t="s">
        <v>136</v>
      </c>
      <c r="C283" t="s">
        <v>200</v>
      </c>
      <c r="D283">
        <v>1800000</v>
      </c>
      <c r="E283" t="s">
        <v>101</v>
      </c>
    </row>
    <row r="284" spans="1:5" x14ac:dyDescent="0.25">
      <c r="A284" s="14">
        <v>42509.503958333335</v>
      </c>
      <c r="B284" t="s">
        <v>121</v>
      </c>
      <c r="C284" t="s">
        <v>282</v>
      </c>
      <c r="D284">
        <v>1200000</v>
      </c>
      <c r="E284" t="s">
        <v>193</v>
      </c>
    </row>
    <row r="285" spans="1:5" x14ac:dyDescent="0.25">
      <c r="A285" s="14">
        <v>42509.287094907406</v>
      </c>
      <c r="B285" t="s">
        <v>120</v>
      </c>
      <c r="C285" t="s">
        <v>202</v>
      </c>
      <c r="D285">
        <v>1300000</v>
      </c>
      <c r="E285" t="s">
        <v>113</v>
      </c>
    </row>
    <row r="286" spans="1:5" x14ac:dyDescent="0.25">
      <c r="A286" s="14">
        <v>42509.467650462961</v>
      </c>
      <c r="B286" t="s">
        <v>93</v>
      </c>
      <c r="C286" t="s">
        <v>283</v>
      </c>
      <c r="D286">
        <v>1090000</v>
      </c>
      <c r="E286" t="s">
        <v>189</v>
      </c>
    </row>
    <row r="287" spans="1:5" x14ac:dyDescent="0.25">
      <c r="A287" s="14">
        <v>42509.296412037038</v>
      </c>
      <c r="B287" t="s">
        <v>139</v>
      </c>
      <c r="C287" t="s">
        <v>284</v>
      </c>
      <c r="D287">
        <v>1200000</v>
      </c>
      <c r="E287" t="s">
        <v>193</v>
      </c>
    </row>
    <row r="288" spans="1:5" x14ac:dyDescent="0.25">
      <c r="A288" s="14">
        <v>42509.378287037034</v>
      </c>
      <c r="B288" t="s">
        <v>135</v>
      </c>
      <c r="C288" t="s">
        <v>285</v>
      </c>
      <c r="D288">
        <v>1800000</v>
      </c>
      <c r="E288" t="s">
        <v>101</v>
      </c>
    </row>
    <row r="289" spans="1:5" x14ac:dyDescent="0.25">
      <c r="A289" s="14">
        <v>42509.371157407404</v>
      </c>
      <c r="B289" t="s">
        <v>139</v>
      </c>
      <c r="C289" t="s">
        <v>286</v>
      </c>
      <c r="D289">
        <v>1200000</v>
      </c>
      <c r="E289" t="s">
        <v>193</v>
      </c>
    </row>
    <row r="290" spans="1:5" x14ac:dyDescent="0.25">
      <c r="A290" s="14">
        <v>42510.235601851855</v>
      </c>
      <c r="B290" t="s">
        <v>135</v>
      </c>
      <c r="C290" t="s">
        <v>287</v>
      </c>
      <c r="D290">
        <v>1750000</v>
      </c>
      <c r="E290" t="s">
        <v>105</v>
      </c>
    </row>
    <row r="291" spans="1:5" x14ac:dyDescent="0.25">
      <c r="A291" s="14">
        <v>42508.927499999998</v>
      </c>
      <c r="B291" t="s">
        <v>64</v>
      </c>
      <c r="C291" t="s">
        <v>181</v>
      </c>
      <c r="D291">
        <v>1810000</v>
      </c>
      <c r="E291" t="s">
        <v>162</v>
      </c>
    </row>
    <row r="292" spans="1:5" x14ac:dyDescent="0.25">
      <c r="A292" s="14">
        <v>42510.226886574077</v>
      </c>
      <c r="B292" t="s">
        <v>122</v>
      </c>
      <c r="C292" t="s">
        <v>220</v>
      </c>
      <c r="D292">
        <v>1360000</v>
      </c>
      <c r="E292" t="s">
        <v>221</v>
      </c>
    </row>
    <row r="293" spans="1:5" x14ac:dyDescent="0.25">
      <c r="A293" s="14">
        <v>42509.207384259258</v>
      </c>
      <c r="B293" t="s">
        <v>118</v>
      </c>
      <c r="C293" t="s">
        <v>206</v>
      </c>
      <c r="D293">
        <v>1100000</v>
      </c>
      <c r="E293" t="s">
        <v>129</v>
      </c>
    </row>
    <row r="294" spans="1:5" x14ac:dyDescent="0.25">
      <c r="A294" s="14">
        <v>42509.78765046296</v>
      </c>
      <c r="B294" t="s">
        <v>108</v>
      </c>
      <c r="C294" t="s">
        <v>288</v>
      </c>
      <c r="D294">
        <v>1830000</v>
      </c>
      <c r="E294" t="s">
        <v>140</v>
      </c>
    </row>
    <row r="295" spans="1:5" x14ac:dyDescent="0.25">
      <c r="A295" s="14">
        <v>42509.228668981479</v>
      </c>
      <c r="B295" t="s">
        <v>139</v>
      </c>
      <c r="C295" t="s">
        <v>204</v>
      </c>
      <c r="D295">
        <v>1200000</v>
      </c>
      <c r="E295" t="s">
        <v>193</v>
      </c>
    </row>
    <row r="296" spans="1:5" x14ac:dyDescent="0.25">
      <c r="A296" s="14">
        <v>42509.34888888889</v>
      </c>
      <c r="B296" t="s">
        <v>121</v>
      </c>
      <c r="C296" t="s">
        <v>289</v>
      </c>
      <c r="D296">
        <v>1110000</v>
      </c>
      <c r="E296" t="s">
        <v>128</v>
      </c>
    </row>
    <row r="297" spans="1:5" x14ac:dyDescent="0.25">
      <c r="A297" s="14">
        <v>42509.349814814814</v>
      </c>
      <c r="B297" t="s">
        <v>121</v>
      </c>
      <c r="C297" t="s">
        <v>289</v>
      </c>
      <c r="D297">
        <v>1110000</v>
      </c>
      <c r="E297" t="s">
        <v>128</v>
      </c>
    </row>
    <row r="298" spans="1:5" x14ac:dyDescent="0.25">
      <c r="A298" s="14">
        <v>42509.325428240743</v>
      </c>
      <c r="B298" t="s">
        <v>131</v>
      </c>
      <c r="C298" t="s">
        <v>290</v>
      </c>
      <c r="D298">
        <v>1300000</v>
      </c>
      <c r="E298" t="s">
        <v>113</v>
      </c>
    </row>
    <row r="299" spans="1:5" x14ac:dyDescent="0.25">
      <c r="A299" s="14">
        <v>42509.386817129627</v>
      </c>
      <c r="B299" t="s">
        <v>119</v>
      </c>
      <c r="C299" t="s">
        <v>291</v>
      </c>
      <c r="D299">
        <v>1100000</v>
      </c>
      <c r="E299" t="s">
        <v>129</v>
      </c>
    </row>
    <row r="300" spans="1:5" x14ac:dyDescent="0.25">
      <c r="A300" s="14">
        <v>42509.317013888889</v>
      </c>
      <c r="B300" t="s">
        <v>133</v>
      </c>
      <c r="C300" t="s">
        <v>292</v>
      </c>
      <c r="D300">
        <v>1430000</v>
      </c>
      <c r="E300" t="s">
        <v>130</v>
      </c>
    </row>
    <row r="301" spans="1:5" x14ac:dyDescent="0.25">
      <c r="A301" s="14">
        <v>42509.465474537035</v>
      </c>
      <c r="B301" t="s">
        <v>93</v>
      </c>
      <c r="C301" t="s">
        <v>283</v>
      </c>
      <c r="D301">
        <v>1090000</v>
      </c>
      <c r="E301" t="s">
        <v>189</v>
      </c>
    </row>
    <row r="302" spans="1:5" x14ac:dyDescent="0.25">
      <c r="A302" s="14">
        <v>42509.053877314815</v>
      </c>
      <c r="B302" t="s">
        <v>65</v>
      </c>
      <c r="C302" t="s">
        <v>187</v>
      </c>
      <c r="D302">
        <v>1810000</v>
      </c>
      <c r="E302" t="s">
        <v>162</v>
      </c>
    </row>
    <row r="303" spans="1:5" x14ac:dyDescent="0.25">
      <c r="A303" s="14">
        <v>42509.495740740742</v>
      </c>
      <c r="B303" t="s">
        <v>121</v>
      </c>
      <c r="C303" t="s">
        <v>282</v>
      </c>
      <c r="D303">
        <v>1200000</v>
      </c>
      <c r="E303" t="s">
        <v>193</v>
      </c>
    </row>
    <row r="304" spans="1:5" x14ac:dyDescent="0.25">
      <c r="A304" s="14">
        <v>42509.986886574072</v>
      </c>
      <c r="B304" t="s">
        <v>114</v>
      </c>
      <c r="C304" t="s">
        <v>293</v>
      </c>
      <c r="D304">
        <v>1830000</v>
      </c>
      <c r="E304" t="s">
        <v>140</v>
      </c>
    </row>
    <row r="305" spans="1:5" x14ac:dyDescent="0.25">
      <c r="A305" s="14">
        <v>42509.693414351852</v>
      </c>
      <c r="B305" t="s">
        <v>139</v>
      </c>
      <c r="C305" t="s">
        <v>235</v>
      </c>
      <c r="D305">
        <v>1140000</v>
      </c>
      <c r="E305" t="s">
        <v>62</v>
      </c>
    </row>
    <row r="306" spans="1:5" x14ac:dyDescent="0.25">
      <c r="A306" s="14">
        <v>42509.932013888887</v>
      </c>
      <c r="B306" t="s">
        <v>136</v>
      </c>
      <c r="C306" t="s">
        <v>294</v>
      </c>
      <c r="D306">
        <v>1810000</v>
      </c>
      <c r="E306" t="s">
        <v>162</v>
      </c>
    </row>
    <row r="307" spans="1:5" x14ac:dyDescent="0.25">
      <c r="A307" s="14">
        <v>42510.013171296298</v>
      </c>
      <c r="B307" t="s">
        <v>132</v>
      </c>
      <c r="C307" t="s">
        <v>295</v>
      </c>
      <c r="D307">
        <v>1820000</v>
      </c>
      <c r="E307" t="s">
        <v>141</v>
      </c>
    </row>
    <row r="308" spans="1:5" x14ac:dyDescent="0.25">
      <c r="A308" s="14">
        <v>42509.721388888887</v>
      </c>
      <c r="B308" t="s">
        <v>142</v>
      </c>
      <c r="C308" t="s">
        <v>215</v>
      </c>
      <c r="D308">
        <v>1140000</v>
      </c>
      <c r="E308" t="s">
        <v>62</v>
      </c>
    </row>
    <row r="309" spans="1:5" x14ac:dyDescent="0.25">
      <c r="A309" s="14">
        <v>42510.181030092594</v>
      </c>
      <c r="B309" t="s">
        <v>139</v>
      </c>
      <c r="C309" t="s">
        <v>296</v>
      </c>
      <c r="D309">
        <v>1110000</v>
      </c>
      <c r="E309" t="s">
        <v>128</v>
      </c>
    </row>
    <row r="310" spans="1:5" x14ac:dyDescent="0.25">
      <c r="A310" s="14">
        <v>42509.56449074074</v>
      </c>
      <c r="B310" t="s">
        <v>108</v>
      </c>
      <c r="C310" t="s">
        <v>297</v>
      </c>
      <c r="D310">
        <v>880000</v>
      </c>
      <c r="E310" t="s">
        <v>111</v>
      </c>
    </row>
    <row r="311" spans="1:5" x14ac:dyDescent="0.25">
      <c r="A311" s="14">
        <v>42510.206967592596</v>
      </c>
      <c r="B311" t="s">
        <v>165</v>
      </c>
      <c r="C311" t="s">
        <v>298</v>
      </c>
      <c r="D311">
        <v>1760000</v>
      </c>
      <c r="E311" t="s">
        <v>143</v>
      </c>
    </row>
    <row r="312" spans="1:5" x14ac:dyDescent="0.25">
      <c r="A312" s="14">
        <v>42509.544525462959</v>
      </c>
      <c r="B312" t="s">
        <v>122</v>
      </c>
      <c r="C312" t="s">
        <v>210</v>
      </c>
      <c r="D312">
        <v>1280000</v>
      </c>
      <c r="E312" t="s">
        <v>63</v>
      </c>
    </row>
    <row r="313" spans="1:5" x14ac:dyDescent="0.25">
      <c r="A313" s="14">
        <v>42509.743738425925</v>
      </c>
      <c r="B313" t="s">
        <v>142</v>
      </c>
      <c r="C313" t="s">
        <v>215</v>
      </c>
      <c r="D313">
        <v>1140000</v>
      </c>
      <c r="E313" t="s">
        <v>62</v>
      </c>
    </row>
    <row r="314" spans="1:5" x14ac:dyDescent="0.25">
      <c r="A314" s="14">
        <v>42509.509895833333</v>
      </c>
      <c r="B314" t="s">
        <v>120</v>
      </c>
      <c r="C314" t="s">
        <v>299</v>
      </c>
      <c r="D314">
        <v>1770000</v>
      </c>
      <c r="E314" t="s">
        <v>100</v>
      </c>
    </row>
    <row r="315" spans="1:5" x14ac:dyDescent="0.25">
      <c r="A315" s="14">
        <v>42509.783726851849</v>
      </c>
      <c r="B315" t="s">
        <v>131</v>
      </c>
      <c r="C315" t="s">
        <v>234</v>
      </c>
      <c r="D315">
        <v>1770000</v>
      </c>
      <c r="E315" t="s">
        <v>100</v>
      </c>
    </row>
    <row r="316" spans="1:5" x14ac:dyDescent="0.25">
      <c r="A316" s="14">
        <v>42509.483263888891</v>
      </c>
      <c r="B316" t="s">
        <v>136</v>
      </c>
      <c r="C316" t="s">
        <v>300</v>
      </c>
      <c r="D316">
        <v>1780000</v>
      </c>
      <c r="E316" t="s">
        <v>112</v>
      </c>
    </row>
    <row r="317" spans="1:5" x14ac:dyDescent="0.25">
      <c r="A317" s="14">
        <v>42509.894861111112</v>
      </c>
      <c r="B317" t="s">
        <v>133</v>
      </c>
      <c r="C317" t="s">
        <v>301</v>
      </c>
      <c r="D317">
        <v>1820000</v>
      </c>
      <c r="E317" t="s">
        <v>141</v>
      </c>
    </row>
    <row r="318" spans="1:5" x14ac:dyDescent="0.25">
      <c r="A318" s="14">
        <v>42509.014467592591</v>
      </c>
      <c r="B318" t="s">
        <v>135</v>
      </c>
      <c r="C318" t="s">
        <v>184</v>
      </c>
      <c r="D318">
        <v>1820000</v>
      </c>
      <c r="E318" t="s">
        <v>141</v>
      </c>
    </row>
    <row r="319" spans="1:5" x14ac:dyDescent="0.25">
      <c r="A319" s="14">
        <v>42509.930706018517</v>
      </c>
      <c r="B319" t="s">
        <v>132</v>
      </c>
      <c r="C319" t="s">
        <v>302</v>
      </c>
      <c r="D319">
        <v>1820000</v>
      </c>
      <c r="E319" t="s">
        <v>141</v>
      </c>
    </row>
    <row r="320" spans="1:5" x14ac:dyDescent="0.25">
      <c r="A320" s="14">
        <v>42510.193611111114</v>
      </c>
      <c r="B320" t="s">
        <v>119</v>
      </c>
      <c r="C320" t="s">
        <v>222</v>
      </c>
      <c r="D320">
        <v>1480000</v>
      </c>
      <c r="E320" t="s">
        <v>134</v>
      </c>
    </row>
    <row r="321" spans="1:5" x14ac:dyDescent="0.25">
      <c r="A321" s="14">
        <v>42510.233148148145</v>
      </c>
      <c r="B321" t="s">
        <v>118</v>
      </c>
      <c r="C321" t="s">
        <v>303</v>
      </c>
      <c r="D321">
        <v>1480000</v>
      </c>
      <c r="E321" t="s">
        <v>134</v>
      </c>
    </row>
    <row r="322" spans="1:5" x14ac:dyDescent="0.25">
      <c r="A322" s="14">
        <v>42509.720069444447</v>
      </c>
      <c r="B322" t="s">
        <v>142</v>
      </c>
      <c r="C322" t="s">
        <v>215</v>
      </c>
      <c r="D322">
        <v>1140000</v>
      </c>
      <c r="E322" t="s">
        <v>62</v>
      </c>
    </row>
    <row r="323" spans="1:5" x14ac:dyDescent="0.25">
      <c r="A323" s="14">
        <v>42509.702534722222</v>
      </c>
      <c r="B323" t="s">
        <v>132</v>
      </c>
      <c r="C323" t="s">
        <v>269</v>
      </c>
      <c r="D323">
        <v>1780000</v>
      </c>
      <c r="E323" t="s">
        <v>112</v>
      </c>
    </row>
    <row r="324" spans="1:5" x14ac:dyDescent="0.25">
      <c r="A324" s="14">
        <v>42509.681979166664</v>
      </c>
      <c r="B324" t="s">
        <v>109</v>
      </c>
      <c r="C324" t="s">
        <v>304</v>
      </c>
      <c r="D324">
        <v>880000</v>
      </c>
      <c r="E324" t="s">
        <v>111</v>
      </c>
    </row>
    <row r="325" spans="1:5" x14ac:dyDescent="0.25">
      <c r="A325" s="14">
        <v>42509.766018518516</v>
      </c>
      <c r="B325" t="s">
        <v>119</v>
      </c>
      <c r="C325" t="s">
        <v>214</v>
      </c>
      <c r="D325">
        <v>1290000</v>
      </c>
      <c r="E325" t="s">
        <v>164</v>
      </c>
    </row>
    <row r="326" spans="1:5" x14ac:dyDescent="0.25">
      <c r="A326" s="14">
        <v>42509.565706018519</v>
      </c>
      <c r="B326" t="s">
        <v>108</v>
      </c>
      <c r="C326" t="s">
        <v>297</v>
      </c>
      <c r="D326">
        <v>880000</v>
      </c>
      <c r="E326" t="s">
        <v>111</v>
      </c>
    </row>
    <row r="327" spans="1:5" x14ac:dyDescent="0.25">
      <c r="A327" s="14">
        <v>42509.791203703702</v>
      </c>
      <c r="B327" t="s">
        <v>142</v>
      </c>
      <c r="C327" t="s">
        <v>305</v>
      </c>
      <c r="D327">
        <v>1840000</v>
      </c>
      <c r="E327" t="s">
        <v>213</v>
      </c>
    </row>
    <row r="328" spans="1:5" x14ac:dyDescent="0.25">
      <c r="A328" s="14">
        <v>42509.528067129628</v>
      </c>
      <c r="B328" t="s">
        <v>139</v>
      </c>
      <c r="C328" t="s">
        <v>231</v>
      </c>
      <c r="D328">
        <v>1140000</v>
      </c>
      <c r="E328" t="s">
        <v>62</v>
      </c>
    </row>
    <row r="329" spans="1:5" x14ac:dyDescent="0.25">
      <c r="A329" s="14">
        <v>42509.792337962965</v>
      </c>
      <c r="B329" t="s">
        <v>142</v>
      </c>
      <c r="C329" t="s">
        <v>305</v>
      </c>
      <c r="D329">
        <v>1840000</v>
      </c>
      <c r="E329" t="s">
        <v>213</v>
      </c>
    </row>
    <row r="330" spans="1:5" x14ac:dyDescent="0.25">
      <c r="A330" s="14">
        <v>42509.226018518515</v>
      </c>
      <c r="B330" t="s">
        <v>109</v>
      </c>
      <c r="C330" t="s">
        <v>197</v>
      </c>
      <c r="D330">
        <v>1760000</v>
      </c>
      <c r="E330" t="s">
        <v>143</v>
      </c>
    </row>
    <row r="331" spans="1:5" x14ac:dyDescent="0.25">
      <c r="A331" s="14">
        <v>42510.254224537035</v>
      </c>
      <c r="B331" t="s">
        <v>92</v>
      </c>
      <c r="C331" t="s">
        <v>306</v>
      </c>
      <c r="D331">
        <v>1430000</v>
      </c>
      <c r="E331" t="s">
        <v>130</v>
      </c>
    </row>
    <row r="332" spans="1:5" x14ac:dyDescent="0.25">
      <c r="A332" s="14">
        <v>42509.20952546296</v>
      </c>
      <c r="B332" t="s">
        <v>120</v>
      </c>
      <c r="C332" t="s">
        <v>199</v>
      </c>
      <c r="D332">
        <v>1300000</v>
      </c>
      <c r="E332" t="s">
        <v>113</v>
      </c>
    </row>
    <row r="333" spans="1:5" x14ac:dyDescent="0.25">
      <c r="A333" s="14">
        <v>42509.715451388889</v>
      </c>
      <c r="B333" t="s">
        <v>108</v>
      </c>
      <c r="C333" t="s">
        <v>307</v>
      </c>
      <c r="D333">
        <v>1830000</v>
      </c>
      <c r="E333" t="s">
        <v>140</v>
      </c>
    </row>
    <row r="334" spans="1:5" x14ac:dyDescent="0.25">
      <c r="A334" s="14">
        <v>42508.994432870371</v>
      </c>
      <c r="B334" t="s">
        <v>166</v>
      </c>
      <c r="C334" t="s">
        <v>182</v>
      </c>
      <c r="D334">
        <v>1280000</v>
      </c>
      <c r="E334" t="s">
        <v>63</v>
      </c>
    </row>
    <row r="335" spans="1:5" x14ac:dyDescent="0.25">
      <c r="A335" s="14">
        <v>42509.772881944446</v>
      </c>
      <c r="B335" t="s">
        <v>122</v>
      </c>
      <c r="C335" t="s">
        <v>280</v>
      </c>
      <c r="D335">
        <v>1810000</v>
      </c>
      <c r="E335" t="s">
        <v>162</v>
      </c>
    </row>
    <row r="336" spans="1:5" x14ac:dyDescent="0.25">
      <c r="A336" s="14">
        <v>42508.93136574074</v>
      </c>
      <c r="B336" t="s">
        <v>135</v>
      </c>
      <c r="C336" t="s">
        <v>180</v>
      </c>
      <c r="D336">
        <v>1820000</v>
      </c>
      <c r="E336" t="s">
        <v>141</v>
      </c>
    </row>
    <row r="337" spans="1:5" x14ac:dyDescent="0.25">
      <c r="A337" s="14">
        <v>42509.789884259262</v>
      </c>
      <c r="B337" t="s">
        <v>142</v>
      </c>
      <c r="C337" t="s">
        <v>305</v>
      </c>
      <c r="D337">
        <v>1840000</v>
      </c>
      <c r="E337" t="s">
        <v>213</v>
      </c>
    </row>
    <row r="338" spans="1:5" x14ac:dyDescent="0.25">
      <c r="A338" s="14">
        <v>42508.848796296297</v>
      </c>
      <c r="B338" t="s">
        <v>64</v>
      </c>
      <c r="C338" t="s">
        <v>179</v>
      </c>
      <c r="D338">
        <v>1810000</v>
      </c>
      <c r="E338" t="s">
        <v>162</v>
      </c>
    </row>
    <row r="339" spans="1:5" x14ac:dyDescent="0.25">
      <c r="A339" s="14">
        <v>42509.809479166666</v>
      </c>
      <c r="B339" t="s">
        <v>133</v>
      </c>
      <c r="C339" t="s">
        <v>308</v>
      </c>
      <c r="D339">
        <v>1820000</v>
      </c>
      <c r="E339" t="s">
        <v>141</v>
      </c>
    </row>
    <row r="340" spans="1:5" x14ac:dyDescent="0.25">
      <c r="A340" s="14">
        <v>42508.785601851851</v>
      </c>
      <c r="B340" t="s">
        <v>165</v>
      </c>
      <c r="C340" t="s">
        <v>175</v>
      </c>
      <c r="D340">
        <v>1280000</v>
      </c>
      <c r="E340" t="s">
        <v>63</v>
      </c>
    </row>
    <row r="341" spans="1:5" x14ac:dyDescent="0.25">
      <c r="A341" s="14">
        <v>42509.848854166667</v>
      </c>
      <c r="B341" t="s">
        <v>136</v>
      </c>
      <c r="C341" t="s">
        <v>309</v>
      </c>
      <c r="D341">
        <v>1810000</v>
      </c>
      <c r="E341" t="s">
        <v>162</v>
      </c>
    </row>
    <row r="342" spans="1:5" x14ac:dyDescent="0.25">
      <c r="A342" s="14">
        <v>42509.412430555552</v>
      </c>
      <c r="B342" t="s">
        <v>136</v>
      </c>
      <c r="C342" t="s">
        <v>310</v>
      </c>
      <c r="D342">
        <v>1800000</v>
      </c>
      <c r="E342" t="s">
        <v>101</v>
      </c>
    </row>
  </sheetData>
  <sortState ref="A1:E215">
    <sortCondition ref="A1:A2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42512</v>
      </c>
      <c r="B2" s="10"/>
      <c r="C2" s="37">
        <v>50</v>
      </c>
      <c r="F2" t="s">
        <v>89</v>
      </c>
    </row>
    <row r="3" spans="1:6" x14ac:dyDescent="0.25">
      <c r="F3" t="s">
        <v>90</v>
      </c>
    </row>
    <row r="4" spans="1:6" x14ac:dyDescent="0.25"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2016-05-23T21:33:25Z</dcterms:modified>
</cp:coreProperties>
</file>