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Enforcements!$A$6:$N$80</definedName>
    <definedName name="_xlnm._FilterDatabase" localSheetId="2" hidden="1">'Missing Trips'!$A$2:$G$2</definedName>
    <definedName name="_xlnm._FilterDatabase" localSheetId="0" hidden="1">'Train Runs'!$A$12:$AC$203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1" i="1" l="1"/>
  <c r="X112" i="1"/>
  <c r="L43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K15" i="1"/>
  <c r="L15" i="1"/>
  <c r="M15" i="1"/>
  <c r="N15" i="1" s="1"/>
  <c r="T15" i="1"/>
  <c r="V15" i="1"/>
  <c r="X15" i="1"/>
  <c r="Y15" i="1"/>
  <c r="Z15" i="1"/>
  <c r="AA15" i="1"/>
  <c r="W15" i="1" s="1"/>
  <c r="AB15" i="1"/>
  <c r="AC15" i="1"/>
  <c r="K16" i="1"/>
  <c r="L16" i="1"/>
  <c r="M16" i="1"/>
  <c r="N16" i="1" s="1"/>
  <c r="T16" i="1"/>
  <c r="V16" i="1"/>
  <c r="X16" i="1"/>
  <c r="Y16" i="1"/>
  <c r="AA16" i="1" s="1"/>
  <c r="W16" i="1" s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N24" i="1" s="1"/>
  <c r="T24" i="1"/>
  <c r="V24" i="1"/>
  <c r="X24" i="1"/>
  <c r="Y24" i="1"/>
  <c r="Z24" i="1"/>
  <c r="AB24" i="1"/>
  <c r="AC24" i="1"/>
  <c r="K25" i="1"/>
  <c r="L25" i="1"/>
  <c r="M25" i="1"/>
  <c r="N25" i="1" s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T29" i="1"/>
  <c r="V29" i="1"/>
  <c r="X29" i="1"/>
  <c r="Y29" i="1"/>
  <c r="Z29" i="1"/>
  <c r="AB29" i="1"/>
  <c r="AC29" i="1"/>
  <c r="K30" i="1"/>
  <c r="L30" i="1"/>
  <c r="M30" i="1"/>
  <c r="T30" i="1"/>
  <c r="V30" i="1"/>
  <c r="X30" i="1"/>
  <c r="Y30" i="1"/>
  <c r="Z30" i="1"/>
  <c r="AB30" i="1"/>
  <c r="AC30" i="1"/>
  <c r="K31" i="1"/>
  <c r="L31" i="1"/>
  <c r="M31" i="1"/>
  <c r="N31" i="1"/>
  <c r="T31" i="1"/>
  <c r="V31" i="1"/>
  <c r="X31" i="1"/>
  <c r="Y31" i="1"/>
  <c r="U31" i="1" s="1"/>
  <c r="S31" i="1" s="1"/>
  <c r="Z31" i="1"/>
  <c r="AB31" i="1"/>
  <c r="AC31" i="1"/>
  <c r="K32" i="1"/>
  <c r="L32" i="1"/>
  <c r="M32" i="1"/>
  <c r="N32" i="1"/>
  <c r="T32" i="1"/>
  <c r="V32" i="1"/>
  <c r="X32" i="1"/>
  <c r="Y32" i="1"/>
  <c r="Z32" i="1"/>
  <c r="AA32" i="1" s="1"/>
  <c r="W32" i="1" s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AA35" i="1" s="1"/>
  <c r="W35" i="1" s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N38" i="1" s="1"/>
  <c r="T38" i="1"/>
  <c r="V38" i="1"/>
  <c r="X38" i="1"/>
  <c r="Y38" i="1"/>
  <c r="Z38" i="1"/>
  <c r="AA38" i="1" s="1"/>
  <c r="W38" i="1" s="1"/>
  <c r="AB38" i="1"/>
  <c r="AC38" i="1"/>
  <c r="K39" i="1"/>
  <c r="L39" i="1"/>
  <c r="M39" i="1"/>
  <c r="N39" i="1" s="1"/>
  <c r="T39" i="1"/>
  <c r="V39" i="1"/>
  <c r="X39" i="1"/>
  <c r="Y39" i="1"/>
  <c r="AA39" i="1" s="1"/>
  <c r="W39" i="1" s="1"/>
  <c r="Z39" i="1"/>
  <c r="AB39" i="1"/>
  <c r="AC39" i="1"/>
  <c r="K40" i="1"/>
  <c r="L40" i="1"/>
  <c r="M40" i="1"/>
  <c r="N40" i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A41" i="1"/>
  <c r="W41" i="1" s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/>
  <c r="T43" i="1"/>
  <c r="V43" i="1"/>
  <c r="X43" i="1"/>
  <c r="Y43" i="1"/>
  <c r="Z43" i="1"/>
  <c r="AB43" i="1"/>
  <c r="AC43" i="1"/>
  <c r="K44" i="1"/>
  <c r="L44" i="1"/>
  <c r="M44" i="1"/>
  <c r="N44" i="1"/>
  <c r="T44" i="1"/>
  <c r="V44" i="1"/>
  <c r="X44" i="1"/>
  <c r="Y44" i="1"/>
  <c r="Z44" i="1"/>
  <c r="AA44" i="1" s="1"/>
  <c r="W44" i="1" s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N49" i="1" s="1"/>
  <c r="T49" i="1"/>
  <c r="V49" i="1"/>
  <c r="X49" i="1"/>
  <c r="Y49" i="1"/>
  <c r="Z49" i="1"/>
  <c r="AB49" i="1"/>
  <c r="AC49" i="1"/>
  <c r="K50" i="1"/>
  <c r="L50" i="1"/>
  <c r="M50" i="1"/>
  <c r="N50" i="1"/>
  <c r="T50" i="1"/>
  <c r="V50" i="1"/>
  <c r="X50" i="1"/>
  <c r="Y50" i="1"/>
  <c r="Z50" i="1"/>
  <c r="AB50" i="1"/>
  <c r="AC50" i="1"/>
  <c r="K51" i="1"/>
  <c r="L51" i="1"/>
  <c r="M51" i="1"/>
  <c r="N51" i="1"/>
  <c r="T51" i="1"/>
  <c r="V51" i="1"/>
  <c r="X51" i="1"/>
  <c r="Y51" i="1"/>
  <c r="Z51" i="1"/>
  <c r="AA51" i="1" s="1"/>
  <c r="W51" i="1" s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 s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A58" i="1" s="1"/>
  <c r="W58" i="1" s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T60" i="1"/>
  <c r="V60" i="1"/>
  <c r="X60" i="1"/>
  <c r="Y60" i="1"/>
  <c r="Z60" i="1"/>
  <c r="AB60" i="1"/>
  <c r="AC60" i="1"/>
  <c r="K61" i="1"/>
  <c r="L61" i="1"/>
  <c r="M61" i="1"/>
  <c r="T61" i="1"/>
  <c r="V61" i="1"/>
  <c r="X61" i="1"/>
  <c r="Y61" i="1"/>
  <c r="AA61" i="1" s="1"/>
  <c r="W61" i="1" s="1"/>
  <c r="Z61" i="1"/>
  <c r="AB61" i="1"/>
  <c r="AC61" i="1"/>
  <c r="K62" i="1"/>
  <c r="L62" i="1"/>
  <c r="M62" i="1"/>
  <c r="N62" i="1" s="1"/>
  <c r="T62" i="1"/>
  <c r="V62" i="1"/>
  <c r="X62" i="1"/>
  <c r="Y62" i="1"/>
  <c r="Z62" i="1"/>
  <c r="AB62" i="1"/>
  <c r="AC62" i="1"/>
  <c r="K63" i="1"/>
  <c r="L63" i="1"/>
  <c r="M63" i="1"/>
  <c r="N63" i="1" s="1"/>
  <c r="T63" i="1"/>
  <c r="V63" i="1"/>
  <c r="X63" i="1"/>
  <c r="Y63" i="1"/>
  <c r="U63" i="1" s="1"/>
  <c r="S63" i="1" s="1"/>
  <c r="Z63" i="1"/>
  <c r="AB63" i="1"/>
  <c r="AC63" i="1"/>
  <c r="K64" i="1"/>
  <c r="L64" i="1"/>
  <c r="M64" i="1"/>
  <c r="N64" i="1"/>
  <c r="T64" i="1"/>
  <c r="V64" i="1"/>
  <c r="X64" i="1"/>
  <c r="Y64" i="1"/>
  <c r="Z64" i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A68" i="1" s="1"/>
  <c r="W68" i="1" s="1"/>
  <c r="AB68" i="1"/>
  <c r="AC68" i="1"/>
  <c r="K69" i="1"/>
  <c r="L69" i="1"/>
  <c r="M69" i="1"/>
  <c r="N69" i="1" s="1"/>
  <c r="T69" i="1"/>
  <c r="V69" i="1"/>
  <c r="X69" i="1"/>
  <c r="Y69" i="1"/>
  <c r="Z69" i="1"/>
  <c r="AB69" i="1"/>
  <c r="AC69" i="1"/>
  <c r="K70" i="1"/>
  <c r="L70" i="1"/>
  <c r="M70" i="1"/>
  <c r="N70" i="1" s="1"/>
  <c r="T70" i="1"/>
  <c r="V70" i="1"/>
  <c r="X70" i="1"/>
  <c r="Y70" i="1"/>
  <c r="AB70" i="1"/>
  <c r="AC70" i="1"/>
  <c r="K71" i="1"/>
  <c r="L71" i="1"/>
  <c r="M71" i="1"/>
  <c r="N71" i="1" s="1"/>
  <c r="T71" i="1"/>
  <c r="V71" i="1"/>
  <c r="X71" i="1"/>
  <c r="Y71" i="1"/>
  <c r="AA71" i="1" s="1"/>
  <c r="W71" i="1" s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P74" i="1" s="1"/>
  <c r="T74" i="1"/>
  <c r="V74" i="1"/>
  <c r="X74" i="1"/>
  <c r="Y74" i="1"/>
  <c r="Z74" i="1"/>
  <c r="AA74" i="1" s="1"/>
  <c r="W74" i="1" s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T76" i="1"/>
  <c r="V76" i="1"/>
  <c r="X76" i="1"/>
  <c r="Y76" i="1"/>
  <c r="Z76" i="1"/>
  <c r="AA76" i="1" s="1"/>
  <c r="W76" i="1" s="1"/>
  <c r="AB76" i="1"/>
  <c r="AC76" i="1"/>
  <c r="K77" i="1"/>
  <c r="L77" i="1"/>
  <c r="M77" i="1"/>
  <c r="T77" i="1"/>
  <c r="V77" i="1"/>
  <c r="X77" i="1"/>
  <c r="Y77" i="1"/>
  <c r="Z77" i="1"/>
  <c r="AB77" i="1"/>
  <c r="AC77" i="1"/>
  <c r="K78" i="1"/>
  <c r="L78" i="1"/>
  <c r="M78" i="1"/>
  <c r="N78" i="1" s="1"/>
  <c r="T78" i="1"/>
  <c r="V78" i="1"/>
  <c r="X78" i="1"/>
  <c r="Y78" i="1"/>
  <c r="Z78" i="1"/>
  <c r="AB78" i="1"/>
  <c r="AC78" i="1"/>
  <c r="K79" i="1"/>
  <c r="L79" i="1"/>
  <c r="M79" i="1"/>
  <c r="N79" i="1" s="1"/>
  <c r="T79" i="1"/>
  <c r="V79" i="1"/>
  <c r="X79" i="1"/>
  <c r="Y79" i="1"/>
  <c r="U79" i="1" s="1"/>
  <c r="S79" i="1" s="1"/>
  <c r="Z79" i="1"/>
  <c r="AB79" i="1"/>
  <c r="AC79" i="1"/>
  <c r="K80" i="1"/>
  <c r="L80" i="1"/>
  <c r="M80" i="1"/>
  <c r="N80" i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N83" i="1" s="1"/>
  <c r="T83" i="1"/>
  <c r="V83" i="1"/>
  <c r="X83" i="1"/>
  <c r="Y83" i="1"/>
  <c r="Z83" i="1"/>
  <c r="AB83" i="1"/>
  <c r="AC83" i="1"/>
  <c r="K84" i="1"/>
  <c r="L84" i="1"/>
  <c r="M84" i="1"/>
  <c r="N84" i="1" s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N90" i="1" s="1"/>
  <c r="T90" i="1"/>
  <c r="V90" i="1"/>
  <c r="X90" i="1"/>
  <c r="Y90" i="1"/>
  <c r="Z90" i="1"/>
  <c r="AB90" i="1"/>
  <c r="AC90" i="1"/>
  <c r="K91" i="1"/>
  <c r="L91" i="1"/>
  <c r="M91" i="1"/>
  <c r="N91" i="1" s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N94" i="1" s="1"/>
  <c r="T94" i="1"/>
  <c r="V94" i="1"/>
  <c r="X94" i="1"/>
  <c r="Y94" i="1"/>
  <c r="Z94" i="1"/>
  <c r="AB94" i="1"/>
  <c r="AC94" i="1"/>
  <c r="K95" i="1"/>
  <c r="L95" i="1"/>
  <c r="M95" i="1"/>
  <c r="N95" i="1" s="1"/>
  <c r="T95" i="1"/>
  <c r="V95" i="1"/>
  <c r="X95" i="1"/>
  <c r="Y95" i="1"/>
  <c r="Z95" i="1"/>
  <c r="AB95" i="1"/>
  <c r="AC95" i="1"/>
  <c r="K96" i="1"/>
  <c r="L96" i="1"/>
  <c r="M96" i="1"/>
  <c r="N96" i="1" s="1"/>
  <c r="T96" i="1"/>
  <c r="V96" i="1"/>
  <c r="X96" i="1"/>
  <c r="Y96" i="1"/>
  <c r="Z96" i="1"/>
  <c r="AB96" i="1"/>
  <c r="AC96" i="1"/>
  <c r="K97" i="1"/>
  <c r="L97" i="1"/>
  <c r="M97" i="1"/>
  <c r="N97" i="1" s="1"/>
  <c r="T97" i="1"/>
  <c r="V97" i="1"/>
  <c r="X97" i="1"/>
  <c r="Y97" i="1"/>
  <c r="Z97" i="1"/>
  <c r="AA97" i="1" s="1"/>
  <c r="W97" i="1" s="1"/>
  <c r="AB97" i="1"/>
  <c r="AC97" i="1"/>
  <c r="K98" i="1"/>
  <c r="L98" i="1"/>
  <c r="M98" i="1"/>
  <c r="N98" i="1" s="1"/>
  <c r="T98" i="1"/>
  <c r="V98" i="1"/>
  <c r="X98" i="1"/>
  <c r="Y98" i="1"/>
  <c r="AA98" i="1" s="1"/>
  <c r="W98" i="1" s="1"/>
  <c r="Z98" i="1"/>
  <c r="AB98" i="1"/>
  <c r="AC98" i="1"/>
  <c r="K99" i="1"/>
  <c r="L99" i="1"/>
  <c r="M99" i="1"/>
  <c r="N99" i="1" s="1"/>
  <c r="T99" i="1"/>
  <c r="V99" i="1"/>
  <c r="X99" i="1"/>
  <c r="Y99" i="1"/>
  <c r="Z99" i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T105" i="1"/>
  <c r="V105" i="1"/>
  <c r="X105" i="1"/>
  <c r="Y105" i="1"/>
  <c r="Z105" i="1"/>
  <c r="AA105" i="1" s="1"/>
  <c r="W105" i="1" s="1"/>
  <c r="AB105" i="1"/>
  <c r="AC105" i="1"/>
  <c r="K106" i="1"/>
  <c r="L106" i="1"/>
  <c r="M106" i="1"/>
  <c r="T106" i="1"/>
  <c r="V106" i="1"/>
  <c r="X106" i="1"/>
  <c r="Y106" i="1"/>
  <c r="Z106" i="1"/>
  <c r="AB106" i="1"/>
  <c r="AC106" i="1"/>
  <c r="K107" i="1"/>
  <c r="L107" i="1"/>
  <c r="M107" i="1"/>
  <c r="N107" i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Y111" i="1"/>
  <c r="Z111" i="1"/>
  <c r="AB111" i="1"/>
  <c r="AC111" i="1"/>
  <c r="K112" i="1"/>
  <c r="L112" i="1"/>
  <c r="M112" i="1"/>
  <c r="N112" i="1" s="1"/>
  <c r="T112" i="1"/>
  <c r="V112" i="1"/>
  <c r="Y112" i="1"/>
  <c r="Z112" i="1"/>
  <c r="AA112" i="1" s="1"/>
  <c r="W112" i="1" s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N117" i="1" s="1"/>
  <c r="T117" i="1"/>
  <c r="V117" i="1"/>
  <c r="X117" i="1"/>
  <c r="Y117" i="1"/>
  <c r="Z117" i="1"/>
  <c r="AB117" i="1"/>
  <c r="AC117" i="1"/>
  <c r="K118" i="1"/>
  <c r="L118" i="1"/>
  <c r="M118" i="1"/>
  <c r="N118" i="1" s="1"/>
  <c r="T118" i="1"/>
  <c r="V118" i="1"/>
  <c r="X118" i="1"/>
  <c r="Y118" i="1"/>
  <c r="Z118" i="1"/>
  <c r="AB118" i="1"/>
  <c r="AC118" i="1"/>
  <c r="K119" i="1"/>
  <c r="L119" i="1"/>
  <c r="M119" i="1"/>
  <c r="N119" i="1" s="1"/>
  <c r="T119" i="1"/>
  <c r="V119" i="1"/>
  <c r="X119" i="1"/>
  <c r="Y119" i="1"/>
  <c r="Z119" i="1"/>
  <c r="AB119" i="1"/>
  <c r="AC119" i="1"/>
  <c r="K120" i="1"/>
  <c r="L120" i="1"/>
  <c r="M120" i="1"/>
  <c r="P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A121" i="1" s="1"/>
  <c r="W121" i="1" s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A126" i="1"/>
  <c r="W126" i="1" s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AA130" i="1" s="1"/>
  <c r="W130" i="1" s="1"/>
  <c r="Z130" i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2" i="1"/>
  <c r="L132" i="1"/>
  <c r="M132" i="1"/>
  <c r="N132" i="1" s="1"/>
  <c r="T132" i="1"/>
  <c r="V132" i="1"/>
  <c r="X132" i="1"/>
  <c r="Y132" i="1"/>
  <c r="Z132" i="1"/>
  <c r="AB132" i="1"/>
  <c r="AC132" i="1"/>
  <c r="K133" i="1"/>
  <c r="L133" i="1"/>
  <c r="M133" i="1"/>
  <c r="T133" i="1"/>
  <c r="V133" i="1"/>
  <c r="X133" i="1"/>
  <c r="Y133" i="1"/>
  <c r="Z133" i="1"/>
  <c r="AA133" i="1" s="1"/>
  <c r="W133" i="1" s="1"/>
  <c r="AB133" i="1"/>
  <c r="AC133" i="1"/>
  <c r="K134" i="1"/>
  <c r="L134" i="1"/>
  <c r="M134" i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A137" i="1" s="1"/>
  <c r="W137" i="1" s="1"/>
  <c r="AB137" i="1"/>
  <c r="AC137" i="1"/>
  <c r="K138" i="1"/>
  <c r="L138" i="1"/>
  <c r="M138" i="1"/>
  <c r="N138" i="1" s="1"/>
  <c r="T138" i="1"/>
  <c r="V138" i="1"/>
  <c r="X138" i="1"/>
  <c r="Y138" i="1"/>
  <c r="AA138" i="1" s="1"/>
  <c r="W138" i="1" s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N145" i="1" s="1"/>
  <c r="T145" i="1"/>
  <c r="V145" i="1"/>
  <c r="X145" i="1"/>
  <c r="Y145" i="1"/>
  <c r="Z145" i="1"/>
  <c r="AB145" i="1"/>
  <c r="AC145" i="1"/>
  <c r="K146" i="1"/>
  <c r="L146" i="1"/>
  <c r="M146" i="1"/>
  <c r="N146" i="1" s="1"/>
  <c r="T146" i="1"/>
  <c r="V146" i="1"/>
  <c r="X146" i="1"/>
  <c r="Y146" i="1"/>
  <c r="Z146" i="1"/>
  <c r="AB146" i="1"/>
  <c r="AC146" i="1"/>
  <c r="K147" i="1"/>
  <c r="L147" i="1"/>
  <c r="M147" i="1"/>
  <c r="N147" i="1" s="1"/>
  <c r="T147" i="1"/>
  <c r="V147" i="1"/>
  <c r="X147" i="1"/>
  <c r="Y147" i="1"/>
  <c r="Z147" i="1"/>
  <c r="AA147" i="1" s="1"/>
  <c r="W147" i="1" s="1"/>
  <c r="AB147" i="1"/>
  <c r="AC147" i="1"/>
  <c r="K148" i="1"/>
  <c r="L148" i="1"/>
  <c r="M148" i="1"/>
  <c r="N148" i="1" s="1"/>
  <c r="T148" i="1"/>
  <c r="V148" i="1"/>
  <c r="X148" i="1"/>
  <c r="Y148" i="1"/>
  <c r="Z148" i="1"/>
  <c r="AB148" i="1"/>
  <c r="AC148" i="1"/>
  <c r="K149" i="1"/>
  <c r="L149" i="1"/>
  <c r="M149" i="1"/>
  <c r="N149" i="1"/>
  <c r="T149" i="1"/>
  <c r="V149" i="1"/>
  <c r="X149" i="1"/>
  <c r="Y149" i="1"/>
  <c r="Z149" i="1"/>
  <c r="AA149" i="1" s="1"/>
  <c r="W149" i="1" s="1"/>
  <c r="AB149" i="1"/>
  <c r="AC149" i="1"/>
  <c r="K150" i="1"/>
  <c r="L150" i="1"/>
  <c r="M150" i="1"/>
  <c r="N150" i="1" s="1"/>
  <c r="T150" i="1"/>
  <c r="V150" i="1"/>
  <c r="X150" i="1"/>
  <c r="Y150" i="1"/>
  <c r="AA150" i="1" s="1"/>
  <c r="W150" i="1" s="1"/>
  <c r="Z150" i="1"/>
  <c r="AB150" i="1"/>
  <c r="AC150" i="1"/>
  <c r="K151" i="1"/>
  <c r="L151" i="1"/>
  <c r="M151" i="1"/>
  <c r="N151" i="1" s="1"/>
  <c r="T151" i="1"/>
  <c r="V151" i="1"/>
  <c r="X151" i="1"/>
  <c r="Y151" i="1"/>
  <c r="Z151" i="1"/>
  <c r="AA151" i="1" s="1"/>
  <c r="W151" i="1" s="1"/>
  <c r="AB151" i="1"/>
  <c r="AC151" i="1"/>
  <c r="K152" i="1"/>
  <c r="L152" i="1"/>
  <c r="M152" i="1"/>
  <c r="N152" i="1" s="1"/>
  <c r="T152" i="1"/>
  <c r="V152" i="1"/>
  <c r="X152" i="1"/>
  <c r="Y152" i="1"/>
  <c r="U152" i="1" s="1"/>
  <c r="S152" i="1" s="1"/>
  <c r="Z152" i="1"/>
  <c r="AB152" i="1"/>
  <c r="AC152" i="1"/>
  <c r="K153" i="1"/>
  <c r="L153" i="1"/>
  <c r="M153" i="1"/>
  <c r="N153" i="1"/>
  <c r="T153" i="1"/>
  <c r="V153" i="1"/>
  <c r="X153" i="1"/>
  <c r="Y153" i="1"/>
  <c r="Z153" i="1"/>
  <c r="AB153" i="1"/>
  <c r="AC153" i="1"/>
  <c r="K154" i="1"/>
  <c r="L154" i="1"/>
  <c r="M154" i="1"/>
  <c r="N154" i="1" s="1"/>
  <c r="T154" i="1"/>
  <c r="V154" i="1"/>
  <c r="X154" i="1"/>
  <c r="Y154" i="1"/>
  <c r="Z154" i="1"/>
  <c r="AB154" i="1"/>
  <c r="AC154" i="1"/>
  <c r="AA144" i="1" l="1"/>
  <c r="W144" i="1" s="1"/>
  <c r="AA142" i="1"/>
  <c r="W142" i="1" s="1"/>
  <c r="AA107" i="1"/>
  <c r="W107" i="1" s="1"/>
  <c r="P105" i="1"/>
  <c r="AA22" i="1"/>
  <c r="W22" i="1" s="1"/>
  <c r="U128" i="1"/>
  <c r="S128" i="1" s="1"/>
  <c r="AA116" i="1"/>
  <c r="W116" i="1" s="1"/>
  <c r="U112" i="1"/>
  <c r="S112" i="1" s="1"/>
  <c r="AA95" i="1"/>
  <c r="W95" i="1" s="1"/>
  <c r="AA86" i="1"/>
  <c r="W86" i="1" s="1"/>
  <c r="AA64" i="1"/>
  <c r="W64" i="1" s="1"/>
  <c r="AA141" i="1"/>
  <c r="W141" i="1" s="1"/>
  <c r="AA115" i="1"/>
  <c r="W115" i="1" s="1"/>
  <c r="AA111" i="1"/>
  <c r="W111" i="1" s="1"/>
  <c r="AA85" i="1"/>
  <c r="W85" i="1" s="1"/>
  <c r="AA83" i="1"/>
  <c r="W83" i="1" s="1"/>
  <c r="AA67" i="1"/>
  <c r="W67" i="1" s="1"/>
  <c r="AA23" i="1"/>
  <c r="W23" i="1" s="1"/>
  <c r="AA146" i="1"/>
  <c r="W146" i="1" s="1"/>
  <c r="AA131" i="1"/>
  <c r="W131" i="1" s="1"/>
  <c r="AA125" i="1"/>
  <c r="W125" i="1" s="1"/>
  <c r="AA117" i="1"/>
  <c r="W117" i="1" s="1"/>
  <c r="AA110" i="1"/>
  <c r="W110" i="1" s="1"/>
  <c r="AA106" i="1"/>
  <c r="W106" i="1" s="1"/>
  <c r="AA89" i="1"/>
  <c r="W89" i="1" s="1"/>
  <c r="AA80" i="1"/>
  <c r="W80" i="1" s="1"/>
  <c r="AA73" i="1"/>
  <c r="W73" i="1" s="1"/>
  <c r="AA69" i="1"/>
  <c r="W69" i="1" s="1"/>
  <c r="AA50" i="1"/>
  <c r="W50" i="1" s="1"/>
  <c r="AA40" i="1"/>
  <c r="W40" i="1" s="1"/>
  <c r="AA26" i="1"/>
  <c r="W26" i="1" s="1"/>
  <c r="AA24" i="1"/>
  <c r="W24" i="1" s="1"/>
  <c r="U144" i="1"/>
  <c r="S144" i="1" s="1"/>
  <c r="AA134" i="1"/>
  <c r="W134" i="1" s="1"/>
  <c r="AA122" i="1"/>
  <c r="W122" i="1" s="1"/>
  <c r="AA100" i="1"/>
  <c r="W100" i="1" s="1"/>
  <c r="U96" i="1"/>
  <c r="S96" i="1" s="1"/>
  <c r="U94" i="1"/>
  <c r="S94" i="1" s="1"/>
  <c r="AA92" i="1"/>
  <c r="W92" i="1" s="1"/>
  <c r="U90" i="1"/>
  <c r="S90" i="1" s="1"/>
  <c r="P60" i="1"/>
  <c r="AA48" i="1"/>
  <c r="W48" i="1" s="1"/>
  <c r="U150" i="1"/>
  <c r="S150" i="1" s="1"/>
  <c r="AA143" i="1"/>
  <c r="W143" i="1" s="1"/>
  <c r="U140" i="1"/>
  <c r="S140" i="1" s="1"/>
  <c r="AA136" i="1"/>
  <c r="W136" i="1" s="1"/>
  <c r="AA127" i="1"/>
  <c r="W127" i="1" s="1"/>
  <c r="AA124" i="1"/>
  <c r="W124" i="1" s="1"/>
  <c r="U120" i="1"/>
  <c r="S120" i="1" s="1"/>
  <c r="AA114" i="1"/>
  <c r="W114" i="1" s="1"/>
  <c r="AA103" i="1"/>
  <c r="W103" i="1" s="1"/>
  <c r="AA101" i="1"/>
  <c r="W101" i="1" s="1"/>
  <c r="AA99" i="1"/>
  <c r="W99" i="1" s="1"/>
  <c r="AA91" i="1"/>
  <c r="W91" i="1" s="1"/>
  <c r="U81" i="1"/>
  <c r="S81" i="1" s="1"/>
  <c r="P76" i="1"/>
  <c r="AA65" i="1"/>
  <c r="W65" i="1" s="1"/>
  <c r="U61" i="1"/>
  <c r="AA59" i="1"/>
  <c r="W59" i="1" s="1"/>
  <c r="AA56" i="1"/>
  <c r="W56" i="1" s="1"/>
  <c r="AA52" i="1"/>
  <c r="W52" i="1" s="1"/>
  <c r="AA49" i="1"/>
  <c r="W49" i="1" s="1"/>
  <c r="AA42" i="1"/>
  <c r="W42" i="1" s="1"/>
  <c r="AA37" i="1"/>
  <c r="W37" i="1" s="1"/>
  <c r="U80" i="1"/>
  <c r="S80" i="1" s="1"/>
  <c r="U66" i="1"/>
  <c r="S66" i="1" s="1"/>
  <c r="U54" i="1"/>
  <c r="S54" i="1" s="1"/>
  <c r="U40" i="1"/>
  <c r="S40" i="1" s="1"/>
  <c r="U37" i="1"/>
  <c r="S37" i="1" s="1"/>
  <c r="U32" i="1"/>
  <c r="S32" i="1" s="1"/>
  <c r="AA140" i="1"/>
  <c r="W140" i="1" s="1"/>
  <c r="U139" i="1"/>
  <c r="S139" i="1" s="1"/>
  <c r="AA132" i="1"/>
  <c r="W132" i="1" s="1"/>
  <c r="U130" i="1"/>
  <c r="S130" i="1" s="1"/>
  <c r="U124" i="1"/>
  <c r="S124" i="1" s="1"/>
  <c r="U110" i="1"/>
  <c r="S110" i="1" s="1"/>
  <c r="U106" i="1"/>
  <c r="AA104" i="1"/>
  <c r="W104" i="1" s="1"/>
  <c r="AA94" i="1"/>
  <c r="W94" i="1" s="1"/>
  <c r="U93" i="1"/>
  <c r="S93" i="1" s="1"/>
  <c r="AA81" i="1"/>
  <c r="W81" i="1" s="1"/>
  <c r="U77" i="1"/>
  <c r="U73" i="1"/>
  <c r="S73" i="1" s="1"/>
  <c r="U69" i="1"/>
  <c r="S69" i="1" s="1"/>
  <c r="U49" i="1"/>
  <c r="S49" i="1" s="1"/>
  <c r="P29" i="1"/>
  <c r="U17" i="1"/>
  <c r="S17" i="1" s="1"/>
  <c r="AA17" i="1"/>
  <c r="W17" i="1" s="1"/>
  <c r="AA154" i="1"/>
  <c r="W154" i="1" s="1"/>
  <c r="U141" i="1"/>
  <c r="S141" i="1" s="1"/>
  <c r="U136" i="1"/>
  <c r="S136" i="1" s="1"/>
  <c r="AA128" i="1"/>
  <c r="W128" i="1" s="1"/>
  <c r="U98" i="1"/>
  <c r="S98" i="1" s="1"/>
  <c r="AA88" i="1"/>
  <c r="W88" i="1" s="1"/>
  <c r="AA84" i="1"/>
  <c r="W84" i="1" s="1"/>
  <c r="U84" i="1"/>
  <c r="S84" i="1" s="1"/>
  <c r="AA82" i="1"/>
  <c r="W82" i="1" s="1"/>
  <c r="AA72" i="1"/>
  <c r="W72" i="1" s="1"/>
  <c r="U72" i="1"/>
  <c r="S72" i="1" s="1"/>
  <c r="AA60" i="1"/>
  <c r="W60" i="1" s="1"/>
  <c r="AA57" i="1"/>
  <c r="W57" i="1" s="1"/>
  <c r="AA53" i="1"/>
  <c r="W53" i="1" s="1"/>
  <c r="U53" i="1"/>
  <c r="S53" i="1" s="1"/>
  <c r="U47" i="1"/>
  <c r="S47" i="1" s="1"/>
  <c r="AA47" i="1"/>
  <c r="W47" i="1" s="1"/>
  <c r="U45" i="1"/>
  <c r="S45" i="1" s="1"/>
  <c r="AA28" i="1"/>
  <c r="W28" i="1" s="1"/>
  <c r="U25" i="1"/>
  <c r="S25" i="1" s="1"/>
  <c r="U19" i="1"/>
  <c r="S19" i="1" s="1"/>
  <c r="AA19" i="1"/>
  <c r="W19" i="1" s="1"/>
  <c r="U125" i="1"/>
  <c r="S125" i="1" s="1"/>
  <c r="AA153" i="1"/>
  <c r="W153" i="1" s="1"/>
  <c r="U146" i="1"/>
  <c r="S146" i="1" s="1"/>
  <c r="P133" i="1"/>
  <c r="U123" i="1"/>
  <c r="S123" i="1" s="1"/>
  <c r="AA120" i="1"/>
  <c r="W120" i="1" s="1"/>
  <c r="U114" i="1"/>
  <c r="S114" i="1" s="1"/>
  <c r="AA96" i="1"/>
  <c r="W96" i="1" s="1"/>
  <c r="AA87" i="1"/>
  <c r="W87" i="1" s="1"/>
  <c r="AA79" i="1"/>
  <c r="W79" i="1" s="1"/>
  <c r="AA70" i="1"/>
  <c r="W70" i="1" s="1"/>
  <c r="U55" i="1"/>
  <c r="S55" i="1" s="1"/>
  <c r="AA55" i="1"/>
  <c r="W55" i="1" s="1"/>
  <c r="AA31" i="1"/>
  <c r="W31" i="1" s="1"/>
  <c r="AA21" i="1"/>
  <c r="W21" i="1" s="1"/>
  <c r="U21" i="1"/>
  <c r="S21" i="1" s="1"/>
  <c r="U62" i="1"/>
  <c r="S62" i="1" s="1"/>
  <c r="U46" i="1"/>
  <c r="S46" i="1" s="1"/>
  <c r="AA45" i="1"/>
  <c r="W45" i="1" s="1"/>
  <c r="U34" i="1"/>
  <c r="S34" i="1" s="1"/>
  <c r="AA33" i="1"/>
  <c r="W33" i="1" s="1"/>
  <c r="AA29" i="1"/>
  <c r="W29" i="1" s="1"/>
  <c r="AA25" i="1"/>
  <c r="W25" i="1" s="1"/>
  <c r="U16" i="1"/>
  <c r="S16" i="1" s="1"/>
  <c r="AA152" i="1"/>
  <c r="W152" i="1" s="1"/>
  <c r="AA145" i="1"/>
  <c r="W145" i="1" s="1"/>
  <c r="U142" i="1"/>
  <c r="S142" i="1" s="1"/>
  <c r="AA129" i="1"/>
  <c r="W129" i="1" s="1"/>
  <c r="U126" i="1"/>
  <c r="S126" i="1" s="1"/>
  <c r="AA119" i="1"/>
  <c r="W119" i="1" s="1"/>
  <c r="AA118" i="1"/>
  <c r="W118" i="1" s="1"/>
  <c r="AA113" i="1"/>
  <c r="W113" i="1" s="1"/>
  <c r="U109" i="1"/>
  <c r="S109" i="1" s="1"/>
  <c r="AA108" i="1"/>
  <c r="W108" i="1" s="1"/>
  <c r="AA102" i="1"/>
  <c r="W102" i="1" s="1"/>
  <c r="U100" i="1"/>
  <c r="S100" i="1" s="1"/>
  <c r="U95" i="1"/>
  <c r="S95" i="1" s="1"/>
  <c r="AA90" i="1"/>
  <c r="W90" i="1" s="1"/>
  <c r="U78" i="1"/>
  <c r="S78" i="1" s="1"/>
  <c r="AA77" i="1"/>
  <c r="W77" i="1" s="1"/>
  <c r="AA75" i="1"/>
  <c r="W75" i="1" s="1"/>
  <c r="U64" i="1"/>
  <c r="S64" i="1" s="1"/>
  <c r="AA63" i="1"/>
  <c r="W63" i="1" s="1"/>
  <c r="U48" i="1"/>
  <c r="S48" i="1" s="1"/>
  <c r="AA43" i="1"/>
  <c r="W43" i="1" s="1"/>
  <c r="U41" i="1"/>
  <c r="S41" i="1" s="1"/>
  <c r="AA36" i="1"/>
  <c r="W36" i="1" s="1"/>
  <c r="U30" i="1"/>
  <c r="AA27" i="1"/>
  <c r="W27" i="1" s="1"/>
  <c r="AA20" i="1"/>
  <c r="W20" i="1" s="1"/>
  <c r="U18" i="1"/>
  <c r="S18" i="1" s="1"/>
  <c r="AA148" i="1"/>
  <c r="W148" i="1" s="1"/>
  <c r="U148" i="1"/>
  <c r="S148" i="1" s="1"/>
  <c r="U143" i="1"/>
  <c r="S143" i="1" s="1"/>
  <c r="U134" i="1"/>
  <c r="U132" i="1"/>
  <c r="S132" i="1" s="1"/>
  <c r="U127" i="1"/>
  <c r="S127" i="1" s="1"/>
  <c r="U118" i="1"/>
  <c r="S118" i="1" s="1"/>
  <c r="U116" i="1"/>
  <c r="S116" i="1" s="1"/>
  <c r="U111" i="1"/>
  <c r="S111" i="1" s="1"/>
  <c r="U104" i="1"/>
  <c r="S104" i="1" s="1"/>
  <c r="U102" i="1"/>
  <c r="S102" i="1" s="1"/>
  <c r="U97" i="1"/>
  <c r="S97" i="1" s="1"/>
  <c r="U88" i="1"/>
  <c r="S88" i="1" s="1"/>
  <c r="U86" i="1"/>
  <c r="S86" i="1" s="1"/>
  <c r="U75" i="1"/>
  <c r="S75" i="1" s="1"/>
  <c r="U74" i="1"/>
  <c r="S74" i="1" s="1"/>
  <c r="U57" i="1"/>
  <c r="S57" i="1" s="1"/>
  <c r="U43" i="1"/>
  <c r="S43" i="1" s="1"/>
  <c r="U42" i="1"/>
  <c r="S42" i="1" s="1"/>
  <c r="U27" i="1"/>
  <c r="S27" i="1" s="1"/>
  <c r="U154" i="1"/>
  <c r="S154" i="1" s="1"/>
  <c r="U147" i="1"/>
  <c r="S147" i="1" s="1"/>
  <c r="U145" i="1"/>
  <c r="S145" i="1" s="1"/>
  <c r="U138" i="1"/>
  <c r="S138" i="1" s="1"/>
  <c r="U131" i="1"/>
  <c r="S131" i="1" s="1"/>
  <c r="U129" i="1"/>
  <c r="S129" i="1" s="1"/>
  <c r="U122" i="1"/>
  <c r="S122" i="1" s="1"/>
  <c r="U115" i="1"/>
  <c r="S115" i="1" s="1"/>
  <c r="U113" i="1"/>
  <c r="S113" i="1" s="1"/>
  <c r="U108" i="1"/>
  <c r="S108" i="1" s="1"/>
  <c r="U101" i="1"/>
  <c r="S101" i="1" s="1"/>
  <c r="U99" i="1"/>
  <c r="S99" i="1" s="1"/>
  <c r="U92" i="1"/>
  <c r="S92" i="1" s="1"/>
  <c r="U85" i="1"/>
  <c r="S85" i="1" s="1"/>
  <c r="U83" i="1"/>
  <c r="S83" i="1" s="1"/>
  <c r="U82" i="1"/>
  <c r="S82" i="1" s="1"/>
  <c r="U71" i="1"/>
  <c r="S71" i="1" s="1"/>
  <c r="U70" i="1"/>
  <c r="S70" i="1" s="1"/>
  <c r="U68" i="1"/>
  <c r="S68" i="1" s="1"/>
  <c r="U65" i="1"/>
  <c r="S65" i="1" s="1"/>
  <c r="U51" i="1"/>
  <c r="S51" i="1" s="1"/>
  <c r="U50" i="1"/>
  <c r="S50" i="1" s="1"/>
  <c r="U39" i="1"/>
  <c r="S39" i="1" s="1"/>
  <c r="U38" i="1"/>
  <c r="S38" i="1" s="1"/>
  <c r="U36" i="1"/>
  <c r="S36" i="1" s="1"/>
  <c r="U33" i="1"/>
  <c r="S33" i="1" s="1"/>
  <c r="U151" i="1"/>
  <c r="S151" i="1" s="1"/>
  <c r="U149" i="1"/>
  <c r="S149" i="1" s="1"/>
  <c r="U135" i="1"/>
  <c r="S135" i="1" s="1"/>
  <c r="U133" i="1"/>
  <c r="S133" i="1" s="1"/>
  <c r="U119" i="1"/>
  <c r="S119" i="1" s="1"/>
  <c r="U117" i="1"/>
  <c r="S117" i="1" s="1"/>
  <c r="U105" i="1"/>
  <c r="S105" i="1" s="1"/>
  <c r="U103" i="1"/>
  <c r="S103" i="1" s="1"/>
  <c r="U89" i="1"/>
  <c r="S89" i="1" s="1"/>
  <c r="U87" i="1"/>
  <c r="S87" i="1" s="1"/>
  <c r="U59" i="1"/>
  <c r="S59" i="1" s="1"/>
  <c r="U58" i="1"/>
  <c r="S58" i="1" s="1"/>
  <c r="U56" i="1"/>
  <c r="S56" i="1" s="1"/>
  <c r="U22" i="1"/>
  <c r="S22" i="1" s="1"/>
  <c r="U20" i="1"/>
  <c r="S20" i="1" s="1"/>
  <c r="U153" i="1"/>
  <c r="S153" i="1" s="1"/>
  <c r="AA139" i="1"/>
  <c r="W139" i="1" s="1"/>
  <c r="U137" i="1"/>
  <c r="S137" i="1" s="1"/>
  <c r="AA123" i="1"/>
  <c r="W123" i="1" s="1"/>
  <c r="U121" i="1"/>
  <c r="S121" i="1" s="1"/>
  <c r="AA109" i="1"/>
  <c r="W109" i="1" s="1"/>
  <c r="U107" i="1"/>
  <c r="S107" i="1" s="1"/>
  <c r="AA93" i="1"/>
  <c r="W93" i="1" s="1"/>
  <c r="U91" i="1"/>
  <c r="S91" i="1" s="1"/>
  <c r="U67" i="1"/>
  <c r="S67" i="1" s="1"/>
  <c r="AA66" i="1"/>
  <c r="W66" i="1" s="1"/>
  <c r="AA54" i="1"/>
  <c r="W54" i="1" s="1"/>
  <c r="U52" i="1"/>
  <c r="S52" i="1" s="1"/>
  <c r="U35" i="1"/>
  <c r="S35" i="1" s="1"/>
  <c r="AA34" i="1"/>
  <c r="W34" i="1" s="1"/>
  <c r="U29" i="1"/>
  <c r="S29" i="1" s="1"/>
  <c r="U23" i="1"/>
  <c r="S23" i="1" s="1"/>
  <c r="AA18" i="1"/>
  <c r="W18" i="1" s="1"/>
  <c r="U15" i="1"/>
  <c r="S15" i="1" s="1"/>
  <c r="U26" i="1"/>
  <c r="S26" i="1" s="1"/>
  <c r="U24" i="1"/>
  <c r="S24" i="1" s="1"/>
  <c r="AA78" i="1"/>
  <c r="W78" i="1" s="1"/>
  <c r="U76" i="1"/>
  <c r="S76" i="1" s="1"/>
  <c r="AA62" i="1"/>
  <c r="W62" i="1" s="1"/>
  <c r="U60" i="1"/>
  <c r="AA46" i="1"/>
  <c r="W46" i="1" s="1"/>
  <c r="U44" i="1"/>
  <c r="S44" i="1" s="1"/>
  <c r="AA30" i="1"/>
  <c r="W30" i="1" s="1"/>
  <c r="U28" i="1"/>
  <c r="S28" i="1" s="1"/>
  <c r="L58" i="3"/>
  <c r="S60" i="1" l="1"/>
  <c r="P80" i="3"/>
  <c r="P19" i="3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Q44" i="3"/>
  <c r="Q36" i="3"/>
  <c r="Q29" i="3"/>
  <c r="Q59" i="3"/>
  <c r="Q68" i="3"/>
  <c r="Q21" i="3"/>
  <c r="Q57" i="3"/>
  <c r="Q76" i="3"/>
  <c r="Q9" i="3"/>
  <c r="Q60" i="3"/>
  <c r="Q11" i="3"/>
  <c r="Q47" i="3"/>
  <c r="Q45" i="3"/>
  <c r="Q71" i="3"/>
  <c r="Q48" i="3"/>
  <c r="Q72" i="3"/>
  <c r="Q14" i="3"/>
  <c r="Q38" i="3"/>
  <c r="Q62" i="3"/>
  <c r="Q39" i="3"/>
  <c r="Q61" i="3"/>
  <c r="Q69" i="3"/>
  <c r="Q77" i="3"/>
  <c r="Q32" i="3"/>
  <c r="Q73" i="3"/>
  <c r="Q31" i="3"/>
  <c r="Q17" i="3"/>
  <c r="Q15" i="3"/>
  <c r="Q74" i="3"/>
  <c r="Q33" i="3"/>
  <c r="Q16" i="3"/>
  <c r="Q18" i="3"/>
  <c r="Q49" i="3"/>
  <c r="Q50" i="3"/>
  <c r="P40" i="3"/>
  <c r="Q40" i="3"/>
  <c r="Q23" i="3"/>
  <c r="Q75" i="3"/>
  <c r="Q22" i="3"/>
  <c r="Q64" i="3"/>
  <c r="Q70" i="3"/>
  <c r="Q63" i="3"/>
  <c r="Q46" i="3"/>
  <c r="Q20" i="3"/>
  <c r="Q65" i="3"/>
  <c r="Q78" i="3"/>
  <c r="P66" i="3"/>
  <c r="Q66" i="3"/>
  <c r="Q19" i="3"/>
  <c r="Q67" i="3"/>
  <c r="Q43" i="3"/>
  <c r="Q51" i="3"/>
  <c r="Q7" i="3"/>
  <c r="Q56" i="3"/>
  <c r="P10" i="3"/>
  <c r="Q10" i="3"/>
  <c r="Q35" i="3"/>
  <c r="Q52" i="3"/>
  <c r="Q42" i="3"/>
  <c r="P24" i="3"/>
  <c r="Q24" i="3"/>
  <c r="Q25" i="3"/>
  <c r="P37" i="3"/>
  <c r="Q37" i="3"/>
  <c r="Q79" i="3"/>
  <c r="P34" i="3"/>
  <c r="Q34" i="3"/>
  <c r="P54" i="3"/>
  <c r="Q54" i="3"/>
  <c r="P53" i="3"/>
  <c r="Q53" i="3"/>
  <c r="P27" i="3"/>
  <c r="Q27" i="3"/>
  <c r="P26" i="3"/>
  <c r="Q26" i="3"/>
  <c r="P41" i="3"/>
  <c r="Q41" i="3"/>
  <c r="P58" i="3"/>
  <c r="Q58" i="3"/>
  <c r="Q8" i="3"/>
  <c r="P12" i="3"/>
  <c r="Q12" i="3"/>
  <c r="P30" i="3"/>
  <c r="Q30" i="3"/>
  <c r="P55" i="3"/>
  <c r="Q55" i="3"/>
  <c r="Q80" i="3"/>
  <c r="P28" i="3"/>
  <c r="Q28" i="3"/>
  <c r="P13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29" i="3"/>
  <c r="P59" i="3"/>
  <c r="P68" i="3"/>
  <c r="P21" i="3"/>
  <c r="P76" i="3"/>
  <c r="P60" i="3"/>
  <c r="P11" i="3"/>
  <c r="P72" i="3"/>
  <c r="P45" i="3"/>
  <c r="P32" i="3"/>
  <c r="P61" i="3"/>
  <c r="P17" i="3"/>
  <c r="P74" i="3"/>
  <c r="P16" i="3"/>
  <c r="P49" i="3"/>
  <c r="P42" i="3"/>
  <c r="P63" i="3"/>
  <c r="P25" i="3"/>
  <c r="P8" i="3"/>
  <c r="P78" i="3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P20" i="3" l="1"/>
  <c r="P23" i="3"/>
  <c r="P9" i="3"/>
  <c r="P22" i="3"/>
  <c r="P31" i="3"/>
  <c r="P48" i="3"/>
  <c r="P14" i="3"/>
  <c r="P79" i="3"/>
  <c r="P75" i="3"/>
  <c r="P64" i="3"/>
  <c r="P46" i="3"/>
  <c r="P73" i="3"/>
  <c r="P62" i="3"/>
  <c r="P57" i="3"/>
  <c r="P7" i="3"/>
  <c r="P15" i="3"/>
  <c r="P67" i="3"/>
  <c r="P18" i="3"/>
  <c r="P50" i="3"/>
  <c r="P39" i="3"/>
  <c r="P36" i="3"/>
  <c r="P44" i="3"/>
  <c r="P77" i="3"/>
  <c r="P51" i="3"/>
  <c r="P33" i="3"/>
  <c r="P56" i="3"/>
  <c r="P69" i="3"/>
  <c r="P38" i="3"/>
  <c r="P47" i="3"/>
  <c r="P70" i="3"/>
  <c r="P43" i="3"/>
  <c r="P52" i="3"/>
  <c r="P35" i="3"/>
  <c r="P65" i="3"/>
  <c r="P71" i="3"/>
  <c r="L17" i="3" l="1"/>
  <c r="L69" i="3"/>
  <c r="L15" i="3"/>
  <c r="L8" i="3"/>
  <c r="L12" i="3"/>
  <c r="L45" i="3"/>
  <c r="L32" i="3"/>
  <c r="L77" i="3"/>
  <c r="L73" i="3"/>
  <c r="L31" i="3"/>
  <c r="L30" i="3"/>
  <c r="L36" i="3"/>
  <c r="L74" i="3"/>
  <c r="L16" i="3"/>
  <c r="L18" i="3"/>
  <c r="L33" i="3"/>
  <c r="L49" i="3"/>
  <c r="L14" i="3"/>
  <c r="L72" i="3"/>
  <c r="L59" i="3"/>
  <c r="L10" i="3"/>
  <c r="L50" i="3"/>
  <c r="L40" i="3"/>
  <c r="L27" i="3"/>
  <c r="L35" i="3"/>
  <c r="L23" i="3"/>
  <c r="L52" i="3"/>
  <c r="L42" i="3"/>
  <c r="L24" i="3"/>
  <c r="L9" i="3"/>
  <c r="L25" i="3"/>
  <c r="L21" i="3"/>
  <c r="L75" i="3"/>
  <c r="L48" i="3"/>
  <c r="L26" i="3"/>
  <c r="L54" i="3"/>
  <c r="L37" i="3"/>
  <c r="L60" i="3"/>
  <c r="L68" i="3"/>
  <c r="L47" i="3"/>
  <c r="L70" i="3"/>
  <c r="L13" i="3"/>
  <c r="L55" i="3"/>
  <c r="L57" i="3"/>
  <c r="L61" i="3"/>
  <c r="L11" i="3"/>
  <c r="L76" i="3"/>
  <c r="L38" i="3"/>
  <c r="L79" i="3"/>
  <c r="L46" i="3"/>
  <c r="L63" i="3"/>
  <c r="L22" i="3"/>
  <c r="L64" i="3"/>
  <c r="L80" i="3"/>
  <c r="L29" i="3"/>
  <c r="L34" i="3"/>
  <c r="L28" i="3"/>
  <c r="L53" i="3"/>
  <c r="L41" i="3"/>
  <c r="L78" i="3"/>
  <c r="L71" i="3"/>
  <c r="L20" i="3"/>
  <c r="L39" i="3"/>
  <c r="L65" i="3"/>
  <c r="L44" i="3"/>
  <c r="L19" i="3"/>
  <c r="L66" i="3"/>
  <c r="L67" i="3"/>
  <c r="L51" i="3"/>
  <c r="L7" i="3"/>
  <c r="L56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62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Q13" i="3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<sst xmlns="http://schemas.openxmlformats.org/spreadsheetml/2006/main" count="2333" uniqueCount="660">
  <si>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</si>
  <si>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</si>
  <si>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</si>
  <si>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</si>
  <si>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</si>
  <si>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</si>
  <si>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</si>
  <si>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</si>
  <si>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</si>
  <si>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</si>
  <si>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</si>
  <si>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</si>
  <si>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</si>
  <si>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</si>
  <si>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</si>
  <si>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</si>
  <si>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</si>
  <si>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</si>
  <si>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</si>
  <si>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</si>
  <si>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</si>
  <si>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</si>
  <si>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</si>
  <si>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</si>
  <si>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</si>
  <si>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</si>
  <si>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</si>
  <si>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</si>
  <si>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</si>
  <si>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</si>
  <si>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</si>
  <si>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</si>
  <si>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</si>
  <si>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</si>
  <si>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</si>
  <si>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</si>
  <si>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</si>
  <si>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</si>
  <si>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</si>
  <si>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</si>
  <si>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</si>
  <si>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</si>
  <si>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</si>
  <si>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</si>
  <si>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</si>
  <si>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</si>
  <si>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</si>
  <si>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</si>
  <si>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</si>
  <si>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</si>
  <si>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</si>
  <si>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</si>
  <si>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</si>
  <si>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</si>
  <si>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</si>
  <si>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</si>
  <si>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</si>
  <si>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</si>
  <si>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</si>
  <si>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</si>
  <si>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</si>
  <si>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</si>
  <si>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</si>
  <si>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</si>
  <si>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</si>
  <si>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</si>
  <si>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</si>
  <si>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</si>
  <si>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</si>
  <si>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</si>
  <si>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</si>
  <si>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</si>
  <si>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</si>
  <si>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</si>
  <si>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</si>
  <si>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</si>
  <si>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</si>
  <si>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</si>
  <si>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</si>
  <si>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</si>
  <si>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</si>
  <si>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</si>
  <si>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</si>
  <si>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</si>
  <si>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</si>
  <si>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</si>
  <si>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</si>
  <si>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</si>
  <si>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</si>
  <si>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</si>
  <si>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</si>
  <si>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</si>
  <si>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</si>
  <si>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</si>
  <si>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</si>
  <si>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</si>
  <si>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</si>
  <si>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</si>
  <si>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</si>
  <si>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</si>
  <si>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</si>
  <si>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</si>
  <si>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</si>
  <si>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</si>
  <si>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</si>
  <si>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</si>
  <si>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</si>
  <si>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</si>
  <si>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</si>
  <si>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</si>
  <si>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</si>
  <si>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</si>
  <si>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</si>
  <si>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</si>
  <si>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</si>
  <si>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</si>
  <si>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</si>
  <si>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</si>
  <si>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</si>
  <si>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</si>
  <si>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</si>
  <si>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</si>
  <si>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</si>
  <si>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</si>
  <si>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</si>
  <si>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</si>
  <si>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</si>
  <si>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</si>
  <si>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</si>
  <si>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</si>
  <si>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</si>
  <si>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</si>
  <si>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</si>
  <si>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</si>
  <si>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</si>
  <si>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</si>
  <si>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</si>
  <si>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</si>
  <si>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</si>
  <si>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</si>
  <si>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</si>
  <si>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</si>
  <si>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</si>
  <si>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</si>
  <si>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</si>
  <si>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</si>
  <si>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</si>
  <si>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</si>
  <si>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</si>
  <si>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</si>
  <si>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</si>
  <si>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</si>
  <si>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</si>
  <si>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</si>
  <si>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</si>
  <si>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</si>
  <si>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204:442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</si>
  <si>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</si>
  <si>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</si>
  <si>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</si>
  <si>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</si>
  <si>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</si>
  <si>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</si>
  <si>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</si>
  <si>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204:449</t>
  </si>
  <si>
    <t>204:462</t>
  </si>
  <si>
    <t>204:232996</t>
  </si>
  <si>
    <t>204:232981</t>
  </si>
  <si>
    <t>204:233303</t>
  </si>
  <si>
    <t>204:176</t>
  </si>
  <si>
    <t>rtdc.l.rtdc.4037:itc</t>
  </si>
  <si>
    <t>BARTLETT</t>
  </si>
  <si>
    <t>REBOLETTI</t>
  </si>
  <si>
    <t>DE LA ROSA</t>
  </si>
  <si>
    <t>rtdc.l.rtdc.4029:itc</t>
  </si>
  <si>
    <t>rtdc.l.rtdc.4030:itc</t>
  </si>
  <si>
    <t>rtdc.l.rtdc.4027:itc</t>
  </si>
  <si>
    <t>rtdc.l.rtdc.4040:itc</t>
  </si>
  <si>
    <t>rtdc.l.rtdc.4039:itc</t>
  </si>
  <si>
    <t>204:233280</t>
  </si>
  <si>
    <t>204:232979</t>
  </si>
  <si>
    <t>204:446</t>
  </si>
  <si>
    <t>204:232988</t>
  </si>
  <si>
    <t>204:156</t>
  </si>
  <si>
    <t>204:233272</t>
  </si>
  <si>
    <t>204:232989</t>
  </si>
  <si>
    <t>204:232980</t>
  </si>
  <si>
    <t>204:482</t>
  </si>
  <si>
    <t>204:232968</t>
  </si>
  <si>
    <t>204:233302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</si>
  <si>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</si>
  <si>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</si>
  <si>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</si>
  <si>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</si>
  <si>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</si>
  <si>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</si>
  <si>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</si>
  <si>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</si>
  <si>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</si>
  <si>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</si>
  <si>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</si>
  <si>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</si>
  <si>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</si>
  <si>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</si>
  <si>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204:233315</t>
  </si>
  <si>
    <t>204:233287</t>
  </si>
  <si>
    <t>204:233318</t>
  </si>
  <si>
    <t>204:233264</t>
  </si>
  <si>
    <t>204:232976</t>
  </si>
  <si>
    <t>204:232963</t>
  </si>
  <si>
    <t>204:233019</t>
  </si>
  <si>
    <t>204:469</t>
  </si>
  <si>
    <t>204:163</t>
  </si>
  <si>
    <t>204:435</t>
  </si>
  <si>
    <t>204:129</t>
  </si>
  <si>
    <t>187-29</t>
  </si>
  <si>
    <t>204:918</t>
  </si>
  <si>
    <t>204:233000</t>
  </si>
  <si>
    <t>204:233310</t>
  </si>
  <si>
    <t>204:232978</t>
  </si>
  <si>
    <t>204:233004</t>
  </si>
  <si>
    <t>204:736</t>
  </si>
  <si>
    <t>204:232965</t>
  </si>
  <si>
    <t>300:58596</t>
  </si>
  <si>
    <t>300:58587</t>
  </si>
  <si>
    <t>804-29</t>
  </si>
  <si>
    <t>300:58602</t>
  </si>
  <si>
    <t>204:1251</t>
  </si>
  <si>
    <t>300:58647</t>
  </si>
  <si>
    <t>204:1119</t>
  </si>
  <si>
    <t>300:58615</t>
  </si>
  <si>
    <t>300:58598</t>
  </si>
  <si>
    <t>204:1130</t>
  </si>
  <si>
    <t>300:58941</t>
  </si>
  <si>
    <t>204:1140</t>
  </si>
  <si>
    <t>300:58918</t>
  </si>
  <si>
    <t>300:58583</t>
  </si>
  <si>
    <t>204:922</t>
  </si>
  <si>
    <t>rtdc.l.rtdc.4016:itc</t>
  </si>
  <si>
    <t>132-29</t>
  </si>
  <si>
    <t>rtdc.l.rtdc.4015:itc</t>
  </si>
  <si>
    <t>142-29</t>
  </si>
  <si>
    <t>140-29</t>
  </si>
  <si>
    <t>155-29</t>
  </si>
  <si>
    <t>UNHEALTHY CROSSING</t>
  </si>
  <si>
    <t>Other (9)</t>
  </si>
  <si>
    <t>YORK</t>
  </si>
  <si>
    <t>242-28</t>
  </si>
  <si>
    <t>STEWART</t>
  </si>
  <si>
    <t>119-30</t>
  </si>
  <si>
    <t>MAYBERRY</t>
  </si>
  <si>
    <t>SANTIZO</t>
  </si>
  <si>
    <t>107-30</t>
  </si>
  <si>
    <t>125-30</t>
  </si>
  <si>
    <t>807-30</t>
  </si>
  <si>
    <t>BEAM</t>
  </si>
  <si>
    <t>rtdc.l.rtdc.4005:itc</t>
  </si>
  <si>
    <t>235-28</t>
  </si>
  <si>
    <t>104-30</t>
  </si>
  <si>
    <t>STARKS</t>
  </si>
  <si>
    <t>126-30</t>
  </si>
  <si>
    <t>809-30</t>
  </si>
  <si>
    <t>117-30</t>
  </si>
  <si>
    <t>rtdc.l.rtdc.4002:itc</t>
  </si>
  <si>
    <t>101-30</t>
  </si>
  <si>
    <t>112-30</t>
  </si>
  <si>
    <t>106-30</t>
  </si>
  <si>
    <t>103-30</t>
  </si>
  <si>
    <t>123-30</t>
  </si>
  <si>
    <t>115-30</t>
  </si>
  <si>
    <t>801-30</t>
  </si>
  <si>
    <t>803-30</t>
  </si>
  <si>
    <t>129-30</t>
  </si>
  <si>
    <t>118-30</t>
  </si>
  <si>
    <t>805-30</t>
  </si>
  <si>
    <t>808-30</t>
  </si>
  <si>
    <t>105-30</t>
  </si>
  <si>
    <t>113-30</t>
  </si>
  <si>
    <t>109-30</t>
  </si>
  <si>
    <t>800-30</t>
  </si>
  <si>
    <t>127-30</t>
  </si>
  <si>
    <t>116-30</t>
  </si>
  <si>
    <t>114-30</t>
  </si>
  <si>
    <t>121-30</t>
  </si>
  <si>
    <t>102-30</t>
  </si>
  <si>
    <t>802-30</t>
  </si>
  <si>
    <t>111-30</t>
  </si>
  <si>
    <t>132-30</t>
  </si>
  <si>
    <t>122-30</t>
  </si>
  <si>
    <t>240-28</t>
  </si>
  <si>
    <t>108-30</t>
  </si>
  <si>
    <t>218-28</t>
  </si>
  <si>
    <t>131-30</t>
  </si>
  <si>
    <t>136-29</t>
  </si>
  <si>
    <t>110-30</t>
  </si>
  <si>
    <t>124-30</t>
  </si>
  <si>
    <t>120-30</t>
  </si>
  <si>
    <t>133-30</t>
  </si>
  <si>
    <t>143-29</t>
  </si>
  <si>
    <t>232-28</t>
  </si>
  <si>
    <t>804-30</t>
  </si>
  <si>
    <t>806-30</t>
  </si>
  <si>
    <t>204:233298</t>
  </si>
  <si>
    <t>204:233304</t>
  </si>
  <si>
    <t>204:232992</t>
  </si>
  <si>
    <t>300:58899</t>
  </si>
  <si>
    <t>Inefficient dispatching @ DUS 2N</t>
  </si>
  <si>
    <t>204:775</t>
  </si>
  <si>
    <t>204:233238</t>
  </si>
  <si>
    <t>204:232589</t>
  </si>
  <si>
    <t>204:805</t>
  </si>
  <si>
    <t>204:679</t>
  </si>
  <si>
    <t>204:232648</t>
  </si>
  <si>
    <t>204:1190</t>
  </si>
  <si>
    <t>204:233300</t>
  </si>
  <si>
    <t>204:232964</t>
  </si>
  <si>
    <t>204:233301</t>
  </si>
  <si>
    <t>204:713</t>
  </si>
  <si>
    <t>204:232983</t>
  </si>
  <si>
    <t>204:233195</t>
  </si>
  <si>
    <t>204:37203</t>
  </si>
  <si>
    <t>204:233274</t>
  </si>
  <si>
    <t>204:752</t>
  </si>
  <si>
    <t>204:21320</t>
  </si>
  <si>
    <t>204:232966</t>
  </si>
  <si>
    <t>204:232952</t>
  </si>
  <si>
    <t>204:232959</t>
  </si>
  <si>
    <t>128-30</t>
  </si>
  <si>
    <t>130-30</t>
  </si>
  <si>
    <t>204:232961</t>
  </si>
  <si>
    <t>204:484</t>
  </si>
  <si>
    <t>204:232861</t>
  </si>
  <si>
    <t>204:174</t>
  </si>
  <si>
    <t>204:233276</t>
  </si>
  <si>
    <t>134-30</t>
  </si>
  <si>
    <t>135-30</t>
  </si>
  <si>
    <t>204:498</t>
  </si>
  <si>
    <t>136-30</t>
  </si>
  <si>
    <t>204:167</t>
  </si>
  <si>
    <t>137-30</t>
  </si>
  <si>
    <t>204:233284</t>
  </si>
  <si>
    <t>138-30</t>
  </si>
  <si>
    <t>139-30</t>
  </si>
  <si>
    <t>204:411</t>
  </si>
  <si>
    <t>204:233308</t>
  </si>
  <si>
    <t>140-30</t>
  </si>
  <si>
    <t>141-30</t>
  </si>
  <si>
    <t>142-30</t>
  </si>
  <si>
    <t>143-30</t>
  </si>
  <si>
    <t>204:233285</t>
  </si>
  <si>
    <t>144-30</t>
  </si>
  <si>
    <t>145-30</t>
  </si>
  <si>
    <t>146-30</t>
  </si>
  <si>
    <t>204:232942</t>
  </si>
  <si>
    <t>147-30</t>
  </si>
  <si>
    <t>148-30</t>
  </si>
  <si>
    <t>204:18719</t>
  </si>
  <si>
    <t>204:232972</t>
  </si>
  <si>
    <t>204:64129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</si>
  <si>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</si>
  <si>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</si>
  <si>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</si>
  <si>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</si>
  <si>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</si>
  <si>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</si>
  <si>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</si>
  <si>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</si>
  <si>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</si>
  <si>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</si>
  <si>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</si>
  <si>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204:233281</t>
  </si>
  <si>
    <t>160-30</t>
  </si>
  <si>
    <t>161-30</t>
  </si>
  <si>
    <t>204:49681</t>
  </si>
  <si>
    <t>162-30</t>
  </si>
  <si>
    <t>163-30</t>
  </si>
  <si>
    <t>204:19148</t>
  </si>
  <si>
    <t>204:233331</t>
  </si>
  <si>
    <t>164-30</t>
  </si>
  <si>
    <t>165-30</t>
  </si>
  <si>
    <t>204:233286</t>
  </si>
  <si>
    <t>166-30</t>
  </si>
  <si>
    <t>204:191</t>
  </si>
  <si>
    <t>167-30</t>
  </si>
  <si>
    <t>168-30</t>
  </si>
  <si>
    <t>169-30</t>
  </si>
  <si>
    <t>170-30</t>
  </si>
  <si>
    <t>172-30</t>
  </si>
  <si>
    <t>173-30</t>
  </si>
  <si>
    <t>174-30</t>
  </si>
  <si>
    <t>176-30</t>
  </si>
  <si>
    <t>177-30</t>
  </si>
  <si>
    <t>178-30</t>
  </si>
  <si>
    <t>179-30</t>
  </si>
  <si>
    <t>204:524</t>
  </si>
  <si>
    <t>180-30</t>
  </si>
  <si>
    <t>204:232970</t>
  </si>
  <si>
    <t>181-30</t>
  </si>
  <si>
    <t>182-30</t>
  </si>
  <si>
    <t>183-30</t>
  </si>
  <si>
    <t>204:1654</t>
  </si>
  <si>
    <t>204:233332</t>
  </si>
  <si>
    <t>184-30</t>
  </si>
  <si>
    <t>204:216</t>
  </si>
  <si>
    <t>186-30</t>
  </si>
  <si>
    <t>187-30</t>
  </si>
  <si>
    <t>204:925</t>
  </si>
  <si>
    <t>204:233251</t>
  </si>
  <si>
    <t>188-30</t>
  </si>
  <si>
    <t>204:232926</t>
  </si>
  <si>
    <t>190-30</t>
  </si>
  <si>
    <t>191-30</t>
  </si>
  <si>
    <t>204:233383</t>
  </si>
  <si>
    <t>192-30</t>
  </si>
  <si>
    <t>204:233076</t>
  </si>
  <si>
    <t>204:198</t>
  </si>
  <si>
    <t>193-30</t>
  </si>
  <si>
    <t>204:233305</t>
  </si>
  <si>
    <t>194-30</t>
  </si>
  <si>
    <t>195-30</t>
  </si>
  <si>
    <t>204:19126</t>
  </si>
  <si>
    <t>204:1000</t>
  </si>
  <si>
    <t>196-30</t>
  </si>
  <si>
    <t>197-30</t>
  </si>
  <si>
    <t>198-30</t>
  </si>
  <si>
    <t>204:196</t>
  </si>
  <si>
    <t>199-30</t>
  </si>
  <si>
    <t>200-30</t>
  </si>
  <si>
    <t>201-30</t>
  </si>
  <si>
    <t>202-30</t>
  </si>
  <si>
    <t>204-30</t>
  </si>
  <si>
    <t>204:1179</t>
  </si>
  <si>
    <t>205-30</t>
  </si>
  <si>
    <t>204:511</t>
  </si>
  <si>
    <t>206-30</t>
  </si>
  <si>
    <t>204:233001</t>
  </si>
  <si>
    <t>207-30</t>
  </si>
  <si>
    <t>204:233306</t>
  </si>
  <si>
    <t>208-30</t>
  </si>
  <si>
    <t>204:262</t>
  </si>
  <si>
    <t>209-30</t>
  </si>
  <si>
    <t>204:233253</t>
  </si>
  <si>
    <t>210-30</t>
  </si>
  <si>
    <t>204:232917</t>
  </si>
  <si>
    <t>204:356</t>
  </si>
  <si>
    <t>211-30</t>
  </si>
  <si>
    <t>204:497</t>
  </si>
  <si>
    <t>204:75354</t>
  </si>
  <si>
    <t>212-30</t>
  </si>
  <si>
    <t>204:232998</t>
  </si>
  <si>
    <t>204:110</t>
  </si>
  <si>
    <t>213-30</t>
  </si>
  <si>
    <t>204:715</t>
  </si>
  <si>
    <t>204:233266</t>
  </si>
  <si>
    <t>214-30</t>
  </si>
  <si>
    <t>204:185</t>
  </si>
  <si>
    <t>215-30</t>
  </si>
  <si>
    <t>216-30</t>
  </si>
  <si>
    <t>204:233013</t>
  </si>
  <si>
    <t>217-30</t>
  </si>
  <si>
    <t>218-30</t>
  </si>
  <si>
    <t>219-30</t>
  </si>
  <si>
    <t>220-30</t>
  </si>
  <si>
    <t>204:232974</t>
  </si>
  <si>
    <t>221-30</t>
  </si>
  <si>
    <t>204:571</t>
  </si>
  <si>
    <t>222-30</t>
  </si>
  <si>
    <t>204:232949</t>
  </si>
  <si>
    <t>204:205</t>
  </si>
  <si>
    <t>223-30</t>
  </si>
  <si>
    <t>204:486</t>
  </si>
  <si>
    <t>224-30</t>
  </si>
  <si>
    <t>204:154004</t>
  </si>
  <si>
    <t>204:228200</t>
  </si>
  <si>
    <t>225-30</t>
  </si>
  <si>
    <t>204:233317</t>
  </si>
  <si>
    <t>226-30</t>
  </si>
  <si>
    <t>227-30</t>
  </si>
  <si>
    <t>228-30</t>
  </si>
  <si>
    <t>229-30</t>
  </si>
  <si>
    <t>204:502</t>
  </si>
  <si>
    <t>204:233263</t>
  </si>
  <si>
    <t>230-30</t>
  </si>
  <si>
    <t>204:207</t>
  </si>
  <si>
    <t>231-30</t>
  </si>
  <si>
    <t>204:531</t>
  </si>
  <si>
    <t>232-30</t>
  </si>
  <si>
    <t>233-30</t>
  </si>
  <si>
    <t>204:233297</t>
  </si>
  <si>
    <t>234-30</t>
  </si>
  <si>
    <t>235-30</t>
  </si>
  <si>
    <t>236-30</t>
  </si>
  <si>
    <t>237-30</t>
  </si>
  <si>
    <t>204:528</t>
  </si>
  <si>
    <t>204:233257</t>
  </si>
  <si>
    <t>238-30</t>
  </si>
  <si>
    <t>204:232932</t>
  </si>
  <si>
    <t>239-30</t>
  </si>
  <si>
    <t>240-30</t>
  </si>
  <si>
    <t>204:187</t>
  </si>
  <si>
    <t>241-30</t>
  </si>
  <si>
    <t>242-30</t>
  </si>
  <si>
    <t>243-30</t>
  </si>
  <si>
    <t>244-30</t>
  </si>
  <si>
    <t>204:915</t>
  </si>
  <si>
    <t>204:1198</t>
  </si>
  <si>
    <t>300:58903</t>
  </si>
  <si>
    <t>204:916</t>
  </si>
  <si>
    <t>204:375</t>
  </si>
  <si>
    <t>300:58909</t>
  </si>
  <si>
    <t>204:1217</t>
  </si>
  <si>
    <t>300:58944</t>
  </si>
  <si>
    <t>300:58636</t>
  </si>
  <si>
    <t>204:909</t>
  </si>
  <si>
    <t>204:1014</t>
  </si>
  <si>
    <t>300:58929</t>
  </si>
  <si>
    <t>204:703</t>
  </si>
  <si>
    <t>204:1193</t>
  </si>
  <si>
    <t>300:58933</t>
  </si>
  <si>
    <t>810-30</t>
  </si>
  <si>
    <t>811-30</t>
  </si>
  <si>
    <t>204:1004</t>
  </si>
  <si>
    <t>812-30</t>
  </si>
  <si>
    <t>300:58608</t>
  </si>
  <si>
    <t>204:724</t>
  </si>
  <si>
    <t>813-30</t>
  </si>
  <si>
    <t>300:58937</t>
  </si>
  <si>
    <t>814-30</t>
  </si>
  <si>
    <t>300:58621</t>
  </si>
  <si>
    <t>204:748</t>
  </si>
  <si>
    <t>815-30</t>
  </si>
  <si>
    <t>204:1030</t>
  </si>
  <si>
    <t>300:58958</t>
  </si>
  <si>
    <t>816-30</t>
  </si>
  <si>
    <t>300:58642</t>
  </si>
  <si>
    <t>817-30</t>
  </si>
  <si>
    <t>204:1216</t>
  </si>
  <si>
    <t>300:58967</t>
  </si>
  <si>
    <t>818-30</t>
  </si>
  <si>
    <t>300:58649</t>
  </si>
  <si>
    <t>204:3453</t>
  </si>
  <si>
    <t>819-30</t>
  </si>
  <si>
    <t>204:1214</t>
  </si>
  <si>
    <t>820-30</t>
  </si>
  <si>
    <t>300:58628</t>
  </si>
  <si>
    <t>204:932</t>
  </si>
  <si>
    <t>821-30</t>
  </si>
  <si>
    <t>204:1219</t>
  </si>
  <si>
    <t>822-30</t>
  </si>
  <si>
    <t>823-30</t>
  </si>
  <si>
    <t>204:1205</t>
  </si>
  <si>
    <t>824-30</t>
  </si>
  <si>
    <t>300:58630</t>
  </si>
  <si>
    <t>204:834</t>
  </si>
  <si>
    <t>825-30</t>
  </si>
  <si>
    <t>826-30</t>
  </si>
  <si>
    <t>300:58619</t>
  </si>
  <si>
    <t>204:743</t>
  </si>
  <si>
    <t>827-30</t>
  </si>
  <si>
    <t>204:1002</t>
  </si>
  <si>
    <t>828-30</t>
  </si>
  <si>
    <t>204:706</t>
  </si>
  <si>
    <t>829-30</t>
  </si>
  <si>
    <t>204:1048</t>
  </si>
  <si>
    <t>830-30</t>
  </si>
  <si>
    <t>204:836</t>
  </si>
  <si>
    <t>831-30</t>
  </si>
  <si>
    <t>204:1009</t>
  </si>
  <si>
    <t>832-30</t>
  </si>
  <si>
    <t>204:701</t>
  </si>
  <si>
    <t>833-30</t>
  </si>
  <si>
    <t>300:58961</t>
  </si>
  <si>
    <t>834-30</t>
  </si>
  <si>
    <t>300:58641</t>
  </si>
  <si>
    <t>204:789</t>
  </si>
  <si>
    <t>835-30</t>
  </si>
  <si>
    <t>204:992</t>
  </si>
  <si>
    <t>836-30</t>
  </si>
  <si>
    <t>300:58643</t>
  </si>
  <si>
    <t>204:712</t>
  </si>
  <si>
    <t>837-30</t>
  </si>
  <si>
    <t>204:1097</t>
  </si>
  <si>
    <t>300:58956</t>
  </si>
  <si>
    <t>838-30</t>
  </si>
  <si>
    <t>204:815</t>
  </si>
  <si>
    <t>839-30</t>
  </si>
  <si>
    <t>300:58973</t>
  </si>
  <si>
    <t>840-30</t>
  </si>
  <si>
    <t>204:755</t>
  </si>
  <si>
    <t>841-30</t>
  </si>
  <si>
    <t>204:1111</t>
  </si>
  <si>
    <t>300:58946</t>
  </si>
  <si>
    <t>842-30</t>
  </si>
  <si>
    <t>204:738</t>
  </si>
  <si>
    <t>843-30</t>
  </si>
  <si>
    <t>204:1039</t>
  </si>
  <si>
    <t>300:58960</t>
  </si>
  <si>
    <t>844-30</t>
  </si>
  <si>
    <t>204:741</t>
  </si>
  <si>
    <t>845-30</t>
  </si>
  <si>
    <t>847-30</t>
  </si>
  <si>
    <t>204:1023</t>
  </si>
  <si>
    <t>906-30</t>
  </si>
  <si>
    <t>300:28829</t>
  </si>
  <si>
    <t>908-30</t>
  </si>
  <si>
    <t>300:58640</t>
  </si>
  <si>
    <t>300:21422</t>
  </si>
  <si>
    <t>GOLIGHTLY-30</t>
  </si>
  <si>
    <t>EQUIPMENT RESTRICTION</t>
  </si>
  <si>
    <t>rtdc.l.rtdc.4006:itc</t>
  </si>
  <si>
    <t>BRUDER</t>
  </si>
  <si>
    <t>GOLIGHTLY</t>
  </si>
  <si>
    <t>101-01</t>
  </si>
  <si>
    <t>901-01</t>
  </si>
  <si>
    <t>111-01</t>
  </si>
  <si>
    <t>805-01</t>
  </si>
  <si>
    <t>105-01</t>
  </si>
  <si>
    <t>107-01</t>
  </si>
  <si>
    <t>800-01</t>
  </si>
  <si>
    <t>116-01</t>
  </si>
  <si>
    <t>120-01</t>
  </si>
  <si>
    <t>807-01</t>
  </si>
  <si>
    <t>133-01</t>
  </si>
  <si>
    <t>125-01</t>
  </si>
  <si>
    <t>802-01</t>
  </si>
  <si>
    <t>115-01</t>
  </si>
  <si>
    <t>108-01</t>
  </si>
  <si>
    <t>GRASTON-30</t>
  </si>
  <si>
    <t>804-01</t>
  </si>
  <si>
    <t>112-01</t>
  </si>
  <si>
    <t>185-30</t>
  </si>
  <si>
    <t>109-01</t>
  </si>
  <si>
    <t>808-01</t>
  </si>
  <si>
    <t>809-01</t>
  </si>
  <si>
    <t>117-01</t>
  </si>
  <si>
    <t>806-01</t>
  </si>
  <si>
    <t>801-01</t>
  </si>
  <si>
    <t>113-01</t>
  </si>
  <si>
    <t>118-01</t>
  </si>
  <si>
    <t>131-01</t>
  </si>
  <si>
    <t>103-01</t>
  </si>
  <si>
    <t>127-01</t>
  </si>
  <si>
    <t>102-01</t>
  </si>
  <si>
    <t>104-01</t>
  </si>
  <si>
    <t>129-01</t>
  </si>
  <si>
    <t>114-01</t>
  </si>
  <si>
    <t>803-01</t>
  </si>
  <si>
    <t>126-01</t>
  </si>
  <si>
    <t>171-30</t>
  </si>
  <si>
    <t>175-30</t>
  </si>
  <si>
    <t>189-30</t>
  </si>
  <si>
    <t>203-30</t>
  </si>
  <si>
    <t>Comm outage induced by comparator issue</t>
  </si>
  <si>
    <t>Onboard in-route failure delayed departure</t>
  </si>
  <si>
    <t>Onboard in-route failure. Re-initialized at 38th</t>
  </si>
  <si>
    <t>No issues found - any insights from ops?</t>
  </si>
  <si>
    <t>Overspeed</t>
  </si>
  <si>
    <t>Early Arrival</t>
  </si>
  <si>
    <t>Inefficient dispatching @ 40th 4S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</si>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</sst>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06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/>
    <xf numFmtId="9" fontId="0" fillId="0" borderId="18" xfId="0" applyNumberFormat="1" applyFill="1" applyBorder="1"/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3"/>
  <sheetViews>
    <sheetView showGridLines="0" topLeftCell="A36" zoomScale="85" zoomScaleNormal="85" workbookViewId="0">
      <selection activeCell="R60" sqref="R60"/>
    </sheetView>
  </sheetViews>
  <sheetFormatPr defaultRowHeight="15" x14ac:dyDescent="0.25"/>
  <cols>
    <col min="1" max="1" width="10.5703125" style="85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8" hidden="1" customWidth="1"/>
    <col min="6" max="6" width="20.140625" style="78" customWidth="1"/>
    <col min="7" max="7" width="18.42578125" style="79" hidden="1" customWidth="1"/>
    <col min="8" max="8" width="22.140625" style="78" hidden="1" customWidth="1"/>
    <col min="9" max="9" width="19.7109375" style="78" customWidth="1"/>
    <col min="10" max="10" width="7.7109375" style="51" bestFit="1" customWidth="1"/>
    <col min="11" max="12" width="13.28515625" style="51" customWidth="1"/>
    <col min="13" max="13" width="9.5703125" style="86" customWidth="1"/>
    <col min="14" max="14" width="8.85546875" style="87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85"/>
      <c r="B1" s="51"/>
      <c r="C1" s="51"/>
      <c r="D1" s="51"/>
      <c r="E1" s="78"/>
      <c r="F1" s="78"/>
      <c r="G1" s="79"/>
      <c r="H1" s="78"/>
      <c r="I1" s="78"/>
      <c r="J1" s="51"/>
      <c r="K1" s="51"/>
      <c r="L1" s="51"/>
      <c r="M1" s="86"/>
      <c r="N1" s="87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85"/>
      <c r="B2" s="51"/>
      <c r="C2" s="51"/>
      <c r="D2" s="51"/>
      <c r="E2" s="78"/>
      <c r="F2" s="78"/>
      <c r="G2" s="79"/>
      <c r="H2" s="78"/>
      <c r="I2" s="97">
        <f>Variables!A2</f>
        <v>42551</v>
      </c>
      <c r="J2" s="98"/>
      <c r="K2" s="88"/>
      <c r="L2" s="88"/>
      <c r="M2" s="99" t="s">
        <v>8</v>
      </c>
      <c r="N2" s="100"/>
      <c r="O2" s="101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85"/>
      <c r="B3" s="51"/>
      <c r="C3" s="51"/>
      <c r="D3" s="51"/>
      <c r="E3" s="78"/>
      <c r="F3" s="78"/>
      <c r="G3" s="79"/>
      <c r="H3" s="78"/>
      <c r="I3" s="102" t="s">
        <v>10</v>
      </c>
      <c r="J3" s="103"/>
      <c r="K3" s="89"/>
      <c r="L3" s="89"/>
      <c r="M3" s="90" t="s">
        <v>11</v>
      </c>
      <c r="N3" s="91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85"/>
      <c r="B4" s="51"/>
      <c r="C4" s="51"/>
      <c r="D4" s="51"/>
      <c r="E4" s="78"/>
      <c r="F4" s="78"/>
      <c r="G4" s="79"/>
      <c r="H4" s="78"/>
      <c r="I4" s="80" t="s">
        <v>14</v>
      </c>
      <c r="J4" s="92">
        <f>COUNT($N$13:$P$1847)</f>
        <v>137</v>
      </c>
      <c r="K4" s="92"/>
      <c r="L4" s="92"/>
      <c r="M4" s="93" t="s">
        <v>15</v>
      </c>
      <c r="N4" s="91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85"/>
      <c r="B5" s="51"/>
      <c r="C5" s="51"/>
      <c r="D5" s="51"/>
      <c r="E5" s="78"/>
      <c r="F5" s="78"/>
      <c r="G5" s="79"/>
      <c r="H5" s="78"/>
      <c r="I5" s="80" t="s">
        <v>17</v>
      </c>
      <c r="J5" s="92">
        <f>COUNT($N$13:$N$1847)</f>
        <v>130</v>
      </c>
      <c r="K5" s="92"/>
      <c r="L5" s="92"/>
      <c r="M5" s="93">
        <f>AVERAGE($N$13:$N$847)</f>
        <v>45.043974358937703</v>
      </c>
      <c r="N5" s="91">
        <f>MIN($N$13:$N$847)</f>
        <v>36.116666664602235</v>
      </c>
      <c r="O5" s="3">
        <f>MAX($N$13:$N$847)</f>
        <v>148.03333333111368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85"/>
      <c r="B6" s="51"/>
      <c r="C6" s="51"/>
      <c r="D6" s="51"/>
      <c r="E6" s="78"/>
      <c r="F6" s="78"/>
      <c r="G6" s="79"/>
      <c r="H6" s="78"/>
      <c r="I6" s="81" t="s">
        <v>43</v>
      </c>
      <c r="J6" s="92">
        <f>COUNT($O$13:$O$847)</f>
        <v>0</v>
      </c>
      <c r="K6" s="92"/>
      <c r="L6" s="92"/>
      <c r="M6" s="93">
        <f>IFERROR(AVERAGE($O$13:$O$847),0)</f>
        <v>0</v>
      </c>
      <c r="N6" s="91">
        <f>MIN($O$13:$O$847)</f>
        <v>0</v>
      </c>
      <c r="O6" s="3">
        <f>MAX($O$13:$O$847)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85"/>
      <c r="B7" s="51"/>
      <c r="C7" s="51"/>
      <c r="D7" s="51"/>
      <c r="E7" s="78"/>
      <c r="F7" s="78"/>
      <c r="G7" s="79"/>
      <c r="H7" s="78"/>
      <c r="I7" s="82" t="s">
        <v>9</v>
      </c>
      <c r="J7" s="92">
        <f>COUNT($P$13:$P$847)</f>
        <v>7</v>
      </c>
      <c r="K7" s="92"/>
      <c r="L7" s="92"/>
      <c r="M7" s="93" t="s">
        <v>15</v>
      </c>
      <c r="N7" s="91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85"/>
      <c r="B8" s="51"/>
      <c r="C8" s="51"/>
      <c r="D8" s="51"/>
      <c r="E8" s="78"/>
      <c r="F8" s="78"/>
      <c r="G8" s="79"/>
      <c r="H8" s="78"/>
      <c r="I8" s="80" t="s">
        <v>16</v>
      </c>
      <c r="J8" s="92">
        <f>COUNT($N$13:$O$847)</f>
        <v>130</v>
      </c>
      <c r="K8" s="92"/>
      <c r="L8" s="92"/>
      <c r="M8" s="93">
        <f>AVERAGE($N$13:$P$847)</f>
        <v>44.472749391681155</v>
      </c>
      <c r="N8" s="91">
        <f>MIN($N$13:$O$847)</f>
        <v>36.116666664602235</v>
      </c>
      <c r="O8" s="3">
        <f>MAX($N$13:$O$847)</f>
        <v>148.03333333111368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85"/>
      <c r="B9" s="51"/>
      <c r="C9" s="51"/>
      <c r="D9" s="51"/>
      <c r="E9" s="78"/>
      <c r="F9" s="78"/>
      <c r="G9" s="79"/>
      <c r="H9" s="78"/>
      <c r="I9" s="80" t="s">
        <v>19</v>
      </c>
      <c r="J9" s="94">
        <f>J8/J4</f>
        <v>0.94890510948905105</v>
      </c>
      <c r="K9" s="94"/>
      <c r="L9" s="94"/>
      <c r="M9" s="86"/>
      <c r="N9" s="87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85"/>
      <c r="B10" s="51"/>
      <c r="C10" s="51"/>
      <c r="D10" s="51"/>
      <c r="E10" s="78"/>
      <c r="F10" s="78"/>
      <c r="G10" s="79"/>
      <c r="H10" s="78"/>
      <c r="I10" s="78"/>
      <c r="J10" s="51"/>
      <c r="K10" s="51"/>
      <c r="L10" s="51"/>
      <c r="M10" s="86"/>
      <c r="N10" s="87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6" t="str">
        <f>"Eagle P3 System Performance - "&amp;TEXT(Variables!A2,"yyyy-mm-dd")</f>
        <v>Eagle P3 System Performance - 2016-06-30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104</v>
      </c>
      <c r="T12" s="4" t="s">
        <v>105</v>
      </c>
      <c r="U12" s="4" t="s">
        <v>106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264</v>
      </c>
      <c r="B13" s="34">
        <v>4002</v>
      </c>
      <c r="C13" s="34" t="s">
        <v>60</v>
      </c>
      <c r="D13" s="34" t="s">
        <v>307</v>
      </c>
      <c r="E13" s="20">
        <v>42551.132662037038</v>
      </c>
      <c r="F13" s="20">
        <v>42551.133773148147</v>
      </c>
      <c r="G13" s="23">
        <v>1</v>
      </c>
      <c r="H13" s="20" t="s">
        <v>308</v>
      </c>
      <c r="I13" s="20">
        <v>42551.167997685188</v>
      </c>
      <c r="J13" s="34">
        <v>0</v>
      </c>
      <c r="K13" s="34" t="str">
        <f>IF(ISEVEN(B13),(B13-1)&amp;"/"&amp;B13,B13&amp;"/"&amp;(B13+1))</f>
        <v>4001/4002</v>
      </c>
      <c r="L13" s="34" t="str">
        <f>VLOOKUP(A13,'Trips&amp;Operators'!$C$1:$E$10000,3,FALSE)</f>
        <v>CANFIELD</v>
      </c>
      <c r="M13" s="6">
        <f t="shared" ref="M13:M14" si="0">I13-F13</f>
        <v>3.422453704115469E-2</v>
      </c>
      <c r="N13" s="7">
        <f t="shared" ref="N13:P75" si="1">24*60*SUM($M13:$M13)</f>
        <v>49.283333339262754</v>
      </c>
      <c r="O13" s="7"/>
      <c r="P13" s="7"/>
      <c r="Q13" s="35"/>
      <c r="R13" s="35"/>
      <c r="S13" s="59">
        <f>SUM(U13:U13)/12</f>
        <v>1</v>
      </c>
      <c r="T13" s="1" t="str">
        <f t="shared" ref="T13:T14" si="2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https://search-rtdc-monitor-bjffxe2xuh6vdkpspy63sjmuny.us-east-1.es.amazonaws.com/_plugin/kibana/#/discover/Steve-Slow-Train-Analysis-(2080s-and-2083s)?_g=(refreshInterval:(display:Off,section:0,value:0),time:(from:'2016-06-30 03:10:02-0600',mode:absolute,to:'2016-06-30 04:02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W13" s="38" t="str">
        <f t="shared" ref="W13:W14" si="4">IF(AA13&lt;23,"Y","N")</f>
        <v>N</v>
      </c>
      <c r="X13" s="38" t="e">
        <f t="shared" ref="X13:X14" si="5">VALUE(LEFT(A13,3))-VALUE(LEFT(A12,3))</f>
        <v>#VALUE!</v>
      </c>
      <c r="Y13" s="38">
        <f t="shared" ref="Y13:Y14" si="6">RIGHT(D13,LEN(D13)-4)/10000</f>
        <v>7.7499999999999999E-2</v>
      </c>
      <c r="Z13" s="38">
        <f>RIGHT(H13,LEN(H13)-4)/10000</f>
        <v>23.323799999999999</v>
      </c>
      <c r="AA13" s="38">
        <f t="shared" ref="AA13:AA14" si="7">ABS(Z13-Y13)</f>
        <v>23.246299999999998</v>
      </c>
      <c r="AB13" s="39" t="e">
        <f>VLOOKUP(A13,Enforcements!$C$7:$J$32,8,0)</f>
        <v>#N/A</v>
      </c>
      <c r="AC13" s="39" t="e">
        <f>VLOOKUP(A13,Enforcements!$C$7:$E$32,3,0)</f>
        <v>#N/A</v>
      </c>
    </row>
    <row r="14" spans="1:91" s="1" customFormat="1" x14ac:dyDescent="0.25">
      <c r="A14" s="67" t="s">
        <v>284</v>
      </c>
      <c r="B14" s="34">
        <v>4026</v>
      </c>
      <c r="C14" s="34" t="s">
        <v>60</v>
      </c>
      <c r="D14" s="34" t="s">
        <v>309</v>
      </c>
      <c r="E14" s="20">
        <v>42551.170219907406</v>
      </c>
      <c r="F14" s="20">
        <v>42551.171412037038</v>
      </c>
      <c r="G14" s="23">
        <v>1</v>
      </c>
      <c r="H14" s="20" t="s">
        <v>158</v>
      </c>
      <c r="I14" s="20">
        <v>42551.20113425926</v>
      </c>
      <c r="J14" s="34">
        <v>0</v>
      </c>
      <c r="K14" s="34" t="str">
        <f t="shared" ref="K14" si="8">IF(ISEVEN(B14),(B14-1)&amp;"/"&amp;B14,B14&amp;"/"&amp;(B14+1))</f>
        <v>4025/4026</v>
      </c>
      <c r="L14" s="34" t="str">
        <f>VLOOKUP(A14,'Trips&amp;Operators'!$C$1:$E$10000,3,FALSE)</f>
        <v>CANFIELD</v>
      </c>
      <c r="M14" s="6">
        <f t="shared" si="0"/>
        <v>2.9722222221607808E-2</v>
      </c>
      <c r="N14" s="7">
        <f t="shared" si="1"/>
        <v>42.799999999115244</v>
      </c>
      <c r="O14" s="7"/>
      <c r="P14" s="7"/>
      <c r="Q14" s="35"/>
      <c r="R14" s="35"/>
      <c r="S14" s="59">
        <f t="shared" ref="S14" si="9">SUM(U14:U14)/12</f>
        <v>1</v>
      </c>
      <c r="T14" s="1" t="str">
        <f t="shared" si="2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3"/>
        <v>https://search-rtdc-monitor-bjffxe2xuh6vdkpspy63sjmuny.us-east-1.es.amazonaws.com/_plugin/kibana/#/discover/Steve-Slow-Train-Analysis-(2080s-and-2083s)?_g=(refreshInterval:(display:Off,section:0,value:0),time:(from:'2016-06-30 04:04:07-0600',mode:absolute,to:'2016-06-30 04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38" t="str">
        <f t="shared" si="4"/>
        <v>N</v>
      </c>
      <c r="X14" s="38">
        <f t="shared" si="5"/>
        <v>1</v>
      </c>
      <c r="Y14" s="38">
        <f t="shared" si="6"/>
        <v>23.258900000000001</v>
      </c>
      <c r="Z14" s="38">
        <f t="shared" ref="Z14" si="10">RIGHT(H14,LEN(H14)-4)/10000</f>
        <v>1.54E-2</v>
      </c>
      <c r="AA14" s="38">
        <f t="shared" si="7"/>
        <v>23.243500000000001</v>
      </c>
      <c r="AB14" s="39" t="e">
        <f>VLOOKUP(A14,Enforcements!$C$7:$J$32,8,0)</f>
        <v>#N/A</v>
      </c>
      <c r="AC14" s="39" t="e">
        <f>VLOOKUP(A14,Enforcements!$C$7:$E$32,3,0)</f>
        <v>#N/A</v>
      </c>
    </row>
    <row r="15" spans="1:91" s="1" customFormat="1" x14ac:dyDescent="0.25">
      <c r="A15" s="67" t="s">
        <v>267</v>
      </c>
      <c r="B15" s="34">
        <v>4031</v>
      </c>
      <c r="C15" s="34" t="s">
        <v>60</v>
      </c>
      <c r="D15" s="34" t="s">
        <v>310</v>
      </c>
      <c r="E15" s="20">
        <v>42551.15388888889</v>
      </c>
      <c r="F15" s="20">
        <v>42551.155127314814</v>
      </c>
      <c r="G15" s="23">
        <v>1</v>
      </c>
      <c r="H15" s="20" t="s">
        <v>97</v>
      </c>
      <c r="I15" s="20">
        <v>42551.183067129627</v>
      </c>
      <c r="J15" s="34">
        <v>0</v>
      </c>
      <c r="K15" s="34" t="str">
        <f t="shared" ref="K15:K78" si="11">IF(ISEVEN(B15),(B15-1)&amp;"/"&amp;B15,B15&amp;"/"&amp;(B15+1))</f>
        <v>4031/4032</v>
      </c>
      <c r="L15" s="34" t="str">
        <f>VLOOKUP(A15,'Trips&amp;Operators'!$C$1:$E$10000,3,FALSE)</f>
        <v>STARKS</v>
      </c>
      <c r="M15" s="6">
        <f t="shared" ref="M15:M78" si="12">I15-F15</f>
        <v>2.7939814812270924E-2</v>
      </c>
      <c r="N15" s="7">
        <f t="shared" si="1"/>
        <v>40.233333329670131</v>
      </c>
      <c r="O15" s="7"/>
      <c r="P15" s="7"/>
      <c r="Q15" s="35"/>
      <c r="R15" s="35"/>
      <c r="S15" s="59">
        <f t="shared" ref="S15:S78" si="13">SUM(U15:U15)/12</f>
        <v>1</v>
      </c>
      <c r="T15" s="1" t="str">
        <f t="shared" ref="T15:T78" si="1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8" si="1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https://search-rtdc-monitor-bjffxe2xuh6vdkpspy63sjmuny.us-east-1.es.amazonaws.com/_plugin/kibana/#/discover/Steve-Slow-Train-Analysis-(2080s-and-2083s)?_g=(refreshInterval:(display:Off,section:0,value:0),time:(from:'2016-06-30 03:40:36-0600',mode:absolute,to:'2016-06-30 04:24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38" t="str">
        <f t="shared" ref="W15:W78" si="16">IF(AA15&lt;23,"Y","N")</f>
        <v>N</v>
      </c>
      <c r="X15" s="38">
        <f t="shared" ref="X15:X78" si="17">VALUE(LEFT(A15,3))-VALUE(LEFT(A14,3))</f>
        <v>1</v>
      </c>
      <c r="Y15" s="38">
        <f t="shared" ref="Y15:Y78" si="18">RIGHT(D15,LEN(D15)-4)/10000</f>
        <v>8.0500000000000002E-2</v>
      </c>
      <c r="Z15" s="38">
        <f t="shared" ref="Z15:Z78" si="19">RIGHT(H15,LEN(H15)-4)/10000</f>
        <v>23.3291</v>
      </c>
      <c r="AA15" s="38">
        <f t="shared" ref="AA15:AA78" si="20">ABS(Z15-Y15)</f>
        <v>23.2486</v>
      </c>
      <c r="AB15" s="39" t="e">
        <f>VLOOKUP(A15,Enforcements!$C$7:$J$32,8,0)</f>
        <v>#N/A</v>
      </c>
      <c r="AC15" s="39" t="e">
        <f>VLOOKUP(A15,Enforcements!$C$7:$E$32,3,0)</f>
        <v>#N/A</v>
      </c>
    </row>
    <row r="16" spans="1:91" s="1" customFormat="1" x14ac:dyDescent="0.25">
      <c r="A16" s="67" t="s">
        <v>276</v>
      </c>
      <c r="B16" s="34">
        <v>4016</v>
      </c>
      <c r="C16" s="34" t="s">
        <v>60</v>
      </c>
      <c r="D16" s="34" t="s">
        <v>311</v>
      </c>
      <c r="E16" s="20">
        <v>42551.169444444444</v>
      </c>
      <c r="F16" s="20">
        <v>42551.176736111112</v>
      </c>
      <c r="G16" s="23">
        <v>10</v>
      </c>
      <c r="H16" s="20" t="s">
        <v>97</v>
      </c>
      <c r="I16" s="20">
        <v>42551.202210648145</v>
      </c>
      <c r="J16" s="34">
        <v>0</v>
      </c>
      <c r="K16" s="34" t="str">
        <f t="shared" si="11"/>
        <v>4015/4016</v>
      </c>
      <c r="L16" s="34" t="str">
        <f>VLOOKUP(A16,'Trips&amp;Operators'!$C$1:$E$10000,3,FALSE)</f>
        <v>YORK</v>
      </c>
      <c r="M16" s="6">
        <f t="shared" si="12"/>
        <v>2.5474537033005618E-2</v>
      </c>
      <c r="N16" s="7">
        <f t="shared" si="1"/>
        <v>36.683333327528089</v>
      </c>
      <c r="O16" s="7"/>
      <c r="P16" s="7"/>
      <c r="Q16" s="35"/>
      <c r="R16" s="35"/>
      <c r="S16" s="59">
        <f t="shared" si="13"/>
        <v>1</v>
      </c>
      <c r="T16" s="1" t="str">
        <f t="shared" si="14"/>
        <v>NorthBound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04:03:00-0600',mode:absolute,to:'2016-06-30 04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6" s="38" t="str">
        <f t="shared" si="16"/>
        <v>N</v>
      </c>
      <c r="X16" s="38">
        <f t="shared" si="17"/>
        <v>2</v>
      </c>
      <c r="Y16" s="38">
        <f t="shared" si="18"/>
        <v>6.7900000000000002E-2</v>
      </c>
      <c r="Z16" s="38">
        <f t="shared" si="19"/>
        <v>23.3291</v>
      </c>
      <c r="AA16" s="38">
        <f t="shared" si="20"/>
        <v>23.261199999999999</v>
      </c>
      <c r="AB16" s="39" t="e">
        <f>VLOOKUP(A16,Enforcements!$C$7:$J$32,8,0)</f>
        <v>#N/A</v>
      </c>
      <c r="AC16" s="39" t="e">
        <f>VLOOKUP(A16,Enforcements!$C$7:$E$32,3,0)</f>
        <v>#N/A</v>
      </c>
    </row>
    <row r="17" spans="1:29" s="1" customFormat="1" x14ac:dyDescent="0.25">
      <c r="A17" s="67" t="s">
        <v>266</v>
      </c>
      <c r="B17" s="34">
        <v>4028</v>
      </c>
      <c r="C17" s="34" t="s">
        <v>60</v>
      </c>
      <c r="D17" s="34" t="s">
        <v>312</v>
      </c>
      <c r="E17" s="20">
        <v>42551.205914351849</v>
      </c>
      <c r="F17" s="20">
        <v>42551.207372685189</v>
      </c>
      <c r="G17" s="23">
        <v>2</v>
      </c>
      <c r="H17" s="20" t="s">
        <v>158</v>
      </c>
      <c r="I17" s="20">
        <v>42551.241527777776</v>
      </c>
      <c r="J17" s="34">
        <v>0</v>
      </c>
      <c r="K17" s="34" t="str">
        <f t="shared" si="11"/>
        <v>4027/4028</v>
      </c>
      <c r="L17" s="34" t="str">
        <f>VLOOKUP(A17,'Trips&amp;Operators'!$C$1:$E$10000,3,FALSE)</f>
        <v>YORK</v>
      </c>
      <c r="M17" s="6">
        <f t="shared" si="12"/>
        <v>3.4155092587752733E-2</v>
      </c>
      <c r="N17" s="7">
        <f t="shared" si="1"/>
        <v>49.183333326363936</v>
      </c>
      <c r="O17" s="7"/>
      <c r="P17" s="7"/>
      <c r="Q17" s="35"/>
      <c r="R17" s="35"/>
      <c r="S17" s="59">
        <f t="shared" si="13"/>
        <v>1</v>
      </c>
      <c r="T17" s="1" t="str">
        <f t="shared" si="14"/>
        <v>Southbound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04:55:31-0600',mode:absolute,to:'2016-06-30 05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" s="38" t="str">
        <f t="shared" si="16"/>
        <v>N</v>
      </c>
      <c r="X17" s="38">
        <f t="shared" si="17"/>
        <v>1</v>
      </c>
      <c r="Y17" s="38">
        <f t="shared" si="18"/>
        <v>23.264800000000001</v>
      </c>
      <c r="Z17" s="38">
        <f t="shared" si="19"/>
        <v>1.54E-2</v>
      </c>
      <c r="AA17" s="38">
        <f t="shared" si="20"/>
        <v>23.249400000000001</v>
      </c>
      <c r="AB17" s="39" t="e">
        <f>VLOOKUP(A17,Enforcements!$C$7:$J$32,8,0)</f>
        <v>#N/A</v>
      </c>
      <c r="AC17" s="39" t="e">
        <f>VLOOKUP(A17,Enforcements!$C$7:$E$32,3,0)</f>
        <v>#N/A</v>
      </c>
    </row>
    <row r="18" spans="1:29" s="1" customFormat="1" x14ac:dyDescent="0.25">
      <c r="A18" s="67" t="s">
        <v>252</v>
      </c>
      <c r="B18" s="34">
        <v>4029</v>
      </c>
      <c r="C18" s="34" t="s">
        <v>60</v>
      </c>
      <c r="D18" s="34" t="s">
        <v>187</v>
      </c>
      <c r="E18" s="20">
        <v>42551.183518518519</v>
      </c>
      <c r="F18" s="20">
        <v>42551.184259259258</v>
      </c>
      <c r="G18" s="23">
        <v>1</v>
      </c>
      <c r="H18" s="20" t="s">
        <v>204</v>
      </c>
      <c r="I18" s="20">
        <v>42551.213645833333</v>
      </c>
      <c r="J18" s="34">
        <v>0</v>
      </c>
      <c r="K18" s="34" t="str">
        <f t="shared" si="11"/>
        <v>4029/4030</v>
      </c>
      <c r="L18" s="34" t="str">
        <f>VLOOKUP(A18,'Trips&amp;Operators'!$C$1:$E$10000,3,FALSE)</f>
        <v>STAMBAUGH</v>
      </c>
      <c r="M18" s="6">
        <f t="shared" si="12"/>
        <v>2.9386574075033423E-2</v>
      </c>
      <c r="N18" s="7">
        <f t="shared" si="1"/>
        <v>42.316666668048128</v>
      </c>
      <c r="O18" s="7"/>
      <c r="P18" s="7"/>
      <c r="Q18" s="35"/>
      <c r="R18" s="35"/>
      <c r="S18" s="59">
        <f t="shared" si="13"/>
        <v>1</v>
      </c>
      <c r="T18" s="1" t="str">
        <f t="shared" si="1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04:23:16-0600',mode:absolute,to:'2016-06-30 05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" s="38" t="str">
        <f t="shared" si="16"/>
        <v>N</v>
      </c>
      <c r="X18" s="38">
        <f t="shared" si="17"/>
        <v>1</v>
      </c>
      <c r="Y18" s="38">
        <f t="shared" si="18"/>
        <v>4.82E-2</v>
      </c>
      <c r="Z18" s="38">
        <f t="shared" si="19"/>
        <v>23.331499999999998</v>
      </c>
      <c r="AA18" s="38">
        <f t="shared" si="20"/>
        <v>23.283299999999997</v>
      </c>
      <c r="AB18" s="39" t="e">
        <f>VLOOKUP(A18,Enforcements!$C$7:$J$32,8,0)</f>
        <v>#N/A</v>
      </c>
      <c r="AC18" s="39" t="e">
        <f>VLOOKUP(A18,Enforcements!$C$7:$E$32,3,0)</f>
        <v>#N/A</v>
      </c>
    </row>
    <row r="19" spans="1:29" s="1" customFormat="1" x14ac:dyDescent="0.25">
      <c r="A19" s="67" t="s">
        <v>290</v>
      </c>
      <c r="B19" s="34">
        <v>4030</v>
      </c>
      <c r="C19" s="34" t="s">
        <v>60</v>
      </c>
      <c r="D19" s="34" t="s">
        <v>154</v>
      </c>
      <c r="E19" s="20">
        <v>42551.215127314812</v>
      </c>
      <c r="F19" s="20">
        <v>42551.216134259259</v>
      </c>
      <c r="G19" s="23">
        <v>1</v>
      </c>
      <c r="H19" s="20" t="s">
        <v>61</v>
      </c>
      <c r="I19" s="20">
        <v>42551.252083333333</v>
      </c>
      <c r="J19" s="34">
        <v>0</v>
      </c>
      <c r="K19" s="34" t="str">
        <f t="shared" si="11"/>
        <v>4029/4030</v>
      </c>
      <c r="L19" s="34" t="str">
        <f>VLOOKUP(A19,'Trips&amp;Operators'!$C$1:$E$10000,3,FALSE)</f>
        <v>STAMBAUGH</v>
      </c>
      <c r="M19" s="6">
        <f t="shared" si="12"/>
        <v>3.5949074073869269E-2</v>
      </c>
      <c r="N19" s="7">
        <f t="shared" si="1"/>
        <v>51.766666666371748</v>
      </c>
      <c r="O19" s="7"/>
      <c r="P19" s="7"/>
      <c r="Q19" s="35"/>
      <c r="R19" s="35"/>
      <c r="S19" s="59">
        <f t="shared" si="13"/>
        <v>1</v>
      </c>
      <c r="T19" s="1" t="str">
        <f t="shared" si="1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05:08:47-0600',mode:absolute,to:'2016-06-30 06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" s="38" t="str">
        <f t="shared" si="16"/>
        <v>N</v>
      </c>
      <c r="X19" s="38">
        <f t="shared" si="17"/>
        <v>1</v>
      </c>
      <c r="Y19" s="38">
        <f t="shared" si="18"/>
        <v>23.299299999999999</v>
      </c>
      <c r="Z19" s="38">
        <f t="shared" si="19"/>
        <v>1.4500000000000001E-2</v>
      </c>
      <c r="AA19" s="38">
        <f t="shared" si="20"/>
        <v>23.284799999999997</v>
      </c>
      <c r="AB19" s="39" t="e">
        <f>VLOOKUP(A19,Enforcements!$C$7:$J$32,8,0)</f>
        <v>#N/A</v>
      </c>
      <c r="AC19" s="39" t="e">
        <f>VLOOKUP(A19,Enforcements!$C$7:$E$32,3,0)</f>
        <v>#N/A</v>
      </c>
    </row>
    <row r="20" spans="1:29" s="1" customFormat="1" x14ac:dyDescent="0.25">
      <c r="A20" s="67" t="s">
        <v>278</v>
      </c>
      <c r="B20" s="34">
        <v>4038</v>
      </c>
      <c r="C20" s="34" t="s">
        <v>60</v>
      </c>
      <c r="D20" s="34" t="s">
        <v>69</v>
      </c>
      <c r="E20" s="20">
        <v>42551.192766203705</v>
      </c>
      <c r="F20" s="20">
        <v>42551.193831018521</v>
      </c>
      <c r="G20" s="23">
        <v>1</v>
      </c>
      <c r="H20" s="20" t="s">
        <v>168</v>
      </c>
      <c r="I20" s="20">
        <v>42551.224143518521</v>
      </c>
      <c r="J20" s="34">
        <v>0</v>
      </c>
      <c r="K20" s="34" t="str">
        <f t="shared" si="11"/>
        <v>4037/4038</v>
      </c>
      <c r="L20" s="34" t="str">
        <f>VLOOKUP(A20,'Trips&amp;Operators'!$C$1:$E$10000,3,FALSE)</f>
        <v>KILLION</v>
      </c>
      <c r="M20" s="6">
        <f t="shared" si="12"/>
        <v>3.0312499999126885E-2</v>
      </c>
      <c r="N20" s="7">
        <f t="shared" si="1"/>
        <v>43.649999998742715</v>
      </c>
      <c r="O20" s="7"/>
      <c r="P20" s="7"/>
      <c r="Q20" s="35"/>
      <c r="R20" s="35"/>
      <c r="S20" s="59">
        <f t="shared" si="13"/>
        <v>1</v>
      </c>
      <c r="T20" s="1" t="str">
        <f t="shared" si="1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04:36:35-0600',mode:absolute,to:'2016-06-30 05:23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 t="shared" si="16"/>
        <v>N</v>
      </c>
      <c r="X20" s="38">
        <f t="shared" si="17"/>
        <v>1</v>
      </c>
      <c r="Y20" s="38">
        <f t="shared" si="18"/>
        <v>4.5999999999999999E-2</v>
      </c>
      <c r="Z20" s="38">
        <f t="shared" si="19"/>
        <v>23.330300000000001</v>
      </c>
      <c r="AA20" s="38">
        <f t="shared" si="20"/>
        <v>23.284300000000002</v>
      </c>
      <c r="AB20" s="39" t="e">
        <f>VLOOKUP(A20,Enforcements!$C$7:$J$32,8,0)</f>
        <v>#N/A</v>
      </c>
      <c r="AC20" s="39" t="e">
        <f>VLOOKUP(A20,Enforcements!$C$7:$E$32,3,0)</f>
        <v>#N/A</v>
      </c>
    </row>
    <row r="21" spans="1:29" s="1" customFormat="1" x14ac:dyDescent="0.25">
      <c r="A21" s="67" t="s">
        <v>294</v>
      </c>
      <c r="B21" s="34">
        <v>4037</v>
      </c>
      <c r="C21" s="34" t="s">
        <v>60</v>
      </c>
      <c r="D21" s="34" t="s">
        <v>145</v>
      </c>
      <c r="E21" s="20">
        <v>42551.232407407406</v>
      </c>
      <c r="F21" s="20">
        <v>42551.233518518522</v>
      </c>
      <c r="G21" s="23">
        <v>1</v>
      </c>
      <c r="H21" s="20" t="s">
        <v>67</v>
      </c>
      <c r="I21" s="20">
        <v>42551.264236111114</v>
      </c>
      <c r="J21" s="34">
        <v>0</v>
      </c>
      <c r="K21" s="34" t="str">
        <f t="shared" si="11"/>
        <v>4037/4038</v>
      </c>
      <c r="L21" s="34" t="str">
        <f>VLOOKUP(A21,'Trips&amp;Operators'!$C$1:$E$10000,3,FALSE)</f>
        <v>KILLION</v>
      </c>
      <c r="M21" s="6">
        <f t="shared" si="12"/>
        <v>3.071759259182727E-2</v>
      </c>
      <c r="N21" s="7">
        <f t="shared" si="1"/>
        <v>44.233333332231268</v>
      </c>
      <c r="O21" s="7"/>
      <c r="P21" s="7"/>
      <c r="Q21" s="35"/>
      <c r="R21" s="35"/>
      <c r="S21" s="59">
        <f t="shared" si="13"/>
        <v>1</v>
      </c>
      <c r="T21" s="1" t="str">
        <f t="shared" si="1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05:33:40-0600',mode:absolute,to:'2016-06-30 06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 t="shared" si="16"/>
        <v>N</v>
      </c>
      <c r="X21" s="38">
        <f t="shared" si="17"/>
        <v>1</v>
      </c>
      <c r="Y21" s="38">
        <f t="shared" si="18"/>
        <v>23.2973</v>
      </c>
      <c r="Z21" s="38">
        <f t="shared" si="19"/>
        <v>1.47E-2</v>
      </c>
      <c r="AA21" s="38">
        <f t="shared" si="20"/>
        <v>23.282599999999999</v>
      </c>
      <c r="AB21" s="39" t="e">
        <f>VLOOKUP(A21,Enforcements!$C$7:$J$32,8,0)</f>
        <v>#N/A</v>
      </c>
      <c r="AC21" s="39" t="e">
        <f>VLOOKUP(A21,Enforcements!$C$7:$E$32,3,0)</f>
        <v>#N/A</v>
      </c>
    </row>
    <row r="22" spans="1:29" s="1" customFormat="1" x14ac:dyDescent="0.25">
      <c r="A22" s="67" t="s">
        <v>286</v>
      </c>
      <c r="B22" s="34">
        <v>4020</v>
      </c>
      <c r="C22" s="34" t="s">
        <v>60</v>
      </c>
      <c r="D22" s="34" t="s">
        <v>313</v>
      </c>
      <c r="E22" s="20">
        <v>42551.202800925923</v>
      </c>
      <c r="F22" s="20">
        <v>42551.204375000001</v>
      </c>
      <c r="G22" s="23">
        <v>2</v>
      </c>
      <c r="H22" s="20" t="s">
        <v>314</v>
      </c>
      <c r="I22" s="20">
        <v>42551.233993055554</v>
      </c>
      <c r="J22" s="34">
        <v>1</v>
      </c>
      <c r="K22" s="34" t="str">
        <f t="shared" si="11"/>
        <v>4019/4020</v>
      </c>
      <c r="L22" s="34" t="str">
        <f>VLOOKUP(A22,'Trips&amp;Operators'!$C$1:$E$10000,3,FALSE)</f>
        <v>MAELZER</v>
      </c>
      <c r="M22" s="6">
        <f t="shared" si="12"/>
        <v>2.9618055552418809E-2</v>
      </c>
      <c r="N22" s="7">
        <f t="shared" si="1"/>
        <v>42.649999995483086</v>
      </c>
      <c r="O22" s="7"/>
      <c r="P22" s="7"/>
      <c r="Q22" s="35"/>
      <c r="R22" s="35"/>
      <c r="S22" s="59">
        <f t="shared" si="13"/>
        <v>1</v>
      </c>
      <c r="T22" s="1" t="str">
        <f t="shared" si="1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2" s="38" t="str">
        <f t="shared" si="16"/>
        <v>N</v>
      </c>
      <c r="X22" s="38">
        <f t="shared" si="17"/>
        <v>1</v>
      </c>
      <c r="Y22" s="38">
        <f t="shared" si="18"/>
        <v>0.11899999999999999</v>
      </c>
      <c r="Z22" s="38">
        <f t="shared" si="19"/>
        <v>23.33</v>
      </c>
      <c r="AA22" s="38">
        <f t="shared" si="20"/>
        <v>23.210999999999999</v>
      </c>
      <c r="AB22" s="39" t="e">
        <f>VLOOKUP(A22,Enforcements!$C$7:$J$32,8,0)</f>
        <v>#N/A</v>
      </c>
      <c r="AC22" s="39" t="e">
        <f>VLOOKUP(A22,Enforcements!$C$7:$E$32,3,0)</f>
        <v>#N/A</v>
      </c>
    </row>
    <row r="23" spans="1:29" s="1" customFormat="1" x14ac:dyDescent="0.25">
      <c r="A23" s="67" t="s">
        <v>265</v>
      </c>
      <c r="B23" s="34">
        <v>4019</v>
      </c>
      <c r="C23" s="34" t="s">
        <v>60</v>
      </c>
      <c r="D23" s="34" t="s">
        <v>315</v>
      </c>
      <c r="E23" s="20">
        <v>42551.245428240742</v>
      </c>
      <c r="F23" s="20">
        <v>42551.246423611112</v>
      </c>
      <c r="G23" s="23">
        <v>1</v>
      </c>
      <c r="H23" s="20" t="s">
        <v>214</v>
      </c>
      <c r="I23" s="20">
        <v>42551.274641203701</v>
      </c>
      <c r="J23" s="34">
        <v>2</v>
      </c>
      <c r="K23" s="34" t="str">
        <f t="shared" si="11"/>
        <v>4019/4020</v>
      </c>
      <c r="L23" s="34" t="str">
        <f>VLOOKUP(A23,'Trips&amp;Operators'!$C$1:$E$10000,3,FALSE)</f>
        <v>MAELZER</v>
      </c>
      <c r="M23" s="6">
        <f t="shared" si="12"/>
        <v>2.8217592589498963E-2</v>
      </c>
      <c r="N23" s="7">
        <f t="shared" si="1"/>
        <v>40.633333328878507</v>
      </c>
      <c r="O23" s="7"/>
      <c r="P23" s="7"/>
      <c r="Q23" s="35"/>
      <c r="R23" s="35"/>
      <c r="S23" s="59">
        <f t="shared" si="13"/>
        <v>1</v>
      </c>
      <c r="T23" s="1" t="str">
        <f t="shared" si="1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3" s="38" t="str">
        <f t="shared" si="16"/>
        <v>N</v>
      </c>
      <c r="X23" s="38">
        <f t="shared" si="17"/>
        <v>1</v>
      </c>
      <c r="Y23" s="38">
        <f t="shared" si="18"/>
        <v>23.296399999999998</v>
      </c>
      <c r="Z23" s="38">
        <f t="shared" si="19"/>
        <v>1.29E-2</v>
      </c>
      <c r="AA23" s="38">
        <f t="shared" si="20"/>
        <v>23.2835</v>
      </c>
      <c r="AB23" s="39">
        <f>VLOOKUP(A23,Enforcements!$C$7:$J$32,8,0)</f>
        <v>30562</v>
      </c>
      <c r="AC23" s="39" t="str">
        <f>VLOOKUP(A23,Enforcements!$C$7:$E$32,3,0)</f>
        <v>PERMANENT SPEED RESTRICTION</v>
      </c>
    </row>
    <row r="24" spans="1:29" s="1" customFormat="1" x14ac:dyDescent="0.25">
      <c r="A24" s="67" t="s">
        <v>277</v>
      </c>
      <c r="B24" s="34">
        <v>4025</v>
      </c>
      <c r="C24" s="34" t="s">
        <v>60</v>
      </c>
      <c r="D24" s="34" t="s">
        <v>165</v>
      </c>
      <c r="E24" s="20">
        <v>42551.210405092592</v>
      </c>
      <c r="F24" s="20">
        <v>42551.211631944447</v>
      </c>
      <c r="G24" s="23">
        <v>1</v>
      </c>
      <c r="H24" s="20" t="s">
        <v>316</v>
      </c>
      <c r="I24" s="20">
        <v>42551.245486111111</v>
      </c>
      <c r="J24" s="34">
        <v>0</v>
      </c>
      <c r="K24" s="34" t="str">
        <f t="shared" si="11"/>
        <v>4025/4026</v>
      </c>
      <c r="L24" s="34" t="str">
        <f>VLOOKUP(A24,'Trips&amp;Operators'!$C$1:$E$10000,3,FALSE)</f>
        <v>CANFIELD</v>
      </c>
      <c r="M24" s="6">
        <f t="shared" si="12"/>
        <v>3.3854166664241347E-2</v>
      </c>
      <c r="N24" s="7">
        <f t="shared" si="1"/>
        <v>48.74999999650754</v>
      </c>
      <c r="O24" s="7"/>
      <c r="P24" s="7"/>
      <c r="Q24" s="35"/>
      <c r="R24" s="35"/>
      <c r="S24" s="59">
        <f t="shared" si="13"/>
        <v>1</v>
      </c>
      <c r="T24" s="1" t="str">
        <f t="shared" si="1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05:01:59-0600',mode:absolute,to:'2016-06-30 05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4" s="38" t="str">
        <f t="shared" si="16"/>
        <v>N</v>
      </c>
      <c r="X24" s="38">
        <f t="shared" si="17"/>
        <v>1</v>
      </c>
      <c r="Y24" s="38">
        <f t="shared" si="18"/>
        <v>4.6199999999999998E-2</v>
      </c>
      <c r="Z24" s="38">
        <f t="shared" si="19"/>
        <v>23.330100000000002</v>
      </c>
      <c r="AA24" s="38">
        <f t="shared" si="20"/>
        <v>23.283900000000003</v>
      </c>
      <c r="AB24" s="39" t="e">
        <f>VLOOKUP(A24,Enforcements!$C$7:$J$32,8,0)</f>
        <v>#N/A</v>
      </c>
      <c r="AC24" s="39" t="e">
        <f>VLOOKUP(A24,Enforcements!$C$7:$E$32,3,0)</f>
        <v>#N/A</v>
      </c>
    </row>
    <row r="25" spans="1:29" s="1" customFormat="1" x14ac:dyDescent="0.25">
      <c r="A25" s="67" t="s">
        <v>282</v>
      </c>
      <c r="B25" s="34">
        <v>4026</v>
      </c>
      <c r="C25" s="34" t="s">
        <v>60</v>
      </c>
      <c r="D25" s="34" t="s">
        <v>143</v>
      </c>
      <c r="E25" s="20">
        <v>42551.253078703703</v>
      </c>
      <c r="F25" s="20">
        <v>42551.25403935185</v>
      </c>
      <c r="G25" s="23">
        <v>1</v>
      </c>
      <c r="H25" s="20" t="s">
        <v>67</v>
      </c>
      <c r="I25" s="20">
        <v>42551.285995370374</v>
      </c>
      <c r="J25" s="34">
        <v>0</v>
      </c>
      <c r="K25" s="34" t="str">
        <f t="shared" si="11"/>
        <v>4025/4026</v>
      </c>
      <c r="L25" s="34" t="str">
        <f>VLOOKUP(A25,'Trips&amp;Operators'!$C$1:$E$10000,3,FALSE)</f>
        <v>CANFIELD</v>
      </c>
      <c r="M25" s="6">
        <f t="shared" si="12"/>
        <v>3.1956018523487728E-2</v>
      </c>
      <c r="N25" s="7">
        <f t="shared" si="1"/>
        <v>46.016666673822328</v>
      </c>
      <c r="O25" s="7"/>
      <c r="P25" s="7"/>
      <c r="Q25" s="35"/>
      <c r="R25" s="35"/>
      <c r="S25" s="59">
        <f t="shared" si="13"/>
        <v>1</v>
      </c>
      <c r="T25" s="1" t="str">
        <f t="shared" si="1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06:03:26-0600',mode:absolute,to:'2016-06-30 06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5" s="38" t="str">
        <f t="shared" si="16"/>
        <v>N</v>
      </c>
      <c r="X25" s="38">
        <f t="shared" si="17"/>
        <v>1</v>
      </c>
      <c r="Y25" s="38">
        <f t="shared" si="18"/>
        <v>23.298999999999999</v>
      </c>
      <c r="Z25" s="38">
        <f t="shared" si="19"/>
        <v>1.47E-2</v>
      </c>
      <c r="AA25" s="38">
        <f t="shared" si="20"/>
        <v>23.284299999999998</v>
      </c>
      <c r="AB25" s="39" t="e">
        <f>VLOOKUP(A25,Enforcements!$C$7:$J$32,8,0)</f>
        <v>#N/A</v>
      </c>
      <c r="AC25" s="39" t="e">
        <f>VLOOKUP(A25,Enforcements!$C$7:$E$32,3,0)</f>
        <v>#N/A</v>
      </c>
    </row>
    <row r="26" spans="1:29" s="1" customFormat="1" x14ac:dyDescent="0.25">
      <c r="A26" s="67" t="s">
        <v>269</v>
      </c>
      <c r="B26" s="34">
        <v>4031</v>
      </c>
      <c r="C26" s="34" t="s">
        <v>60</v>
      </c>
      <c r="D26" s="34" t="s">
        <v>317</v>
      </c>
      <c r="E26" s="20">
        <v>42551.226898148147</v>
      </c>
      <c r="F26" s="20">
        <v>42551.227731481478</v>
      </c>
      <c r="G26" s="23">
        <v>1</v>
      </c>
      <c r="H26" s="20" t="s">
        <v>303</v>
      </c>
      <c r="I26" s="20">
        <v>42551.25440972222</v>
      </c>
      <c r="J26" s="34">
        <v>0</v>
      </c>
      <c r="K26" s="34" t="str">
        <f t="shared" si="11"/>
        <v>4031/4032</v>
      </c>
      <c r="L26" s="34" t="str">
        <f>VLOOKUP(A26,'Trips&amp;Operators'!$C$1:$E$10000,3,FALSE)</f>
        <v>MALAVE</v>
      </c>
      <c r="M26" s="6">
        <f t="shared" si="12"/>
        <v>2.6678240741603076E-2</v>
      </c>
      <c r="N26" s="7">
        <f t="shared" si="1"/>
        <v>38.41666666790843</v>
      </c>
      <c r="O26" s="7"/>
      <c r="P26" s="7"/>
      <c r="Q26" s="35"/>
      <c r="R26" s="35"/>
      <c r="S26" s="59">
        <f t="shared" si="13"/>
        <v>1</v>
      </c>
      <c r="T26" s="1" t="str">
        <f t="shared" si="1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05:25:44-0600',mode:absolute,to:'2016-06-30 06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6" s="38" t="str">
        <f t="shared" si="16"/>
        <v>N</v>
      </c>
      <c r="X26" s="38">
        <f t="shared" si="17"/>
        <v>1</v>
      </c>
      <c r="Y26" s="38">
        <f t="shared" si="18"/>
        <v>7.1300000000000002E-2</v>
      </c>
      <c r="Z26" s="38">
        <f t="shared" si="19"/>
        <v>23.330400000000001</v>
      </c>
      <c r="AA26" s="38">
        <f t="shared" si="20"/>
        <v>23.2591</v>
      </c>
      <c r="AB26" s="39" t="e">
        <f>VLOOKUP(A26,Enforcements!$C$7:$J$32,8,0)</f>
        <v>#N/A</v>
      </c>
      <c r="AC26" s="39" t="e">
        <f>VLOOKUP(A26,Enforcements!$C$7:$E$32,3,0)</f>
        <v>#N/A</v>
      </c>
    </row>
    <row r="27" spans="1:29" s="1" customFormat="1" x14ac:dyDescent="0.25">
      <c r="A27" s="67" t="s">
        <v>281</v>
      </c>
      <c r="B27" s="34">
        <v>4032</v>
      </c>
      <c r="C27" s="34" t="s">
        <v>60</v>
      </c>
      <c r="D27" s="34" t="s">
        <v>318</v>
      </c>
      <c r="E27" s="20">
        <v>42551.268252314818</v>
      </c>
      <c r="F27" s="20">
        <v>42551.269305555557</v>
      </c>
      <c r="G27" s="23">
        <v>1</v>
      </c>
      <c r="H27" s="20" t="s">
        <v>183</v>
      </c>
      <c r="I27" s="20">
        <v>42551.296469907407</v>
      </c>
      <c r="J27" s="34">
        <v>1</v>
      </c>
      <c r="K27" s="34" t="str">
        <f t="shared" si="11"/>
        <v>4031/4032</v>
      </c>
      <c r="L27" s="34" t="str">
        <f>VLOOKUP(A27,'Trips&amp;Operators'!$C$1:$E$10000,3,FALSE)</f>
        <v>MALAVE</v>
      </c>
      <c r="M27" s="6">
        <f t="shared" si="12"/>
        <v>2.7164351849933155E-2</v>
      </c>
      <c r="N27" s="7">
        <f t="shared" si="1"/>
        <v>39.116666663903743</v>
      </c>
      <c r="O27" s="7"/>
      <c r="P27" s="7"/>
      <c r="Q27" s="35"/>
      <c r="R27" s="35"/>
      <c r="S27" s="59">
        <f t="shared" si="13"/>
        <v>1</v>
      </c>
      <c r="T27" s="1" t="str">
        <f t="shared" si="14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7" s="38" t="str">
        <f t="shared" si="16"/>
        <v>N</v>
      </c>
      <c r="X27" s="38">
        <f t="shared" si="17"/>
        <v>1</v>
      </c>
      <c r="Y27" s="38">
        <f t="shared" si="18"/>
        <v>23.298300000000001</v>
      </c>
      <c r="Z27" s="38">
        <f t="shared" si="19"/>
        <v>1.5599999999999999E-2</v>
      </c>
      <c r="AA27" s="38">
        <f t="shared" si="20"/>
        <v>23.282700000000002</v>
      </c>
      <c r="AB27" s="39" t="e">
        <f>VLOOKUP(A27,Enforcements!$C$7:$J$32,8,0)</f>
        <v>#N/A</v>
      </c>
      <c r="AC27" s="39" t="e">
        <f>VLOOKUP(A27,Enforcements!$C$7:$E$32,3,0)</f>
        <v>#N/A</v>
      </c>
    </row>
    <row r="28" spans="1:29" s="1" customFormat="1" x14ac:dyDescent="0.25">
      <c r="A28" s="67" t="s">
        <v>262</v>
      </c>
      <c r="B28" s="34">
        <v>4014</v>
      </c>
      <c r="C28" s="34" t="s">
        <v>60</v>
      </c>
      <c r="D28" s="34" t="s">
        <v>98</v>
      </c>
      <c r="E28" s="20">
        <v>42551.236250000002</v>
      </c>
      <c r="F28" s="20">
        <v>42551.236956018518</v>
      </c>
      <c r="G28" s="23">
        <v>1</v>
      </c>
      <c r="H28" s="20" t="s">
        <v>319</v>
      </c>
      <c r="I28" s="20">
        <v>42551.265509259261</v>
      </c>
      <c r="J28" s="34">
        <v>1</v>
      </c>
      <c r="K28" s="34" t="str">
        <f t="shared" si="11"/>
        <v>4013/4014</v>
      </c>
      <c r="L28" s="34" t="str">
        <f>VLOOKUP(A28,'Trips&amp;Operators'!$C$1:$E$10000,3,FALSE)</f>
        <v>STARKS</v>
      </c>
      <c r="M28" s="6">
        <f t="shared" si="12"/>
        <v>2.8553240743349306E-2</v>
      </c>
      <c r="N28" s="7">
        <f t="shared" si="1"/>
        <v>41.116666670423001</v>
      </c>
      <c r="O28" s="7"/>
      <c r="P28" s="7"/>
      <c r="Q28" s="35"/>
      <c r="R28" s="35"/>
      <c r="S28" s="59">
        <f t="shared" si="13"/>
        <v>1</v>
      </c>
      <c r="T28" s="1" t="str">
        <f t="shared" si="14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8" s="38" t="str">
        <f t="shared" si="16"/>
        <v>N</v>
      </c>
      <c r="X28" s="38">
        <f t="shared" si="17"/>
        <v>1</v>
      </c>
      <c r="Y28" s="38">
        <f t="shared" si="18"/>
        <v>4.6699999999999998E-2</v>
      </c>
      <c r="Z28" s="38">
        <f t="shared" si="19"/>
        <v>23.319500000000001</v>
      </c>
      <c r="AA28" s="38">
        <f t="shared" si="20"/>
        <v>23.2728</v>
      </c>
      <c r="AB28" s="39" t="e">
        <f>VLOOKUP(A28,Enforcements!$C$7:$J$32,8,0)</f>
        <v>#N/A</v>
      </c>
      <c r="AC28" s="39" t="e">
        <f>VLOOKUP(A28,Enforcements!$C$7:$E$32,3,0)</f>
        <v>#N/A</v>
      </c>
    </row>
    <row r="29" spans="1:29" s="1" customFormat="1" x14ac:dyDescent="0.25">
      <c r="A29" s="67" t="s">
        <v>249</v>
      </c>
      <c r="B29" s="34">
        <v>4016</v>
      </c>
      <c r="C29" s="34" t="s">
        <v>60</v>
      </c>
      <c r="D29" s="34" t="s">
        <v>320</v>
      </c>
      <c r="E29" s="20">
        <v>42551.258217592593</v>
      </c>
      <c r="F29" s="20">
        <v>42551.258912037039</v>
      </c>
      <c r="G29" s="23">
        <v>0</v>
      </c>
      <c r="H29" s="20" t="s">
        <v>321</v>
      </c>
      <c r="I29" s="20">
        <v>42551.277499999997</v>
      </c>
      <c r="J29" s="34">
        <v>1</v>
      </c>
      <c r="K29" s="34" t="str">
        <f t="shared" si="11"/>
        <v>4015/4016</v>
      </c>
      <c r="L29" s="34" t="str">
        <f>VLOOKUP(A29,'Trips&amp;Operators'!$C$1:$E$10000,3,FALSE)</f>
        <v>YORK</v>
      </c>
      <c r="M29" s="6">
        <f t="shared" si="12"/>
        <v>1.858796295709908E-2</v>
      </c>
      <c r="N29" s="7"/>
      <c r="O29" s="7"/>
      <c r="P29" s="7">
        <f>24*60*SUM($M29:$M30)</f>
        <v>39.649999996181577</v>
      </c>
      <c r="Q29" s="35"/>
      <c r="R29" s="35" t="s">
        <v>201</v>
      </c>
      <c r="S29" s="59">
        <f t="shared" si="13"/>
        <v>0.75</v>
      </c>
      <c r="T29" s="1" t="str">
        <f t="shared" si="14"/>
        <v>NorthBound</v>
      </c>
      <c r="U29" s="1">
        <f>COUNTIFS(Variables!$M$2:$M$19,IF(T29="NorthBound","&gt;=","&lt;=")&amp;Y29,Variables!$M$2:$M$19,IF(T29="NorthBound","&lt;=","&gt;=")&amp;Z29)</f>
        <v>9</v>
      </c>
      <c r="V2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9" s="38" t="str">
        <f t="shared" si="16"/>
        <v>Y</v>
      </c>
      <c r="X29" s="38">
        <f t="shared" si="17"/>
        <v>2</v>
      </c>
      <c r="Y29" s="38">
        <f t="shared" si="18"/>
        <v>3.7202999999999999</v>
      </c>
      <c r="Z29" s="38">
        <f t="shared" si="19"/>
        <v>23.327400000000001</v>
      </c>
      <c r="AA29" s="38">
        <f t="shared" si="20"/>
        <v>19.607100000000003</v>
      </c>
      <c r="AB29" s="39">
        <f>VLOOKUP(A29,Enforcements!$C$7:$J$32,8,0)</f>
        <v>20617</v>
      </c>
      <c r="AC29" s="39" t="str">
        <f>VLOOKUP(A29,Enforcements!$C$7:$E$32,3,0)</f>
        <v>SIGNAL</v>
      </c>
    </row>
    <row r="30" spans="1:29" s="1" customFormat="1" x14ac:dyDescent="0.25">
      <c r="A30" s="67" t="s">
        <v>249</v>
      </c>
      <c r="B30" s="34">
        <v>4016</v>
      </c>
      <c r="C30" s="34" t="s">
        <v>60</v>
      </c>
      <c r="D30" s="34" t="s">
        <v>322</v>
      </c>
      <c r="E30" s="20">
        <v>42551.24559027778</v>
      </c>
      <c r="F30" s="20">
        <v>42551.246504629627</v>
      </c>
      <c r="G30" s="23">
        <v>1</v>
      </c>
      <c r="H30" s="20" t="s">
        <v>323</v>
      </c>
      <c r="I30" s="20">
        <v>42551.25545138889</v>
      </c>
      <c r="J30" s="34">
        <v>1</v>
      </c>
      <c r="K30" s="34" t="str">
        <f t="shared" si="11"/>
        <v>4015/4016</v>
      </c>
      <c r="L30" s="34" t="str">
        <f>VLOOKUP(A30,'Trips&amp;Operators'!$C$1:$E$10000,3,FALSE)</f>
        <v>YORK</v>
      </c>
      <c r="M30" s="6">
        <f t="shared" si="12"/>
        <v>8.9467592624714598E-3</v>
      </c>
      <c r="N30" s="7"/>
      <c r="O30" s="7"/>
      <c r="P30" s="7"/>
      <c r="Q30" s="35"/>
      <c r="R30" s="35"/>
      <c r="S30" s="59"/>
      <c r="T30" s="1" t="str">
        <f t="shared" si="14"/>
        <v>NorthBound</v>
      </c>
      <c r="U30" s="1">
        <f>COUNTIFS(Variables!$M$2:$M$19,IF(T30="NorthBound","&gt;=","&lt;=")&amp;Y30,Variables!$M$2:$M$19,IF(T30="NorthBound","&lt;=","&gt;=")&amp;Z30)</f>
        <v>0</v>
      </c>
      <c r="V3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05:52:39-0600',mode:absolute,to:'2016-06-30 06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0" s="38" t="str">
        <f t="shared" si="16"/>
        <v>Y</v>
      </c>
      <c r="X30" s="38">
        <f t="shared" si="17"/>
        <v>0</v>
      </c>
      <c r="Y30" s="38">
        <f t="shared" si="18"/>
        <v>7.5200000000000003E-2</v>
      </c>
      <c r="Z30" s="38">
        <f t="shared" si="19"/>
        <v>2.1320000000000001</v>
      </c>
      <c r="AA30" s="38">
        <f t="shared" si="20"/>
        <v>2.0568</v>
      </c>
      <c r="AB30" s="39">
        <f>VLOOKUP(A30,Enforcements!$C$7:$J$32,8,0)</f>
        <v>20617</v>
      </c>
      <c r="AC30" s="39" t="str">
        <f>VLOOKUP(A30,Enforcements!$C$7:$E$32,3,0)</f>
        <v>SIGNAL</v>
      </c>
    </row>
    <row r="31" spans="1:29" s="1" customFormat="1" x14ac:dyDescent="0.25">
      <c r="A31" s="67" t="s">
        <v>296</v>
      </c>
      <c r="B31" s="34">
        <v>4015</v>
      </c>
      <c r="C31" s="34" t="s">
        <v>60</v>
      </c>
      <c r="D31" s="34" t="s">
        <v>324</v>
      </c>
      <c r="E31" s="20">
        <v>42551.279409722221</v>
      </c>
      <c r="F31" s="20">
        <v>42551.280219907407</v>
      </c>
      <c r="G31" s="23">
        <v>1</v>
      </c>
      <c r="H31" s="20" t="s">
        <v>102</v>
      </c>
      <c r="I31" s="20">
        <v>42551.31585648148</v>
      </c>
      <c r="J31" s="34">
        <v>0</v>
      </c>
      <c r="K31" s="34" t="str">
        <f t="shared" si="11"/>
        <v>4015/4016</v>
      </c>
      <c r="L31" s="34" t="str">
        <f>VLOOKUP(A31,'Trips&amp;Operators'!$C$1:$E$10000,3,FALSE)</f>
        <v>YORK</v>
      </c>
      <c r="M31" s="6">
        <f t="shared" si="12"/>
        <v>3.5636574073578231E-2</v>
      </c>
      <c r="N31" s="7">
        <f t="shared" si="1"/>
        <v>51.316666665952653</v>
      </c>
      <c r="O31" s="7"/>
      <c r="P31" s="7"/>
      <c r="Q31" s="35"/>
      <c r="R31" s="35"/>
      <c r="S31" s="59">
        <f t="shared" si="13"/>
        <v>1</v>
      </c>
      <c r="T31" s="1" t="str">
        <f t="shared" si="14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06:41:21-0600',mode:absolute,to:'2016-06-30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1" s="38" t="str">
        <f t="shared" si="16"/>
        <v>N</v>
      </c>
      <c r="X31" s="38">
        <f t="shared" si="17"/>
        <v>1</v>
      </c>
      <c r="Y31" s="38">
        <f t="shared" si="18"/>
        <v>23.296600000000002</v>
      </c>
      <c r="Z31" s="38">
        <f t="shared" si="19"/>
        <v>1.4999999999999999E-2</v>
      </c>
      <c r="AA31" s="38">
        <f t="shared" si="20"/>
        <v>23.281600000000001</v>
      </c>
      <c r="AB31" s="39" t="e">
        <f>VLOOKUP(A31,Enforcements!$C$7:$J$32,8,0)</f>
        <v>#N/A</v>
      </c>
      <c r="AC31" s="39" t="e">
        <f>VLOOKUP(A31,Enforcements!$C$7:$E$32,3,0)</f>
        <v>#N/A</v>
      </c>
    </row>
    <row r="32" spans="1:29" s="1" customFormat="1" x14ac:dyDescent="0.25">
      <c r="A32" s="67" t="s">
        <v>283</v>
      </c>
      <c r="B32" s="34">
        <v>4029</v>
      </c>
      <c r="C32" s="34" t="s">
        <v>60</v>
      </c>
      <c r="D32" s="34" t="s">
        <v>137</v>
      </c>
      <c r="E32" s="20">
        <v>42551.2575462963</v>
      </c>
      <c r="F32" s="20">
        <v>42551.258206018516</v>
      </c>
      <c r="G32" s="23">
        <v>0</v>
      </c>
      <c r="H32" s="20" t="s">
        <v>93</v>
      </c>
      <c r="I32" s="20">
        <v>42551.358587962961</v>
      </c>
      <c r="J32" s="34">
        <v>1</v>
      </c>
      <c r="K32" s="34" t="str">
        <f t="shared" si="11"/>
        <v>4029/4030</v>
      </c>
      <c r="L32" s="34" t="str">
        <f>VLOOKUP(A32,'Trips&amp;Operators'!$C$1:$E$10000,3,FALSE)</f>
        <v>STAMBAUGH</v>
      </c>
      <c r="M32" s="6">
        <f t="shared" si="12"/>
        <v>0.10038194444496185</v>
      </c>
      <c r="N32" s="7">
        <f t="shared" si="1"/>
        <v>144.55000000074506</v>
      </c>
      <c r="O32" s="7"/>
      <c r="P32" s="7"/>
      <c r="Q32" s="35"/>
      <c r="R32" s="35"/>
      <c r="S32" s="59">
        <f t="shared" si="13"/>
        <v>1</v>
      </c>
      <c r="T32" s="1" t="str">
        <f t="shared" si="14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38" t="str">
        <f t="shared" si="16"/>
        <v>N</v>
      </c>
      <c r="X32" s="38">
        <f t="shared" si="17"/>
        <v>1</v>
      </c>
      <c r="Y32" s="38">
        <f t="shared" si="18"/>
        <v>4.7699999999999999E-2</v>
      </c>
      <c r="Z32" s="38">
        <f t="shared" si="19"/>
        <v>23.329499999999999</v>
      </c>
      <c r="AA32" s="38">
        <f t="shared" si="20"/>
        <v>23.2818</v>
      </c>
      <c r="AB32" s="39" t="e">
        <f>VLOOKUP(A32,Enforcements!$C$7:$J$32,8,0)</f>
        <v>#N/A</v>
      </c>
      <c r="AC32" s="39" t="e">
        <f>VLOOKUP(A32,Enforcements!$C$7:$E$32,3,0)</f>
        <v>#N/A</v>
      </c>
    </row>
    <row r="33" spans="1:29" s="1" customFormat="1" x14ac:dyDescent="0.25">
      <c r="A33" s="67" t="s">
        <v>288</v>
      </c>
      <c r="B33" s="34">
        <v>4030</v>
      </c>
      <c r="C33" s="34" t="s">
        <v>60</v>
      </c>
      <c r="D33" s="34" t="s">
        <v>325</v>
      </c>
      <c r="E33" s="20">
        <v>42551.29519675926</v>
      </c>
      <c r="F33" s="20">
        <v>42551.296099537038</v>
      </c>
      <c r="G33" s="23">
        <v>1</v>
      </c>
      <c r="H33" s="20" t="s">
        <v>62</v>
      </c>
      <c r="I33" s="20">
        <v>42551.327384259261</v>
      </c>
      <c r="J33" s="34">
        <v>0</v>
      </c>
      <c r="K33" s="34" t="str">
        <f t="shared" si="11"/>
        <v>4029/4030</v>
      </c>
      <c r="L33" s="34" t="str">
        <f>VLOOKUP(A33,'Trips&amp;Operators'!$C$1:$E$10000,3,FALSE)</f>
        <v>STAMBAUGH</v>
      </c>
      <c r="M33" s="6">
        <f t="shared" si="12"/>
        <v>3.1284722223063E-2</v>
      </c>
      <c r="N33" s="7">
        <f t="shared" si="1"/>
        <v>45.050000001210719</v>
      </c>
      <c r="O33" s="7"/>
      <c r="P33" s="7"/>
      <c r="Q33" s="35"/>
      <c r="R33" s="35"/>
      <c r="S33" s="59">
        <f t="shared" si="13"/>
        <v>1</v>
      </c>
      <c r="T33" s="1" t="str">
        <f t="shared" si="14"/>
        <v>Southbound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07:04:05-0600',mode:absolute,to:'2016-06-30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38" t="str">
        <f t="shared" si="16"/>
        <v>N</v>
      </c>
      <c r="X33" s="38">
        <f t="shared" si="17"/>
        <v>1</v>
      </c>
      <c r="Y33" s="38">
        <f t="shared" si="18"/>
        <v>23.295200000000001</v>
      </c>
      <c r="Z33" s="38">
        <f t="shared" si="19"/>
        <v>1.52E-2</v>
      </c>
      <c r="AA33" s="38">
        <f t="shared" si="20"/>
        <v>23.28</v>
      </c>
      <c r="AB33" s="39" t="e">
        <f>VLOOKUP(A33,Enforcements!$C$7:$J$32,8,0)</f>
        <v>#N/A</v>
      </c>
      <c r="AC33" s="39" t="e">
        <f>VLOOKUP(A33,Enforcements!$C$7:$E$32,3,0)</f>
        <v>#N/A</v>
      </c>
    </row>
    <row r="34" spans="1:29" s="1" customFormat="1" x14ac:dyDescent="0.25">
      <c r="A34" s="67" t="s">
        <v>268</v>
      </c>
      <c r="B34" s="34">
        <v>4038</v>
      </c>
      <c r="C34" s="34" t="s">
        <v>60</v>
      </c>
      <c r="D34" s="34" t="s">
        <v>98</v>
      </c>
      <c r="E34" s="20">
        <v>42551.26662037037</v>
      </c>
      <c r="F34" s="20">
        <v>42551.270856481482</v>
      </c>
      <c r="G34" s="23">
        <v>6</v>
      </c>
      <c r="H34" s="20" t="s">
        <v>147</v>
      </c>
      <c r="I34" s="20">
        <v>42551.295937499999</v>
      </c>
      <c r="J34" s="34">
        <v>0</v>
      </c>
      <c r="K34" s="34" t="str">
        <f t="shared" si="11"/>
        <v>4037/4038</v>
      </c>
      <c r="L34" s="34" t="str">
        <f>VLOOKUP(A34,'Trips&amp;Operators'!$C$1:$E$10000,3,FALSE)</f>
        <v>KILLION</v>
      </c>
      <c r="M34" s="6">
        <f t="shared" si="12"/>
        <v>2.5081018517084885E-2</v>
      </c>
      <c r="N34" s="7">
        <f t="shared" si="1"/>
        <v>36.116666664602235</v>
      </c>
      <c r="O34" s="7"/>
      <c r="P34" s="7"/>
      <c r="Q34" s="35"/>
      <c r="R34" s="35"/>
      <c r="S34" s="59">
        <f t="shared" si="13"/>
        <v>1</v>
      </c>
      <c r="T34" s="1" t="str">
        <f t="shared" si="14"/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06:22:56-0600',mode:absolute,to:'2016-06-30 07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 t="shared" si="16"/>
        <v>N</v>
      </c>
      <c r="X34" s="38">
        <f t="shared" si="17"/>
        <v>1</v>
      </c>
      <c r="Y34" s="38">
        <f t="shared" si="18"/>
        <v>4.6699999999999998E-2</v>
      </c>
      <c r="Z34" s="38">
        <f t="shared" si="19"/>
        <v>23.331199999999999</v>
      </c>
      <c r="AA34" s="38">
        <f t="shared" si="20"/>
        <v>23.284499999999998</v>
      </c>
      <c r="AB34" s="39" t="e">
        <f>VLOOKUP(A34,Enforcements!$C$7:$J$32,8,0)</f>
        <v>#N/A</v>
      </c>
      <c r="AC34" s="39" t="e">
        <f>VLOOKUP(A34,Enforcements!$C$7:$E$32,3,0)</f>
        <v>#N/A</v>
      </c>
    </row>
    <row r="35" spans="1:29" s="1" customFormat="1" x14ac:dyDescent="0.25">
      <c r="A35" s="67" t="s">
        <v>295</v>
      </c>
      <c r="B35" s="34">
        <v>4037</v>
      </c>
      <c r="C35" s="34" t="s">
        <v>60</v>
      </c>
      <c r="D35" s="34" t="s">
        <v>154</v>
      </c>
      <c r="E35" s="20">
        <v>42551.306400462963</v>
      </c>
      <c r="F35" s="20">
        <v>42551.307743055557</v>
      </c>
      <c r="G35" s="23">
        <v>1</v>
      </c>
      <c r="H35" s="20" t="s">
        <v>158</v>
      </c>
      <c r="I35" s="20">
        <v>42551.337002314816</v>
      </c>
      <c r="J35" s="34">
        <v>0</v>
      </c>
      <c r="K35" s="34" t="str">
        <f t="shared" si="11"/>
        <v>4037/4038</v>
      </c>
      <c r="L35" s="34" t="str">
        <f>VLOOKUP(A35,'Trips&amp;Operators'!$C$1:$E$10000,3,FALSE)</f>
        <v>KILLION</v>
      </c>
      <c r="M35" s="6">
        <f t="shared" si="12"/>
        <v>2.9259259259561077E-2</v>
      </c>
      <c r="N35" s="7">
        <f t="shared" si="1"/>
        <v>42.133333333767951</v>
      </c>
      <c r="O35" s="7"/>
      <c r="P35" s="7"/>
      <c r="Q35" s="35"/>
      <c r="R35" s="35"/>
      <c r="S35" s="59">
        <f t="shared" si="13"/>
        <v>1</v>
      </c>
      <c r="T35" s="1" t="str">
        <f t="shared" si="14"/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07:20:13-0600',mode:absolute,to:'2016-06-30 08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 t="shared" si="16"/>
        <v>N</v>
      </c>
      <c r="X35" s="38">
        <f t="shared" si="17"/>
        <v>1</v>
      </c>
      <c r="Y35" s="38">
        <f t="shared" si="18"/>
        <v>23.299299999999999</v>
      </c>
      <c r="Z35" s="38">
        <f t="shared" si="19"/>
        <v>1.54E-2</v>
      </c>
      <c r="AA35" s="38">
        <f t="shared" si="20"/>
        <v>23.283899999999999</v>
      </c>
      <c r="AB35" s="39" t="e">
        <f>VLOOKUP(A35,Enforcements!$C$7:$J$32,8,0)</f>
        <v>#N/A</v>
      </c>
      <c r="AC35" s="39" t="e">
        <f>VLOOKUP(A35,Enforcements!$C$7:$E$32,3,0)</f>
        <v>#N/A</v>
      </c>
    </row>
    <row r="36" spans="1:29" s="1" customFormat="1" x14ac:dyDescent="0.25">
      <c r="A36" s="67" t="s">
        <v>253</v>
      </c>
      <c r="B36" s="34">
        <v>4020</v>
      </c>
      <c r="C36" s="34" t="s">
        <v>60</v>
      </c>
      <c r="D36" s="34" t="s">
        <v>131</v>
      </c>
      <c r="E36" s="20">
        <v>42551.276296296295</v>
      </c>
      <c r="F36" s="20">
        <v>42551.277407407404</v>
      </c>
      <c r="G36" s="23">
        <v>1</v>
      </c>
      <c r="H36" s="20" t="s">
        <v>97</v>
      </c>
      <c r="I36" s="20">
        <v>42551.30810185185</v>
      </c>
      <c r="J36" s="34">
        <v>1</v>
      </c>
      <c r="K36" s="34" t="str">
        <f t="shared" si="11"/>
        <v>4019/4020</v>
      </c>
      <c r="L36" s="34" t="str">
        <f>VLOOKUP(A36,'Trips&amp;Operators'!$C$1:$E$10000,3,FALSE)</f>
        <v>MAELZER</v>
      </c>
      <c r="M36" s="6">
        <f t="shared" si="12"/>
        <v>3.0694444445543922E-2</v>
      </c>
      <c r="N36" s="7">
        <f t="shared" si="1"/>
        <v>44.200000001583248</v>
      </c>
      <c r="O36" s="7"/>
      <c r="P36" s="7"/>
      <c r="Q36" s="35"/>
      <c r="R36" s="35"/>
      <c r="S36" s="59">
        <f t="shared" si="13"/>
        <v>1</v>
      </c>
      <c r="T36" s="1" t="str">
        <f t="shared" si="14"/>
        <v>NorthBound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6" s="38" t="str">
        <f t="shared" si="16"/>
        <v>N</v>
      </c>
      <c r="X36" s="38">
        <f t="shared" si="17"/>
        <v>1</v>
      </c>
      <c r="Y36" s="38">
        <f t="shared" si="18"/>
        <v>4.7100000000000003E-2</v>
      </c>
      <c r="Z36" s="38">
        <f t="shared" si="19"/>
        <v>23.3291</v>
      </c>
      <c r="AA36" s="38">
        <f t="shared" si="20"/>
        <v>23.282</v>
      </c>
      <c r="AB36" s="39" t="e">
        <f>VLOOKUP(A36,Enforcements!$C$7:$J$32,8,0)</f>
        <v>#N/A</v>
      </c>
      <c r="AC36" s="39" t="e">
        <f>VLOOKUP(A36,Enforcements!$C$7:$E$32,3,0)</f>
        <v>#N/A</v>
      </c>
    </row>
    <row r="37" spans="1:29" s="1" customFormat="1" x14ac:dyDescent="0.25">
      <c r="A37" s="67" t="s">
        <v>260</v>
      </c>
      <c r="B37" s="34">
        <v>4019</v>
      </c>
      <c r="C37" s="34" t="s">
        <v>60</v>
      </c>
      <c r="D37" s="34" t="s">
        <v>326</v>
      </c>
      <c r="E37" s="20">
        <v>42551.319965277777</v>
      </c>
      <c r="F37" s="20">
        <v>42551.321145833332</v>
      </c>
      <c r="G37" s="23">
        <v>1</v>
      </c>
      <c r="H37" s="20" t="s">
        <v>87</v>
      </c>
      <c r="I37" s="20">
        <v>42551.34814814815</v>
      </c>
      <c r="J37" s="34">
        <v>1</v>
      </c>
      <c r="K37" s="34" t="str">
        <f t="shared" si="11"/>
        <v>4019/4020</v>
      </c>
      <c r="L37" s="34" t="str">
        <f>VLOOKUP(A37,'Trips&amp;Operators'!$C$1:$E$10000,3,FALSE)</f>
        <v>MAELZER</v>
      </c>
      <c r="M37" s="6">
        <f t="shared" si="12"/>
        <v>2.7002314818673767E-2</v>
      </c>
      <c r="N37" s="7">
        <f t="shared" si="1"/>
        <v>38.883333338890225</v>
      </c>
      <c r="O37" s="7"/>
      <c r="P37" s="7"/>
      <c r="Q37" s="35"/>
      <c r="R37" s="35"/>
      <c r="S37" s="59">
        <f t="shared" si="13"/>
        <v>1</v>
      </c>
      <c r="T37" s="1" t="str">
        <f t="shared" si="14"/>
        <v>Southbound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7" s="38" t="str">
        <f t="shared" si="16"/>
        <v>N</v>
      </c>
      <c r="X37" s="38">
        <f t="shared" si="17"/>
        <v>1</v>
      </c>
      <c r="Y37" s="38">
        <f t="shared" si="18"/>
        <v>23.2959</v>
      </c>
      <c r="Z37" s="38">
        <f t="shared" si="19"/>
        <v>1.61E-2</v>
      </c>
      <c r="AA37" s="38">
        <f t="shared" si="20"/>
        <v>23.279799999999998</v>
      </c>
      <c r="AB37" s="39" t="e">
        <f>VLOOKUP(A37,Enforcements!$C$7:$J$32,8,0)</f>
        <v>#N/A</v>
      </c>
      <c r="AC37" s="39" t="e">
        <f>VLOOKUP(A37,Enforcements!$C$7:$E$32,3,0)</f>
        <v>#N/A</v>
      </c>
    </row>
    <row r="38" spans="1:29" s="1" customFormat="1" x14ac:dyDescent="0.25">
      <c r="A38" s="67" t="s">
        <v>280</v>
      </c>
      <c r="B38" s="34">
        <v>4025</v>
      </c>
      <c r="C38" s="34" t="s">
        <v>60</v>
      </c>
      <c r="D38" s="34" t="s">
        <v>213</v>
      </c>
      <c r="E38" s="20">
        <v>42551.287581018521</v>
      </c>
      <c r="F38" s="20">
        <v>42551.288738425923</v>
      </c>
      <c r="G38" s="23">
        <v>1</v>
      </c>
      <c r="H38" s="20" t="s">
        <v>218</v>
      </c>
      <c r="I38" s="20">
        <v>42551.318773148145</v>
      </c>
      <c r="J38" s="34">
        <v>0</v>
      </c>
      <c r="K38" s="34" t="str">
        <f t="shared" si="11"/>
        <v>4025/4026</v>
      </c>
      <c r="L38" s="34" t="str">
        <f>VLOOKUP(A38,'Trips&amp;Operators'!$C$1:$E$10000,3,FALSE)</f>
        <v>CANFIELD</v>
      </c>
      <c r="M38" s="6">
        <f t="shared" si="12"/>
        <v>3.0034722221898846E-2</v>
      </c>
      <c r="N38" s="7">
        <f t="shared" si="1"/>
        <v>43.249999999534339</v>
      </c>
      <c r="O38" s="7"/>
      <c r="P38" s="7"/>
      <c r="Q38" s="35"/>
      <c r="R38" s="35"/>
      <c r="S38" s="59">
        <f t="shared" si="13"/>
        <v>1</v>
      </c>
      <c r="T38" s="1" t="str">
        <f t="shared" si="14"/>
        <v>NorthBound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06:53:07-0600',mode:absolute,to:'2016-06-30 07:40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38" t="str">
        <f t="shared" si="16"/>
        <v>N</v>
      </c>
      <c r="X38" s="38">
        <f t="shared" si="17"/>
        <v>1</v>
      </c>
      <c r="Y38" s="38">
        <f t="shared" si="18"/>
        <v>4.3499999999999997E-2</v>
      </c>
      <c r="Z38" s="38">
        <f t="shared" si="19"/>
        <v>23.331</v>
      </c>
      <c r="AA38" s="38">
        <f t="shared" si="20"/>
        <v>23.287499999999998</v>
      </c>
      <c r="AB38" s="39" t="e">
        <f>VLOOKUP(A38,Enforcements!$C$7:$J$32,8,0)</f>
        <v>#N/A</v>
      </c>
      <c r="AC38" s="39" t="e">
        <f>VLOOKUP(A38,Enforcements!$C$7:$E$32,3,0)</f>
        <v>#N/A</v>
      </c>
    </row>
    <row r="39" spans="1:29" s="1" customFormat="1" x14ac:dyDescent="0.25">
      <c r="A39" s="95" t="s">
        <v>327</v>
      </c>
      <c r="B39" s="34">
        <v>4026</v>
      </c>
      <c r="C39" s="34" t="s">
        <v>60</v>
      </c>
      <c r="D39" s="34" t="s">
        <v>71</v>
      </c>
      <c r="E39" s="20">
        <v>42551.324837962966</v>
      </c>
      <c r="F39" s="20">
        <v>42551.326319444444</v>
      </c>
      <c r="G39" s="23">
        <v>2</v>
      </c>
      <c r="H39" s="20" t="s">
        <v>67</v>
      </c>
      <c r="I39" s="20">
        <v>42551.35732638889</v>
      </c>
      <c r="J39" s="34">
        <v>0</v>
      </c>
      <c r="K39" s="34" t="str">
        <f t="shared" si="11"/>
        <v>4025/4026</v>
      </c>
      <c r="L39" s="34" t="str">
        <f>VLOOKUP(A39,'Trips&amp;Operators'!$C$1:$E$10000,3,FALSE)</f>
        <v>CANFIELD</v>
      </c>
      <c r="M39" s="6">
        <f t="shared" si="12"/>
        <v>3.1006944445834961E-2</v>
      </c>
      <c r="N39" s="7">
        <f t="shared" si="1"/>
        <v>44.650000002002344</v>
      </c>
      <c r="O39" s="7"/>
      <c r="P39" s="7"/>
      <c r="Q39" s="35"/>
      <c r="R39" s="35"/>
      <c r="S39" s="59">
        <f t="shared" si="13"/>
        <v>1</v>
      </c>
      <c r="T39" s="1" t="str">
        <f t="shared" si="14"/>
        <v>Southbound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07:46:46-0600',mode:absolute,to:'2016-06-30 08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38" t="str">
        <f t="shared" si="16"/>
        <v>N</v>
      </c>
      <c r="X39" s="38">
        <f t="shared" si="17"/>
        <v>1</v>
      </c>
      <c r="Y39" s="38">
        <f t="shared" si="18"/>
        <v>23.297699999999999</v>
      </c>
      <c r="Z39" s="38">
        <f t="shared" si="19"/>
        <v>1.47E-2</v>
      </c>
      <c r="AA39" s="38">
        <f t="shared" si="20"/>
        <v>23.282999999999998</v>
      </c>
      <c r="AB39" s="39" t="e">
        <f>VLOOKUP(A39,Enforcements!$C$7:$J$32,8,0)</f>
        <v>#N/A</v>
      </c>
      <c r="AC39" s="39" t="e">
        <f>VLOOKUP(A39,Enforcements!$C$7:$E$32,3,0)</f>
        <v>#N/A</v>
      </c>
    </row>
    <row r="40" spans="1:29" s="1" customFormat="1" x14ac:dyDescent="0.25">
      <c r="A40" s="67" t="s">
        <v>272</v>
      </c>
      <c r="B40" s="34">
        <v>4031</v>
      </c>
      <c r="C40" s="34" t="s">
        <v>60</v>
      </c>
      <c r="D40" s="34" t="s">
        <v>78</v>
      </c>
      <c r="E40" s="20">
        <v>42551.300011574072</v>
      </c>
      <c r="F40" s="20">
        <v>42551.300868055558</v>
      </c>
      <c r="G40" s="23">
        <v>1</v>
      </c>
      <c r="H40" s="20" t="s">
        <v>142</v>
      </c>
      <c r="I40" s="20">
        <v>42551.328530092593</v>
      </c>
      <c r="J40" s="34">
        <v>0</v>
      </c>
      <c r="K40" s="34" t="str">
        <f t="shared" si="11"/>
        <v>4031/4032</v>
      </c>
      <c r="L40" s="34" t="str">
        <f>VLOOKUP(A40,'Trips&amp;Operators'!$C$1:$E$10000,3,FALSE)</f>
        <v>MALAVE</v>
      </c>
      <c r="M40" s="6">
        <f t="shared" si="12"/>
        <v>2.7662037035042886E-2</v>
      </c>
      <c r="N40" s="7">
        <f t="shared" si="1"/>
        <v>39.833333330461755</v>
      </c>
      <c r="O40" s="7"/>
      <c r="P40" s="7"/>
      <c r="Q40" s="35"/>
      <c r="R40" s="35"/>
      <c r="S40" s="59">
        <f t="shared" si="13"/>
        <v>1</v>
      </c>
      <c r="T40" s="1" t="str">
        <f t="shared" si="1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07:11:01-0600',mode:absolute,to:'2016-06-30 07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0" s="38" t="str">
        <f t="shared" si="16"/>
        <v>N</v>
      </c>
      <c r="X40" s="38">
        <f t="shared" si="17"/>
        <v>1</v>
      </c>
      <c r="Y40" s="38">
        <f t="shared" si="18"/>
        <v>4.53E-2</v>
      </c>
      <c r="Z40" s="38">
        <f t="shared" si="19"/>
        <v>23.328900000000001</v>
      </c>
      <c r="AA40" s="38">
        <f t="shared" si="20"/>
        <v>23.2836</v>
      </c>
      <c r="AB40" s="39" t="e">
        <f>VLOOKUP(A40,Enforcements!$C$7:$J$32,8,0)</f>
        <v>#N/A</v>
      </c>
      <c r="AC40" s="39" t="e">
        <f>VLOOKUP(A40,Enforcements!$C$7:$E$32,3,0)</f>
        <v>#N/A</v>
      </c>
    </row>
    <row r="41" spans="1:29" s="1" customFormat="1" x14ac:dyDescent="0.25">
      <c r="A41" s="67" t="s">
        <v>328</v>
      </c>
      <c r="B41" s="34">
        <v>4032</v>
      </c>
      <c r="C41" s="34" t="s">
        <v>60</v>
      </c>
      <c r="D41" s="34" t="s">
        <v>329</v>
      </c>
      <c r="E41" s="20">
        <v>42551.33898148148</v>
      </c>
      <c r="F41" s="20">
        <v>42551.339988425927</v>
      </c>
      <c r="G41" s="23">
        <v>1</v>
      </c>
      <c r="H41" s="20" t="s">
        <v>87</v>
      </c>
      <c r="I41" s="20">
        <v>42551.367719907408</v>
      </c>
      <c r="J41" s="34">
        <v>0</v>
      </c>
      <c r="K41" s="34" t="str">
        <f t="shared" si="11"/>
        <v>4031/4032</v>
      </c>
      <c r="L41" s="34" t="str">
        <f>VLOOKUP(A41,'Trips&amp;Operators'!$C$1:$E$10000,3,FALSE)</f>
        <v>MALAVE</v>
      </c>
      <c r="M41" s="6">
        <f t="shared" si="12"/>
        <v>2.7731481481168885E-2</v>
      </c>
      <c r="N41" s="7">
        <f t="shared" si="1"/>
        <v>39.933333332883194</v>
      </c>
      <c r="O41" s="7"/>
      <c r="P41" s="7"/>
      <c r="Q41" s="35"/>
      <c r="R41" s="35"/>
      <c r="S41" s="59">
        <f t="shared" si="13"/>
        <v>1</v>
      </c>
      <c r="T41" s="1" t="str">
        <f t="shared" si="1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08:07:08-0600',mode:absolute,to:'2016-06-30 08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1" s="38" t="str">
        <f t="shared" si="16"/>
        <v>N</v>
      </c>
      <c r="X41" s="38">
        <f t="shared" si="17"/>
        <v>1</v>
      </c>
      <c r="Y41" s="38">
        <f t="shared" si="18"/>
        <v>23.296099999999999</v>
      </c>
      <c r="Z41" s="38">
        <f t="shared" si="19"/>
        <v>1.61E-2</v>
      </c>
      <c r="AA41" s="38">
        <f t="shared" si="20"/>
        <v>23.279999999999998</v>
      </c>
      <c r="AB41" s="39" t="e">
        <f>VLOOKUP(A41,Enforcements!$C$7:$J$32,8,0)</f>
        <v>#N/A</v>
      </c>
      <c r="AC41" s="39" t="e">
        <f>VLOOKUP(A41,Enforcements!$C$7:$E$32,3,0)</f>
        <v>#N/A</v>
      </c>
    </row>
    <row r="42" spans="1:29" s="1" customFormat="1" x14ac:dyDescent="0.25">
      <c r="A42" s="67" t="s">
        <v>292</v>
      </c>
      <c r="B42" s="34">
        <v>4014</v>
      </c>
      <c r="C42" s="34" t="s">
        <v>60</v>
      </c>
      <c r="D42" s="34" t="s">
        <v>330</v>
      </c>
      <c r="E42" s="20">
        <v>42551.310104166667</v>
      </c>
      <c r="F42" s="20">
        <v>42551.310891203706</v>
      </c>
      <c r="G42" s="23">
        <v>1</v>
      </c>
      <c r="H42" s="20" t="s">
        <v>189</v>
      </c>
      <c r="I42" s="20">
        <v>42551.339768518519</v>
      </c>
      <c r="J42" s="34">
        <v>2</v>
      </c>
      <c r="K42" s="34" t="str">
        <f t="shared" si="11"/>
        <v>4013/4014</v>
      </c>
      <c r="L42" s="34" t="str">
        <f>VLOOKUP(A42,'Trips&amp;Operators'!$C$1:$E$10000,3,FALSE)</f>
        <v>STARKS</v>
      </c>
      <c r="M42" s="6">
        <f t="shared" si="12"/>
        <v>2.8877314813144039E-2</v>
      </c>
      <c r="N42" s="7">
        <f t="shared" si="1"/>
        <v>41.583333330927417</v>
      </c>
      <c r="O42" s="7"/>
      <c r="P42" s="7"/>
      <c r="Q42" s="35"/>
      <c r="R42" s="35"/>
      <c r="S42" s="59">
        <f t="shared" si="13"/>
        <v>1</v>
      </c>
      <c r="T42" s="1" t="str">
        <f t="shared" si="14"/>
        <v>NorthBound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2" s="38" t="str">
        <f t="shared" si="16"/>
        <v>N</v>
      </c>
      <c r="X42" s="38">
        <f t="shared" si="17"/>
        <v>1</v>
      </c>
      <c r="Y42" s="38">
        <f t="shared" si="18"/>
        <v>4.8399999999999999E-2</v>
      </c>
      <c r="Z42" s="38">
        <f t="shared" si="19"/>
        <v>23.330200000000001</v>
      </c>
      <c r="AA42" s="38">
        <f t="shared" si="20"/>
        <v>23.2818</v>
      </c>
      <c r="AB42" s="39">
        <f>VLOOKUP(A42,Enforcements!$C$7:$J$32,8,0)</f>
        <v>218954</v>
      </c>
      <c r="AC42" s="39" t="str">
        <f>VLOOKUP(A42,Enforcements!$C$7:$E$32,3,0)</f>
        <v>PERMANENT SPEED RESTRICTION</v>
      </c>
    </row>
    <row r="43" spans="1:29" s="1" customFormat="1" x14ac:dyDescent="0.25">
      <c r="A43" s="67" t="s">
        <v>287</v>
      </c>
      <c r="B43" s="34">
        <v>4013</v>
      </c>
      <c r="C43" s="34" t="s">
        <v>60</v>
      </c>
      <c r="D43" s="34" t="s">
        <v>331</v>
      </c>
      <c r="E43" s="20">
        <v>42551.277025462965</v>
      </c>
      <c r="F43" s="20">
        <v>42551.278171296297</v>
      </c>
      <c r="G43" s="23">
        <v>1</v>
      </c>
      <c r="H43" s="20" t="s">
        <v>332</v>
      </c>
      <c r="I43" s="20">
        <v>42551.305868055555</v>
      </c>
      <c r="J43" s="34">
        <v>0</v>
      </c>
      <c r="K43" s="34" t="str">
        <f t="shared" si="11"/>
        <v>4013/4014</v>
      </c>
      <c r="L43" s="34" t="str">
        <f>VLOOKUP(A43,'Trips&amp;Operators'!$C$1:$E$10000,3,FALSE)</f>
        <v>STARKS</v>
      </c>
      <c r="M43" s="6">
        <f t="shared" si="12"/>
        <v>2.7696759258105885E-2</v>
      </c>
      <c r="N43" s="7">
        <f t="shared" si="1"/>
        <v>39.883333331672475</v>
      </c>
      <c r="O43" s="7"/>
      <c r="P43" s="7"/>
      <c r="Q43" s="35"/>
      <c r="R43" s="35"/>
      <c r="S43" s="59">
        <f t="shared" si="13"/>
        <v>1</v>
      </c>
      <c r="T43" s="1" t="str">
        <f t="shared" si="14"/>
        <v>Southbound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06:37:55-0600',mode:absolute,to:'2016-06-30 07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3" s="38" t="str">
        <f t="shared" si="16"/>
        <v>N</v>
      </c>
      <c r="X43" s="38">
        <f t="shared" si="17"/>
        <v>1</v>
      </c>
      <c r="Y43" s="38">
        <f t="shared" si="18"/>
        <v>23.286100000000001</v>
      </c>
      <c r="Z43" s="38">
        <f t="shared" si="19"/>
        <v>1.7399999999999999E-2</v>
      </c>
      <c r="AA43" s="38">
        <f t="shared" si="20"/>
        <v>23.268700000000003</v>
      </c>
      <c r="AB43" s="39" t="e">
        <f>VLOOKUP(A43,Enforcements!$C$7:$J$32,8,0)</f>
        <v>#N/A</v>
      </c>
      <c r="AC43" s="39" t="e">
        <f>VLOOKUP(A43,Enforcements!$C$7:$E$32,3,0)</f>
        <v>#N/A</v>
      </c>
    </row>
    <row r="44" spans="1:29" s="1" customFormat="1" x14ac:dyDescent="0.25">
      <c r="A44" s="67" t="s">
        <v>287</v>
      </c>
      <c r="B44" s="34">
        <v>4013</v>
      </c>
      <c r="C44" s="34" t="s">
        <v>60</v>
      </c>
      <c r="D44" s="34" t="s">
        <v>208</v>
      </c>
      <c r="E44" s="20">
        <v>42551.348969907405</v>
      </c>
      <c r="F44" s="20">
        <v>42551.350324074076</v>
      </c>
      <c r="G44" s="23">
        <v>1</v>
      </c>
      <c r="H44" s="20" t="s">
        <v>87</v>
      </c>
      <c r="I44" s="20">
        <v>42551.379155092596</v>
      </c>
      <c r="J44" s="34">
        <v>0</v>
      </c>
      <c r="K44" s="34" t="str">
        <f t="shared" si="11"/>
        <v>4013/4014</v>
      </c>
      <c r="L44" s="34" t="str">
        <f>VLOOKUP(A44,'Trips&amp;Operators'!$C$1:$E$10000,3,FALSE)</f>
        <v>STARKS</v>
      </c>
      <c r="M44" s="6">
        <f t="shared" si="12"/>
        <v>2.8831018520577345E-2</v>
      </c>
      <c r="N44" s="7">
        <f t="shared" si="1"/>
        <v>41.516666669631377</v>
      </c>
      <c r="O44" s="7"/>
      <c r="P44" s="7"/>
      <c r="Q44" s="35"/>
      <c r="R44" s="35"/>
      <c r="S44" s="59">
        <f t="shared" si="13"/>
        <v>1</v>
      </c>
      <c r="T44" s="1" t="str">
        <f t="shared" si="1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08:21:31-0600',mode:absolute,to:'2016-06-30 09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38" t="str">
        <f t="shared" si="16"/>
        <v>N</v>
      </c>
      <c r="X44" s="38">
        <f t="shared" si="17"/>
        <v>0</v>
      </c>
      <c r="Y44" s="38">
        <f t="shared" si="18"/>
        <v>23.297599999999999</v>
      </c>
      <c r="Z44" s="38">
        <f t="shared" si="19"/>
        <v>1.61E-2</v>
      </c>
      <c r="AA44" s="38">
        <f t="shared" si="20"/>
        <v>23.281499999999998</v>
      </c>
      <c r="AB44" s="39" t="e">
        <f>VLOOKUP(A44,Enforcements!$C$7:$J$32,8,0)</f>
        <v>#N/A</v>
      </c>
      <c r="AC44" s="39" t="e">
        <f>VLOOKUP(A44,Enforcements!$C$7:$E$32,3,0)</f>
        <v>#N/A</v>
      </c>
    </row>
    <row r="45" spans="1:29" s="1" customFormat="1" x14ac:dyDescent="0.25">
      <c r="A45" s="67" t="s">
        <v>297</v>
      </c>
      <c r="B45" s="34">
        <v>4016</v>
      </c>
      <c r="C45" s="34" t="s">
        <v>60</v>
      </c>
      <c r="D45" s="34" t="s">
        <v>330</v>
      </c>
      <c r="E45" s="20">
        <v>42551.319444444445</v>
      </c>
      <c r="F45" s="20">
        <v>42551.320497685185</v>
      </c>
      <c r="G45" s="23">
        <v>1</v>
      </c>
      <c r="H45" s="20" t="s">
        <v>333</v>
      </c>
      <c r="I45" s="20">
        <v>42551.347766203704</v>
      </c>
      <c r="J45" s="34">
        <v>1</v>
      </c>
      <c r="K45" s="34" t="str">
        <f t="shared" si="11"/>
        <v>4015/4016</v>
      </c>
      <c r="L45" s="34" t="str">
        <f>VLOOKUP(A45,'Trips&amp;Operators'!$C$1:$E$10000,3,FALSE)</f>
        <v>YORK</v>
      </c>
      <c r="M45" s="6">
        <f t="shared" si="12"/>
        <v>2.7268518519122154E-2</v>
      </c>
      <c r="N45" s="7">
        <f t="shared" si="1"/>
        <v>39.266666667535901</v>
      </c>
      <c r="O45" s="7"/>
      <c r="P45" s="7"/>
      <c r="Q45" s="35"/>
      <c r="R45" s="35"/>
      <c r="S45" s="59">
        <f t="shared" si="13"/>
        <v>1</v>
      </c>
      <c r="T45" s="1" t="str">
        <f t="shared" si="14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38" t="str">
        <f t="shared" si="16"/>
        <v>N</v>
      </c>
      <c r="X45" s="38">
        <f t="shared" si="17"/>
        <v>1</v>
      </c>
      <c r="Y45" s="38">
        <f t="shared" si="18"/>
        <v>4.8399999999999999E-2</v>
      </c>
      <c r="Z45" s="38">
        <f t="shared" si="19"/>
        <v>23.3276</v>
      </c>
      <c r="AA45" s="38">
        <f t="shared" si="20"/>
        <v>23.279199999999999</v>
      </c>
      <c r="AB45" s="39">
        <f>VLOOKUP(A45,Enforcements!$C$7:$J$32,8,0)</f>
        <v>20338</v>
      </c>
      <c r="AC45" s="39" t="str">
        <f>VLOOKUP(A45,Enforcements!$C$7:$E$32,3,0)</f>
        <v>PERMANENT SPEED RESTRICTION</v>
      </c>
    </row>
    <row r="46" spans="1:29" s="1" customFormat="1" x14ac:dyDescent="0.25">
      <c r="A46" s="67" t="s">
        <v>334</v>
      </c>
      <c r="B46" s="34">
        <v>4015</v>
      </c>
      <c r="C46" s="34" t="s">
        <v>60</v>
      </c>
      <c r="D46" s="34" t="s">
        <v>325</v>
      </c>
      <c r="E46" s="20">
        <v>42551.349097222221</v>
      </c>
      <c r="F46" s="20">
        <v>42551.349745370368</v>
      </c>
      <c r="G46" s="23">
        <v>0</v>
      </c>
      <c r="H46" s="20" t="s">
        <v>158</v>
      </c>
      <c r="I46" s="20">
        <v>42551.388807870368</v>
      </c>
      <c r="J46" s="34">
        <v>0</v>
      </c>
      <c r="K46" s="34" t="str">
        <f t="shared" si="11"/>
        <v>4015/4016</v>
      </c>
      <c r="L46" s="34" t="str">
        <f>VLOOKUP(A46,'Trips&amp;Operators'!$C$1:$E$10000,3,FALSE)</f>
        <v>YORK</v>
      </c>
      <c r="M46" s="6">
        <f t="shared" si="12"/>
        <v>3.90625E-2</v>
      </c>
      <c r="N46" s="7">
        <f t="shared" si="1"/>
        <v>56.25</v>
      </c>
      <c r="O46" s="7"/>
      <c r="P46" s="7"/>
      <c r="Q46" s="35"/>
      <c r="R46" s="35"/>
      <c r="S46" s="59">
        <f t="shared" si="13"/>
        <v>1</v>
      </c>
      <c r="T46" s="1" t="str">
        <f t="shared" si="14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08:21:42-0600',mode:absolute,to:'2016-06-30 09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38" t="str">
        <f t="shared" si="16"/>
        <v>N</v>
      </c>
      <c r="X46" s="38">
        <f t="shared" si="17"/>
        <v>1</v>
      </c>
      <c r="Y46" s="38">
        <f t="shared" si="18"/>
        <v>23.295200000000001</v>
      </c>
      <c r="Z46" s="38">
        <f t="shared" si="19"/>
        <v>1.54E-2</v>
      </c>
      <c r="AA46" s="38">
        <f t="shared" si="20"/>
        <v>23.279800000000002</v>
      </c>
      <c r="AB46" s="39" t="e">
        <f>VLOOKUP(A46,Enforcements!$C$7:$J$32,8,0)</f>
        <v>#N/A</v>
      </c>
      <c r="AC46" s="39" t="e">
        <f>VLOOKUP(A46,Enforcements!$C$7:$E$32,3,0)</f>
        <v>#N/A</v>
      </c>
    </row>
    <row r="47" spans="1:29" s="1" customFormat="1" x14ac:dyDescent="0.25">
      <c r="A47" s="67" t="s">
        <v>335</v>
      </c>
      <c r="B47" s="34">
        <v>4029</v>
      </c>
      <c r="C47" s="34" t="s">
        <v>60</v>
      </c>
      <c r="D47" s="34" t="s">
        <v>336</v>
      </c>
      <c r="E47" s="20">
        <v>42551.330266203702</v>
      </c>
      <c r="F47" s="20">
        <v>42551.331412037034</v>
      </c>
      <c r="G47" s="23">
        <v>1</v>
      </c>
      <c r="H47" s="20" t="s">
        <v>93</v>
      </c>
      <c r="I47" s="20">
        <v>42551.358587962961</v>
      </c>
      <c r="J47" s="34">
        <v>0</v>
      </c>
      <c r="K47" s="34" t="str">
        <f t="shared" si="11"/>
        <v>4029/4030</v>
      </c>
      <c r="L47" s="34" t="str">
        <f>VLOOKUP(A47,'Trips&amp;Operators'!$C$1:$E$10000,3,FALSE)</f>
        <v>STAMBAUGH</v>
      </c>
      <c r="M47" s="6">
        <f t="shared" si="12"/>
        <v>2.7175925926712807E-2</v>
      </c>
      <c r="N47" s="7">
        <f t="shared" si="1"/>
        <v>39.133333334466442</v>
      </c>
      <c r="O47" s="7"/>
      <c r="P47" s="7"/>
      <c r="Q47" s="35"/>
      <c r="R47" s="35"/>
      <c r="S47" s="59">
        <f t="shared" si="13"/>
        <v>1</v>
      </c>
      <c r="T47" s="1" t="str">
        <f t="shared" si="14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07:54:35-0600',mode:absolute,to:'2016-06-30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7" s="38" t="str">
        <f t="shared" si="16"/>
        <v>N</v>
      </c>
      <c r="X47" s="38">
        <f t="shared" si="17"/>
        <v>1</v>
      </c>
      <c r="Y47" s="38">
        <f t="shared" si="18"/>
        <v>4.9799999999999997E-2</v>
      </c>
      <c r="Z47" s="38">
        <f t="shared" si="19"/>
        <v>23.329499999999999</v>
      </c>
      <c r="AA47" s="38">
        <f t="shared" si="20"/>
        <v>23.279699999999998</v>
      </c>
      <c r="AB47" s="39" t="e">
        <f>VLOOKUP(A47,Enforcements!$C$7:$J$32,8,0)</f>
        <v>#N/A</v>
      </c>
      <c r="AC47" s="39" t="e">
        <f>VLOOKUP(A47,Enforcements!$C$7:$E$32,3,0)</f>
        <v>#N/A</v>
      </c>
    </row>
    <row r="48" spans="1:29" s="1" customFormat="1" x14ac:dyDescent="0.25">
      <c r="A48" s="67" t="s">
        <v>337</v>
      </c>
      <c r="B48" s="34">
        <v>4030</v>
      </c>
      <c r="C48" s="34" t="s">
        <v>60</v>
      </c>
      <c r="D48" s="34" t="s">
        <v>318</v>
      </c>
      <c r="E48" s="20">
        <v>42551.360254629632</v>
      </c>
      <c r="F48" s="20">
        <v>42551.361076388886</v>
      </c>
      <c r="G48" s="23">
        <v>1</v>
      </c>
      <c r="H48" s="20" t="s">
        <v>338</v>
      </c>
      <c r="I48" s="20">
        <v>42551.400706018518</v>
      </c>
      <c r="J48" s="34">
        <v>0</v>
      </c>
      <c r="K48" s="34" t="str">
        <f t="shared" si="11"/>
        <v>4029/4030</v>
      </c>
      <c r="L48" s="34" t="str">
        <f>VLOOKUP(A48,'Trips&amp;Operators'!$C$1:$E$10000,3,FALSE)</f>
        <v>STAMBAUGH</v>
      </c>
      <c r="M48" s="6">
        <f t="shared" si="12"/>
        <v>3.962962963123573E-2</v>
      </c>
      <c r="N48" s="7">
        <f t="shared" si="1"/>
        <v>57.066666668979451</v>
      </c>
      <c r="O48" s="7"/>
      <c r="P48" s="7"/>
      <c r="Q48" s="35"/>
      <c r="R48" s="35"/>
      <c r="S48" s="59">
        <f t="shared" si="13"/>
        <v>1</v>
      </c>
      <c r="T48" s="1" t="str">
        <f t="shared" si="14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08:37:46-0600',mode:absolute,to:'2016-06-30 09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8" s="38" t="str">
        <f t="shared" si="16"/>
        <v>N</v>
      </c>
      <c r="X48" s="38">
        <f t="shared" si="17"/>
        <v>1</v>
      </c>
      <c r="Y48" s="38">
        <f t="shared" si="18"/>
        <v>23.298300000000001</v>
      </c>
      <c r="Z48" s="38">
        <f t="shared" si="19"/>
        <v>1.67E-2</v>
      </c>
      <c r="AA48" s="38">
        <f t="shared" si="20"/>
        <v>23.281600000000001</v>
      </c>
      <c r="AB48" s="39" t="e">
        <f>VLOOKUP(A48,Enforcements!$C$7:$J$32,8,0)</f>
        <v>#N/A</v>
      </c>
      <c r="AC48" s="39" t="e">
        <f>VLOOKUP(A48,Enforcements!$C$7:$E$32,3,0)</f>
        <v>#N/A</v>
      </c>
    </row>
    <row r="49" spans="1:29" s="1" customFormat="1" x14ac:dyDescent="0.25">
      <c r="A49" s="67" t="s">
        <v>339</v>
      </c>
      <c r="B49" s="34">
        <v>4038</v>
      </c>
      <c r="C49" s="34" t="s">
        <v>60</v>
      </c>
      <c r="D49" s="34" t="s">
        <v>81</v>
      </c>
      <c r="E49" s="20">
        <v>42551.338391203702</v>
      </c>
      <c r="F49" s="20">
        <v>42551.33934027778</v>
      </c>
      <c r="G49" s="23">
        <v>1</v>
      </c>
      <c r="H49" s="20" t="s">
        <v>340</v>
      </c>
      <c r="I49" s="20">
        <v>42551.370474537034</v>
      </c>
      <c r="J49" s="34">
        <v>1</v>
      </c>
      <c r="K49" s="34" t="str">
        <f t="shared" si="11"/>
        <v>4037/4038</v>
      </c>
      <c r="L49" s="34" t="str">
        <f>VLOOKUP(A49,'Trips&amp;Operators'!$C$1:$E$10000,3,FALSE)</f>
        <v>KILLION</v>
      </c>
      <c r="M49" s="6">
        <f t="shared" si="12"/>
        <v>3.1134259254031349E-2</v>
      </c>
      <c r="N49" s="7">
        <f t="shared" si="1"/>
        <v>44.833333325805143</v>
      </c>
      <c r="O49" s="7"/>
      <c r="P49" s="7"/>
      <c r="Q49" s="35"/>
      <c r="R49" s="35"/>
      <c r="S49" s="59">
        <f t="shared" si="13"/>
        <v>1</v>
      </c>
      <c r="T49" s="1" t="str">
        <f t="shared" si="14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9" s="38" t="str">
        <f t="shared" si="16"/>
        <v>N</v>
      </c>
      <c r="X49" s="38">
        <f t="shared" si="17"/>
        <v>1</v>
      </c>
      <c r="Y49" s="38">
        <f t="shared" si="18"/>
        <v>4.58E-2</v>
      </c>
      <c r="Z49" s="38">
        <f t="shared" si="19"/>
        <v>23.328399999999998</v>
      </c>
      <c r="AA49" s="38">
        <f t="shared" si="20"/>
        <v>23.282599999999999</v>
      </c>
      <c r="AB49" s="39">
        <f>VLOOKUP(A49,Enforcements!$C$7:$J$32,8,0)</f>
        <v>0</v>
      </c>
      <c r="AC49" s="39" t="str">
        <f>VLOOKUP(A49,Enforcements!$C$7:$E$32,3,0)</f>
        <v>PERMANENT SPEED RESTRICTION</v>
      </c>
    </row>
    <row r="50" spans="1:29" s="1" customFormat="1" x14ac:dyDescent="0.25">
      <c r="A50" s="67" t="s">
        <v>341</v>
      </c>
      <c r="B50" s="34">
        <v>4037</v>
      </c>
      <c r="C50" s="34" t="s">
        <v>60</v>
      </c>
      <c r="D50" s="34" t="s">
        <v>145</v>
      </c>
      <c r="E50" s="20">
        <v>42551.37908564815</v>
      </c>
      <c r="F50" s="20">
        <v>42551.380208333336</v>
      </c>
      <c r="G50" s="23">
        <v>1</v>
      </c>
      <c r="H50" s="20" t="s">
        <v>183</v>
      </c>
      <c r="I50" s="20">
        <v>42551.410138888888</v>
      </c>
      <c r="J50" s="34">
        <v>0</v>
      </c>
      <c r="K50" s="34" t="str">
        <f t="shared" si="11"/>
        <v>4037/4038</v>
      </c>
      <c r="L50" s="34" t="str">
        <f>VLOOKUP(A50,'Trips&amp;Operators'!$C$1:$E$10000,3,FALSE)</f>
        <v>KILLION</v>
      </c>
      <c r="M50" s="6">
        <f t="shared" si="12"/>
        <v>2.9930555552709848E-2</v>
      </c>
      <c r="N50" s="7">
        <f t="shared" si="1"/>
        <v>43.099999995902181</v>
      </c>
      <c r="O50" s="7"/>
      <c r="P50" s="7"/>
      <c r="Q50" s="35"/>
      <c r="R50" s="35"/>
      <c r="S50" s="59">
        <f t="shared" si="13"/>
        <v>1</v>
      </c>
      <c r="T50" s="1" t="str">
        <f t="shared" si="1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09:04:53-0600',mode:absolute,to:'2016-06-30 09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0" s="38" t="str">
        <f t="shared" si="16"/>
        <v>N</v>
      </c>
      <c r="X50" s="38">
        <f t="shared" si="17"/>
        <v>1</v>
      </c>
      <c r="Y50" s="38">
        <f t="shared" si="18"/>
        <v>23.2973</v>
      </c>
      <c r="Z50" s="38">
        <f t="shared" si="19"/>
        <v>1.5599999999999999E-2</v>
      </c>
      <c r="AA50" s="38">
        <f t="shared" si="20"/>
        <v>23.281700000000001</v>
      </c>
      <c r="AB50" s="39" t="e">
        <f>VLOOKUP(A50,Enforcements!$C$7:$J$32,8,0)</f>
        <v>#N/A</v>
      </c>
      <c r="AC50" s="39" t="e">
        <f>VLOOKUP(A50,Enforcements!$C$7:$E$32,3,0)</f>
        <v>#N/A</v>
      </c>
    </row>
    <row r="51" spans="1:29" s="1" customFormat="1" x14ac:dyDescent="0.25">
      <c r="A51" s="67" t="s">
        <v>342</v>
      </c>
      <c r="B51" s="34">
        <v>4020</v>
      </c>
      <c r="C51" s="34" t="s">
        <v>60</v>
      </c>
      <c r="D51" s="34" t="s">
        <v>343</v>
      </c>
      <c r="E51" s="20">
        <v>42551.353067129632</v>
      </c>
      <c r="F51" s="20">
        <v>42551.354328703703</v>
      </c>
      <c r="G51" s="23">
        <v>1</v>
      </c>
      <c r="H51" s="20" t="s">
        <v>344</v>
      </c>
      <c r="I51" s="20">
        <v>42551.38144675926</v>
      </c>
      <c r="J51" s="34">
        <v>0</v>
      </c>
      <c r="K51" s="34" t="str">
        <f t="shared" si="11"/>
        <v>4019/4020</v>
      </c>
      <c r="L51" s="34" t="str">
        <f>VLOOKUP(A51,'Trips&amp;Operators'!$C$1:$E$10000,3,FALSE)</f>
        <v>MAELZER</v>
      </c>
      <c r="M51" s="6">
        <f t="shared" si="12"/>
        <v>2.7118055557366461E-2</v>
      </c>
      <c r="N51" s="7">
        <f t="shared" si="1"/>
        <v>39.050000002607703</v>
      </c>
      <c r="O51" s="7"/>
      <c r="P51" s="7"/>
      <c r="Q51" s="35"/>
      <c r="R51" s="35"/>
      <c r="S51" s="59">
        <f t="shared" si="13"/>
        <v>1</v>
      </c>
      <c r="T51" s="1" t="str">
        <f t="shared" si="14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08:27:25-0600',mode:absolute,to:'2016-06-30 09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1" s="38" t="str">
        <f t="shared" si="16"/>
        <v>N</v>
      </c>
      <c r="X51" s="38">
        <f t="shared" si="17"/>
        <v>1</v>
      </c>
      <c r="Y51" s="38">
        <f t="shared" si="18"/>
        <v>4.1099999999999998E-2</v>
      </c>
      <c r="Z51" s="38">
        <f t="shared" si="19"/>
        <v>23.3308</v>
      </c>
      <c r="AA51" s="38">
        <f t="shared" si="20"/>
        <v>23.2897</v>
      </c>
      <c r="AB51" s="39" t="e">
        <f>VLOOKUP(A51,Enforcements!$C$7:$J$32,8,0)</f>
        <v>#N/A</v>
      </c>
      <c r="AC51" s="39" t="e">
        <f>VLOOKUP(A51,Enforcements!$C$7:$E$32,3,0)</f>
        <v>#N/A</v>
      </c>
    </row>
    <row r="52" spans="1:29" s="1" customFormat="1" x14ac:dyDescent="0.25">
      <c r="A52" s="67" t="s">
        <v>345</v>
      </c>
      <c r="B52" s="34">
        <v>4019</v>
      </c>
      <c r="C52" s="34" t="s">
        <v>60</v>
      </c>
      <c r="D52" s="34" t="s">
        <v>318</v>
      </c>
      <c r="E52" s="20">
        <v>42551.387604166666</v>
      </c>
      <c r="F52" s="20">
        <v>42551.388668981483</v>
      </c>
      <c r="G52" s="23">
        <v>1</v>
      </c>
      <c r="H52" s="20" t="s">
        <v>75</v>
      </c>
      <c r="I52" s="20">
        <v>42551.420127314814</v>
      </c>
      <c r="J52" s="34">
        <v>0</v>
      </c>
      <c r="K52" s="34" t="str">
        <f t="shared" si="11"/>
        <v>4019/4020</v>
      </c>
      <c r="L52" s="34" t="str">
        <f>VLOOKUP(A52,'Trips&amp;Operators'!$C$1:$E$10000,3,FALSE)</f>
        <v>MAELZER</v>
      </c>
      <c r="M52" s="6">
        <f t="shared" si="12"/>
        <v>3.145833333110204E-2</v>
      </c>
      <c r="N52" s="7">
        <f t="shared" si="1"/>
        <v>45.299999996786937</v>
      </c>
      <c r="O52" s="7"/>
      <c r="P52" s="7"/>
      <c r="Q52" s="35"/>
      <c r="R52" s="35"/>
      <c r="S52" s="59">
        <f t="shared" si="13"/>
        <v>1</v>
      </c>
      <c r="T52" s="1" t="str">
        <f t="shared" si="14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09:17:09-0600',mode:absolute,to:'2016-06-30 10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2" s="38" t="str">
        <f t="shared" si="16"/>
        <v>N</v>
      </c>
      <c r="X52" s="38">
        <f t="shared" si="17"/>
        <v>1</v>
      </c>
      <c r="Y52" s="38">
        <f t="shared" si="18"/>
        <v>23.298300000000001</v>
      </c>
      <c r="Z52" s="38">
        <f t="shared" si="19"/>
        <v>1.49E-2</v>
      </c>
      <c r="AA52" s="38">
        <f t="shared" si="20"/>
        <v>23.2834</v>
      </c>
      <c r="AB52" s="39" t="e">
        <f>VLOOKUP(A52,Enforcements!$C$7:$J$32,8,0)</f>
        <v>#N/A</v>
      </c>
      <c r="AC52" s="39" t="e">
        <f>VLOOKUP(A52,Enforcements!$C$7:$E$32,3,0)</f>
        <v>#N/A</v>
      </c>
    </row>
    <row r="53" spans="1:29" s="1" customFormat="1" x14ac:dyDescent="0.25">
      <c r="A53" s="67" t="s">
        <v>346</v>
      </c>
      <c r="B53" s="34">
        <v>4025</v>
      </c>
      <c r="C53" s="34" t="s">
        <v>60</v>
      </c>
      <c r="D53" s="34" t="s">
        <v>164</v>
      </c>
      <c r="E53" s="20">
        <v>42551.358773148146</v>
      </c>
      <c r="F53" s="20">
        <v>42551.360023148147</v>
      </c>
      <c r="G53" s="23">
        <v>1</v>
      </c>
      <c r="H53" s="20" t="s">
        <v>168</v>
      </c>
      <c r="I53" s="20">
        <v>42551.391655092593</v>
      </c>
      <c r="J53" s="34">
        <v>0</v>
      </c>
      <c r="K53" s="34" t="str">
        <f t="shared" si="11"/>
        <v>4025/4026</v>
      </c>
      <c r="L53" s="34" t="str">
        <f>VLOOKUP(A53,'Trips&amp;Operators'!$C$1:$E$10000,3,FALSE)</f>
        <v>CANFIELD</v>
      </c>
      <c r="M53" s="6">
        <f t="shared" si="12"/>
        <v>3.1631944446417037E-2</v>
      </c>
      <c r="N53" s="7">
        <f t="shared" si="1"/>
        <v>45.550000002840534</v>
      </c>
      <c r="O53" s="7"/>
      <c r="P53" s="7"/>
      <c r="Q53" s="35"/>
      <c r="R53" s="35"/>
      <c r="S53" s="59">
        <f t="shared" si="13"/>
        <v>1</v>
      </c>
      <c r="T53" s="1" t="str">
        <f t="shared" si="14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08:35:38-0600',mode:absolute,to:'2016-06-30 09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38" t="str">
        <f t="shared" si="16"/>
        <v>N</v>
      </c>
      <c r="X53" s="38">
        <f t="shared" si="17"/>
        <v>1</v>
      </c>
      <c r="Y53" s="38">
        <f t="shared" si="18"/>
        <v>4.4900000000000002E-2</v>
      </c>
      <c r="Z53" s="38">
        <f t="shared" si="19"/>
        <v>23.330300000000001</v>
      </c>
      <c r="AA53" s="38">
        <f t="shared" si="20"/>
        <v>23.285400000000003</v>
      </c>
      <c r="AB53" s="39" t="e">
        <f>VLOOKUP(A53,Enforcements!$C$7:$J$32,8,0)</f>
        <v>#N/A</v>
      </c>
      <c r="AC53" s="39" t="e">
        <f>VLOOKUP(A53,Enforcements!$C$7:$E$32,3,0)</f>
        <v>#N/A</v>
      </c>
    </row>
    <row r="54" spans="1:29" s="1" customFormat="1" x14ac:dyDescent="0.25">
      <c r="A54" s="67" t="s">
        <v>347</v>
      </c>
      <c r="B54" s="34">
        <v>4026</v>
      </c>
      <c r="C54" s="34" t="s">
        <v>60</v>
      </c>
      <c r="D54" s="34" t="s">
        <v>122</v>
      </c>
      <c r="E54" s="20">
        <v>42551.399560185186</v>
      </c>
      <c r="F54" s="20">
        <v>42551.403668981482</v>
      </c>
      <c r="G54" s="23">
        <v>5</v>
      </c>
      <c r="H54" s="20" t="s">
        <v>158</v>
      </c>
      <c r="I54" s="20">
        <v>42551.430393518516</v>
      </c>
      <c r="J54" s="34">
        <v>0</v>
      </c>
      <c r="K54" s="34" t="str">
        <f t="shared" si="11"/>
        <v>4025/4026</v>
      </c>
      <c r="L54" s="34" t="str">
        <f>VLOOKUP(A54,'Trips&amp;Operators'!$C$1:$E$10000,3,FALSE)</f>
        <v>CANFIELD</v>
      </c>
      <c r="M54" s="6">
        <f t="shared" si="12"/>
        <v>2.6724537034169771E-2</v>
      </c>
      <c r="N54" s="7">
        <f t="shared" si="1"/>
        <v>38.48333332920447</v>
      </c>
      <c r="O54" s="7"/>
      <c r="P54" s="7"/>
      <c r="Q54" s="35"/>
      <c r="R54" s="35"/>
      <c r="S54" s="59">
        <f t="shared" si="13"/>
        <v>1</v>
      </c>
      <c r="T54" s="1" t="str">
        <f t="shared" si="14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09:34:22-0600',mode:absolute,to:'2016-06-30 10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38" t="str">
        <f t="shared" si="16"/>
        <v>N</v>
      </c>
      <c r="X54" s="38">
        <f t="shared" si="17"/>
        <v>1</v>
      </c>
      <c r="Y54" s="38">
        <f t="shared" si="18"/>
        <v>23.298200000000001</v>
      </c>
      <c r="Z54" s="38">
        <f t="shared" si="19"/>
        <v>1.54E-2</v>
      </c>
      <c r="AA54" s="38">
        <f t="shared" si="20"/>
        <v>23.282800000000002</v>
      </c>
      <c r="AB54" s="39" t="e">
        <f>VLOOKUP(A54,Enforcements!$C$7:$J$32,8,0)</f>
        <v>#N/A</v>
      </c>
      <c r="AC54" s="39" t="e">
        <f>VLOOKUP(A54,Enforcements!$C$7:$E$32,3,0)</f>
        <v>#N/A</v>
      </c>
    </row>
    <row r="55" spans="1:29" s="1" customFormat="1" x14ac:dyDescent="0.25">
      <c r="A55" s="67" t="s">
        <v>348</v>
      </c>
      <c r="B55" s="34">
        <v>4031</v>
      </c>
      <c r="C55" s="34" t="s">
        <v>60</v>
      </c>
      <c r="D55" s="34" t="s">
        <v>137</v>
      </c>
      <c r="E55" s="20">
        <v>42551.372881944444</v>
      </c>
      <c r="F55" s="20">
        <v>42551.373784722222</v>
      </c>
      <c r="G55" s="23">
        <v>1</v>
      </c>
      <c r="H55" s="20" t="s">
        <v>349</v>
      </c>
      <c r="I55" s="20">
        <v>42551.400983796295</v>
      </c>
      <c r="J55" s="34">
        <v>0</v>
      </c>
      <c r="K55" s="34" t="str">
        <f t="shared" si="11"/>
        <v>4031/4032</v>
      </c>
      <c r="L55" s="34" t="str">
        <f>VLOOKUP(A55,'Trips&amp;Operators'!$C$1:$E$10000,3,FALSE)</f>
        <v>MALAVE</v>
      </c>
      <c r="M55" s="6">
        <f t="shared" si="12"/>
        <v>2.7199074072996154E-2</v>
      </c>
      <c r="N55" s="7">
        <f t="shared" si="1"/>
        <v>39.166666665114462</v>
      </c>
      <c r="O55" s="7"/>
      <c r="P55" s="7"/>
      <c r="Q55" s="35"/>
      <c r="R55" s="35"/>
      <c r="S55" s="59">
        <f t="shared" si="13"/>
        <v>1</v>
      </c>
      <c r="T55" s="1" t="str">
        <f t="shared" si="14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38" t="str">
        <f t="shared" si="16"/>
        <v>N</v>
      </c>
      <c r="X55" s="38">
        <f t="shared" si="17"/>
        <v>1</v>
      </c>
      <c r="Y55" s="38">
        <f t="shared" si="18"/>
        <v>4.7699999999999999E-2</v>
      </c>
      <c r="Z55" s="38">
        <f t="shared" si="19"/>
        <v>23.328499999999998</v>
      </c>
      <c r="AA55" s="38">
        <f t="shared" si="20"/>
        <v>23.280799999999999</v>
      </c>
      <c r="AB55" s="39" t="e">
        <f>VLOOKUP(A55,Enforcements!$C$7:$J$32,8,0)</f>
        <v>#N/A</v>
      </c>
      <c r="AC55" s="39" t="e">
        <f>VLOOKUP(A55,Enforcements!$C$7:$E$32,3,0)</f>
        <v>#N/A</v>
      </c>
    </row>
    <row r="56" spans="1:29" s="1" customFormat="1" x14ac:dyDescent="0.25">
      <c r="A56" s="95" t="s">
        <v>350</v>
      </c>
      <c r="B56" s="34">
        <v>4032</v>
      </c>
      <c r="C56" s="34" t="s">
        <v>60</v>
      </c>
      <c r="D56" s="34" t="s">
        <v>324</v>
      </c>
      <c r="E56" s="20">
        <v>42551.412743055553</v>
      </c>
      <c r="F56" s="20">
        <v>42551.414131944446</v>
      </c>
      <c r="G56" s="23">
        <v>1</v>
      </c>
      <c r="H56" s="20" t="s">
        <v>157</v>
      </c>
      <c r="I56" s="20">
        <v>42551.516932870371</v>
      </c>
      <c r="J56" s="34">
        <v>0</v>
      </c>
      <c r="K56" s="34" t="str">
        <f t="shared" si="11"/>
        <v>4031/4032</v>
      </c>
      <c r="L56" s="34" t="str">
        <f>VLOOKUP(A56,'Trips&amp;Operators'!$C$1:$E$10000,3,FALSE)</f>
        <v>MALAVE</v>
      </c>
      <c r="M56" s="6">
        <f t="shared" si="12"/>
        <v>0.1028009259243845</v>
      </c>
      <c r="N56" s="7">
        <f t="shared" si="1"/>
        <v>148.03333333111368</v>
      </c>
      <c r="O56" s="7"/>
      <c r="P56" s="7"/>
      <c r="Q56" s="35"/>
      <c r="R56" s="35"/>
      <c r="S56" s="59">
        <f t="shared" si="13"/>
        <v>1</v>
      </c>
      <c r="T56" s="1" t="str">
        <f t="shared" si="14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09:53:21-0600',mode:absolute,to:'2016-06-30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38" t="str">
        <f t="shared" si="16"/>
        <v>N</v>
      </c>
      <c r="X56" s="38">
        <f t="shared" si="17"/>
        <v>1</v>
      </c>
      <c r="Y56" s="38">
        <f t="shared" si="18"/>
        <v>23.296600000000002</v>
      </c>
      <c r="Z56" s="38">
        <f t="shared" si="19"/>
        <v>1.6500000000000001E-2</v>
      </c>
      <c r="AA56" s="38">
        <f t="shared" si="20"/>
        <v>23.280100000000001</v>
      </c>
      <c r="AB56" s="39" t="e">
        <f>VLOOKUP(A56,Enforcements!$C$7:$J$32,8,0)</f>
        <v>#N/A</v>
      </c>
      <c r="AC56" s="39" t="e">
        <f>VLOOKUP(A56,Enforcements!$C$7:$E$32,3,0)</f>
        <v>#N/A</v>
      </c>
    </row>
    <row r="57" spans="1:29" s="1" customFormat="1" x14ac:dyDescent="0.25">
      <c r="A57" s="67" t="s">
        <v>351</v>
      </c>
      <c r="B57" s="34">
        <v>4014</v>
      </c>
      <c r="C57" s="34" t="s">
        <v>60</v>
      </c>
      <c r="D57" s="34" t="s">
        <v>164</v>
      </c>
      <c r="E57" s="20">
        <v>42551.382291666669</v>
      </c>
      <c r="F57" s="20">
        <v>42551.383125</v>
      </c>
      <c r="G57" s="23">
        <v>1</v>
      </c>
      <c r="H57" s="20" t="s">
        <v>321</v>
      </c>
      <c r="I57" s="20">
        <v>42551.41133101852</v>
      </c>
      <c r="J57" s="34">
        <v>0</v>
      </c>
      <c r="K57" s="34" t="str">
        <f t="shared" si="11"/>
        <v>4013/4014</v>
      </c>
      <c r="L57" s="34" t="str">
        <f>VLOOKUP(A57,'Trips&amp;Operators'!$C$1:$E$10000,3,FALSE)</f>
        <v>STARKS</v>
      </c>
      <c r="M57" s="6">
        <f t="shared" si="12"/>
        <v>2.8206018519995268E-2</v>
      </c>
      <c r="N57" s="7">
        <f t="shared" si="1"/>
        <v>40.616666668793187</v>
      </c>
      <c r="O57" s="7"/>
      <c r="P57" s="7"/>
      <c r="Q57" s="35"/>
      <c r="R57" s="35"/>
      <c r="S57" s="59">
        <f t="shared" si="13"/>
        <v>1</v>
      </c>
      <c r="T57" s="1" t="str">
        <f t="shared" si="14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09:09:30-0600',mode:absolute,to:'2016-06-30 09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38" t="str">
        <f t="shared" si="16"/>
        <v>N</v>
      </c>
      <c r="X57" s="38">
        <f t="shared" si="17"/>
        <v>1</v>
      </c>
      <c r="Y57" s="38">
        <f t="shared" si="18"/>
        <v>4.4900000000000002E-2</v>
      </c>
      <c r="Z57" s="38">
        <f t="shared" si="19"/>
        <v>23.327400000000001</v>
      </c>
      <c r="AA57" s="38">
        <f t="shared" si="20"/>
        <v>23.282500000000002</v>
      </c>
      <c r="AB57" s="39" t="e">
        <f>VLOOKUP(A57,Enforcements!$C$7:$J$32,8,0)</f>
        <v>#N/A</v>
      </c>
      <c r="AC57" s="39" t="e">
        <f>VLOOKUP(A57,Enforcements!$C$7:$E$32,3,0)</f>
        <v>#N/A</v>
      </c>
    </row>
    <row r="58" spans="1:29" s="1" customFormat="1" x14ac:dyDescent="0.25">
      <c r="A58" s="67" t="s">
        <v>352</v>
      </c>
      <c r="B58" s="34">
        <v>4013</v>
      </c>
      <c r="C58" s="34" t="s">
        <v>60</v>
      </c>
      <c r="D58" s="34" t="s">
        <v>353</v>
      </c>
      <c r="E58" s="20">
        <v>42551.422638888886</v>
      </c>
      <c r="F58" s="20">
        <v>42551.423564814817</v>
      </c>
      <c r="G58" s="23">
        <v>1</v>
      </c>
      <c r="H58" s="20" t="s">
        <v>74</v>
      </c>
      <c r="I58" s="20">
        <v>42551.450706018521</v>
      </c>
      <c r="J58" s="34">
        <v>0</v>
      </c>
      <c r="K58" s="34" t="str">
        <f t="shared" si="11"/>
        <v>4013/4014</v>
      </c>
      <c r="L58" s="34" t="str">
        <f>VLOOKUP(A58,'Trips&amp;Operators'!$C$1:$E$10000,3,FALSE)</f>
        <v>STARKS</v>
      </c>
      <c r="M58" s="6">
        <f t="shared" si="12"/>
        <v>2.7141203703649808E-2</v>
      </c>
      <c r="N58" s="7">
        <f t="shared" si="1"/>
        <v>39.083333333255723</v>
      </c>
      <c r="O58" s="7"/>
      <c r="P58" s="7"/>
      <c r="Q58" s="35"/>
      <c r="R58" s="35"/>
      <c r="S58" s="59">
        <f t="shared" si="13"/>
        <v>1</v>
      </c>
      <c r="T58" s="1" t="str">
        <f t="shared" si="1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10:07:36-0600',mode:absolute,to:'2016-06-30 10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8" s="38" t="str">
        <f t="shared" si="16"/>
        <v>N</v>
      </c>
      <c r="X58" s="38">
        <f t="shared" si="17"/>
        <v>1</v>
      </c>
      <c r="Y58" s="38">
        <f t="shared" si="18"/>
        <v>23.2942</v>
      </c>
      <c r="Z58" s="38">
        <f t="shared" si="19"/>
        <v>1.41E-2</v>
      </c>
      <c r="AA58" s="38">
        <f t="shared" si="20"/>
        <v>23.280100000000001</v>
      </c>
      <c r="AB58" s="39" t="e">
        <f>VLOOKUP(A58,Enforcements!$C$7:$J$32,8,0)</f>
        <v>#N/A</v>
      </c>
      <c r="AC58" s="39" t="e">
        <f>VLOOKUP(A58,Enforcements!$C$7:$E$32,3,0)</f>
        <v>#N/A</v>
      </c>
    </row>
    <row r="59" spans="1:29" s="1" customFormat="1" x14ac:dyDescent="0.25">
      <c r="A59" s="67" t="s">
        <v>354</v>
      </c>
      <c r="B59" s="34">
        <v>4016</v>
      </c>
      <c r="C59" s="34" t="s">
        <v>60</v>
      </c>
      <c r="D59" s="34" t="s">
        <v>78</v>
      </c>
      <c r="E59" s="20">
        <v>42551.390497685185</v>
      </c>
      <c r="F59" s="20">
        <v>42551.391412037039</v>
      </c>
      <c r="G59" s="23">
        <v>1</v>
      </c>
      <c r="H59" s="20" t="s">
        <v>349</v>
      </c>
      <c r="I59" s="20">
        <v>42551.420972222222</v>
      </c>
      <c r="J59" s="34">
        <v>1</v>
      </c>
      <c r="K59" s="34" t="str">
        <f t="shared" si="11"/>
        <v>4015/4016</v>
      </c>
      <c r="L59" s="34" t="str">
        <f>VLOOKUP(A59,'Trips&amp;Operators'!$C$1:$E$10000,3,FALSE)</f>
        <v>YORK</v>
      </c>
      <c r="M59" s="6">
        <f t="shared" si="12"/>
        <v>2.9560185183072463E-2</v>
      </c>
      <c r="N59" s="7">
        <f t="shared" si="1"/>
        <v>42.566666663624346</v>
      </c>
      <c r="O59" s="7"/>
      <c r="P59" s="7"/>
      <c r="Q59" s="35"/>
      <c r="R59" s="35"/>
      <c r="S59" s="59">
        <f t="shared" si="13"/>
        <v>1</v>
      </c>
      <c r="T59" s="1" t="str">
        <f t="shared" si="1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38" t="str">
        <f t="shared" si="16"/>
        <v>N</v>
      </c>
      <c r="X59" s="38">
        <f t="shared" si="17"/>
        <v>1</v>
      </c>
      <c r="Y59" s="38">
        <f t="shared" si="18"/>
        <v>4.53E-2</v>
      </c>
      <c r="Z59" s="38">
        <f t="shared" si="19"/>
        <v>23.328499999999998</v>
      </c>
      <c r="AA59" s="38">
        <f t="shared" si="20"/>
        <v>23.283199999999997</v>
      </c>
      <c r="AB59" s="39">
        <f>VLOOKUP(A59,Enforcements!$C$7:$J$32,8,0)</f>
        <v>230436</v>
      </c>
      <c r="AC59" s="39" t="str">
        <f>VLOOKUP(A59,Enforcements!$C$7:$E$32,3,0)</f>
        <v>PERMANENT SPEED RESTRICTION</v>
      </c>
    </row>
    <row r="60" spans="1:29" s="1" customFormat="1" x14ac:dyDescent="0.25">
      <c r="A60" s="67" t="s">
        <v>355</v>
      </c>
      <c r="B60" s="34">
        <v>4015</v>
      </c>
      <c r="C60" s="34" t="s">
        <v>60</v>
      </c>
      <c r="D60" s="34" t="s">
        <v>356</v>
      </c>
      <c r="E60" s="20">
        <v>42551.457557870373</v>
      </c>
      <c r="F60" s="20">
        <v>42551.458090277774</v>
      </c>
      <c r="G60" s="23">
        <v>0</v>
      </c>
      <c r="H60" s="20" t="s">
        <v>158</v>
      </c>
      <c r="I60" s="20">
        <v>42551.462453703702</v>
      </c>
      <c r="J60" s="34">
        <v>1</v>
      </c>
      <c r="K60" s="34" t="str">
        <f t="shared" si="11"/>
        <v>4015/4016</v>
      </c>
      <c r="L60" s="34" t="str">
        <f>VLOOKUP(A60,'Trips&amp;Operators'!$C$1:$E$10000,3,FALSE)</f>
        <v>YORK</v>
      </c>
      <c r="M60" s="6">
        <f t="shared" si="12"/>
        <v>4.3634259272948839E-3</v>
      </c>
      <c r="N60" s="7"/>
      <c r="O60" s="7"/>
      <c r="P60" s="7">
        <f>24*60*SUM($M60:$M61)</f>
        <v>46.283333339961246</v>
      </c>
      <c r="Q60" s="35"/>
      <c r="R60" s="35" t="s">
        <v>652</v>
      </c>
      <c r="S60" s="59">
        <f>SUM(U60:U61)/12</f>
        <v>0.25</v>
      </c>
      <c r="T60" s="1" t="str">
        <f t="shared" si="14"/>
        <v>Southbound</v>
      </c>
      <c r="U60" s="1">
        <f>COUNTIFS(Variables!$M$2:$M$19,IF(T60="NorthBound","&gt;=","&lt;=")&amp;Y60,Variables!$M$2:$M$19,IF(T60="NorthBound","&lt;=","&gt;=")&amp;Z60)</f>
        <v>0</v>
      </c>
      <c r="V6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38" t="str">
        <f t="shared" si="16"/>
        <v>Y</v>
      </c>
      <c r="X60" s="38">
        <f t="shared" si="17"/>
        <v>1</v>
      </c>
      <c r="Y60" s="38">
        <f t="shared" si="18"/>
        <v>1.8718999999999999</v>
      </c>
      <c r="Z60" s="38">
        <f t="shared" si="19"/>
        <v>1.54E-2</v>
      </c>
      <c r="AA60" s="38">
        <f t="shared" si="20"/>
        <v>1.8564999999999998</v>
      </c>
      <c r="AB60" s="39" t="e">
        <f>VLOOKUP(A60,Enforcements!$C$7:$J$32,8,0)</f>
        <v>#N/A</v>
      </c>
      <c r="AC60" s="39" t="e">
        <f>VLOOKUP(A60,Enforcements!$C$7:$E$32,3,0)</f>
        <v>#N/A</v>
      </c>
    </row>
    <row r="61" spans="1:29" s="1" customFormat="1" x14ac:dyDescent="0.25">
      <c r="A61" s="67" t="s">
        <v>355</v>
      </c>
      <c r="B61" s="34">
        <v>4015</v>
      </c>
      <c r="C61" s="34" t="s">
        <v>60</v>
      </c>
      <c r="D61" s="34" t="s">
        <v>357</v>
      </c>
      <c r="E61" s="20">
        <v>42551.422812500001</v>
      </c>
      <c r="F61" s="20">
        <v>42551.424016203702</v>
      </c>
      <c r="G61" s="23">
        <v>1</v>
      </c>
      <c r="H61" s="20" t="s">
        <v>358</v>
      </c>
      <c r="I61" s="20">
        <v>42551.451793981483</v>
      </c>
      <c r="J61" s="34">
        <v>1</v>
      </c>
      <c r="K61" s="34" t="str">
        <f t="shared" si="11"/>
        <v>4015/4016</v>
      </c>
      <c r="L61" s="34" t="str">
        <f>VLOOKUP(A61,'Trips&amp;Operators'!$C$1:$E$10000,3,FALSE)</f>
        <v>YORK</v>
      </c>
      <c r="M61" s="6">
        <f t="shared" si="12"/>
        <v>2.7777777781011537E-2</v>
      </c>
      <c r="N61" s="7"/>
      <c r="O61" s="7"/>
      <c r="P61" s="7"/>
      <c r="Q61" s="35"/>
      <c r="R61" s="35"/>
      <c r="S61" s="59"/>
      <c r="T61" s="1" t="str">
        <f t="shared" si="14"/>
        <v>Southbound</v>
      </c>
      <c r="U61" s="1">
        <f>COUNTIFS(Variables!$M$2:$M$19,IF(T61="NorthBound","&gt;=","&lt;=")&amp;Y61,Variables!$M$2:$M$19,IF(T61="NorthBound","&lt;=","&gt;=")&amp;Z61)</f>
        <v>3</v>
      </c>
      <c r="V6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10:07:51-0600',mode:absolute,to:'2016-06-30 10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38" t="str">
        <f t="shared" si="16"/>
        <v>Y</v>
      </c>
      <c r="X61" s="38">
        <f t="shared" si="17"/>
        <v>0</v>
      </c>
      <c r="Y61" s="38">
        <f t="shared" si="18"/>
        <v>23.2972</v>
      </c>
      <c r="Z61" s="38">
        <f t="shared" si="19"/>
        <v>6.4128999999999996</v>
      </c>
      <c r="AA61" s="38">
        <f t="shared" si="20"/>
        <v>16.8843</v>
      </c>
      <c r="AB61" s="39" t="e">
        <f>VLOOKUP(A61,Enforcements!$C$7:$J$32,8,0)</f>
        <v>#N/A</v>
      </c>
      <c r="AC61" s="39" t="e">
        <f>VLOOKUP(A61,Enforcements!$C$7:$E$32,3,0)</f>
        <v>#N/A</v>
      </c>
    </row>
    <row r="62" spans="1:29" s="1" customFormat="1" x14ac:dyDescent="0.25">
      <c r="A62" s="67" t="s">
        <v>359</v>
      </c>
      <c r="B62" s="34">
        <v>4029</v>
      </c>
      <c r="C62" s="34" t="s">
        <v>60</v>
      </c>
      <c r="D62" s="34" t="s">
        <v>155</v>
      </c>
      <c r="E62" s="20">
        <v>42551.402743055558</v>
      </c>
      <c r="F62" s="20">
        <v>42551.403923611113</v>
      </c>
      <c r="G62" s="23">
        <v>1</v>
      </c>
      <c r="H62" s="20" t="s">
        <v>97</v>
      </c>
      <c r="I62" s="20">
        <v>42551.432222222225</v>
      </c>
      <c r="J62" s="34">
        <v>0</v>
      </c>
      <c r="K62" s="34" t="str">
        <f t="shared" si="11"/>
        <v>4029/4030</v>
      </c>
      <c r="L62" s="34" t="str">
        <f>VLOOKUP(A62,'Trips&amp;Operators'!$C$1:$E$10000,3,FALSE)</f>
        <v>STAMBAUGH</v>
      </c>
      <c r="M62" s="6">
        <f t="shared" si="12"/>
        <v>2.8298611112404615E-2</v>
      </c>
      <c r="N62" s="7">
        <f t="shared" si="1"/>
        <v>40.750000001862645</v>
      </c>
      <c r="O62" s="7"/>
      <c r="P62" s="7"/>
      <c r="Q62" s="35"/>
      <c r="R62" s="35"/>
      <c r="S62" s="59">
        <f t="shared" si="13"/>
        <v>1</v>
      </c>
      <c r="T62" s="1" t="str">
        <f t="shared" si="14"/>
        <v>NorthBound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09:38:57-0600',mode:absolute,to:'2016-06-30 10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2" s="38" t="str">
        <f t="shared" si="16"/>
        <v>N</v>
      </c>
      <c r="X62" s="38">
        <f t="shared" si="17"/>
        <v>1</v>
      </c>
      <c r="Y62" s="38">
        <f t="shared" si="18"/>
        <v>4.6600000000000003E-2</v>
      </c>
      <c r="Z62" s="38">
        <f t="shared" si="19"/>
        <v>23.3291</v>
      </c>
      <c r="AA62" s="38">
        <f t="shared" si="20"/>
        <v>23.282499999999999</v>
      </c>
      <c r="AB62" s="39" t="e">
        <f>VLOOKUP(A62,Enforcements!$C$7:$J$32,8,0)</f>
        <v>#N/A</v>
      </c>
      <c r="AC62" s="39" t="e">
        <f>VLOOKUP(A62,Enforcements!$C$7:$E$32,3,0)</f>
        <v>#N/A</v>
      </c>
    </row>
    <row r="63" spans="1:29" s="1" customFormat="1" x14ac:dyDescent="0.25">
      <c r="A63" s="67" t="s">
        <v>360</v>
      </c>
      <c r="B63" s="34">
        <v>4030</v>
      </c>
      <c r="C63" s="34" t="s">
        <v>60</v>
      </c>
      <c r="D63" s="34" t="s">
        <v>140</v>
      </c>
      <c r="E63" s="20">
        <v>42551.442094907405</v>
      </c>
      <c r="F63" s="20">
        <v>42551.443067129629</v>
      </c>
      <c r="G63" s="23">
        <v>1</v>
      </c>
      <c r="H63" s="20" t="s">
        <v>183</v>
      </c>
      <c r="I63" s="20">
        <v>42551.471365740741</v>
      </c>
      <c r="J63" s="34">
        <v>0</v>
      </c>
      <c r="K63" s="34" t="str">
        <f t="shared" si="11"/>
        <v>4029/4030</v>
      </c>
      <c r="L63" s="34" t="str">
        <f>VLOOKUP(A63,'Trips&amp;Operators'!$C$1:$E$10000,3,FALSE)</f>
        <v>STAMBAUGH</v>
      </c>
      <c r="M63" s="6">
        <f t="shared" si="12"/>
        <v>2.8298611112404615E-2</v>
      </c>
      <c r="N63" s="7">
        <f t="shared" si="1"/>
        <v>40.750000001862645</v>
      </c>
      <c r="O63" s="7"/>
      <c r="P63" s="7"/>
      <c r="Q63" s="35"/>
      <c r="R63" s="35"/>
      <c r="S63" s="59">
        <f t="shared" si="13"/>
        <v>1</v>
      </c>
      <c r="T63" s="1" t="str">
        <f t="shared" si="14"/>
        <v>Southbound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10:35:37-0600',mode:absolute,to:'2016-06-30 11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3" s="38" t="str">
        <f t="shared" si="16"/>
        <v>N</v>
      </c>
      <c r="X63" s="38">
        <f t="shared" si="17"/>
        <v>1</v>
      </c>
      <c r="Y63" s="38">
        <f t="shared" si="18"/>
        <v>23.2971</v>
      </c>
      <c r="Z63" s="38">
        <f t="shared" si="19"/>
        <v>1.5599999999999999E-2</v>
      </c>
      <c r="AA63" s="38">
        <f t="shared" si="20"/>
        <v>23.281500000000001</v>
      </c>
      <c r="AB63" s="39" t="e">
        <f>VLOOKUP(A63,Enforcements!$C$7:$J$32,8,0)</f>
        <v>#N/A</v>
      </c>
      <c r="AC63" s="39" t="e">
        <f>VLOOKUP(A63,Enforcements!$C$7:$E$32,3,0)</f>
        <v>#N/A</v>
      </c>
    </row>
    <row r="64" spans="1:29" s="1" customFormat="1" x14ac:dyDescent="0.25">
      <c r="A64" s="67" t="s">
        <v>361</v>
      </c>
      <c r="B64" s="34">
        <v>4038</v>
      </c>
      <c r="C64" s="34" t="s">
        <v>60</v>
      </c>
      <c r="D64" s="34" t="s">
        <v>137</v>
      </c>
      <c r="E64" s="20">
        <v>42551.411990740744</v>
      </c>
      <c r="F64" s="20">
        <v>42551.412824074076</v>
      </c>
      <c r="G64" s="23">
        <v>1</v>
      </c>
      <c r="H64" s="20" t="s">
        <v>184</v>
      </c>
      <c r="I64" s="20">
        <v>42551.442893518521</v>
      </c>
      <c r="J64" s="34">
        <v>1</v>
      </c>
      <c r="K64" s="34" t="str">
        <f t="shared" si="11"/>
        <v>4037/4038</v>
      </c>
      <c r="L64" s="34" t="str">
        <f>VLOOKUP(A64,'Trips&amp;Operators'!$C$1:$E$10000,3,FALSE)</f>
        <v>KILLION</v>
      </c>
      <c r="M64" s="6">
        <f t="shared" si="12"/>
        <v>3.0069444444961846E-2</v>
      </c>
      <c r="N64" s="7">
        <f t="shared" si="1"/>
        <v>43.300000000745058</v>
      </c>
      <c r="O64" s="7"/>
      <c r="P64" s="7"/>
      <c r="Q64" s="35"/>
      <c r="R64" s="35"/>
      <c r="S64" s="59">
        <f t="shared" si="13"/>
        <v>1</v>
      </c>
      <c r="T64" s="1" t="str">
        <f t="shared" si="14"/>
        <v>NorthBound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4" s="38" t="str">
        <f t="shared" si="16"/>
        <v>N</v>
      </c>
      <c r="X64" s="38">
        <f t="shared" si="17"/>
        <v>1</v>
      </c>
      <c r="Y64" s="38">
        <f t="shared" si="18"/>
        <v>4.7699999999999999E-2</v>
      </c>
      <c r="Z64" s="38">
        <f t="shared" si="19"/>
        <v>23.327200000000001</v>
      </c>
      <c r="AA64" s="38">
        <f t="shared" si="20"/>
        <v>23.279500000000002</v>
      </c>
      <c r="AB64" s="39" t="e">
        <f>VLOOKUP(A64,Enforcements!$C$7:$J$32,8,0)</f>
        <v>#N/A</v>
      </c>
      <c r="AC64" s="39" t="e">
        <f>VLOOKUP(A64,Enforcements!$C$7:$E$32,3,0)</f>
        <v>#N/A</v>
      </c>
    </row>
    <row r="65" spans="1:29" s="1" customFormat="1" x14ac:dyDescent="0.25">
      <c r="A65" s="95" t="s">
        <v>362</v>
      </c>
      <c r="B65" s="34">
        <v>4037</v>
      </c>
      <c r="C65" s="34" t="s">
        <v>60</v>
      </c>
      <c r="D65" s="34" t="s">
        <v>188</v>
      </c>
      <c r="E65" s="20">
        <v>42551.449895833335</v>
      </c>
      <c r="F65" s="20">
        <v>42551.451203703706</v>
      </c>
      <c r="G65" s="23">
        <v>1</v>
      </c>
      <c r="H65" s="20" t="s">
        <v>94</v>
      </c>
      <c r="I65" s="20">
        <v>42551.482951388891</v>
      </c>
      <c r="J65" s="34">
        <v>0</v>
      </c>
      <c r="K65" s="34" t="str">
        <f t="shared" si="11"/>
        <v>4037/4038</v>
      </c>
      <c r="L65" s="34" t="str">
        <f>VLOOKUP(A65,'Trips&amp;Operators'!$C$1:$E$10000,3,FALSE)</f>
        <v>KILLION</v>
      </c>
      <c r="M65" s="6">
        <f t="shared" si="12"/>
        <v>3.1747685185109731E-2</v>
      </c>
      <c r="N65" s="7">
        <f t="shared" si="1"/>
        <v>45.716666666558012</v>
      </c>
      <c r="O65" s="7"/>
      <c r="P65" s="7"/>
      <c r="Q65" s="35"/>
      <c r="R65" s="35"/>
      <c r="S65" s="59">
        <f t="shared" si="13"/>
        <v>1</v>
      </c>
      <c r="T65" s="1" t="str">
        <f t="shared" si="14"/>
        <v>Southbound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10:46:51-0600',mode:absolute,to:'2016-06-30 11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5" s="38" t="str">
        <f t="shared" si="16"/>
        <v>N</v>
      </c>
      <c r="X65" s="38">
        <f t="shared" si="17"/>
        <v>1</v>
      </c>
      <c r="Y65" s="38">
        <f t="shared" si="18"/>
        <v>23.296800000000001</v>
      </c>
      <c r="Z65" s="38">
        <f t="shared" si="19"/>
        <v>1.5800000000000002E-2</v>
      </c>
      <c r="AA65" s="38">
        <f t="shared" si="20"/>
        <v>23.281000000000002</v>
      </c>
      <c r="AB65" s="39" t="e">
        <f>VLOOKUP(A65,Enforcements!$C$7:$J$32,8,0)</f>
        <v>#N/A</v>
      </c>
      <c r="AC65" s="39" t="e">
        <f>VLOOKUP(A65,Enforcements!$C$7:$E$32,3,0)</f>
        <v>#N/A</v>
      </c>
    </row>
    <row r="66" spans="1:29" s="1" customFormat="1" x14ac:dyDescent="0.25">
      <c r="A66" s="67" t="s">
        <v>363</v>
      </c>
      <c r="B66" s="34">
        <v>4020</v>
      </c>
      <c r="C66" s="34" t="s">
        <v>60</v>
      </c>
      <c r="D66" s="34" t="s">
        <v>144</v>
      </c>
      <c r="E66" s="20">
        <v>42551.424143518518</v>
      </c>
      <c r="F66" s="20">
        <v>42551.425254629627</v>
      </c>
      <c r="G66" s="23">
        <v>1</v>
      </c>
      <c r="H66" s="20" t="s">
        <v>93</v>
      </c>
      <c r="I66" s="20">
        <v>42551.451527777775</v>
      </c>
      <c r="J66" s="34">
        <v>1</v>
      </c>
      <c r="K66" s="34" t="str">
        <f t="shared" si="11"/>
        <v>4019/4020</v>
      </c>
      <c r="L66" s="34" t="str">
        <f>VLOOKUP(A66,'Trips&amp;Operators'!$C$1:$E$10000,3,FALSE)</f>
        <v>ROCHA</v>
      </c>
      <c r="M66" s="6">
        <f t="shared" si="12"/>
        <v>2.6273148148902692E-2</v>
      </c>
      <c r="N66" s="7">
        <f t="shared" si="1"/>
        <v>37.833333334419876</v>
      </c>
      <c r="O66" s="7"/>
      <c r="P66" s="7"/>
      <c r="Q66" s="35"/>
      <c r="R66" s="35"/>
      <c r="S66" s="59">
        <f t="shared" si="13"/>
        <v>1</v>
      </c>
      <c r="T66" s="1" t="str">
        <f t="shared" si="14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38" t="str">
        <f t="shared" si="16"/>
        <v>N</v>
      </c>
      <c r="X66" s="38">
        <f t="shared" si="17"/>
        <v>1</v>
      </c>
      <c r="Y66" s="38">
        <f t="shared" si="18"/>
        <v>4.5100000000000001E-2</v>
      </c>
      <c r="Z66" s="38">
        <f t="shared" si="19"/>
        <v>23.329499999999999</v>
      </c>
      <c r="AA66" s="38">
        <f t="shared" si="20"/>
        <v>23.284399999999998</v>
      </c>
      <c r="AB66" s="39" t="e">
        <f>VLOOKUP(A66,Enforcements!$C$7:$J$32,8,0)</f>
        <v>#N/A</v>
      </c>
      <c r="AC66" s="39" t="e">
        <f>VLOOKUP(A66,Enforcements!$C$7:$E$32,3,0)</f>
        <v>#N/A</v>
      </c>
    </row>
    <row r="67" spans="1:29" s="1" customFormat="1" x14ac:dyDescent="0.25">
      <c r="A67" s="67" t="s">
        <v>364</v>
      </c>
      <c r="B67" s="34">
        <v>4019</v>
      </c>
      <c r="C67" s="34" t="s">
        <v>60</v>
      </c>
      <c r="D67" s="34" t="s">
        <v>84</v>
      </c>
      <c r="E67" s="20">
        <v>42551.453564814816</v>
      </c>
      <c r="F67" s="20">
        <v>42551.454606481479</v>
      </c>
      <c r="G67" s="23">
        <v>1</v>
      </c>
      <c r="H67" s="20" t="s">
        <v>158</v>
      </c>
      <c r="I67" s="20">
        <v>42551.494050925925</v>
      </c>
      <c r="J67" s="34">
        <v>1</v>
      </c>
      <c r="K67" s="34" t="str">
        <f t="shared" si="11"/>
        <v>4019/4020</v>
      </c>
      <c r="L67" s="34" t="str">
        <f>VLOOKUP(A67,'Trips&amp;Operators'!$C$1:$E$10000,3,FALSE)</f>
        <v>ROCHA</v>
      </c>
      <c r="M67" s="6">
        <f t="shared" si="12"/>
        <v>3.9444444446417037E-2</v>
      </c>
      <c r="N67" s="7">
        <f t="shared" si="1"/>
        <v>56.800000002840534</v>
      </c>
      <c r="O67" s="7"/>
      <c r="P67" s="7"/>
      <c r="Q67" s="35"/>
      <c r="R67" s="35"/>
      <c r="S67" s="59">
        <f t="shared" si="13"/>
        <v>1</v>
      </c>
      <c r="T67" s="1" t="str">
        <f t="shared" si="14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38" t="str">
        <f t="shared" si="16"/>
        <v>N</v>
      </c>
      <c r="X67" s="38">
        <f t="shared" si="17"/>
        <v>1</v>
      </c>
      <c r="Y67" s="38">
        <f t="shared" si="18"/>
        <v>23.297499999999999</v>
      </c>
      <c r="Z67" s="38">
        <f t="shared" si="19"/>
        <v>1.54E-2</v>
      </c>
      <c r="AA67" s="38">
        <f t="shared" si="20"/>
        <v>23.2821</v>
      </c>
      <c r="AB67" s="39" t="e">
        <f>VLOOKUP(A67,Enforcements!$C$7:$J$32,8,0)</f>
        <v>#N/A</v>
      </c>
      <c r="AC67" s="39" t="e">
        <f>VLOOKUP(A67,Enforcements!$C$7:$E$32,3,0)</f>
        <v>#N/A</v>
      </c>
    </row>
    <row r="68" spans="1:29" s="1" customFormat="1" x14ac:dyDescent="0.25">
      <c r="A68" s="67" t="s">
        <v>365</v>
      </c>
      <c r="B68" s="34">
        <v>4025</v>
      </c>
      <c r="C68" s="34" t="s">
        <v>60</v>
      </c>
      <c r="D68" s="34" t="s">
        <v>146</v>
      </c>
      <c r="E68" s="20">
        <v>42551.432812500003</v>
      </c>
      <c r="F68" s="20">
        <v>42551.433888888889</v>
      </c>
      <c r="G68" s="23">
        <v>1</v>
      </c>
      <c r="H68" s="20" t="s">
        <v>302</v>
      </c>
      <c r="I68" s="20">
        <v>42551.463483796295</v>
      </c>
      <c r="J68" s="34">
        <v>0</v>
      </c>
      <c r="K68" s="34" t="str">
        <f t="shared" si="11"/>
        <v>4025/4026</v>
      </c>
      <c r="L68" s="34" t="str">
        <f>VLOOKUP(A68,'Trips&amp;Operators'!$C$1:$E$10000,3,FALSE)</f>
        <v>MAELZER</v>
      </c>
      <c r="M68" s="6">
        <f t="shared" si="12"/>
        <v>2.9594907406135462E-2</v>
      </c>
      <c r="N68" s="7">
        <f t="shared" si="1"/>
        <v>42.616666664835066</v>
      </c>
      <c r="O68" s="7"/>
      <c r="P68" s="7"/>
      <c r="Q68" s="35"/>
      <c r="R68" s="35"/>
      <c r="S68" s="59">
        <f t="shared" si="13"/>
        <v>1</v>
      </c>
      <c r="T68" s="1" t="str">
        <f t="shared" si="14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10:22:15-0600',mode:absolute,to:'2016-06-30 11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8" s="38" t="str">
        <f t="shared" si="16"/>
        <v>N</v>
      </c>
      <c r="X68" s="38">
        <f t="shared" si="17"/>
        <v>1</v>
      </c>
      <c r="Y68" s="38">
        <f t="shared" si="18"/>
        <v>4.4400000000000002E-2</v>
      </c>
      <c r="Z68" s="38">
        <f t="shared" si="19"/>
        <v>23.329799999999999</v>
      </c>
      <c r="AA68" s="38">
        <f t="shared" si="20"/>
        <v>23.285399999999999</v>
      </c>
      <c r="AB68" s="39" t="e">
        <f>VLOOKUP(A68,Enforcements!$C$7:$J$32,8,0)</f>
        <v>#N/A</v>
      </c>
      <c r="AC68" s="39" t="e">
        <f>VLOOKUP(A68,Enforcements!$C$7:$E$32,3,0)</f>
        <v>#N/A</v>
      </c>
    </row>
    <row r="69" spans="1:29" s="1" customFormat="1" x14ac:dyDescent="0.25">
      <c r="A69" s="67" t="s">
        <v>366</v>
      </c>
      <c r="B69" s="34">
        <v>4026</v>
      </c>
      <c r="C69" s="34" t="s">
        <v>60</v>
      </c>
      <c r="D69" s="34" t="s">
        <v>318</v>
      </c>
      <c r="E69" s="20">
        <v>42551.469884259262</v>
      </c>
      <c r="F69" s="20">
        <v>42551.471226851849</v>
      </c>
      <c r="G69" s="23">
        <v>1</v>
      </c>
      <c r="H69" s="20" t="s">
        <v>102</v>
      </c>
      <c r="I69" s="20">
        <v>42551.506203703706</v>
      </c>
      <c r="J69" s="34">
        <v>1</v>
      </c>
      <c r="K69" s="34" t="str">
        <f t="shared" si="11"/>
        <v>4025/4026</v>
      </c>
      <c r="L69" s="34" t="str">
        <f>VLOOKUP(A69,'Trips&amp;Operators'!$C$1:$E$10000,3,FALSE)</f>
        <v>MAELZER</v>
      </c>
      <c r="M69" s="6">
        <f t="shared" si="12"/>
        <v>3.4976851857209112E-2</v>
      </c>
      <c r="N69" s="7">
        <f t="shared" si="1"/>
        <v>50.366666674381122</v>
      </c>
      <c r="O69" s="7"/>
      <c r="P69" s="7"/>
      <c r="Q69" s="35"/>
      <c r="R69" s="35"/>
      <c r="S69" s="59">
        <f t="shared" si="13"/>
        <v>1</v>
      </c>
      <c r="T69" s="1" t="str">
        <f t="shared" si="1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9" s="38" t="str">
        <f t="shared" si="16"/>
        <v>N</v>
      </c>
      <c r="X69" s="38">
        <f t="shared" si="17"/>
        <v>1</v>
      </c>
      <c r="Y69" s="38">
        <f t="shared" si="18"/>
        <v>23.298300000000001</v>
      </c>
      <c r="Z69" s="38">
        <f t="shared" si="19"/>
        <v>1.4999999999999999E-2</v>
      </c>
      <c r="AA69" s="38">
        <f t="shared" si="20"/>
        <v>23.283300000000001</v>
      </c>
      <c r="AB69" s="39">
        <f>VLOOKUP(A69,Enforcements!$C$7:$J$32,8,0)</f>
        <v>63309</v>
      </c>
      <c r="AC69" s="39" t="str">
        <f>VLOOKUP(A69,Enforcements!$C$7:$E$32,3,0)</f>
        <v>GRADE CROSSING</v>
      </c>
    </row>
    <row r="70" spans="1:29" s="1" customFormat="1" x14ac:dyDescent="0.25">
      <c r="A70" s="67" t="s">
        <v>367</v>
      </c>
      <c r="B70" s="34">
        <v>4031</v>
      </c>
      <c r="C70" s="34" t="s">
        <v>60</v>
      </c>
      <c r="D70" s="34" t="s">
        <v>146</v>
      </c>
      <c r="E70" s="20">
        <v>42551.443310185183</v>
      </c>
      <c r="F70" s="20">
        <v>42551.44326388889</v>
      </c>
      <c r="G70" s="23">
        <v>8</v>
      </c>
      <c r="H70" s="20" t="s">
        <v>164</v>
      </c>
      <c r="I70" s="20">
        <v>42551.477210648147</v>
      </c>
      <c r="J70" s="34">
        <v>0</v>
      </c>
      <c r="K70" s="34" t="str">
        <f t="shared" si="11"/>
        <v>4031/4032</v>
      </c>
      <c r="L70" s="34" t="str">
        <f>VLOOKUP(A70,'Trips&amp;Operators'!$C$1:$E$10000,3,FALSE)</f>
        <v>STEWART</v>
      </c>
      <c r="M70" s="6">
        <f t="shared" si="12"/>
        <v>3.3946759256650694E-2</v>
      </c>
      <c r="N70" s="7">
        <f t="shared" si="1"/>
        <v>48.883333329576999</v>
      </c>
      <c r="O70" s="7"/>
      <c r="P70" s="7"/>
      <c r="Q70" s="35"/>
      <c r="R70" s="35" t="s">
        <v>653</v>
      </c>
      <c r="S70" s="59">
        <f t="shared" si="13"/>
        <v>1</v>
      </c>
      <c r="T70" s="1" t="str">
        <f t="shared" si="1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10:37:22-0600',mode:absolute,to:'2016-06-30 11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38" t="str">
        <f t="shared" si="16"/>
        <v>N</v>
      </c>
      <c r="X70" s="38">
        <f t="shared" si="17"/>
        <v>1</v>
      </c>
      <c r="Y70" s="38">
        <f t="shared" si="18"/>
        <v>4.4400000000000002E-2</v>
      </c>
      <c r="Z70" s="38">
        <v>23.3</v>
      </c>
      <c r="AA70" s="38">
        <f t="shared" si="20"/>
        <v>23.255600000000001</v>
      </c>
      <c r="AB70" s="39" t="e">
        <f>VLOOKUP(A70,Enforcements!$C$7:$J$32,8,0)</f>
        <v>#N/A</v>
      </c>
      <c r="AC70" s="39" t="e">
        <f>VLOOKUP(A70,Enforcements!$C$7:$E$32,3,0)</f>
        <v>#N/A</v>
      </c>
    </row>
    <row r="71" spans="1:29" s="1" customFormat="1" x14ac:dyDescent="0.25">
      <c r="A71" s="67" t="s">
        <v>368</v>
      </c>
      <c r="B71" s="34">
        <v>4032</v>
      </c>
      <c r="C71" s="34" t="s">
        <v>60</v>
      </c>
      <c r="D71" s="34" t="s">
        <v>103</v>
      </c>
      <c r="E71" s="20">
        <v>42551.481539351851</v>
      </c>
      <c r="F71" s="20">
        <v>42551.482546296298</v>
      </c>
      <c r="G71" s="23">
        <v>1</v>
      </c>
      <c r="H71" s="20" t="s">
        <v>157</v>
      </c>
      <c r="I71" s="20">
        <v>42551.516932870371</v>
      </c>
      <c r="J71" s="34">
        <v>0</v>
      </c>
      <c r="K71" s="34" t="str">
        <f t="shared" si="11"/>
        <v>4031/4032</v>
      </c>
      <c r="L71" s="34" t="str">
        <f>VLOOKUP(A71,'Trips&amp;Operators'!$C$1:$E$10000,3,FALSE)</f>
        <v>STEWART</v>
      </c>
      <c r="M71" s="6">
        <f t="shared" si="12"/>
        <v>3.4386574072414078E-2</v>
      </c>
      <c r="N71" s="7">
        <f t="shared" si="1"/>
        <v>49.516666664276272</v>
      </c>
      <c r="O71" s="7"/>
      <c r="P71" s="7"/>
      <c r="Q71" s="35"/>
      <c r="R71" s="35"/>
      <c r="S71" s="59">
        <f t="shared" si="13"/>
        <v>1</v>
      </c>
      <c r="T71" s="1" t="str">
        <f t="shared" si="1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11:32:25-0600',mode:absolute,to:'2016-06-30 12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38" t="str">
        <f t="shared" si="16"/>
        <v>N</v>
      </c>
      <c r="X71" s="38">
        <f t="shared" si="17"/>
        <v>1</v>
      </c>
      <c r="Y71" s="38">
        <f t="shared" si="18"/>
        <v>23.2986</v>
      </c>
      <c r="Z71" s="38">
        <f t="shared" si="19"/>
        <v>1.6500000000000001E-2</v>
      </c>
      <c r="AA71" s="38">
        <f t="shared" si="20"/>
        <v>23.2821</v>
      </c>
      <c r="AB71" s="39" t="e">
        <f>VLOOKUP(A71,Enforcements!$C$7:$J$32,8,0)</f>
        <v>#N/A</v>
      </c>
      <c r="AC71" s="39" t="e">
        <f>VLOOKUP(A71,Enforcements!$C$7:$E$32,3,0)</f>
        <v>#N/A</v>
      </c>
    </row>
    <row r="72" spans="1:29" s="1" customFormat="1" x14ac:dyDescent="0.25">
      <c r="A72" s="67" t="s">
        <v>369</v>
      </c>
      <c r="B72" s="34">
        <v>4014</v>
      </c>
      <c r="C72" s="34" t="s">
        <v>60</v>
      </c>
      <c r="D72" s="34" t="s">
        <v>164</v>
      </c>
      <c r="E72" s="20">
        <v>42551.456805555557</v>
      </c>
      <c r="F72" s="20">
        <v>42551.457673611112</v>
      </c>
      <c r="G72" s="23">
        <v>1</v>
      </c>
      <c r="H72" s="20" t="s">
        <v>370</v>
      </c>
      <c r="I72" s="20">
        <v>42551.483726851853</v>
      </c>
      <c r="J72" s="34">
        <v>1</v>
      </c>
      <c r="K72" s="34" t="str">
        <f t="shared" si="11"/>
        <v>4013/4014</v>
      </c>
      <c r="L72" s="34" t="str">
        <f>VLOOKUP(A72,'Trips&amp;Operators'!$C$1:$E$10000,3,FALSE)</f>
        <v>MALAVE</v>
      </c>
      <c r="M72" s="6">
        <f t="shared" si="12"/>
        <v>2.6053240741021E-2</v>
      </c>
      <c r="N72" s="7">
        <f t="shared" si="1"/>
        <v>37.51666666707024</v>
      </c>
      <c r="O72" s="7"/>
      <c r="P72" s="7"/>
      <c r="Q72" s="35"/>
      <c r="R72" s="35"/>
      <c r="S72" s="59">
        <f t="shared" si="13"/>
        <v>1</v>
      </c>
      <c r="T72" s="1" t="str">
        <f t="shared" si="1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2" s="38" t="str">
        <f t="shared" si="16"/>
        <v>N</v>
      </c>
      <c r="X72" s="38">
        <f t="shared" si="17"/>
        <v>1</v>
      </c>
      <c r="Y72" s="38">
        <f t="shared" si="18"/>
        <v>4.4900000000000002E-2</v>
      </c>
      <c r="Z72" s="38">
        <f t="shared" si="19"/>
        <v>23.328099999999999</v>
      </c>
      <c r="AA72" s="38">
        <f t="shared" si="20"/>
        <v>23.283200000000001</v>
      </c>
      <c r="AB72" s="39" t="e">
        <f>VLOOKUP(A72,Enforcements!$C$7:$J$32,8,0)</f>
        <v>#N/A</v>
      </c>
      <c r="AC72" s="39" t="e">
        <f>VLOOKUP(A72,Enforcements!$C$7:$E$32,3,0)</f>
        <v>#N/A</v>
      </c>
    </row>
    <row r="73" spans="1:29" s="1" customFormat="1" x14ac:dyDescent="0.25">
      <c r="A73" s="67" t="s">
        <v>371</v>
      </c>
      <c r="B73" s="34">
        <v>4013</v>
      </c>
      <c r="C73" s="34" t="s">
        <v>60</v>
      </c>
      <c r="D73" s="34" t="s">
        <v>71</v>
      </c>
      <c r="E73" s="20">
        <v>42551.495740740742</v>
      </c>
      <c r="F73" s="20">
        <v>42551.497418981482</v>
      </c>
      <c r="G73" s="23">
        <v>2</v>
      </c>
      <c r="H73" s="20" t="s">
        <v>62</v>
      </c>
      <c r="I73" s="20">
        <v>42551.525775462964</v>
      </c>
      <c r="J73" s="34">
        <v>0</v>
      </c>
      <c r="K73" s="34" t="str">
        <f t="shared" si="11"/>
        <v>4013/4014</v>
      </c>
      <c r="L73" s="34" t="str">
        <f>VLOOKUP(A73,'Trips&amp;Operators'!$C$1:$E$10000,3,FALSE)</f>
        <v>MALAVE</v>
      </c>
      <c r="M73" s="6">
        <f t="shared" si="12"/>
        <v>2.8356481481750961E-2</v>
      </c>
      <c r="N73" s="7">
        <f t="shared" si="1"/>
        <v>40.833333333721384</v>
      </c>
      <c r="O73" s="7"/>
      <c r="P73" s="7"/>
      <c r="Q73" s="35"/>
      <c r="R73" s="35"/>
      <c r="S73" s="59">
        <f t="shared" si="13"/>
        <v>1</v>
      </c>
      <c r="T73" s="1" t="str">
        <f t="shared" si="1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11:52:52-0600',mode:absolute,to:'2016-06-30 12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3" s="38" t="str">
        <f t="shared" si="16"/>
        <v>N</v>
      </c>
      <c r="X73" s="38">
        <f t="shared" si="17"/>
        <v>1</v>
      </c>
      <c r="Y73" s="38">
        <f t="shared" si="18"/>
        <v>23.297699999999999</v>
      </c>
      <c r="Z73" s="38">
        <f t="shared" si="19"/>
        <v>1.52E-2</v>
      </c>
      <c r="AA73" s="38">
        <f t="shared" si="20"/>
        <v>23.282499999999999</v>
      </c>
      <c r="AB73" s="39" t="e">
        <f>VLOOKUP(A73,Enforcements!$C$7:$J$32,8,0)</f>
        <v>#N/A</v>
      </c>
      <c r="AC73" s="39" t="e">
        <f>VLOOKUP(A73,Enforcements!$C$7:$E$32,3,0)</f>
        <v>#N/A</v>
      </c>
    </row>
    <row r="74" spans="1:29" s="1" customFormat="1" x14ac:dyDescent="0.25">
      <c r="A74" s="67" t="s">
        <v>372</v>
      </c>
      <c r="B74" s="34">
        <v>4016</v>
      </c>
      <c r="C74" s="34" t="s">
        <v>60</v>
      </c>
      <c r="D74" s="34" t="s">
        <v>81</v>
      </c>
      <c r="E74" s="20">
        <v>42551.466377314813</v>
      </c>
      <c r="F74" s="20">
        <v>42551.467407407406</v>
      </c>
      <c r="G74" s="23">
        <v>1</v>
      </c>
      <c r="H74" s="20" t="s">
        <v>373</v>
      </c>
      <c r="I74" s="20">
        <v>42551.478043981479</v>
      </c>
      <c r="J74" s="34">
        <v>0</v>
      </c>
      <c r="K74" s="34" t="str">
        <f t="shared" si="11"/>
        <v>4015/4016</v>
      </c>
      <c r="L74" s="34" t="str">
        <f>VLOOKUP(A74,'Trips&amp;Operators'!$C$1:$E$10000,3,FALSE)</f>
        <v>SPECTOR</v>
      </c>
      <c r="M74" s="6">
        <f t="shared" si="12"/>
        <v>1.063657407212304E-2</v>
      </c>
      <c r="N74" s="7"/>
      <c r="O74" s="7"/>
      <c r="P74" s="7">
        <f t="shared" si="1"/>
        <v>15.316666663857177</v>
      </c>
      <c r="Q74" s="35"/>
      <c r="R74" s="35" t="s">
        <v>652</v>
      </c>
      <c r="S74" s="59">
        <f t="shared" si="13"/>
        <v>0.41666666666666669</v>
      </c>
      <c r="T74" s="1" t="str">
        <f t="shared" si="14"/>
        <v>NorthBound</v>
      </c>
      <c r="U74" s="1">
        <f>COUNTIFS(Variables!$M$2:$M$19,IF(T74="NorthBound","&gt;=","&lt;=")&amp;Y74,Variables!$M$2:$M$19,IF(T74="NorthBound","&lt;=","&gt;=")&amp;Z74)</f>
        <v>5</v>
      </c>
      <c r="V74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11:10:35-0600',mode:absolute,to:'2016-06-30 11:29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4" s="38" t="str">
        <f t="shared" si="16"/>
        <v>Y</v>
      </c>
      <c r="X74" s="38">
        <f t="shared" si="17"/>
        <v>1</v>
      </c>
      <c r="Y74" s="38">
        <f t="shared" si="18"/>
        <v>4.58E-2</v>
      </c>
      <c r="Z74" s="38">
        <f t="shared" si="19"/>
        <v>4.9680999999999997</v>
      </c>
      <c r="AA74" s="38">
        <f t="shared" si="20"/>
        <v>4.9222999999999999</v>
      </c>
      <c r="AB74" s="39" t="e">
        <f>VLOOKUP(A74,Enforcements!$C$7:$J$32,8,0)</f>
        <v>#N/A</v>
      </c>
      <c r="AC74" s="39" t="e">
        <f>VLOOKUP(A74,Enforcements!$C$7:$E$32,3,0)</f>
        <v>#N/A</v>
      </c>
    </row>
    <row r="75" spans="1:29" s="1" customFormat="1" x14ac:dyDescent="0.25">
      <c r="A75" s="67" t="s">
        <v>374</v>
      </c>
      <c r="B75" s="34">
        <v>4015</v>
      </c>
      <c r="C75" s="34" t="s">
        <v>60</v>
      </c>
      <c r="D75" s="34" t="s">
        <v>143</v>
      </c>
      <c r="E75" s="20">
        <v>42551.506736111114</v>
      </c>
      <c r="F75" s="20">
        <v>42551.507418981484</v>
      </c>
      <c r="G75" s="23">
        <v>0</v>
      </c>
      <c r="H75" s="20" t="s">
        <v>67</v>
      </c>
      <c r="I75" s="20">
        <v>42551.536134259259</v>
      </c>
      <c r="J75" s="34">
        <v>0</v>
      </c>
      <c r="K75" s="34" t="str">
        <f t="shared" si="11"/>
        <v>4015/4016</v>
      </c>
      <c r="L75" s="34" t="str">
        <f>VLOOKUP(A75,'Trips&amp;Operators'!$C$1:$E$10000,3,FALSE)</f>
        <v>SPECTOR</v>
      </c>
      <c r="M75" s="6">
        <f t="shared" si="12"/>
        <v>2.8715277774608694E-2</v>
      </c>
      <c r="N75" s="7">
        <f t="shared" si="1"/>
        <v>41.349999995436519</v>
      </c>
      <c r="O75" s="7"/>
      <c r="P75" s="7"/>
      <c r="Q75" s="35"/>
      <c r="R75" s="35"/>
      <c r="S75" s="59">
        <f t="shared" si="13"/>
        <v>1</v>
      </c>
      <c r="T75" s="1" t="str">
        <f t="shared" si="1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12:08:42-0600',mode:absolute,to:'2016-06-30 12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5" s="38" t="str">
        <f t="shared" si="16"/>
        <v>N</v>
      </c>
      <c r="X75" s="38">
        <f t="shared" si="17"/>
        <v>1</v>
      </c>
      <c r="Y75" s="38">
        <f t="shared" si="18"/>
        <v>23.298999999999999</v>
      </c>
      <c r="Z75" s="38">
        <f t="shared" si="19"/>
        <v>1.47E-2</v>
      </c>
      <c r="AA75" s="38">
        <f t="shared" si="20"/>
        <v>23.284299999999998</v>
      </c>
      <c r="AB75" s="39" t="e">
        <f>VLOOKUP(A75,Enforcements!$C$7:$J$32,8,0)</f>
        <v>#N/A</v>
      </c>
      <c r="AC75" s="39" t="e">
        <f>VLOOKUP(A75,Enforcements!$C$7:$E$32,3,0)</f>
        <v>#N/A</v>
      </c>
    </row>
    <row r="76" spans="1:29" s="1" customFormat="1" ht="16.5" customHeight="1" x14ac:dyDescent="0.25">
      <c r="A76" s="95" t="s">
        <v>375</v>
      </c>
      <c r="B76" s="34">
        <v>4029</v>
      </c>
      <c r="C76" s="34" t="s">
        <v>60</v>
      </c>
      <c r="D76" s="34" t="s">
        <v>376</v>
      </c>
      <c r="E76" s="20">
        <v>42551.484363425923</v>
      </c>
      <c r="F76" s="20">
        <v>42551.485115740739</v>
      </c>
      <c r="G76" s="20">
        <v>1</v>
      </c>
      <c r="H76" s="20" t="s">
        <v>377</v>
      </c>
      <c r="I76" s="20">
        <v>42551.507615740738</v>
      </c>
      <c r="J76" s="34">
        <v>0</v>
      </c>
      <c r="K76" s="34" t="str">
        <f t="shared" si="11"/>
        <v>4029/4030</v>
      </c>
      <c r="L76" s="34" t="str">
        <f>VLOOKUP(A76,'Trips&amp;Operators'!$C$1:$E$10000,3,FALSE)</f>
        <v>SHOOK</v>
      </c>
      <c r="M76" s="6">
        <f t="shared" si="12"/>
        <v>2.2499999999126885E-2</v>
      </c>
      <c r="N76" s="7"/>
      <c r="O76" s="7"/>
      <c r="P76" s="7">
        <f>24*60*SUM($M76:$M77)</f>
        <v>37.250000000931323</v>
      </c>
      <c r="Q76" s="35"/>
      <c r="R76" s="35" t="s">
        <v>306</v>
      </c>
      <c r="S76" s="59">
        <f t="shared" si="13"/>
        <v>1</v>
      </c>
      <c r="T76" s="1" t="str">
        <f t="shared" si="1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11:36:29-0600',mode:absolute,to:'2016-06-30 12:11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6" s="38" t="str">
        <f t="shared" si="16"/>
        <v>Y</v>
      </c>
      <c r="X76" s="38">
        <f t="shared" si="17"/>
        <v>1</v>
      </c>
      <c r="Y76" s="38">
        <f t="shared" si="18"/>
        <v>1.9148000000000001</v>
      </c>
      <c r="Z76" s="38">
        <f t="shared" si="19"/>
        <v>23.333100000000002</v>
      </c>
      <c r="AA76" s="38">
        <f t="shared" si="20"/>
        <v>21.418300000000002</v>
      </c>
      <c r="AB76" s="39" t="e">
        <f>VLOOKUP(A76,Enforcements!$C$7:$J$32,8,0)</f>
        <v>#N/A</v>
      </c>
      <c r="AC76" s="39" t="e">
        <f>VLOOKUP(A76,Enforcements!$C$7:$E$32,3,0)</f>
        <v>#N/A</v>
      </c>
    </row>
    <row r="77" spans="1:29" s="1" customFormat="1" x14ac:dyDescent="0.25">
      <c r="A77" s="67" t="s">
        <v>375</v>
      </c>
      <c r="B77" s="34">
        <v>4029</v>
      </c>
      <c r="C77" s="34" t="s">
        <v>60</v>
      </c>
      <c r="D77" s="34" t="s">
        <v>211</v>
      </c>
      <c r="E77" s="20">
        <v>42551.476134259261</v>
      </c>
      <c r="F77" s="20">
        <v>42551.477500000001</v>
      </c>
      <c r="G77" s="23">
        <v>1</v>
      </c>
      <c r="H77" s="20" t="s">
        <v>227</v>
      </c>
      <c r="I77" s="20">
        <v>42551.480868055558</v>
      </c>
      <c r="J77" s="34">
        <v>0</v>
      </c>
      <c r="K77" s="34" t="str">
        <f t="shared" si="11"/>
        <v>4029/4030</v>
      </c>
      <c r="L77" s="34" t="str">
        <f>VLOOKUP(A77,'Trips&amp;Operators'!$C$1:$E$10000,3,FALSE)</f>
        <v>SHOOK</v>
      </c>
      <c r="M77" s="6">
        <f t="shared" si="12"/>
        <v>3.3680555570754223E-3</v>
      </c>
      <c r="N77" s="7"/>
      <c r="O77" s="7"/>
      <c r="P77" s="7"/>
      <c r="Q77" s="35"/>
      <c r="R77" s="35"/>
      <c r="S77" s="59"/>
      <c r="T77" s="1" t="str">
        <f t="shared" si="14"/>
        <v>NorthBound</v>
      </c>
      <c r="U77" s="1">
        <f>COUNTIFS(Variables!$M$2:$M$19,IF(T77="NorthBound","&gt;=","&lt;=")&amp;Y77,Variables!$M$2:$M$19,IF(T77="NorthBound","&lt;=","&gt;=")&amp;Z77)</f>
        <v>0</v>
      </c>
      <c r="V7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11:24:38-0600',mode:absolute,to:'2016-06-30 11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7" s="38" t="str">
        <f t="shared" si="16"/>
        <v>Y</v>
      </c>
      <c r="X77" s="38">
        <f t="shared" si="17"/>
        <v>0</v>
      </c>
      <c r="Y77" s="38">
        <f t="shared" si="18"/>
        <v>4.6899999999999997E-2</v>
      </c>
      <c r="Z77" s="38">
        <f t="shared" si="19"/>
        <v>0.12509999999999999</v>
      </c>
      <c r="AA77" s="38">
        <f t="shared" si="20"/>
        <v>7.8199999999999992E-2</v>
      </c>
      <c r="AB77" s="39" t="e">
        <f>VLOOKUP(A77,Enforcements!$C$7:$J$32,8,0)</f>
        <v>#N/A</v>
      </c>
      <c r="AC77" s="39" t="e">
        <f>VLOOKUP(A77,Enforcements!$C$7:$E$32,3,0)</f>
        <v>#N/A</v>
      </c>
    </row>
    <row r="78" spans="1:29" s="1" customFormat="1" x14ac:dyDescent="0.25">
      <c r="A78" s="67" t="s">
        <v>378</v>
      </c>
      <c r="B78" s="34">
        <v>4030</v>
      </c>
      <c r="C78" s="34" t="s">
        <v>60</v>
      </c>
      <c r="D78" s="34" t="s">
        <v>210</v>
      </c>
      <c r="E78" s="20">
        <v>42551.516759259262</v>
      </c>
      <c r="F78" s="20">
        <v>42551.518217592595</v>
      </c>
      <c r="G78" s="23">
        <v>2</v>
      </c>
      <c r="H78" s="20" t="s">
        <v>132</v>
      </c>
      <c r="I78" s="20">
        <v>42551.548796296294</v>
      </c>
      <c r="J78" s="34">
        <v>0</v>
      </c>
      <c r="K78" s="34" t="str">
        <f t="shared" si="11"/>
        <v>4029/4030</v>
      </c>
      <c r="L78" s="34" t="str">
        <f>VLOOKUP(A78,'Trips&amp;Operators'!$C$1:$E$10000,3,FALSE)</f>
        <v>SHOOK</v>
      </c>
      <c r="M78" s="6">
        <f t="shared" si="12"/>
        <v>3.0578703699575271E-2</v>
      </c>
      <c r="N78" s="7">
        <f t="shared" ref="N78:P138" si="21">24*60*SUM($M78:$M78)</f>
        <v>44.033333327388391</v>
      </c>
      <c r="O78" s="7"/>
      <c r="P78" s="7"/>
      <c r="Q78" s="35"/>
      <c r="R78" s="35"/>
      <c r="S78" s="59">
        <f t="shared" si="13"/>
        <v>1</v>
      </c>
      <c r="T78" s="1" t="str">
        <f t="shared" si="14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https://search-rtdc-monitor-bjffxe2xuh6vdkpspy63sjmuny.us-east-1.es.amazonaws.com/_plugin/kibana/#/discover/Steve-Slow-Train-Analysis-(2080s-and-2083s)?_g=(refreshInterval:(display:Off,section:0,value:0),time:(from:'2016-06-30 12:23:08-0600',mode:absolute,to:'2016-06-30 13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8" s="38" t="str">
        <f t="shared" si="16"/>
        <v>N</v>
      </c>
      <c r="X78" s="38">
        <f t="shared" si="17"/>
        <v>1</v>
      </c>
      <c r="Y78" s="38">
        <f t="shared" si="18"/>
        <v>23.3019</v>
      </c>
      <c r="Z78" s="38">
        <f t="shared" si="19"/>
        <v>1.43E-2</v>
      </c>
      <c r="AA78" s="38">
        <f t="shared" si="20"/>
        <v>23.287600000000001</v>
      </c>
      <c r="AB78" s="39" t="e">
        <f>VLOOKUP(A78,Enforcements!$C$7:$J$32,8,0)</f>
        <v>#N/A</v>
      </c>
      <c r="AC78" s="39" t="e">
        <f>VLOOKUP(A78,Enforcements!$C$7:$E$32,3,0)</f>
        <v>#N/A</v>
      </c>
    </row>
    <row r="79" spans="1:29" s="1" customFormat="1" x14ac:dyDescent="0.25">
      <c r="A79" s="67" t="s">
        <v>379</v>
      </c>
      <c r="B79" s="34">
        <v>4038</v>
      </c>
      <c r="C79" s="34" t="s">
        <v>60</v>
      </c>
      <c r="D79" s="34" t="s">
        <v>131</v>
      </c>
      <c r="E79" s="20">
        <v>42551.486145833333</v>
      </c>
      <c r="F79" s="20">
        <v>42551.487523148149</v>
      </c>
      <c r="G79" s="23">
        <v>1</v>
      </c>
      <c r="H79" s="20" t="s">
        <v>380</v>
      </c>
      <c r="I79" s="20">
        <v>42551.51630787037</v>
      </c>
      <c r="J79" s="34">
        <v>0</v>
      </c>
      <c r="K79" s="34" t="str">
        <f t="shared" ref="K79:K140" si="22">IF(ISEVEN(B79),(B79-1)&amp;"/"&amp;B79,B79&amp;"/"&amp;(B79+1))</f>
        <v>4037/4038</v>
      </c>
      <c r="L79" s="34" t="str">
        <f>VLOOKUP(A79,'Trips&amp;Operators'!$C$1:$E$10000,3,FALSE)</f>
        <v>MAYBERRY</v>
      </c>
      <c r="M79" s="6">
        <f t="shared" ref="M79:M140" si="23">I79-F79</f>
        <v>2.8784722220734693E-2</v>
      </c>
      <c r="N79" s="7">
        <f t="shared" si="21"/>
        <v>41.449999997857958</v>
      </c>
      <c r="O79" s="7"/>
      <c r="P79" s="7"/>
      <c r="Q79" s="35"/>
      <c r="R79" s="35"/>
      <c r="S79" s="59">
        <f t="shared" ref="S79:S140" si="24">SUM(U79:U79)/12</f>
        <v>1</v>
      </c>
      <c r="T79" s="1" t="str">
        <f t="shared" ref="T79:T140" si="25"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ref="V79:V140" si="26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https://search-rtdc-monitor-bjffxe2xuh6vdkpspy63sjmuny.us-east-1.es.amazonaws.com/_plugin/kibana/#/discover/Steve-Slow-Train-Analysis-(2080s-and-2083s)?_g=(refreshInterval:(display:Off,section:0,value:0),time:(from:'2016-06-30 11:39:03-0600',mode:absolute,to:'2016-06-30 12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9" s="38" t="str">
        <f t="shared" ref="W79:W140" si="27">IF(AA79&lt;23,"Y","N")</f>
        <v>N</v>
      </c>
      <c r="X79" s="38">
        <f t="shared" ref="X79:X140" si="28">VALUE(LEFT(A79,3))-VALUE(LEFT(A78,3))</f>
        <v>1</v>
      </c>
      <c r="Y79" s="38">
        <f t="shared" ref="Y79:Y140" si="29">RIGHT(D79,LEN(D79)-4)/10000</f>
        <v>4.7100000000000003E-2</v>
      </c>
      <c r="Z79" s="38">
        <f t="shared" ref="Z79:Z140" si="30">RIGHT(H79,LEN(H79)-4)/10000</f>
        <v>23.328600000000002</v>
      </c>
      <c r="AA79" s="38">
        <f t="shared" ref="AA79:AA140" si="31">ABS(Z79-Y79)</f>
        <v>23.281500000000001</v>
      </c>
      <c r="AB79" s="39" t="e">
        <f>VLOOKUP(A79,Enforcements!$C$7:$J$32,8,0)</f>
        <v>#N/A</v>
      </c>
      <c r="AC79" s="39" t="e">
        <f>VLOOKUP(A79,Enforcements!$C$7:$E$32,3,0)</f>
        <v>#N/A</v>
      </c>
    </row>
    <row r="80" spans="1:29" s="1" customFormat="1" x14ac:dyDescent="0.25">
      <c r="A80" s="67" t="s">
        <v>381</v>
      </c>
      <c r="B80" s="34">
        <v>4037</v>
      </c>
      <c r="C80" s="34" t="s">
        <v>60</v>
      </c>
      <c r="D80" s="34" t="s">
        <v>222</v>
      </c>
      <c r="E80" s="20">
        <v>42551.522175925929</v>
      </c>
      <c r="F80" s="20">
        <v>42551.523240740738</v>
      </c>
      <c r="G80" s="23">
        <v>1</v>
      </c>
      <c r="H80" s="20" t="s">
        <v>382</v>
      </c>
      <c r="I80" s="20">
        <v>42551.562916666669</v>
      </c>
      <c r="J80" s="34">
        <v>1</v>
      </c>
      <c r="K80" s="34" t="str">
        <f t="shared" si="22"/>
        <v>4037/4038</v>
      </c>
      <c r="L80" s="34" t="str">
        <f>VLOOKUP(A80,'Trips&amp;Operators'!$C$1:$E$10000,3,FALSE)</f>
        <v>MAYBERRY</v>
      </c>
      <c r="M80" s="6">
        <f t="shared" si="23"/>
        <v>3.9675925931078382E-2</v>
      </c>
      <c r="N80" s="7">
        <f t="shared" si="21"/>
        <v>57.13333334075287</v>
      </c>
      <c r="O80" s="7"/>
      <c r="P80" s="7"/>
      <c r="Q80" s="35"/>
      <c r="R80" s="35"/>
      <c r="S80" s="59">
        <f t="shared" si="24"/>
        <v>1</v>
      </c>
      <c r="T80" s="1" t="str">
        <f t="shared" si="25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0" s="38" t="str">
        <f t="shared" si="27"/>
        <v>N</v>
      </c>
      <c r="X80" s="38">
        <f t="shared" si="28"/>
        <v>1</v>
      </c>
      <c r="Y80" s="38">
        <f t="shared" si="29"/>
        <v>23.296500000000002</v>
      </c>
      <c r="Z80" s="38">
        <f t="shared" si="30"/>
        <v>1.9099999999999999E-2</v>
      </c>
      <c r="AA80" s="38">
        <f t="shared" si="31"/>
        <v>23.2774</v>
      </c>
      <c r="AB80" s="39">
        <f>VLOOKUP(A80,Enforcements!$C$7:$J$32,8,0)</f>
        <v>63309</v>
      </c>
      <c r="AC80" s="39" t="str">
        <f>VLOOKUP(A80,Enforcements!$C$7:$E$32,3,0)</f>
        <v>GRADE CROSSING</v>
      </c>
    </row>
    <row r="81" spans="1:29" s="53" customFormat="1" x14ac:dyDescent="0.25">
      <c r="A81" s="67" t="s">
        <v>383</v>
      </c>
      <c r="B81" s="34">
        <v>4020</v>
      </c>
      <c r="C81" s="34" t="s">
        <v>60</v>
      </c>
      <c r="D81" s="34" t="s">
        <v>156</v>
      </c>
      <c r="E81" s="20">
        <v>42551.496990740743</v>
      </c>
      <c r="F81" s="20">
        <v>42551.498032407406</v>
      </c>
      <c r="G81" s="23">
        <v>1</v>
      </c>
      <c r="H81" s="20" t="s">
        <v>147</v>
      </c>
      <c r="I81" s="20">
        <v>42551.526342592595</v>
      </c>
      <c r="J81" s="34">
        <v>1</v>
      </c>
      <c r="K81" s="34" t="str">
        <f t="shared" si="22"/>
        <v>4019/4020</v>
      </c>
      <c r="L81" s="34" t="str">
        <f>VLOOKUP(A81,'Trips&amp;Operators'!$C$1:$E$10000,3,FALSE)</f>
        <v>ROCHA</v>
      </c>
      <c r="M81" s="6">
        <f t="shared" si="23"/>
        <v>2.8310185189184267E-2</v>
      </c>
      <c r="N81" s="7">
        <f t="shared" si="21"/>
        <v>40.766666672425345</v>
      </c>
      <c r="O81" s="7"/>
      <c r="P81" s="7"/>
      <c r="Q81" s="35"/>
      <c r="R81" s="35"/>
      <c r="S81" s="59">
        <f t="shared" si="24"/>
        <v>1</v>
      </c>
      <c r="T81" s="1" t="str">
        <f t="shared" si="25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38" t="str">
        <f t="shared" si="27"/>
        <v>N</v>
      </c>
      <c r="X81" s="38">
        <f t="shared" si="28"/>
        <v>1</v>
      </c>
      <c r="Y81" s="38">
        <f t="shared" si="29"/>
        <v>4.4200000000000003E-2</v>
      </c>
      <c r="Z81" s="38">
        <f t="shared" si="30"/>
        <v>23.331199999999999</v>
      </c>
      <c r="AA81" s="38">
        <f t="shared" si="31"/>
        <v>23.286999999999999</v>
      </c>
      <c r="AB81" s="39" t="e">
        <f>VLOOKUP(A81,Enforcements!$C$7:$J$32,8,0)</f>
        <v>#N/A</v>
      </c>
      <c r="AC81" s="39" t="e">
        <f>VLOOKUP(A81,Enforcements!$C$7:$E$32,3,0)</f>
        <v>#N/A</v>
      </c>
    </row>
    <row r="82" spans="1:29" s="1" customFormat="1" x14ac:dyDescent="0.25">
      <c r="A82" s="67" t="s">
        <v>384</v>
      </c>
      <c r="B82" s="34">
        <v>4019</v>
      </c>
      <c r="C82" s="34" t="s">
        <v>60</v>
      </c>
      <c r="D82" s="34" t="s">
        <v>138</v>
      </c>
      <c r="E82" s="20">
        <v>42551.538113425922</v>
      </c>
      <c r="F82" s="20">
        <v>42551.539178240739</v>
      </c>
      <c r="G82" s="23">
        <v>1</v>
      </c>
      <c r="H82" s="20" t="s">
        <v>94</v>
      </c>
      <c r="I82" s="20">
        <v>42551.566365740742</v>
      </c>
      <c r="J82" s="34">
        <v>1</v>
      </c>
      <c r="K82" s="34" t="str">
        <f t="shared" si="22"/>
        <v>4019/4020</v>
      </c>
      <c r="L82" s="34" t="str">
        <f>VLOOKUP(A82,'Trips&amp;Operators'!$C$1:$E$10000,3,FALSE)</f>
        <v>ROCHA</v>
      </c>
      <c r="M82" s="6">
        <f t="shared" si="23"/>
        <v>2.718750000349246E-2</v>
      </c>
      <c r="N82" s="7">
        <f t="shared" si="21"/>
        <v>39.150000005029142</v>
      </c>
      <c r="O82" s="7"/>
      <c r="P82" s="7"/>
      <c r="Q82" s="35"/>
      <c r="R82" s="35"/>
      <c r="S82" s="59">
        <f t="shared" si="24"/>
        <v>1</v>
      </c>
      <c r="T82" s="1" t="str">
        <f t="shared" si="25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2" s="38" t="str">
        <f t="shared" si="27"/>
        <v>N</v>
      </c>
      <c r="X82" s="38">
        <f t="shared" si="28"/>
        <v>1</v>
      </c>
      <c r="Y82" s="38">
        <f t="shared" si="29"/>
        <v>23.298500000000001</v>
      </c>
      <c r="Z82" s="38">
        <f t="shared" si="30"/>
        <v>1.5800000000000002E-2</v>
      </c>
      <c r="AA82" s="38">
        <f t="shared" si="31"/>
        <v>23.282700000000002</v>
      </c>
      <c r="AB82" s="39" t="e">
        <f>VLOOKUP(A82,Enforcements!$C$7:$J$32,8,0)</f>
        <v>#N/A</v>
      </c>
      <c r="AC82" s="39" t="e">
        <f>VLOOKUP(A82,Enforcements!$C$7:$E$32,3,0)</f>
        <v>#N/A</v>
      </c>
    </row>
    <row r="83" spans="1:29" s="1" customFormat="1" ht="14.25" customHeight="1" x14ac:dyDescent="0.25">
      <c r="A83" s="67" t="s">
        <v>385</v>
      </c>
      <c r="B83" s="34">
        <v>4025</v>
      </c>
      <c r="C83" s="34" t="s">
        <v>60</v>
      </c>
      <c r="D83" s="34" t="s">
        <v>156</v>
      </c>
      <c r="E83" s="20">
        <v>42551.511122685188</v>
      </c>
      <c r="F83" s="20">
        <v>42551.511944444443</v>
      </c>
      <c r="G83" s="23">
        <v>1</v>
      </c>
      <c r="H83" s="20" t="s">
        <v>206</v>
      </c>
      <c r="I83" s="20">
        <v>42551.543298611112</v>
      </c>
      <c r="J83" s="34">
        <v>0</v>
      </c>
      <c r="K83" s="34" t="str">
        <f t="shared" si="22"/>
        <v>4025/4026</v>
      </c>
      <c r="L83" s="34" t="str">
        <f>VLOOKUP(A83,'Trips&amp;Operators'!$C$1:$E$10000,3,FALSE)</f>
        <v>YOUNG</v>
      </c>
      <c r="M83" s="6">
        <f t="shared" si="23"/>
        <v>3.1354166669188999E-2</v>
      </c>
      <c r="N83" s="7">
        <f t="shared" si="21"/>
        <v>45.150000003632158</v>
      </c>
      <c r="O83" s="7"/>
      <c r="P83" s="7"/>
      <c r="Q83" s="35"/>
      <c r="R83" s="35"/>
      <c r="S83" s="59">
        <f t="shared" si="24"/>
        <v>1</v>
      </c>
      <c r="T83" s="1" t="str">
        <f t="shared" si="25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12:15:01-0600',mode:absolute,to:'2016-06-30 13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38" t="str">
        <f t="shared" si="27"/>
        <v>N</v>
      </c>
      <c r="X83" s="38">
        <f t="shared" si="28"/>
        <v>1</v>
      </c>
      <c r="Y83" s="38">
        <f t="shared" si="29"/>
        <v>4.4200000000000003E-2</v>
      </c>
      <c r="Z83" s="38">
        <f t="shared" si="30"/>
        <v>23.331800000000001</v>
      </c>
      <c r="AA83" s="38">
        <f t="shared" si="31"/>
        <v>23.287600000000001</v>
      </c>
      <c r="AB83" s="39" t="e">
        <f>VLOOKUP(A83,Enforcements!$C$7:$J$32,8,0)</f>
        <v>#N/A</v>
      </c>
      <c r="AC83" s="39" t="e">
        <f>VLOOKUP(A83,Enforcements!$C$7:$E$32,3,0)</f>
        <v>#N/A</v>
      </c>
    </row>
    <row r="84" spans="1:29" s="1" customFormat="1" x14ac:dyDescent="0.25">
      <c r="A84" s="67" t="s">
        <v>386</v>
      </c>
      <c r="B84" s="34">
        <v>4026</v>
      </c>
      <c r="C84" s="34" t="s">
        <v>60</v>
      </c>
      <c r="D84" s="34" t="s">
        <v>143</v>
      </c>
      <c r="E84" s="20">
        <v>42551.545243055552</v>
      </c>
      <c r="F84" s="20">
        <v>42551.546400462961</v>
      </c>
      <c r="G84" s="23">
        <v>1</v>
      </c>
      <c r="H84" s="20" t="s">
        <v>157</v>
      </c>
      <c r="I84" s="20">
        <v>42551.582962962966</v>
      </c>
      <c r="J84" s="34">
        <v>0</v>
      </c>
      <c r="K84" s="34" t="str">
        <f t="shared" si="22"/>
        <v>4025/4026</v>
      </c>
      <c r="L84" s="34" t="str">
        <f>VLOOKUP(A84,'Trips&amp;Operators'!$C$1:$E$10000,3,FALSE)</f>
        <v>YOUNG</v>
      </c>
      <c r="M84" s="6">
        <f t="shared" si="23"/>
        <v>3.6562500004947651E-2</v>
      </c>
      <c r="N84" s="7">
        <f t="shared" si="21"/>
        <v>52.650000007124618</v>
      </c>
      <c r="O84" s="7"/>
      <c r="P84" s="7"/>
      <c r="Q84" s="35"/>
      <c r="R84" s="35"/>
      <c r="S84" s="59">
        <f t="shared" si="24"/>
        <v>1</v>
      </c>
      <c r="T84" s="1" t="str">
        <f t="shared" si="25"/>
        <v>Southbound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13:04:09-0600',mode:absolute,to:'2016-06-30 14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38" t="str">
        <f t="shared" si="27"/>
        <v>N</v>
      </c>
      <c r="X84" s="38">
        <f t="shared" si="28"/>
        <v>1</v>
      </c>
      <c r="Y84" s="38">
        <f t="shared" si="29"/>
        <v>23.298999999999999</v>
      </c>
      <c r="Z84" s="38">
        <f t="shared" si="30"/>
        <v>1.6500000000000001E-2</v>
      </c>
      <c r="AA84" s="38">
        <f t="shared" si="31"/>
        <v>23.282499999999999</v>
      </c>
      <c r="AB84" s="39" t="e">
        <f>VLOOKUP(A84,Enforcements!$C$7:$J$32,8,0)</f>
        <v>#N/A</v>
      </c>
      <c r="AC84" s="39" t="e">
        <f>VLOOKUP(A84,Enforcements!$C$7:$E$32,3,0)</f>
        <v>#N/A</v>
      </c>
    </row>
    <row r="85" spans="1:29" s="1" customFormat="1" x14ac:dyDescent="0.25">
      <c r="A85" s="67" t="s">
        <v>387</v>
      </c>
      <c r="B85" s="34">
        <v>4032</v>
      </c>
      <c r="C85" s="34" t="s">
        <v>60</v>
      </c>
      <c r="D85" s="34" t="s">
        <v>71</v>
      </c>
      <c r="E85" s="20">
        <v>42551.562268518515</v>
      </c>
      <c r="F85" s="20">
        <v>42551.563310185185</v>
      </c>
      <c r="G85" s="23">
        <v>1</v>
      </c>
      <c r="H85" s="20" t="s">
        <v>87</v>
      </c>
      <c r="I85" s="20">
        <v>42551.594224537039</v>
      </c>
      <c r="J85" s="34">
        <v>0</v>
      </c>
      <c r="K85" s="34" t="str">
        <f t="shared" si="22"/>
        <v>4031/4032</v>
      </c>
      <c r="L85" s="34" t="str">
        <f>VLOOKUP(A85,'Trips&amp;Operators'!$C$1:$E$10000,3,FALSE)</f>
        <v>STEWART</v>
      </c>
      <c r="M85" s="6">
        <f t="shared" si="23"/>
        <v>3.0914351853425615E-2</v>
      </c>
      <c r="N85" s="7">
        <f t="shared" si="21"/>
        <v>44.516666668932885</v>
      </c>
      <c r="O85" s="7"/>
      <c r="P85" s="7"/>
      <c r="Q85" s="35"/>
      <c r="R85" s="35"/>
      <c r="S85" s="59">
        <f t="shared" si="24"/>
        <v>1</v>
      </c>
      <c r="T85" s="1" t="str">
        <f t="shared" si="25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13:28:40-0600',mode:absolute,to:'2016-06-30 14:16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38" t="str">
        <f t="shared" si="27"/>
        <v>N</v>
      </c>
      <c r="X85" s="38">
        <f t="shared" si="28"/>
        <v>2</v>
      </c>
      <c r="Y85" s="38">
        <f t="shared" si="29"/>
        <v>23.297699999999999</v>
      </c>
      <c r="Z85" s="38">
        <f t="shared" si="30"/>
        <v>1.61E-2</v>
      </c>
      <c r="AA85" s="38">
        <f t="shared" si="31"/>
        <v>23.281599999999997</v>
      </c>
      <c r="AB85" s="39" t="e">
        <f>VLOOKUP(A85,Enforcements!$C$7:$J$32,8,0)</f>
        <v>#N/A</v>
      </c>
      <c r="AC85" s="39" t="e">
        <f>VLOOKUP(A85,Enforcements!$C$7:$E$32,3,0)</f>
        <v>#N/A</v>
      </c>
    </row>
    <row r="86" spans="1:29" s="1" customFormat="1" x14ac:dyDescent="0.25">
      <c r="A86" s="67" t="s">
        <v>388</v>
      </c>
      <c r="B86" s="34">
        <v>4014</v>
      </c>
      <c r="C86" s="34" t="s">
        <v>60</v>
      </c>
      <c r="D86" s="34" t="s">
        <v>165</v>
      </c>
      <c r="E86" s="20">
        <v>42551.528310185182</v>
      </c>
      <c r="F86" s="20">
        <v>42551.529930555553</v>
      </c>
      <c r="G86" s="23">
        <v>2</v>
      </c>
      <c r="H86" s="20" t="s">
        <v>97</v>
      </c>
      <c r="I86" s="20">
        <v>42551.560983796298</v>
      </c>
      <c r="J86" s="34">
        <v>0</v>
      </c>
      <c r="K86" s="34" t="str">
        <f t="shared" si="22"/>
        <v>4013/4014</v>
      </c>
      <c r="L86" s="34" t="str">
        <f>VLOOKUP(A86,'Trips&amp;Operators'!$C$1:$E$10000,3,FALSE)</f>
        <v>BARTLETT</v>
      </c>
      <c r="M86" s="6">
        <f t="shared" si="23"/>
        <v>3.1053240745677613E-2</v>
      </c>
      <c r="N86" s="7">
        <f t="shared" si="21"/>
        <v>44.716666673775762</v>
      </c>
      <c r="O86" s="7"/>
      <c r="P86" s="7"/>
      <c r="Q86" s="35"/>
      <c r="R86" s="35"/>
      <c r="S86" s="59">
        <f t="shared" si="24"/>
        <v>1</v>
      </c>
      <c r="T86" s="1" t="str">
        <f t="shared" si="25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12:39:46-0600',mode:absolute,to:'2016-06-30 13:28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6" s="38" t="str">
        <f t="shared" si="27"/>
        <v>N</v>
      </c>
      <c r="X86" s="38">
        <f t="shared" si="28"/>
        <v>1</v>
      </c>
      <c r="Y86" s="38">
        <f t="shared" si="29"/>
        <v>4.6199999999999998E-2</v>
      </c>
      <c r="Z86" s="38">
        <f t="shared" si="30"/>
        <v>23.3291</v>
      </c>
      <c r="AA86" s="38">
        <f t="shared" si="31"/>
        <v>23.282900000000001</v>
      </c>
      <c r="AB86" s="39" t="e">
        <f>VLOOKUP(A86,Enforcements!$C$7:$J$32,8,0)</f>
        <v>#N/A</v>
      </c>
      <c r="AC86" s="39" t="e">
        <f>VLOOKUP(A86,Enforcements!$C$7:$E$32,3,0)</f>
        <v>#N/A</v>
      </c>
    </row>
    <row r="87" spans="1:29" s="1" customFormat="1" x14ac:dyDescent="0.25">
      <c r="A87" s="67" t="s">
        <v>389</v>
      </c>
      <c r="B87" s="34">
        <v>4013</v>
      </c>
      <c r="C87" s="34" t="s">
        <v>60</v>
      </c>
      <c r="D87" s="34" t="s">
        <v>186</v>
      </c>
      <c r="E87" s="20">
        <v>42551.567708333336</v>
      </c>
      <c r="F87" s="20">
        <v>42551.569456018522</v>
      </c>
      <c r="G87" s="23">
        <v>2</v>
      </c>
      <c r="H87" s="20" t="s">
        <v>332</v>
      </c>
      <c r="I87" s="20">
        <v>42551.602129629631</v>
      </c>
      <c r="J87" s="34">
        <v>2</v>
      </c>
      <c r="K87" s="34" t="str">
        <f t="shared" si="22"/>
        <v>4013/4014</v>
      </c>
      <c r="L87" s="34" t="str">
        <f>VLOOKUP(A87,'Trips&amp;Operators'!$C$1:$E$10000,3,FALSE)</f>
        <v>BARTLETT</v>
      </c>
      <c r="M87" s="6">
        <f t="shared" si="23"/>
        <v>3.2673611109203193E-2</v>
      </c>
      <c r="N87" s="7">
        <f t="shared" si="21"/>
        <v>47.049999997252598</v>
      </c>
      <c r="O87" s="7"/>
      <c r="P87" s="7"/>
      <c r="Q87" s="35"/>
      <c r="R87" s="35"/>
      <c r="S87" s="59">
        <f t="shared" si="24"/>
        <v>1</v>
      </c>
      <c r="T87" s="1" t="str">
        <f t="shared" si="25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7" s="38" t="str">
        <f t="shared" si="27"/>
        <v>N</v>
      </c>
      <c r="X87" s="38">
        <f t="shared" si="28"/>
        <v>1</v>
      </c>
      <c r="Y87" s="38">
        <f t="shared" si="29"/>
        <v>23.297999999999998</v>
      </c>
      <c r="Z87" s="38">
        <f t="shared" si="30"/>
        <v>1.7399999999999999E-2</v>
      </c>
      <c r="AA87" s="38">
        <f t="shared" si="31"/>
        <v>23.2806</v>
      </c>
      <c r="AB87" s="39">
        <f>VLOOKUP(A87,Enforcements!$C$7:$J$32,8,0)</f>
        <v>63309</v>
      </c>
      <c r="AC87" s="39" t="str">
        <f>VLOOKUP(A87,Enforcements!$C$7:$E$32,3,0)</f>
        <v>GRADE CROSSING</v>
      </c>
    </row>
    <row r="88" spans="1:29" s="1" customFormat="1" x14ac:dyDescent="0.25">
      <c r="A88" s="67" t="s">
        <v>390</v>
      </c>
      <c r="B88" s="34">
        <v>4015</v>
      </c>
      <c r="C88" s="34" t="s">
        <v>60</v>
      </c>
      <c r="D88" s="34" t="s">
        <v>185</v>
      </c>
      <c r="E88" s="20">
        <v>42551.576203703706</v>
      </c>
      <c r="F88" s="20">
        <v>42551.577210648145</v>
      </c>
      <c r="G88" s="23">
        <v>1</v>
      </c>
      <c r="H88" s="20" t="s">
        <v>132</v>
      </c>
      <c r="I88" s="20">
        <v>42551.608275462961</v>
      </c>
      <c r="J88" s="34">
        <v>0</v>
      </c>
      <c r="K88" s="34" t="str">
        <f t="shared" si="22"/>
        <v>4015/4016</v>
      </c>
      <c r="L88" s="34" t="str">
        <f>VLOOKUP(A88,'Trips&amp;Operators'!$C$1:$E$10000,3,FALSE)</f>
        <v>SPECTOR</v>
      </c>
      <c r="M88" s="6">
        <f t="shared" si="23"/>
        <v>3.1064814815181307E-2</v>
      </c>
      <c r="N88" s="7">
        <f t="shared" si="21"/>
        <v>44.733333333861083</v>
      </c>
      <c r="O88" s="7"/>
      <c r="P88" s="7"/>
      <c r="Q88" s="35"/>
      <c r="R88" s="35"/>
      <c r="S88" s="59">
        <f t="shared" si="24"/>
        <v>1</v>
      </c>
      <c r="T88" s="1" t="str">
        <f t="shared" si="25"/>
        <v>Southbound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13:48:44-0600',mode:absolute,to:'2016-06-30 14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8" s="38" t="str">
        <f t="shared" si="27"/>
        <v>N</v>
      </c>
      <c r="X88" s="38">
        <f t="shared" si="28"/>
        <v>2</v>
      </c>
      <c r="Y88" s="38">
        <f t="shared" si="29"/>
        <v>23.2989</v>
      </c>
      <c r="Z88" s="38">
        <f t="shared" si="30"/>
        <v>1.43E-2</v>
      </c>
      <c r="AA88" s="38">
        <f t="shared" si="31"/>
        <v>23.284600000000001</v>
      </c>
      <c r="AB88" s="39" t="e">
        <f>VLOOKUP(A88,Enforcements!$C$7:$J$32,8,0)</f>
        <v>#N/A</v>
      </c>
      <c r="AC88" s="39" t="e">
        <f>VLOOKUP(A88,Enforcements!$C$7:$E$32,3,0)</f>
        <v>#N/A</v>
      </c>
    </row>
    <row r="89" spans="1:29" s="1" customFormat="1" x14ac:dyDescent="0.25">
      <c r="A89" s="67" t="s">
        <v>391</v>
      </c>
      <c r="B89" s="34">
        <v>4029</v>
      </c>
      <c r="C89" s="34" t="s">
        <v>60</v>
      </c>
      <c r="D89" s="34" t="s">
        <v>181</v>
      </c>
      <c r="E89" s="20">
        <v>42551.550312500003</v>
      </c>
      <c r="F89" s="20">
        <v>42551.551354166666</v>
      </c>
      <c r="G89" s="23">
        <v>1</v>
      </c>
      <c r="H89" s="20" t="s">
        <v>101</v>
      </c>
      <c r="I89" s="20">
        <v>42551.579016203701</v>
      </c>
      <c r="J89" s="34">
        <v>2</v>
      </c>
      <c r="K89" s="34" t="str">
        <f t="shared" si="22"/>
        <v>4029/4030</v>
      </c>
      <c r="L89" s="34" t="str">
        <f>VLOOKUP(A89,'Trips&amp;Operators'!$C$1:$E$10000,3,FALSE)</f>
        <v>SHOOK</v>
      </c>
      <c r="M89" s="6">
        <f t="shared" si="23"/>
        <v>2.7662037035042886E-2</v>
      </c>
      <c r="N89" s="7">
        <f t="shared" si="21"/>
        <v>39.833333330461755</v>
      </c>
      <c r="O89" s="7"/>
      <c r="P89" s="7"/>
      <c r="Q89" s="35"/>
      <c r="R89" s="35"/>
      <c r="S89" s="59">
        <f t="shared" si="24"/>
        <v>1</v>
      </c>
      <c r="T89" s="1" t="str">
        <f t="shared" si="25"/>
        <v>NorthBound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38" t="str">
        <f t="shared" si="27"/>
        <v>N</v>
      </c>
      <c r="X89" s="38">
        <f t="shared" si="28"/>
        <v>1</v>
      </c>
      <c r="Y89" s="38">
        <f t="shared" si="29"/>
        <v>4.4600000000000001E-2</v>
      </c>
      <c r="Z89" s="38">
        <f t="shared" si="30"/>
        <v>23.3307</v>
      </c>
      <c r="AA89" s="38">
        <f t="shared" si="31"/>
        <v>23.286100000000001</v>
      </c>
      <c r="AB89" s="39">
        <f>VLOOKUP(A89,Enforcements!$C$7:$J$32,8,0)</f>
        <v>63068</v>
      </c>
      <c r="AC89" s="39" t="str">
        <f>VLOOKUP(A89,Enforcements!$C$7:$E$32,3,0)</f>
        <v>GRADE CROSSING</v>
      </c>
    </row>
    <row r="90" spans="1:29" s="1" customFormat="1" x14ac:dyDescent="0.25">
      <c r="A90" s="67" t="s">
        <v>392</v>
      </c>
      <c r="B90" s="34">
        <v>4030</v>
      </c>
      <c r="C90" s="34" t="s">
        <v>60</v>
      </c>
      <c r="D90" s="34" t="s">
        <v>304</v>
      </c>
      <c r="E90" s="20">
        <v>42551.584166666667</v>
      </c>
      <c r="F90" s="20">
        <v>42551.585844907408</v>
      </c>
      <c r="G90" s="23">
        <v>2</v>
      </c>
      <c r="H90" s="20" t="s">
        <v>212</v>
      </c>
      <c r="I90" s="20">
        <v>42551.622789351852</v>
      </c>
      <c r="J90" s="34">
        <v>0</v>
      </c>
      <c r="K90" s="34" t="str">
        <f t="shared" si="22"/>
        <v>4029/4030</v>
      </c>
      <c r="L90" s="34" t="str">
        <f>VLOOKUP(A90,'Trips&amp;Operators'!$C$1:$E$10000,3,FALSE)</f>
        <v>SHOOK</v>
      </c>
      <c r="M90" s="6">
        <f t="shared" si="23"/>
        <v>3.6944444444088731E-2</v>
      </c>
      <c r="N90" s="7">
        <f t="shared" si="21"/>
        <v>53.199999999487773</v>
      </c>
      <c r="O90" s="7"/>
      <c r="P90" s="7"/>
      <c r="Q90" s="35"/>
      <c r="R90" s="35"/>
      <c r="S90" s="59">
        <f t="shared" si="24"/>
        <v>1</v>
      </c>
      <c r="T90" s="1" t="str">
        <f t="shared" si="25"/>
        <v>Southbound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14:00:12-0600',mode:absolute,to:'2016-06-30 14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38" t="str">
        <f t="shared" si="27"/>
        <v>N</v>
      </c>
      <c r="X90" s="38">
        <f t="shared" si="28"/>
        <v>1</v>
      </c>
      <c r="Y90" s="38">
        <f t="shared" si="29"/>
        <v>23.299199999999999</v>
      </c>
      <c r="Z90" s="38">
        <f t="shared" si="30"/>
        <v>1.6299999999999999E-2</v>
      </c>
      <c r="AA90" s="38">
        <f t="shared" si="31"/>
        <v>23.282899999999998</v>
      </c>
      <c r="AB90" s="39" t="e">
        <f>VLOOKUP(A90,Enforcements!$C$7:$J$32,8,0)</f>
        <v>#N/A</v>
      </c>
      <c r="AC90" s="39" t="e">
        <f>VLOOKUP(A90,Enforcements!$C$7:$E$32,3,0)</f>
        <v>#N/A</v>
      </c>
    </row>
    <row r="91" spans="1:29" s="1" customFormat="1" x14ac:dyDescent="0.25">
      <c r="A91" s="67" t="s">
        <v>393</v>
      </c>
      <c r="B91" s="34">
        <v>4038</v>
      </c>
      <c r="C91" s="34" t="s">
        <v>60</v>
      </c>
      <c r="D91" s="34" t="s">
        <v>394</v>
      </c>
      <c r="E91" s="20">
        <v>42551.563807870371</v>
      </c>
      <c r="F91" s="20">
        <v>42551.564733796295</v>
      </c>
      <c r="G91" s="23">
        <v>1</v>
      </c>
      <c r="H91" s="20" t="s">
        <v>97</v>
      </c>
      <c r="I91" s="20">
        <v>42551.594050925924</v>
      </c>
      <c r="J91" s="34">
        <v>1</v>
      </c>
      <c r="K91" s="34" t="str">
        <f t="shared" si="22"/>
        <v>4037/4038</v>
      </c>
      <c r="L91" s="34" t="str">
        <f>VLOOKUP(A91,'Trips&amp;Operators'!$C$1:$E$10000,3,FALSE)</f>
        <v>MAYBERRY</v>
      </c>
      <c r="M91" s="6">
        <f t="shared" si="23"/>
        <v>2.9317129628907423E-2</v>
      </c>
      <c r="N91" s="7">
        <f t="shared" si="21"/>
        <v>42.21666666562669</v>
      </c>
      <c r="O91" s="7"/>
      <c r="P91" s="7"/>
      <c r="Q91" s="35"/>
      <c r="R91" s="35"/>
      <c r="S91" s="59">
        <f t="shared" si="24"/>
        <v>1</v>
      </c>
      <c r="T91" s="1" t="str">
        <f t="shared" si="25"/>
        <v>NorthBound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38" t="str">
        <f t="shared" si="27"/>
        <v>N</v>
      </c>
      <c r="X91" s="38">
        <f t="shared" si="28"/>
        <v>1</v>
      </c>
      <c r="Y91" s="38">
        <f t="shared" si="29"/>
        <v>5.2400000000000002E-2</v>
      </c>
      <c r="Z91" s="38">
        <f t="shared" si="30"/>
        <v>23.3291</v>
      </c>
      <c r="AA91" s="38">
        <f t="shared" si="31"/>
        <v>23.276700000000002</v>
      </c>
      <c r="AB91" s="39">
        <f>VLOOKUP(A91,Enforcements!$C$7:$J$32,8,0)</f>
        <v>11201</v>
      </c>
      <c r="AC91" s="39" t="str">
        <f>VLOOKUP(A91,Enforcements!$C$7:$E$32,3,0)</f>
        <v>PERMANENT SPEED RESTRICTION</v>
      </c>
    </row>
    <row r="92" spans="1:29" s="1" customFormat="1" x14ac:dyDescent="0.25">
      <c r="A92" s="67" t="s">
        <v>395</v>
      </c>
      <c r="B92" s="34">
        <v>4037</v>
      </c>
      <c r="C92" s="34" t="s">
        <v>60</v>
      </c>
      <c r="D92" s="34" t="s">
        <v>396</v>
      </c>
      <c r="E92" s="20">
        <v>42551.595196759263</v>
      </c>
      <c r="F92" s="20">
        <v>42551.595972222225</v>
      </c>
      <c r="G92" s="23">
        <v>1</v>
      </c>
      <c r="H92" s="20" t="s">
        <v>94</v>
      </c>
      <c r="I92" s="20">
        <v>42551.628101851849</v>
      </c>
      <c r="J92" s="34">
        <v>1</v>
      </c>
      <c r="K92" s="34" t="str">
        <f t="shared" si="22"/>
        <v>4037/4038</v>
      </c>
      <c r="L92" s="34" t="str">
        <f>VLOOKUP(A92,'Trips&amp;Operators'!$C$1:$E$10000,3,FALSE)</f>
        <v>MAYBERRY</v>
      </c>
      <c r="M92" s="6">
        <f t="shared" si="23"/>
        <v>3.2129629624250811E-2</v>
      </c>
      <c r="N92" s="7">
        <f t="shared" si="21"/>
        <v>46.266666658921167</v>
      </c>
      <c r="O92" s="7"/>
      <c r="P92" s="7"/>
      <c r="Q92" s="35"/>
      <c r="R92" s="35"/>
      <c r="S92" s="59">
        <f t="shared" si="24"/>
        <v>1</v>
      </c>
      <c r="T92" s="1" t="str">
        <f t="shared" si="25"/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38" t="str">
        <f t="shared" si="27"/>
        <v>N</v>
      </c>
      <c r="X92" s="38">
        <f t="shared" si="28"/>
        <v>1</v>
      </c>
      <c r="Y92" s="38">
        <f t="shared" si="29"/>
        <v>23.297000000000001</v>
      </c>
      <c r="Z92" s="38">
        <f t="shared" si="30"/>
        <v>1.5800000000000002E-2</v>
      </c>
      <c r="AA92" s="38">
        <f t="shared" si="31"/>
        <v>23.281200000000002</v>
      </c>
      <c r="AB92" s="39" t="e">
        <f>VLOOKUP(A92,Enforcements!$C$7:$J$32,8,0)</f>
        <v>#N/A</v>
      </c>
      <c r="AC92" s="39" t="e">
        <f>VLOOKUP(A92,Enforcements!$C$7:$E$32,3,0)</f>
        <v>#N/A</v>
      </c>
    </row>
    <row r="93" spans="1:29" s="1" customFormat="1" x14ac:dyDescent="0.25">
      <c r="A93" s="67" t="s">
        <v>397</v>
      </c>
      <c r="B93" s="34">
        <v>4020</v>
      </c>
      <c r="C93" s="34" t="s">
        <v>60</v>
      </c>
      <c r="D93" s="34" t="s">
        <v>123</v>
      </c>
      <c r="E93" s="20">
        <v>42551.571192129632</v>
      </c>
      <c r="F93" s="20">
        <v>42551.572025462963</v>
      </c>
      <c r="G93" s="23">
        <v>1</v>
      </c>
      <c r="H93" s="20" t="s">
        <v>93</v>
      </c>
      <c r="I93" s="20">
        <v>42551.600462962961</v>
      </c>
      <c r="J93" s="34">
        <v>0</v>
      </c>
      <c r="K93" s="34" t="str">
        <f t="shared" si="22"/>
        <v>4019/4020</v>
      </c>
      <c r="L93" s="34" t="str">
        <f>VLOOKUP(A93,'Trips&amp;Operators'!$C$1:$E$10000,3,FALSE)</f>
        <v>ROCHA</v>
      </c>
      <c r="M93" s="6">
        <f t="shared" si="23"/>
        <v>2.8437499997380655E-2</v>
      </c>
      <c r="N93" s="7">
        <f t="shared" si="21"/>
        <v>40.949999996228144</v>
      </c>
      <c r="O93" s="7"/>
      <c r="P93" s="7"/>
      <c r="Q93" s="35"/>
      <c r="R93" s="35"/>
      <c r="S93" s="59">
        <f t="shared" si="24"/>
        <v>1</v>
      </c>
      <c r="T93" s="1" t="str">
        <f t="shared" si="25"/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13:41:31-0600',mode:absolute,to:'2016-06-30 14:25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3" s="38" t="str">
        <f t="shared" si="27"/>
        <v>N</v>
      </c>
      <c r="X93" s="38">
        <f t="shared" si="28"/>
        <v>1</v>
      </c>
      <c r="Y93" s="38">
        <f t="shared" si="29"/>
        <v>4.7300000000000002E-2</v>
      </c>
      <c r="Z93" s="38">
        <f t="shared" si="30"/>
        <v>23.329499999999999</v>
      </c>
      <c r="AA93" s="38">
        <f t="shared" si="31"/>
        <v>23.2822</v>
      </c>
      <c r="AB93" s="39" t="e">
        <f>VLOOKUP(A93,Enforcements!$C$7:$J$32,8,0)</f>
        <v>#N/A</v>
      </c>
      <c r="AC93" s="39" t="e">
        <f>VLOOKUP(A93,Enforcements!$C$7:$E$32,3,0)</f>
        <v>#N/A</v>
      </c>
    </row>
    <row r="94" spans="1:29" s="1" customFormat="1" x14ac:dyDescent="0.25">
      <c r="A94" s="67" t="s">
        <v>398</v>
      </c>
      <c r="B94" s="34">
        <v>4019</v>
      </c>
      <c r="C94" s="34" t="s">
        <v>60</v>
      </c>
      <c r="D94" s="34" t="s">
        <v>209</v>
      </c>
      <c r="E94" s="20">
        <v>42551.61005787037</v>
      </c>
      <c r="F94" s="20">
        <v>42551.611168981479</v>
      </c>
      <c r="G94" s="23">
        <v>1</v>
      </c>
      <c r="H94" s="20" t="s">
        <v>132</v>
      </c>
      <c r="I94" s="20">
        <v>42551.637326388889</v>
      </c>
      <c r="J94" s="34">
        <v>2</v>
      </c>
      <c r="K94" s="34" t="str">
        <f t="shared" si="22"/>
        <v>4019/4020</v>
      </c>
      <c r="L94" s="34" t="str">
        <f>VLOOKUP(A94,'Trips&amp;Operators'!$C$1:$E$10000,3,FALSE)</f>
        <v>ROCHA</v>
      </c>
      <c r="M94" s="6">
        <f t="shared" si="23"/>
        <v>2.6157407410209998E-2</v>
      </c>
      <c r="N94" s="7">
        <f t="shared" si="21"/>
        <v>37.666666670702398</v>
      </c>
      <c r="O94" s="7"/>
      <c r="P94" s="7"/>
      <c r="Q94" s="35"/>
      <c r="R94" s="35"/>
      <c r="S94" s="59">
        <f t="shared" si="24"/>
        <v>1</v>
      </c>
      <c r="T94" s="1" t="str">
        <f t="shared" si="25"/>
        <v>Southbound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4" s="38" t="str">
        <f t="shared" si="27"/>
        <v>N</v>
      </c>
      <c r="X94" s="38">
        <f t="shared" si="28"/>
        <v>1</v>
      </c>
      <c r="Y94" s="38">
        <f t="shared" si="29"/>
        <v>23.296299999999999</v>
      </c>
      <c r="Z94" s="38">
        <f t="shared" si="30"/>
        <v>1.43E-2</v>
      </c>
      <c r="AA94" s="38">
        <f t="shared" si="31"/>
        <v>23.282</v>
      </c>
      <c r="AB94" s="39" t="e">
        <f>VLOOKUP(A94,Enforcements!$C$7:$J$32,8,0)</f>
        <v>#N/A</v>
      </c>
      <c r="AC94" s="39" t="e">
        <f>VLOOKUP(A94,Enforcements!$C$7:$E$32,3,0)</f>
        <v>#N/A</v>
      </c>
    </row>
    <row r="95" spans="1:29" s="1" customFormat="1" x14ac:dyDescent="0.25">
      <c r="A95" s="67" t="s">
        <v>399</v>
      </c>
      <c r="B95" s="34">
        <v>4025</v>
      </c>
      <c r="C95" s="34" t="s">
        <v>60</v>
      </c>
      <c r="D95" s="34" t="s">
        <v>400</v>
      </c>
      <c r="E95" s="20">
        <v>42551.584768518522</v>
      </c>
      <c r="F95" s="20">
        <v>42551.586516203701</v>
      </c>
      <c r="G95" s="23">
        <v>2</v>
      </c>
      <c r="H95" s="20" t="s">
        <v>401</v>
      </c>
      <c r="I95" s="20">
        <v>42551.616516203707</v>
      </c>
      <c r="J95" s="34">
        <v>0</v>
      </c>
      <c r="K95" s="34" t="str">
        <f t="shared" si="22"/>
        <v>4025/4026</v>
      </c>
      <c r="L95" s="34" t="str">
        <f>VLOOKUP(A95,'Trips&amp;Operators'!$C$1:$E$10000,3,FALSE)</f>
        <v>YOUNG</v>
      </c>
      <c r="M95" s="6">
        <f t="shared" si="23"/>
        <v>3.0000000006111804E-2</v>
      </c>
      <c r="N95" s="7">
        <f t="shared" si="21"/>
        <v>43.200000008800998</v>
      </c>
      <c r="O95" s="7"/>
      <c r="P95" s="7"/>
      <c r="Q95" s="35"/>
      <c r="R95" s="35"/>
      <c r="S95" s="59">
        <f t="shared" si="24"/>
        <v>1</v>
      </c>
      <c r="T95" s="1" t="str">
        <f t="shared" si="25"/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14:01:04-0600',mode:absolute,to:'2016-06-30 14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5" s="38" t="str">
        <f t="shared" si="27"/>
        <v>N</v>
      </c>
      <c r="X95" s="38">
        <f t="shared" si="28"/>
        <v>1</v>
      </c>
      <c r="Y95" s="38">
        <f t="shared" si="29"/>
        <v>0.16539999999999999</v>
      </c>
      <c r="Z95" s="38">
        <f t="shared" si="30"/>
        <v>23.333200000000001</v>
      </c>
      <c r="AA95" s="38">
        <f t="shared" si="31"/>
        <v>23.1678</v>
      </c>
      <c r="AB95" s="39" t="e">
        <f>VLOOKUP(A95,Enforcements!$C$7:$J$32,8,0)</f>
        <v>#N/A</v>
      </c>
      <c r="AC95" s="39" t="e">
        <f>VLOOKUP(A95,Enforcements!$C$7:$E$32,3,0)</f>
        <v>#N/A</v>
      </c>
    </row>
    <row r="96" spans="1:29" s="1" customFormat="1" x14ac:dyDescent="0.25">
      <c r="A96" s="67" t="s">
        <v>402</v>
      </c>
      <c r="B96" s="34">
        <v>4026</v>
      </c>
      <c r="C96" s="34" t="s">
        <v>60</v>
      </c>
      <c r="D96" s="34" t="s">
        <v>166</v>
      </c>
      <c r="E96" s="20">
        <v>42551.620405092595</v>
      </c>
      <c r="F96" s="20">
        <v>42551.621504629627</v>
      </c>
      <c r="G96" s="23">
        <v>1</v>
      </c>
      <c r="H96" s="20" t="s">
        <v>403</v>
      </c>
      <c r="I96" s="20">
        <v>42551.653078703705</v>
      </c>
      <c r="J96" s="34">
        <v>0</v>
      </c>
      <c r="K96" s="34" t="str">
        <f t="shared" si="22"/>
        <v>4025/4026</v>
      </c>
      <c r="L96" s="34" t="str">
        <f>VLOOKUP(A96,'Trips&amp;Operators'!$C$1:$E$10000,3,FALSE)</f>
        <v>YOUNG</v>
      </c>
      <c r="M96" s="6">
        <f t="shared" si="23"/>
        <v>3.1574074077070691E-2</v>
      </c>
      <c r="N96" s="7">
        <f t="shared" si="21"/>
        <v>45.466666670981795</v>
      </c>
      <c r="O96" s="7"/>
      <c r="P96" s="7"/>
      <c r="Q96" s="35"/>
      <c r="R96" s="35"/>
      <c r="S96" s="59">
        <f t="shared" si="24"/>
        <v>1</v>
      </c>
      <c r="T96" s="1" t="str">
        <f t="shared" si="25"/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14:52:23-0600',mode:absolute,to:'2016-06-30 15:41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6" s="38" t="str">
        <f t="shared" si="27"/>
        <v>N</v>
      </c>
      <c r="X96" s="38">
        <f t="shared" si="28"/>
        <v>1</v>
      </c>
      <c r="Y96" s="38">
        <f t="shared" si="29"/>
        <v>23.299600000000002</v>
      </c>
      <c r="Z96" s="38">
        <f t="shared" si="30"/>
        <v>2.1600000000000001E-2</v>
      </c>
      <c r="AA96" s="38">
        <f t="shared" si="31"/>
        <v>23.278000000000002</v>
      </c>
      <c r="AB96" s="39" t="e">
        <f>VLOOKUP(A96,Enforcements!$C$7:$J$32,8,0)</f>
        <v>#N/A</v>
      </c>
      <c r="AC96" s="39" t="e">
        <f>VLOOKUP(A96,Enforcements!$C$7:$E$32,3,0)</f>
        <v>#N/A</v>
      </c>
    </row>
    <row r="97" spans="1:29" s="1" customFormat="1" x14ac:dyDescent="0.25">
      <c r="A97" s="67" t="s">
        <v>404</v>
      </c>
      <c r="B97" s="34">
        <v>4032</v>
      </c>
      <c r="C97" s="34" t="s">
        <v>60</v>
      </c>
      <c r="D97" s="34" t="s">
        <v>103</v>
      </c>
      <c r="E97" s="20">
        <v>42551.635254629633</v>
      </c>
      <c r="F97" s="20">
        <v>42551.636018518519</v>
      </c>
      <c r="G97" s="23">
        <v>1</v>
      </c>
      <c r="H97" s="20" t="s">
        <v>102</v>
      </c>
      <c r="I97" s="20">
        <v>42551.664907407408</v>
      </c>
      <c r="J97" s="34">
        <v>0</v>
      </c>
      <c r="K97" s="34" t="str">
        <f t="shared" si="22"/>
        <v>4031/4032</v>
      </c>
      <c r="L97" s="34" t="str">
        <f>VLOOKUP(A97,'Trips&amp;Operators'!$C$1:$E$10000,3,FALSE)</f>
        <v>STEWART</v>
      </c>
      <c r="M97" s="6">
        <f t="shared" si="23"/>
        <v>2.8888888889923692E-2</v>
      </c>
      <c r="N97" s="7">
        <f t="shared" si="21"/>
        <v>41.600000001490116</v>
      </c>
      <c r="O97" s="7"/>
      <c r="P97" s="7"/>
      <c r="Q97" s="35"/>
      <c r="R97" s="35"/>
      <c r="S97" s="59">
        <f t="shared" si="24"/>
        <v>1</v>
      </c>
      <c r="T97" s="1" t="str">
        <f t="shared" si="25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15:13:46-0600',mode:absolute,to:'2016-06-30 15:58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38" t="str">
        <f t="shared" si="27"/>
        <v>N</v>
      </c>
      <c r="X97" s="38">
        <f t="shared" si="28"/>
        <v>2</v>
      </c>
      <c r="Y97" s="38">
        <f t="shared" si="29"/>
        <v>23.2986</v>
      </c>
      <c r="Z97" s="38">
        <f t="shared" si="30"/>
        <v>1.4999999999999999E-2</v>
      </c>
      <c r="AA97" s="38">
        <f t="shared" si="31"/>
        <v>23.2836</v>
      </c>
      <c r="AB97" s="39" t="e">
        <f>VLOOKUP(A97,Enforcements!$C$7:$J$32,8,0)</f>
        <v>#N/A</v>
      </c>
      <c r="AC97" s="39" t="e">
        <f>VLOOKUP(A97,Enforcements!$C$7:$E$32,3,0)</f>
        <v>#N/A</v>
      </c>
    </row>
    <row r="98" spans="1:29" s="1" customFormat="1" x14ac:dyDescent="0.25">
      <c r="A98" s="67" t="s">
        <v>405</v>
      </c>
      <c r="B98" s="34">
        <v>4014</v>
      </c>
      <c r="C98" s="34" t="s">
        <v>60</v>
      </c>
      <c r="D98" s="34" t="s">
        <v>406</v>
      </c>
      <c r="E98" s="20">
        <v>42551.603055555555</v>
      </c>
      <c r="F98" s="20">
        <v>42551.605057870373</v>
      </c>
      <c r="G98" s="23">
        <v>2</v>
      </c>
      <c r="H98" s="20" t="s">
        <v>407</v>
      </c>
      <c r="I98" s="20">
        <v>42551.638229166667</v>
      </c>
      <c r="J98" s="34">
        <v>1</v>
      </c>
      <c r="K98" s="34" t="str">
        <f t="shared" si="22"/>
        <v>4013/4014</v>
      </c>
      <c r="L98" s="34" t="str">
        <f>VLOOKUP(A98,'Trips&amp;Operators'!$C$1:$E$10000,3,FALSE)</f>
        <v>BARTLETT</v>
      </c>
      <c r="M98" s="6">
        <f t="shared" si="23"/>
        <v>3.3171296294312924E-2</v>
      </c>
      <c r="N98" s="7">
        <f t="shared" si="21"/>
        <v>47.766666663810611</v>
      </c>
      <c r="O98" s="7"/>
      <c r="P98" s="7"/>
      <c r="Q98" s="35"/>
      <c r="R98" s="35"/>
      <c r="S98" s="59">
        <f t="shared" si="24"/>
        <v>1</v>
      </c>
      <c r="T98" s="1" t="str">
        <f t="shared" si="25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8" s="38" t="str">
        <f t="shared" si="27"/>
        <v>N</v>
      </c>
      <c r="X98" s="38">
        <f t="shared" si="28"/>
        <v>1</v>
      </c>
      <c r="Y98" s="38">
        <f t="shared" si="29"/>
        <v>9.2499999999999999E-2</v>
      </c>
      <c r="Z98" s="38">
        <f t="shared" si="30"/>
        <v>23.325099999999999</v>
      </c>
      <c r="AA98" s="38">
        <f t="shared" si="31"/>
        <v>23.232599999999998</v>
      </c>
      <c r="AB98" s="39" t="e">
        <f>VLOOKUP(A98,Enforcements!$C$7:$J$32,8,0)</f>
        <v>#N/A</v>
      </c>
      <c r="AC98" s="39" t="e">
        <f>VLOOKUP(A98,Enforcements!$C$7:$E$32,3,0)</f>
        <v>#N/A</v>
      </c>
    </row>
    <row r="99" spans="1:29" s="1" customFormat="1" x14ac:dyDescent="0.25">
      <c r="A99" s="67" t="s">
        <v>408</v>
      </c>
      <c r="B99" s="34">
        <v>4013</v>
      </c>
      <c r="C99" s="34" t="s">
        <v>60</v>
      </c>
      <c r="D99" s="34" t="s">
        <v>409</v>
      </c>
      <c r="E99" s="20">
        <v>42551.640416666669</v>
      </c>
      <c r="F99" s="20">
        <v>42551.641828703701</v>
      </c>
      <c r="G99" s="23">
        <v>2</v>
      </c>
      <c r="H99" s="20" t="s">
        <v>87</v>
      </c>
      <c r="I99" s="20">
        <v>42551.672210648147</v>
      </c>
      <c r="J99" s="34">
        <v>0</v>
      </c>
      <c r="K99" s="34" t="str">
        <f t="shared" si="22"/>
        <v>4013/4014</v>
      </c>
      <c r="L99" s="34" t="str">
        <f>VLOOKUP(A99,'Trips&amp;Operators'!$C$1:$E$10000,3,FALSE)</f>
        <v>BARTLETT</v>
      </c>
      <c r="M99" s="6">
        <f t="shared" si="23"/>
        <v>3.0381944445252884E-2</v>
      </c>
      <c r="N99" s="7">
        <f t="shared" si="21"/>
        <v>43.750000001164153</v>
      </c>
      <c r="O99" s="7"/>
      <c r="P99" s="7"/>
      <c r="Q99" s="35"/>
      <c r="R99" s="35"/>
      <c r="S99" s="59">
        <f t="shared" si="24"/>
        <v>1</v>
      </c>
      <c r="T99" s="1" t="str">
        <f t="shared" si="25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15:21:12-0600',mode:absolute,to:'2016-06-30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9" s="38" t="str">
        <f t="shared" si="27"/>
        <v>N</v>
      </c>
      <c r="X99" s="38">
        <f t="shared" si="28"/>
        <v>1</v>
      </c>
      <c r="Y99" s="38">
        <f t="shared" si="29"/>
        <v>23.2926</v>
      </c>
      <c r="Z99" s="38">
        <f t="shared" si="30"/>
        <v>1.61E-2</v>
      </c>
      <c r="AA99" s="38">
        <f t="shared" si="31"/>
        <v>23.276499999999999</v>
      </c>
      <c r="AB99" s="39" t="e">
        <f>VLOOKUP(A99,Enforcements!$C$7:$J$32,8,0)</f>
        <v>#N/A</v>
      </c>
      <c r="AC99" s="39" t="e">
        <f>VLOOKUP(A99,Enforcements!$C$7:$E$32,3,0)</f>
        <v>#N/A</v>
      </c>
    </row>
    <row r="100" spans="1:29" s="1" customFormat="1" x14ac:dyDescent="0.25">
      <c r="A100" s="67" t="s">
        <v>410</v>
      </c>
      <c r="B100" s="34">
        <v>4015</v>
      </c>
      <c r="C100" s="34" t="s">
        <v>60</v>
      </c>
      <c r="D100" s="34" t="s">
        <v>148</v>
      </c>
      <c r="E100" s="20">
        <v>42551.650694444441</v>
      </c>
      <c r="F100" s="20">
        <v>42551.651736111111</v>
      </c>
      <c r="G100" s="23">
        <v>1</v>
      </c>
      <c r="H100" s="20" t="s">
        <v>61</v>
      </c>
      <c r="I100" s="20">
        <v>42551.683645833335</v>
      </c>
      <c r="J100" s="34">
        <v>1</v>
      </c>
      <c r="K100" s="34" t="str">
        <f t="shared" si="22"/>
        <v>4015/4016</v>
      </c>
      <c r="L100" s="34" t="str">
        <f>VLOOKUP(A100,'Trips&amp;Operators'!$C$1:$E$10000,3,FALSE)</f>
        <v>SPECTOR</v>
      </c>
      <c r="M100" s="6">
        <f t="shared" si="23"/>
        <v>3.1909722223645076E-2</v>
      </c>
      <c r="N100" s="7">
        <f t="shared" si="21"/>
        <v>45.95000000204891</v>
      </c>
      <c r="O100" s="7"/>
      <c r="P100" s="7"/>
      <c r="Q100" s="35"/>
      <c r="R100" s="35"/>
      <c r="S100" s="59">
        <f t="shared" si="24"/>
        <v>1</v>
      </c>
      <c r="T100" s="1" t="str">
        <f t="shared" si="25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38" t="str">
        <f t="shared" si="27"/>
        <v>N</v>
      </c>
      <c r="X100" s="38">
        <f t="shared" si="28"/>
        <v>2</v>
      </c>
      <c r="Y100" s="38">
        <f t="shared" si="29"/>
        <v>23.298400000000001</v>
      </c>
      <c r="Z100" s="38">
        <f t="shared" si="30"/>
        <v>1.4500000000000001E-2</v>
      </c>
      <c r="AA100" s="38">
        <f t="shared" si="31"/>
        <v>23.283899999999999</v>
      </c>
      <c r="AB100" s="39" t="e">
        <f>VLOOKUP(A100,Enforcements!$C$7:$J$32,8,0)</f>
        <v>#N/A</v>
      </c>
      <c r="AC100" s="39" t="e">
        <f>VLOOKUP(A100,Enforcements!$C$7:$E$32,3,0)</f>
        <v>#N/A</v>
      </c>
    </row>
    <row r="101" spans="1:29" s="1" customFormat="1" x14ac:dyDescent="0.25">
      <c r="A101" s="67" t="s">
        <v>411</v>
      </c>
      <c r="B101" s="34">
        <v>4029</v>
      </c>
      <c r="C101" s="34" t="s">
        <v>60</v>
      </c>
      <c r="D101" s="34" t="s">
        <v>211</v>
      </c>
      <c r="E101" s="20">
        <v>42551.624178240738</v>
      </c>
      <c r="F101" s="20">
        <v>42551.625185185185</v>
      </c>
      <c r="G101" s="23">
        <v>1</v>
      </c>
      <c r="H101" s="20" t="s">
        <v>412</v>
      </c>
      <c r="I101" s="20">
        <v>42551.651898148149</v>
      </c>
      <c r="J101" s="34">
        <v>1</v>
      </c>
      <c r="K101" s="34" t="str">
        <f t="shared" si="22"/>
        <v>4029/4030</v>
      </c>
      <c r="L101" s="34" t="str">
        <f>VLOOKUP(A101,'Trips&amp;Operators'!$C$1:$E$10000,3,FALSE)</f>
        <v>SHOOK</v>
      </c>
      <c r="M101" s="6">
        <f t="shared" si="23"/>
        <v>2.6712962964666076E-2</v>
      </c>
      <c r="N101" s="7">
        <f t="shared" si="21"/>
        <v>38.466666669119149</v>
      </c>
      <c r="O101" s="7"/>
      <c r="P101" s="7"/>
      <c r="Q101" s="35"/>
      <c r="R101" s="35"/>
      <c r="S101" s="59">
        <f t="shared" si="24"/>
        <v>1</v>
      </c>
      <c r="T101" s="1" t="str">
        <f t="shared" si="25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27"/>
        <v>N</v>
      </c>
      <c r="X101" s="38">
        <f t="shared" si="28"/>
        <v>1</v>
      </c>
      <c r="Y101" s="38">
        <f t="shared" si="29"/>
        <v>4.6899999999999997E-2</v>
      </c>
      <c r="Z101" s="38">
        <f t="shared" si="30"/>
        <v>23.3383</v>
      </c>
      <c r="AA101" s="38">
        <f t="shared" si="31"/>
        <v>23.291399999999999</v>
      </c>
      <c r="AB101" s="39" t="e">
        <f>VLOOKUP(A101,Enforcements!$C$7:$J$32,8,0)</f>
        <v>#N/A</v>
      </c>
      <c r="AC101" s="39" t="e">
        <f>VLOOKUP(A101,Enforcements!$C$7:$E$32,3,0)</f>
        <v>#N/A</v>
      </c>
    </row>
    <row r="102" spans="1:29" s="1" customFormat="1" x14ac:dyDescent="0.25">
      <c r="A102" s="67" t="s">
        <v>413</v>
      </c>
      <c r="B102" s="34">
        <v>4030</v>
      </c>
      <c r="C102" s="34" t="s">
        <v>60</v>
      </c>
      <c r="D102" s="34" t="s">
        <v>414</v>
      </c>
      <c r="E102" s="20">
        <v>42551.661921296298</v>
      </c>
      <c r="F102" s="20">
        <v>42551.663159722222</v>
      </c>
      <c r="G102" s="20">
        <v>1</v>
      </c>
      <c r="H102" s="20" t="s">
        <v>415</v>
      </c>
      <c r="I102" s="20">
        <v>42551.691446759258</v>
      </c>
      <c r="J102" s="34">
        <v>1</v>
      </c>
      <c r="K102" s="34" t="str">
        <f t="shared" si="22"/>
        <v>4029/4030</v>
      </c>
      <c r="L102" s="34" t="str">
        <f>VLOOKUP(A102,'Trips&amp;Operators'!$C$1:$E$10000,3,FALSE)</f>
        <v>SHOOK</v>
      </c>
      <c r="M102" s="6">
        <f t="shared" si="23"/>
        <v>2.8287037035624962E-2</v>
      </c>
      <c r="N102" s="7">
        <f t="shared" si="21"/>
        <v>40.733333331299946</v>
      </c>
      <c r="O102" s="7"/>
      <c r="P102" s="7"/>
      <c r="Q102" s="35"/>
      <c r="R102" s="35"/>
      <c r="S102" s="59">
        <f t="shared" si="24"/>
        <v>1</v>
      </c>
      <c r="T102" s="1" t="str">
        <f t="shared" si="25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27"/>
        <v>N</v>
      </c>
      <c r="X102" s="38">
        <f t="shared" si="28"/>
        <v>1</v>
      </c>
      <c r="Y102" s="38">
        <f t="shared" si="29"/>
        <v>23.307600000000001</v>
      </c>
      <c r="Z102" s="38">
        <f t="shared" si="30"/>
        <v>1.9800000000000002E-2</v>
      </c>
      <c r="AA102" s="38">
        <f t="shared" si="31"/>
        <v>23.287800000000001</v>
      </c>
      <c r="AB102" s="39" t="e">
        <f>VLOOKUP(A102,Enforcements!$C$7:$J$32,8,0)</f>
        <v>#N/A</v>
      </c>
      <c r="AC102" s="39" t="e">
        <f>VLOOKUP(A102,Enforcements!$C$7:$E$32,3,0)</f>
        <v>#N/A</v>
      </c>
    </row>
    <row r="103" spans="1:29" s="1" customFormat="1" x14ac:dyDescent="0.25">
      <c r="A103" s="67" t="s">
        <v>416</v>
      </c>
      <c r="B103" s="34">
        <v>4038</v>
      </c>
      <c r="C103" s="34" t="s">
        <v>60</v>
      </c>
      <c r="D103" s="34" t="s">
        <v>164</v>
      </c>
      <c r="E103" s="20">
        <v>42551.629687499997</v>
      </c>
      <c r="F103" s="20">
        <v>42551.63082175926</v>
      </c>
      <c r="G103" s="20">
        <v>1</v>
      </c>
      <c r="H103" s="20" t="s">
        <v>417</v>
      </c>
      <c r="I103" s="20">
        <v>42551.661689814813</v>
      </c>
      <c r="J103" s="34">
        <v>1</v>
      </c>
      <c r="K103" s="34" t="str">
        <f t="shared" si="22"/>
        <v>4037/4038</v>
      </c>
      <c r="L103" s="34" t="str">
        <f>VLOOKUP(A103,'Trips&amp;Operators'!$C$1:$E$10000,3,FALSE)</f>
        <v>MAYBERRY</v>
      </c>
      <c r="M103" s="6">
        <f t="shared" si="23"/>
        <v>3.0868055553582963E-2</v>
      </c>
      <c r="N103" s="7">
        <f t="shared" si="21"/>
        <v>44.449999997159466</v>
      </c>
      <c r="O103" s="7"/>
      <c r="P103" s="7"/>
      <c r="Q103" s="35"/>
      <c r="R103" s="35"/>
      <c r="S103" s="59">
        <f t="shared" si="24"/>
        <v>1</v>
      </c>
      <c r="T103" s="1" t="str">
        <f t="shared" si="25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38" t="str">
        <f t="shared" si="27"/>
        <v>N</v>
      </c>
      <c r="X103" s="38">
        <f t="shared" si="28"/>
        <v>1</v>
      </c>
      <c r="Y103" s="38">
        <f t="shared" si="29"/>
        <v>4.4900000000000002E-2</v>
      </c>
      <c r="Z103" s="38">
        <f t="shared" si="30"/>
        <v>23.330500000000001</v>
      </c>
      <c r="AA103" s="38">
        <f t="shared" si="31"/>
        <v>23.285600000000002</v>
      </c>
      <c r="AB103" s="39">
        <f>VLOOKUP(A103,Enforcements!$C$7:$J$32,8,0)</f>
        <v>27333</v>
      </c>
      <c r="AC103" s="39" t="str">
        <f>VLOOKUP(A103,Enforcements!$C$7:$E$32,3,0)</f>
        <v>PERMANENT SPEED RESTRICTION</v>
      </c>
    </row>
    <row r="104" spans="1:29" s="1" customFormat="1" x14ac:dyDescent="0.25">
      <c r="A104" s="67" t="s">
        <v>418</v>
      </c>
      <c r="B104" s="34">
        <v>4037</v>
      </c>
      <c r="C104" s="34" t="s">
        <v>60</v>
      </c>
      <c r="D104" s="34" t="s">
        <v>219</v>
      </c>
      <c r="E104" s="20">
        <v>42551.667719907404</v>
      </c>
      <c r="F104" s="20">
        <v>42551.669525462959</v>
      </c>
      <c r="G104" s="20">
        <v>2</v>
      </c>
      <c r="H104" s="20" t="s">
        <v>183</v>
      </c>
      <c r="I104" s="20">
        <v>42551.704108796293</v>
      </c>
      <c r="J104" s="34">
        <v>1</v>
      </c>
      <c r="K104" s="34" t="str">
        <f t="shared" si="22"/>
        <v>4037/4038</v>
      </c>
      <c r="L104" s="34" t="str">
        <f>VLOOKUP(A104,'Trips&amp;Operators'!$C$1:$E$10000,3,FALSE)</f>
        <v>MAYBERRY</v>
      </c>
      <c r="M104" s="6">
        <f t="shared" si="23"/>
        <v>3.4583333334012423E-2</v>
      </c>
      <c r="N104" s="7">
        <f t="shared" si="21"/>
        <v>49.800000000977889</v>
      </c>
      <c r="O104" s="7"/>
      <c r="P104" s="7"/>
      <c r="Q104" s="35"/>
      <c r="R104" s="35"/>
      <c r="S104" s="59">
        <f t="shared" si="24"/>
        <v>1</v>
      </c>
      <c r="T104" s="1" t="str">
        <f t="shared" si="25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38" t="str">
        <f t="shared" si="27"/>
        <v>N</v>
      </c>
      <c r="X104" s="38">
        <f t="shared" si="28"/>
        <v>1</v>
      </c>
      <c r="Y104" s="38">
        <f t="shared" si="29"/>
        <v>23.297799999999999</v>
      </c>
      <c r="Z104" s="38">
        <f t="shared" si="30"/>
        <v>1.5599999999999999E-2</v>
      </c>
      <c r="AA104" s="38">
        <f t="shared" si="31"/>
        <v>23.2822</v>
      </c>
      <c r="AB104" s="39" t="e">
        <f>VLOOKUP(A104,Enforcements!$C$7:$J$32,8,0)</f>
        <v>#N/A</v>
      </c>
      <c r="AC104" s="39" t="e">
        <f>VLOOKUP(A104,Enforcements!$C$7:$E$32,3,0)</f>
        <v>#N/A</v>
      </c>
    </row>
    <row r="105" spans="1:29" s="1" customFormat="1" x14ac:dyDescent="0.25">
      <c r="A105" s="67" t="s">
        <v>419</v>
      </c>
      <c r="B105" s="34">
        <v>4020</v>
      </c>
      <c r="C105" s="34" t="s">
        <v>60</v>
      </c>
      <c r="D105" s="34" t="s">
        <v>420</v>
      </c>
      <c r="E105" s="20">
        <v>42551.651192129626</v>
      </c>
      <c r="F105" s="20">
        <v>42551.652384259258</v>
      </c>
      <c r="G105" s="20">
        <v>1</v>
      </c>
      <c r="H105" s="20" t="s">
        <v>147</v>
      </c>
      <c r="I105" s="20">
        <v>42551.677569444444</v>
      </c>
      <c r="J105" s="34">
        <v>0</v>
      </c>
      <c r="K105" s="34" t="str">
        <f t="shared" si="22"/>
        <v>4019/4020</v>
      </c>
      <c r="L105" s="34" t="str">
        <f>VLOOKUP(A105,'Trips&amp;Operators'!$C$1:$E$10000,3,FALSE)</f>
        <v>ROCHA</v>
      </c>
      <c r="M105" s="6">
        <f t="shared" si="23"/>
        <v>2.5185185186273884E-2</v>
      </c>
      <c r="N105" s="7"/>
      <c r="O105" s="7"/>
      <c r="P105" s="7">
        <f>24*60*SUM($M105:$M106)</f>
        <v>37.933333336841315</v>
      </c>
      <c r="Q105" s="35"/>
      <c r="R105" s="35" t="s">
        <v>654</v>
      </c>
      <c r="S105" s="59">
        <f t="shared" si="24"/>
        <v>1</v>
      </c>
      <c r="T105" s="1" t="str">
        <f t="shared" si="25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15:36:43-0600',mode:absolute,to:'2016-06-30 16:16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38" t="str">
        <f t="shared" si="27"/>
        <v>Y</v>
      </c>
      <c r="X105" s="38">
        <f t="shared" si="28"/>
        <v>1</v>
      </c>
      <c r="Y105" s="38">
        <f t="shared" si="29"/>
        <v>1.9126000000000001</v>
      </c>
      <c r="Z105" s="38">
        <f t="shared" si="30"/>
        <v>23.331199999999999</v>
      </c>
      <c r="AA105" s="38">
        <f t="shared" si="31"/>
        <v>21.418599999999998</v>
      </c>
      <c r="AB105" s="39" t="e">
        <f>VLOOKUP(A105,Enforcements!$C$7:$J$32,8,0)</f>
        <v>#N/A</v>
      </c>
      <c r="AC105" s="39" t="e">
        <f>VLOOKUP(A105,Enforcements!$C$7:$E$32,3,0)</f>
        <v>#N/A</v>
      </c>
    </row>
    <row r="106" spans="1:29" s="1" customFormat="1" x14ac:dyDescent="0.25">
      <c r="A106" s="67" t="s">
        <v>419</v>
      </c>
      <c r="B106" s="34">
        <v>4020</v>
      </c>
      <c r="C106" s="34" t="s">
        <v>60</v>
      </c>
      <c r="D106" s="34" t="s">
        <v>144</v>
      </c>
      <c r="E106" s="20">
        <v>42551.644212962965</v>
      </c>
      <c r="F106" s="20">
        <v>42551.645092592589</v>
      </c>
      <c r="G106" s="20">
        <v>1</v>
      </c>
      <c r="H106" s="20" t="s">
        <v>421</v>
      </c>
      <c r="I106" s="20">
        <v>42551.646249999998</v>
      </c>
      <c r="J106" s="34">
        <v>0</v>
      </c>
      <c r="K106" s="34" t="str">
        <f t="shared" si="22"/>
        <v>4019/4020</v>
      </c>
      <c r="L106" s="34" t="str">
        <f>VLOOKUP(A106,'Trips&amp;Operators'!$C$1:$E$10000,3,FALSE)</f>
        <v>ROCHA</v>
      </c>
      <c r="M106" s="6">
        <f t="shared" si="23"/>
        <v>1.157407408754807E-3</v>
      </c>
      <c r="N106" s="7"/>
      <c r="O106" s="7"/>
      <c r="P106" s="7"/>
      <c r="Q106" s="35"/>
      <c r="R106" s="35"/>
      <c r="S106" s="59"/>
      <c r="T106" s="1" t="str">
        <f t="shared" si="25"/>
        <v>NorthBound</v>
      </c>
      <c r="U106" s="1">
        <f>COUNTIFS(Variables!$M$2:$M$19,IF(T106="NorthBound","&gt;=","&lt;=")&amp;Y106,Variables!$M$2:$M$19,IF(T106="NorthBound","&lt;=","&gt;=")&amp;Z106)</f>
        <v>0</v>
      </c>
      <c r="V10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15:26:40-0600',mode:absolute,to:'2016-06-30 15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38" t="str">
        <f t="shared" si="27"/>
        <v>Y</v>
      </c>
      <c r="X106" s="38">
        <f t="shared" si="28"/>
        <v>0</v>
      </c>
      <c r="Y106" s="38">
        <f t="shared" si="29"/>
        <v>4.5100000000000001E-2</v>
      </c>
      <c r="Z106" s="38">
        <f t="shared" si="30"/>
        <v>0.1</v>
      </c>
      <c r="AA106" s="38">
        <f t="shared" si="31"/>
        <v>5.4900000000000004E-2</v>
      </c>
      <c r="AB106" s="39" t="e">
        <f>VLOOKUP(A106,Enforcements!$C$7:$J$32,8,0)</f>
        <v>#N/A</v>
      </c>
      <c r="AC106" s="39" t="e">
        <f>VLOOKUP(A106,Enforcements!$C$7:$E$32,3,0)</f>
        <v>#N/A</v>
      </c>
    </row>
    <row r="107" spans="1:29" s="1" customFormat="1" x14ac:dyDescent="0.25">
      <c r="A107" s="67" t="s">
        <v>422</v>
      </c>
      <c r="B107" s="34">
        <v>4019</v>
      </c>
      <c r="C107" s="34" t="s">
        <v>60</v>
      </c>
      <c r="D107" s="34" t="s">
        <v>217</v>
      </c>
      <c r="E107" s="20">
        <v>42551.683611111112</v>
      </c>
      <c r="F107" s="20">
        <v>42551.684351851851</v>
      </c>
      <c r="G107" s="20">
        <v>1</v>
      </c>
      <c r="H107" s="20" t="s">
        <v>68</v>
      </c>
      <c r="I107" s="20">
        <v>42551.710717592592</v>
      </c>
      <c r="J107" s="34">
        <v>0</v>
      </c>
      <c r="K107" s="34" t="str">
        <f t="shared" si="22"/>
        <v>4019/4020</v>
      </c>
      <c r="L107" s="34" t="str">
        <f>VLOOKUP(A107,'Trips&amp;Operators'!$C$1:$E$10000,3,FALSE)</f>
        <v>ROCHA</v>
      </c>
      <c r="M107" s="6">
        <f t="shared" si="23"/>
        <v>2.6365740741312038E-2</v>
      </c>
      <c r="N107" s="7">
        <f t="shared" si="21"/>
        <v>37.966666667489335</v>
      </c>
      <c r="O107" s="7"/>
      <c r="P107" s="7"/>
      <c r="Q107" s="35"/>
      <c r="R107" s="35"/>
      <c r="S107" s="59">
        <f t="shared" si="24"/>
        <v>1</v>
      </c>
      <c r="T107" s="1" t="str">
        <f t="shared" si="25"/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16:23:24-0600',mode:absolute,to:'2016-06-30 17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38" t="str">
        <f t="shared" si="27"/>
        <v>N</v>
      </c>
      <c r="X107" s="38">
        <f t="shared" si="28"/>
        <v>1</v>
      </c>
      <c r="Y107" s="38">
        <f t="shared" si="29"/>
        <v>23.3</v>
      </c>
      <c r="Z107" s="38">
        <f t="shared" si="30"/>
        <v>1.6E-2</v>
      </c>
      <c r="AA107" s="38">
        <f t="shared" si="31"/>
        <v>23.284000000000002</v>
      </c>
      <c r="AB107" s="39" t="e">
        <f>VLOOKUP(A107,Enforcements!$C$7:$J$32,8,0)</f>
        <v>#N/A</v>
      </c>
      <c r="AC107" s="39" t="e">
        <f>VLOOKUP(A107,Enforcements!$C$7:$E$32,3,0)</f>
        <v>#N/A</v>
      </c>
    </row>
    <row r="108" spans="1:29" s="1" customFormat="1" x14ac:dyDescent="0.25">
      <c r="A108" s="67" t="s">
        <v>423</v>
      </c>
      <c r="B108" s="34">
        <v>4025</v>
      </c>
      <c r="C108" s="34" t="s">
        <v>60</v>
      </c>
      <c r="D108" s="34" t="s">
        <v>394</v>
      </c>
      <c r="E108" s="20">
        <v>42551.655115740738</v>
      </c>
      <c r="F108" s="20">
        <v>42551.656064814815</v>
      </c>
      <c r="G108" s="20">
        <v>1</v>
      </c>
      <c r="H108" s="20" t="s">
        <v>101</v>
      </c>
      <c r="I108" s="20">
        <v>42551.684849537036</v>
      </c>
      <c r="J108" s="34">
        <v>1</v>
      </c>
      <c r="K108" s="34" t="str">
        <f t="shared" si="22"/>
        <v>4025/4026</v>
      </c>
      <c r="L108" s="34" t="str">
        <f>VLOOKUP(A108,'Trips&amp;Operators'!$C$1:$E$10000,3,FALSE)</f>
        <v>YOUNG</v>
      </c>
      <c r="M108" s="6">
        <f t="shared" si="23"/>
        <v>2.8784722220734693E-2</v>
      </c>
      <c r="N108" s="7">
        <f t="shared" si="21"/>
        <v>41.449999997857958</v>
      </c>
      <c r="O108" s="7"/>
      <c r="P108" s="7"/>
      <c r="Q108" s="35"/>
      <c r="R108" s="35"/>
      <c r="S108" s="59">
        <f t="shared" si="24"/>
        <v>1</v>
      </c>
      <c r="T108" s="1" t="str">
        <f t="shared" si="25"/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38" t="str">
        <f t="shared" si="27"/>
        <v>N</v>
      </c>
      <c r="X108" s="38">
        <f t="shared" si="28"/>
        <v>1</v>
      </c>
      <c r="Y108" s="38">
        <f t="shared" si="29"/>
        <v>5.2400000000000002E-2</v>
      </c>
      <c r="Z108" s="38">
        <f t="shared" si="30"/>
        <v>23.3307</v>
      </c>
      <c r="AA108" s="38">
        <f t="shared" si="31"/>
        <v>23.278300000000002</v>
      </c>
      <c r="AB108" s="39" t="e">
        <f>VLOOKUP(A108,Enforcements!$C$7:$J$32,8,0)</f>
        <v>#N/A</v>
      </c>
      <c r="AC108" s="39" t="e">
        <f>VLOOKUP(A108,Enforcements!$C$7:$E$32,3,0)</f>
        <v>#N/A</v>
      </c>
    </row>
    <row r="109" spans="1:29" s="1" customFormat="1" x14ac:dyDescent="0.25">
      <c r="A109" s="67" t="s">
        <v>424</v>
      </c>
      <c r="B109" s="34">
        <v>4026</v>
      </c>
      <c r="C109" s="34" t="s">
        <v>60</v>
      </c>
      <c r="D109" s="34" t="s">
        <v>219</v>
      </c>
      <c r="E109" s="20">
        <v>42551.690879629627</v>
      </c>
      <c r="F109" s="20">
        <v>42551.692025462966</v>
      </c>
      <c r="G109" s="20">
        <v>1</v>
      </c>
      <c r="H109" s="20" t="s">
        <v>425</v>
      </c>
      <c r="I109" s="20">
        <v>42551.725335648145</v>
      </c>
      <c r="J109" s="34">
        <v>0</v>
      </c>
      <c r="K109" s="34" t="str">
        <f t="shared" si="22"/>
        <v>4025/4026</v>
      </c>
      <c r="L109" s="34" t="str">
        <f>VLOOKUP(A109,'Trips&amp;Operators'!$C$1:$E$10000,3,FALSE)</f>
        <v>YOUNG</v>
      </c>
      <c r="M109" s="6">
        <f t="shared" si="23"/>
        <v>3.3310185179288965E-2</v>
      </c>
      <c r="N109" s="7">
        <f t="shared" si="21"/>
        <v>47.966666658176109</v>
      </c>
      <c r="O109" s="7"/>
      <c r="P109" s="7"/>
      <c r="Q109" s="35"/>
      <c r="R109" s="35"/>
      <c r="S109" s="59">
        <f t="shared" si="24"/>
        <v>1</v>
      </c>
      <c r="T109" s="1" t="str">
        <f t="shared" si="25"/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16:33:52-0600',mode:absolute,to:'2016-06-30 17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38" t="str">
        <f t="shared" si="27"/>
        <v>N</v>
      </c>
      <c r="X109" s="38">
        <f t="shared" si="28"/>
        <v>1</v>
      </c>
      <c r="Y109" s="38">
        <f t="shared" si="29"/>
        <v>23.297799999999999</v>
      </c>
      <c r="Z109" s="38">
        <f t="shared" si="30"/>
        <v>1.9599999999999999E-2</v>
      </c>
      <c r="AA109" s="38">
        <f t="shared" si="31"/>
        <v>23.278199999999998</v>
      </c>
      <c r="AB109" s="39" t="e">
        <f>VLOOKUP(A109,Enforcements!$C$7:$J$32,8,0)</f>
        <v>#N/A</v>
      </c>
      <c r="AC109" s="39" t="e">
        <f>VLOOKUP(A109,Enforcements!$C$7:$E$32,3,0)</f>
        <v>#N/A</v>
      </c>
    </row>
    <row r="110" spans="1:29" s="1" customFormat="1" x14ac:dyDescent="0.25">
      <c r="A110" s="67" t="s">
        <v>426</v>
      </c>
      <c r="B110" s="34">
        <v>4031</v>
      </c>
      <c r="C110" s="34" t="s">
        <v>60</v>
      </c>
      <c r="D110" s="34" t="s">
        <v>81</v>
      </c>
      <c r="E110" s="20">
        <v>42551.666805555556</v>
      </c>
      <c r="F110" s="20">
        <v>42551.667557870373</v>
      </c>
      <c r="G110" s="20">
        <v>1</v>
      </c>
      <c r="H110" s="20" t="s">
        <v>205</v>
      </c>
      <c r="I110" s="20">
        <v>42551.698483796295</v>
      </c>
      <c r="J110" s="34">
        <v>0</v>
      </c>
      <c r="K110" s="34" t="str">
        <f t="shared" si="22"/>
        <v>4031/4032</v>
      </c>
      <c r="L110" s="34" t="str">
        <f>VLOOKUP(A110,'Trips&amp;Operators'!$C$1:$E$10000,3,FALSE)</f>
        <v>STEWART</v>
      </c>
      <c r="M110" s="6">
        <f t="shared" si="23"/>
        <v>3.0925925922929309E-2</v>
      </c>
      <c r="N110" s="7">
        <f t="shared" si="21"/>
        <v>44.533333329018205</v>
      </c>
      <c r="O110" s="7"/>
      <c r="P110" s="7"/>
      <c r="Q110" s="35"/>
      <c r="R110" s="35"/>
      <c r="S110" s="59">
        <f t="shared" si="24"/>
        <v>1</v>
      </c>
      <c r="T110" s="1" t="str">
        <f t="shared" si="25"/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15:59:12-0600',mode:absolute,to:'2016-06-30 16:46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0" s="38" t="str">
        <f t="shared" si="27"/>
        <v>N</v>
      </c>
      <c r="X110" s="38">
        <f t="shared" si="28"/>
        <v>1</v>
      </c>
      <c r="Y110" s="38">
        <f t="shared" si="29"/>
        <v>4.58E-2</v>
      </c>
      <c r="Z110" s="38">
        <f t="shared" si="30"/>
        <v>23.328700000000001</v>
      </c>
      <c r="AA110" s="38">
        <f t="shared" si="31"/>
        <v>23.282900000000001</v>
      </c>
      <c r="AB110" s="39" t="e">
        <f>VLOOKUP(A110,Enforcements!$C$7:$J$32,8,0)</f>
        <v>#N/A</v>
      </c>
      <c r="AC110" s="39" t="e">
        <f>VLOOKUP(A110,Enforcements!$C$7:$E$32,3,0)</f>
        <v>#N/A</v>
      </c>
    </row>
    <row r="111" spans="1:29" s="1" customFormat="1" x14ac:dyDescent="0.25">
      <c r="A111" s="67" t="s">
        <v>428</v>
      </c>
      <c r="B111" s="34">
        <v>4014</v>
      </c>
      <c r="C111" s="34" t="s">
        <v>60</v>
      </c>
      <c r="D111" s="34" t="s">
        <v>181</v>
      </c>
      <c r="E111" s="20">
        <v>42551.675613425927</v>
      </c>
      <c r="F111" s="20">
        <v>42551.676400462966</v>
      </c>
      <c r="G111" s="20">
        <v>1</v>
      </c>
      <c r="H111" s="20" t="s">
        <v>321</v>
      </c>
      <c r="I111" s="20">
        <v>42551.704525462963</v>
      </c>
      <c r="J111" s="34">
        <v>0</v>
      </c>
      <c r="K111" s="34" t="str">
        <f t="shared" si="22"/>
        <v>4013/4014</v>
      </c>
      <c r="L111" s="34" t="str">
        <f>VLOOKUP(A111,'Trips&amp;Operators'!$C$1:$E$10000,3,FALSE)</f>
        <v>BARTLETT</v>
      </c>
      <c r="M111" s="6">
        <f t="shared" si="23"/>
        <v>2.8124999997089617E-2</v>
      </c>
      <c r="N111" s="7">
        <f t="shared" si="21"/>
        <v>40.499999995809048</v>
      </c>
      <c r="O111" s="7"/>
      <c r="P111" s="7"/>
      <c r="Q111" s="35"/>
      <c r="R111" s="35"/>
      <c r="S111" s="59">
        <f t="shared" si="24"/>
        <v>1</v>
      </c>
      <c r="T111" s="1" t="str">
        <f t="shared" si="25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16:11:53-0600',mode:absolute,to:'2016-06-30 16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1" s="38" t="str">
        <f t="shared" si="27"/>
        <v>N</v>
      </c>
      <c r="X111" s="38">
        <f t="shared" si="28"/>
        <v>2</v>
      </c>
      <c r="Y111" s="38">
        <f t="shared" si="29"/>
        <v>4.4600000000000001E-2</v>
      </c>
      <c r="Z111" s="38">
        <f t="shared" si="30"/>
        <v>23.327400000000001</v>
      </c>
      <c r="AA111" s="38">
        <f t="shared" si="31"/>
        <v>23.282800000000002</v>
      </c>
      <c r="AB111" s="39" t="e">
        <f>VLOOKUP(A111,Enforcements!$C$7:$J$32,8,0)</f>
        <v>#N/A</v>
      </c>
      <c r="AC111" s="39" t="e">
        <f>VLOOKUP(A111,Enforcements!$C$7:$E$32,3,0)</f>
        <v>#N/A</v>
      </c>
    </row>
    <row r="112" spans="1:29" s="1" customFormat="1" x14ac:dyDescent="0.25">
      <c r="A112" s="67" t="s">
        <v>429</v>
      </c>
      <c r="B112" s="34">
        <v>4013</v>
      </c>
      <c r="C112" s="34" t="s">
        <v>60</v>
      </c>
      <c r="D112" s="34" t="s">
        <v>329</v>
      </c>
      <c r="E112" s="20">
        <v>42551.713761574072</v>
      </c>
      <c r="F112" s="20">
        <v>42551.714768518519</v>
      </c>
      <c r="G112" s="20">
        <v>1</v>
      </c>
      <c r="H112" s="20" t="s">
        <v>67</v>
      </c>
      <c r="I112" s="20">
        <v>42551.744606481479</v>
      </c>
      <c r="J112" s="34">
        <v>0</v>
      </c>
      <c r="K112" s="34" t="str">
        <f t="shared" si="22"/>
        <v>4013/4014</v>
      </c>
      <c r="L112" s="34" t="str">
        <f>VLOOKUP(A112,'Trips&amp;Operators'!$C$1:$E$10000,3,FALSE)</f>
        <v>BARTLETT</v>
      </c>
      <c r="M112" s="6">
        <f t="shared" si="23"/>
        <v>2.9837962960300501E-2</v>
      </c>
      <c r="N112" s="7">
        <f t="shared" si="21"/>
        <v>42.966666662832722</v>
      </c>
      <c r="O112" s="7"/>
      <c r="P112" s="7"/>
      <c r="Q112" s="35"/>
      <c r="R112" s="35"/>
      <c r="S112" s="59">
        <f t="shared" si="24"/>
        <v>1</v>
      </c>
      <c r="T112" s="1" t="str">
        <f t="shared" si="25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17:06:49-0600',mode:absolute,to:'2016-06-30 17:53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2" s="38" t="str">
        <f t="shared" si="27"/>
        <v>N</v>
      </c>
      <c r="X112" s="38">
        <f t="shared" si="28"/>
        <v>1</v>
      </c>
      <c r="Y112" s="38">
        <f t="shared" si="29"/>
        <v>23.296099999999999</v>
      </c>
      <c r="Z112" s="38">
        <f t="shared" si="30"/>
        <v>1.47E-2</v>
      </c>
      <c r="AA112" s="38">
        <f t="shared" si="31"/>
        <v>23.281399999999998</v>
      </c>
      <c r="AB112" s="39" t="e">
        <f>VLOOKUP(A112,Enforcements!$C$7:$J$32,8,0)</f>
        <v>#N/A</v>
      </c>
      <c r="AC112" s="39" t="e">
        <f>VLOOKUP(A112,Enforcements!$C$7:$E$32,3,0)</f>
        <v>#N/A</v>
      </c>
    </row>
    <row r="113" spans="1:29" s="1" customFormat="1" x14ac:dyDescent="0.25">
      <c r="A113" s="67" t="s">
        <v>430</v>
      </c>
      <c r="B113" s="34">
        <v>4015</v>
      </c>
      <c r="C113" s="34" t="s">
        <v>60</v>
      </c>
      <c r="D113" s="34" t="s">
        <v>220</v>
      </c>
      <c r="E113" s="20">
        <v>42551.722881944443</v>
      </c>
      <c r="F113" s="20">
        <v>42551.72384259259</v>
      </c>
      <c r="G113" s="20">
        <v>1</v>
      </c>
      <c r="H113" s="20" t="s">
        <v>431</v>
      </c>
      <c r="I113" s="20">
        <v>42551.756203703706</v>
      </c>
      <c r="J113" s="34">
        <v>1</v>
      </c>
      <c r="K113" s="34" t="str">
        <f t="shared" si="22"/>
        <v>4015/4016</v>
      </c>
      <c r="L113" s="34" t="str">
        <f>VLOOKUP(A113,'Trips&amp;Operators'!$C$1:$E$10000,3,FALSE)</f>
        <v>SPECTOR</v>
      </c>
      <c r="M113" s="6">
        <f t="shared" si="23"/>
        <v>3.2361111116188113E-2</v>
      </c>
      <c r="N113" s="7">
        <f t="shared" si="21"/>
        <v>46.600000007310882</v>
      </c>
      <c r="O113" s="7"/>
      <c r="P113" s="7"/>
      <c r="Q113" s="35"/>
      <c r="R113" s="35"/>
      <c r="S113" s="59">
        <f t="shared" si="24"/>
        <v>1</v>
      </c>
      <c r="T113" s="1" t="str">
        <f t="shared" si="25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3" s="38" t="str">
        <f t="shared" si="27"/>
        <v>N</v>
      </c>
      <c r="X113" s="38">
        <f t="shared" si="28"/>
        <v>2</v>
      </c>
      <c r="Y113" s="38">
        <f t="shared" si="29"/>
        <v>23.3004</v>
      </c>
      <c r="Z113" s="38">
        <f t="shared" si="30"/>
        <v>0.1179</v>
      </c>
      <c r="AA113" s="38">
        <f t="shared" si="31"/>
        <v>23.182500000000001</v>
      </c>
      <c r="AB113" s="39">
        <f>VLOOKUP(A113,Enforcements!$C$7:$J$32,8,0)</f>
        <v>156300</v>
      </c>
      <c r="AC113" s="39" t="str">
        <f>VLOOKUP(A113,Enforcements!$C$7:$E$32,3,0)</f>
        <v>PERMANENT SPEED RESTRICTION</v>
      </c>
    </row>
    <row r="114" spans="1:29" s="1" customFormat="1" x14ac:dyDescent="0.25">
      <c r="A114" s="67" t="s">
        <v>432</v>
      </c>
      <c r="B114" s="34">
        <v>4029</v>
      </c>
      <c r="C114" s="34" t="s">
        <v>60</v>
      </c>
      <c r="D114" s="34" t="s">
        <v>433</v>
      </c>
      <c r="E114" s="20">
        <v>42551.693969907406</v>
      </c>
      <c r="F114" s="20">
        <v>42551.695069444446</v>
      </c>
      <c r="G114" s="20">
        <v>1</v>
      </c>
      <c r="H114" s="20" t="s">
        <v>206</v>
      </c>
      <c r="I114" s="20">
        <v>42551.724976851852</v>
      </c>
      <c r="J114" s="34">
        <v>1</v>
      </c>
      <c r="K114" s="34" t="str">
        <f t="shared" si="22"/>
        <v>4029/4030</v>
      </c>
      <c r="L114" s="34" t="str">
        <f>VLOOKUP(A114,'Trips&amp;Operators'!$C$1:$E$10000,3,FALSE)</f>
        <v>SHOOK</v>
      </c>
      <c r="M114" s="6">
        <f t="shared" si="23"/>
        <v>2.9907407406426501E-2</v>
      </c>
      <c r="N114" s="7">
        <f t="shared" si="21"/>
        <v>43.066666665254161</v>
      </c>
      <c r="O114" s="7"/>
      <c r="P114" s="7"/>
      <c r="Q114" s="35"/>
      <c r="R114" s="35"/>
      <c r="S114" s="59">
        <f t="shared" si="24"/>
        <v>1</v>
      </c>
      <c r="T114" s="1" t="str">
        <f t="shared" si="25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4" s="38" t="str">
        <f t="shared" si="27"/>
        <v>N</v>
      </c>
      <c r="X114" s="38">
        <f t="shared" si="28"/>
        <v>1</v>
      </c>
      <c r="Y114" s="38">
        <f t="shared" si="29"/>
        <v>5.11E-2</v>
      </c>
      <c r="Z114" s="38">
        <f t="shared" si="30"/>
        <v>23.331800000000001</v>
      </c>
      <c r="AA114" s="38">
        <f t="shared" si="31"/>
        <v>23.2807</v>
      </c>
      <c r="AB114" s="39">
        <f>VLOOKUP(A114,Enforcements!$C$7:$J$32,8,0)</f>
        <v>228668</v>
      </c>
      <c r="AC114" s="39" t="str">
        <f>VLOOKUP(A114,Enforcements!$C$7:$E$32,3,0)</f>
        <v>PERMANENT SPEED RESTRICTION</v>
      </c>
    </row>
    <row r="115" spans="1:29" x14ac:dyDescent="0.25">
      <c r="A115" s="67" t="s">
        <v>434</v>
      </c>
      <c r="B115" s="34">
        <v>4030</v>
      </c>
      <c r="C115" s="34" t="s">
        <v>60</v>
      </c>
      <c r="D115" s="34" t="s">
        <v>435</v>
      </c>
      <c r="E115" s="20">
        <v>42551.731585648151</v>
      </c>
      <c r="F115" s="20">
        <v>42551.732731481483</v>
      </c>
      <c r="G115" s="20">
        <v>1</v>
      </c>
      <c r="H115" s="20" t="s">
        <v>157</v>
      </c>
      <c r="I115" s="20">
        <v>42551.764224537037</v>
      </c>
      <c r="J115" s="34">
        <v>0</v>
      </c>
      <c r="K115" s="34" t="str">
        <f t="shared" si="22"/>
        <v>4029/4030</v>
      </c>
      <c r="L115" s="34" t="str">
        <f>VLOOKUP(A115,'Trips&amp;Operators'!$C$1:$E$10000,3,FALSE)</f>
        <v>SHOOK</v>
      </c>
      <c r="M115" s="6">
        <f t="shared" si="23"/>
        <v>3.1493055554165039E-2</v>
      </c>
      <c r="N115" s="7">
        <f t="shared" si="21"/>
        <v>45.349999997997656</v>
      </c>
      <c r="O115" s="7"/>
      <c r="P115" s="7"/>
      <c r="Q115" s="35"/>
      <c r="R115" s="35"/>
      <c r="S115" s="59">
        <f t="shared" si="24"/>
        <v>1</v>
      </c>
      <c r="T115" s="1" t="str">
        <f t="shared" si="25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17:32:29-0600',mode:absolute,to:'2016-06-30 18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5" s="38" t="str">
        <f t="shared" si="27"/>
        <v>N</v>
      </c>
      <c r="X115" s="38">
        <f t="shared" si="28"/>
        <v>1</v>
      </c>
      <c r="Y115" s="38">
        <f t="shared" si="29"/>
        <v>23.3001</v>
      </c>
      <c r="Z115" s="38">
        <f t="shared" si="30"/>
        <v>1.6500000000000001E-2</v>
      </c>
      <c r="AA115" s="38">
        <f t="shared" si="31"/>
        <v>23.2836</v>
      </c>
      <c r="AB115" s="39" t="e">
        <f>VLOOKUP(A115,Enforcements!$C$7:$J$32,8,0)</f>
        <v>#N/A</v>
      </c>
      <c r="AC115" s="39" t="e">
        <f>VLOOKUP(A115,Enforcements!$C$7:$E$32,3,0)</f>
        <v>#N/A</v>
      </c>
    </row>
    <row r="116" spans="1:29" x14ac:dyDescent="0.25">
      <c r="A116" s="67" t="s">
        <v>436</v>
      </c>
      <c r="B116" s="34">
        <v>4038</v>
      </c>
      <c r="C116" s="34" t="s">
        <v>60</v>
      </c>
      <c r="D116" s="34" t="s">
        <v>98</v>
      </c>
      <c r="E116" s="20">
        <v>42551.705358796295</v>
      </c>
      <c r="F116" s="20">
        <v>42551.706458333334</v>
      </c>
      <c r="G116" s="20">
        <v>1</v>
      </c>
      <c r="H116" s="20" t="s">
        <v>437</v>
      </c>
      <c r="I116" s="20">
        <v>42551.735752314817</v>
      </c>
      <c r="J116" s="34">
        <v>0</v>
      </c>
      <c r="K116" s="34" t="str">
        <f t="shared" si="22"/>
        <v>4037/4038</v>
      </c>
      <c r="L116" s="34" t="str">
        <f>VLOOKUP(A116,'Trips&amp;Operators'!$C$1:$E$10000,3,FALSE)</f>
        <v>MAYBERRY</v>
      </c>
      <c r="M116" s="6">
        <f t="shared" si="23"/>
        <v>2.9293981482624076E-2</v>
      </c>
      <c r="N116" s="7">
        <f t="shared" si="21"/>
        <v>42.18333333497867</v>
      </c>
      <c r="O116" s="7"/>
      <c r="P116" s="7"/>
      <c r="Q116" s="35"/>
      <c r="R116" s="35"/>
      <c r="S116" s="59">
        <f t="shared" si="24"/>
        <v>1</v>
      </c>
      <c r="T116" s="1" t="str">
        <f t="shared" si="25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16:54:43-0600',mode:absolute,to:'2016-06-30 17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38" t="str">
        <f t="shared" si="27"/>
        <v>N</v>
      </c>
      <c r="X116" s="38">
        <f t="shared" si="28"/>
        <v>1</v>
      </c>
      <c r="Y116" s="38">
        <f t="shared" si="29"/>
        <v>4.6699999999999998E-2</v>
      </c>
      <c r="Z116" s="38">
        <f t="shared" si="30"/>
        <v>23.3306</v>
      </c>
      <c r="AA116" s="38">
        <f t="shared" si="31"/>
        <v>23.283899999999999</v>
      </c>
      <c r="AB116" s="39" t="e">
        <f>VLOOKUP(A116,Enforcements!$C$7:$J$32,8,0)</f>
        <v>#N/A</v>
      </c>
      <c r="AC116" s="39" t="e">
        <f>VLOOKUP(A116,Enforcements!$C$7:$E$32,3,0)</f>
        <v>#N/A</v>
      </c>
    </row>
    <row r="117" spans="1:29" s="1" customFormat="1" x14ac:dyDescent="0.25">
      <c r="A117" s="67" t="s">
        <v>438</v>
      </c>
      <c r="B117" s="34">
        <v>4037</v>
      </c>
      <c r="C117" s="34" t="s">
        <v>60</v>
      </c>
      <c r="D117" s="34" t="s">
        <v>185</v>
      </c>
      <c r="E117" s="20">
        <v>42551.738425925927</v>
      </c>
      <c r="F117" s="20">
        <v>42551.739629629628</v>
      </c>
      <c r="G117" s="20">
        <v>1</v>
      </c>
      <c r="H117" s="20" t="s">
        <v>439</v>
      </c>
      <c r="I117" s="20">
        <v>42551.774074074077</v>
      </c>
      <c r="J117" s="34">
        <v>1</v>
      </c>
      <c r="K117" s="34" t="str">
        <f t="shared" si="22"/>
        <v>4037/4038</v>
      </c>
      <c r="L117" s="34" t="str">
        <f>VLOOKUP(A117,'Trips&amp;Operators'!$C$1:$E$10000,3,FALSE)</f>
        <v>MAYBERRY</v>
      </c>
      <c r="M117" s="6">
        <f t="shared" si="23"/>
        <v>3.4444444449036382E-2</v>
      </c>
      <c r="N117" s="7">
        <f t="shared" si="21"/>
        <v>49.60000000661239</v>
      </c>
      <c r="O117" s="7"/>
      <c r="P117" s="7"/>
      <c r="Q117" s="35"/>
      <c r="R117" s="35"/>
      <c r="S117" s="59">
        <f t="shared" si="24"/>
        <v>1</v>
      </c>
      <c r="T117" s="1" t="str">
        <f t="shared" si="25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38" t="str">
        <f t="shared" si="27"/>
        <v>N</v>
      </c>
      <c r="X117" s="38">
        <f t="shared" si="28"/>
        <v>1</v>
      </c>
      <c r="Y117" s="38">
        <f t="shared" si="29"/>
        <v>23.2989</v>
      </c>
      <c r="Z117" s="38">
        <f t="shared" si="30"/>
        <v>2.6200000000000001E-2</v>
      </c>
      <c r="AA117" s="38">
        <f t="shared" si="31"/>
        <v>23.2727</v>
      </c>
      <c r="AB117" s="39" t="e">
        <f>VLOOKUP(A117,Enforcements!$C$7:$J$32,8,0)</f>
        <v>#N/A</v>
      </c>
      <c r="AC117" s="39" t="e">
        <f>VLOOKUP(A117,Enforcements!$C$7:$E$32,3,0)</f>
        <v>#N/A</v>
      </c>
    </row>
    <row r="118" spans="1:29" x14ac:dyDescent="0.25">
      <c r="A118" s="67" t="s">
        <v>440</v>
      </c>
      <c r="B118" s="34">
        <v>4020</v>
      </c>
      <c r="C118" s="34" t="s">
        <v>60</v>
      </c>
      <c r="D118" s="34" t="s">
        <v>165</v>
      </c>
      <c r="E118" s="20">
        <v>42551.716041666667</v>
      </c>
      <c r="F118" s="20">
        <v>42551.717395833337</v>
      </c>
      <c r="G118" s="20">
        <v>1</v>
      </c>
      <c r="H118" s="20" t="s">
        <v>441</v>
      </c>
      <c r="I118" s="20">
        <v>42551.74454861111</v>
      </c>
      <c r="J118" s="34">
        <v>1</v>
      </c>
      <c r="K118" s="34" t="str">
        <f t="shared" si="22"/>
        <v>4019/4020</v>
      </c>
      <c r="L118" s="34" t="str">
        <f>VLOOKUP(A118,'Trips&amp;Operators'!$C$1:$E$10000,3,FALSE)</f>
        <v>BRUDER</v>
      </c>
      <c r="M118" s="6">
        <f t="shared" si="23"/>
        <v>2.7152777773153502E-2</v>
      </c>
      <c r="N118" s="7">
        <f t="shared" si="21"/>
        <v>39.099999993341044</v>
      </c>
      <c r="O118" s="7"/>
      <c r="P118" s="7"/>
      <c r="Q118" s="35"/>
      <c r="R118" s="35"/>
      <c r="S118" s="59">
        <f t="shared" si="24"/>
        <v>1</v>
      </c>
      <c r="T118" s="1" t="str">
        <f t="shared" si="25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38" t="str">
        <f t="shared" si="27"/>
        <v>N</v>
      </c>
      <c r="X118" s="38">
        <f t="shared" si="28"/>
        <v>1</v>
      </c>
      <c r="Y118" s="38">
        <f t="shared" si="29"/>
        <v>4.6199999999999998E-2</v>
      </c>
      <c r="Z118" s="38">
        <f t="shared" si="30"/>
        <v>23.325299999999999</v>
      </c>
      <c r="AA118" s="38">
        <f t="shared" si="31"/>
        <v>23.2791</v>
      </c>
      <c r="AB118" s="39" t="e">
        <f>VLOOKUP(A118,Enforcements!$C$7:$J$32,8,0)</f>
        <v>#N/A</v>
      </c>
      <c r="AC118" s="39" t="e">
        <f>VLOOKUP(A118,Enforcements!$C$7:$E$32,3,0)</f>
        <v>#N/A</v>
      </c>
    </row>
    <row r="119" spans="1:29" x14ac:dyDescent="0.25">
      <c r="A119" s="67" t="s">
        <v>442</v>
      </c>
      <c r="B119" s="34">
        <v>4019</v>
      </c>
      <c r="C119" s="34" t="s">
        <v>60</v>
      </c>
      <c r="D119" s="34" t="s">
        <v>443</v>
      </c>
      <c r="E119" s="20">
        <v>42551.752916666665</v>
      </c>
      <c r="F119" s="20">
        <v>42551.754108796296</v>
      </c>
      <c r="G119" s="20">
        <v>1</v>
      </c>
      <c r="H119" s="20" t="s">
        <v>444</v>
      </c>
      <c r="I119" s="20">
        <v>42551.78429398148</v>
      </c>
      <c r="J119" s="34">
        <v>0</v>
      </c>
      <c r="K119" s="34" t="str">
        <f t="shared" si="22"/>
        <v>4019/4020</v>
      </c>
      <c r="L119" s="34" t="str">
        <f>VLOOKUP(A119,'Trips&amp;Operators'!$C$1:$E$10000,3,FALSE)</f>
        <v>BRUDER</v>
      </c>
      <c r="M119" s="6">
        <f t="shared" si="23"/>
        <v>3.0185185183654539E-2</v>
      </c>
      <c r="N119" s="7">
        <f t="shared" si="21"/>
        <v>43.466666664462537</v>
      </c>
      <c r="O119" s="7"/>
      <c r="P119" s="7"/>
      <c r="Q119" s="35"/>
      <c r="R119" s="35"/>
      <c r="S119" s="59">
        <f t="shared" si="24"/>
        <v>1</v>
      </c>
      <c r="T119" s="1" t="str">
        <f t="shared" si="25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18:03:12-0600',mode:absolute,to:'2016-06-30 18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38" t="str">
        <f t="shared" si="27"/>
        <v>N</v>
      </c>
      <c r="X119" s="38">
        <f t="shared" si="28"/>
        <v>1</v>
      </c>
      <c r="Y119" s="38">
        <f t="shared" si="29"/>
        <v>23.291699999999999</v>
      </c>
      <c r="Z119" s="38">
        <f t="shared" si="30"/>
        <v>3.56E-2</v>
      </c>
      <c r="AA119" s="38">
        <f t="shared" si="31"/>
        <v>23.2561</v>
      </c>
      <c r="AB119" s="39" t="e">
        <f>VLOOKUP(A119,Enforcements!$C$7:$J$32,8,0)</f>
        <v>#N/A</v>
      </c>
      <c r="AC119" s="39" t="e">
        <f>VLOOKUP(A119,Enforcements!$C$7:$E$32,3,0)</f>
        <v>#N/A</v>
      </c>
    </row>
    <row r="120" spans="1:29" x14ac:dyDescent="0.25">
      <c r="A120" s="67" t="s">
        <v>445</v>
      </c>
      <c r="B120" s="34">
        <v>4025</v>
      </c>
      <c r="C120" s="34" t="s">
        <v>60</v>
      </c>
      <c r="D120" s="34" t="s">
        <v>446</v>
      </c>
      <c r="E120" s="20">
        <v>42551.727650462963</v>
      </c>
      <c r="F120" s="20">
        <v>42551.729444444441</v>
      </c>
      <c r="G120" s="20">
        <v>2</v>
      </c>
      <c r="H120" s="20" t="s">
        <v>447</v>
      </c>
      <c r="I120" s="20">
        <v>42551.746331018519</v>
      </c>
      <c r="J120" s="34">
        <v>0</v>
      </c>
      <c r="K120" s="34" t="str">
        <f t="shared" si="22"/>
        <v>4025/4026</v>
      </c>
      <c r="L120" s="34" t="str">
        <f>VLOOKUP(A120,'Trips&amp;Operators'!$C$1:$E$10000,3,FALSE)</f>
        <v>YOUNG</v>
      </c>
      <c r="M120" s="6">
        <f t="shared" si="23"/>
        <v>1.6886574077943806E-2</v>
      </c>
      <c r="N120" s="7"/>
      <c r="O120" s="7"/>
      <c r="P120" s="7">
        <f t="shared" si="21"/>
        <v>24.31666667223908</v>
      </c>
      <c r="Q120" s="35"/>
      <c r="R120" s="35" t="s">
        <v>655</v>
      </c>
      <c r="S120" s="59">
        <f t="shared" si="24"/>
        <v>0.75</v>
      </c>
      <c r="T120" s="1" t="str">
        <f t="shared" si="25"/>
        <v>NorthBound</v>
      </c>
      <c r="U120" s="1">
        <f>COUNTIFS(Variables!$M$2:$M$19,IF(T120="NorthBound","&gt;=","&lt;=")&amp;Y120,Variables!$M$2:$M$19,IF(T120="NorthBound","&lt;=","&gt;=")&amp;Z120)</f>
        <v>9</v>
      </c>
      <c r="V12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17:26:49-0600',mode:absolute,to:'2016-06-30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0" s="38" t="str">
        <f t="shared" si="27"/>
        <v>Y</v>
      </c>
      <c r="X120" s="38">
        <f t="shared" si="28"/>
        <v>1</v>
      </c>
      <c r="Y120" s="38">
        <f t="shared" si="29"/>
        <v>4.9700000000000001E-2</v>
      </c>
      <c r="Z120" s="38">
        <f t="shared" si="30"/>
        <v>7.5354000000000001</v>
      </c>
      <c r="AA120" s="38">
        <f t="shared" si="31"/>
        <v>7.4857000000000005</v>
      </c>
      <c r="AB120" s="39" t="e">
        <f>VLOOKUP(A120,Enforcements!$C$7:$J$32,8,0)</f>
        <v>#N/A</v>
      </c>
      <c r="AC120" s="39" t="e">
        <f>VLOOKUP(A120,Enforcements!$C$7:$E$32,3,0)</f>
        <v>#N/A</v>
      </c>
    </row>
    <row r="121" spans="1:29" x14ac:dyDescent="0.25">
      <c r="A121" s="67" t="s">
        <v>448</v>
      </c>
      <c r="B121" s="34">
        <v>4026</v>
      </c>
      <c r="C121" s="34" t="s">
        <v>60</v>
      </c>
      <c r="D121" s="34" t="s">
        <v>449</v>
      </c>
      <c r="E121" s="20">
        <v>42551.771608796298</v>
      </c>
      <c r="F121" s="20">
        <v>42551.772557870368</v>
      </c>
      <c r="G121" s="20">
        <v>1</v>
      </c>
      <c r="H121" s="20" t="s">
        <v>450</v>
      </c>
      <c r="I121" s="20">
        <v>42551.802546296298</v>
      </c>
      <c r="J121" s="34">
        <v>0</v>
      </c>
      <c r="K121" s="34" t="str">
        <f t="shared" si="22"/>
        <v>4025/4026</v>
      </c>
      <c r="L121" s="34" t="str">
        <f>VLOOKUP(A121,'Trips&amp;Operators'!$C$1:$E$10000,3,FALSE)</f>
        <v>YOUNG</v>
      </c>
      <c r="M121" s="6">
        <f t="shared" si="23"/>
        <v>2.9988425929332152E-2</v>
      </c>
      <c r="N121" s="7">
        <f t="shared" si="21"/>
        <v>43.183333338238299</v>
      </c>
      <c r="O121" s="7"/>
      <c r="P121" s="7"/>
      <c r="Q121" s="35"/>
      <c r="R121" s="35"/>
      <c r="S121" s="59">
        <f t="shared" si="24"/>
        <v>1</v>
      </c>
      <c r="T121" s="1" t="str">
        <f t="shared" si="25"/>
        <v>Southbound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18:30:07-0600',mode:absolute,to:'2016-06-30 19:16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1" s="38" t="str">
        <f t="shared" si="27"/>
        <v>N</v>
      </c>
      <c r="X121" s="38">
        <f t="shared" si="28"/>
        <v>1</v>
      </c>
      <c r="Y121" s="38">
        <f t="shared" si="29"/>
        <v>23.299800000000001</v>
      </c>
      <c r="Z121" s="38">
        <f t="shared" si="30"/>
        <v>1.0999999999999999E-2</v>
      </c>
      <c r="AA121" s="38">
        <f t="shared" si="31"/>
        <v>23.288800000000002</v>
      </c>
      <c r="AB121" s="39" t="e">
        <f>VLOOKUP(A121,Enforcements!$C$7:$J$32,8,0)</f>
        <v>#N/A</v>
      </c>
      <c r="AC121" s="39" t="e">
        <f>VLOOKUP(A121,Enforcements!$C$7:$E$32,3,0)</f>
        <v>#N/A</v>
      </c>
    </row>
    <row r="122" spans="1:29" x14ac:dyDescent="0.25">
      <c r="A122" s="67" t="s">
        <v>451</v>
      </c>
      <c r="B122" s="34">
        <v>4027</v>
      </c>
      <c r="C122" s="34" t="s">
        <v>60</v>
      </c>
      <c r="D122" s="34" t="s">
        <v>452</v>
      </c>
      <c r="E122" s="20">
        <v>42551.735555555555</v>
      </c>
      <c r="F122" s="20">
        <v>42551.737719907411</v>
      </c>
      <c r="G122" s="20">
        <v>3</v>
      </c>
      <c r="H122" s="20" t="s">
        <v>453</v>
      </c>
      <c r="I122" s="20">
        <v>42551.772881944446</v>
      </c>
      <c r="J122" s="34">
        <v>0</v>
      </c>
      <c r="K122" s="34" t="str">
        <f t="shared" si="22"/>
        <v>4027/4028</v>
      </c>
      <c r="L122" s="34" t="str">
        <f>VLOOKUP(A122,'Trips&amp;Operators'!$C$1:$E$10000,3,FALSE)</f>
        <v>MOSES</v>
      </c>
      <c r="M122" s="6">
        <f t="shared" si="23"/>
        <v>3.5162037034751847E-2</v>
      </c>
      <c r="N122" s="7">
        <f t="shared" si="21"/>
        <v>50.63333333004266</v>
      </c>
      <c r="O122" s="7"/>
      <c r="P122" s="7"/>
      <c r="Q122" s="35"/>
      <c r="R122" s="35"/>
      <c r="S122" s="59">
        <f t="shared" si="24"/>
        <v>1</v>
      </c>
      <c r="T122" s="1" t="str">
        <f t="shared" si="25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17:38:12-0600',mode:absolute,to:'2016-06-30 18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2" s="38" t="str">
        <f t="shared" si="27"/>
        <v>N</v>
      </c>
      <c r="X122" s="38">
        <f t="shared" si="28"/>
        <v>1</v>
      </c>
      <c r="Y122" s="38">
        <f t="shared" si="29"/>
        <v>7.1499999999999994E-2</v>
      </c>
      <c r="Z122" s="38">
        <f t="shared" si="30"/>
        <v>23.326599999999999</v>
      </c>
      <c r="AA122" s="38">
        <f t="shared" si="31"/>
        <v>23.255099999999999</v>
      </c>
      <c r="AB122" s="39" t="e">
        <f>VLOOKUP(A122,Enforcements!$C$7:$J$32,8,0)</f>
        <v>#N/A</v>
      </c>
      <c r="AC122" s="39" t="e">
        <f>VLOOKUP(A122,Enforcements!$C$7:$E$32,3,0)</f>
        <v>#N/A</v>
      </c>
    </row>
    <row r="123" spans="1:29" x14ac:dyDescent="0.25">
      <c r="A123" s="67" t="s">
        <v>454</v>
      </c>
      <c r="B123" s="34">
        <v>4028</v>
      </c>
      <c r="C123" s="34" t="s">
        <v>60</v>
      </c>
      <c r="D123" s="34" t="s">
        <v>329</v>
      </c>
      <c r="E123" s="20">
        <v>42551.777719907404</v>
      </c>
      <c r="F123" s="20">
        <v>42551.778680555559</v>
      </c>
      <c r="G123" s="20">
        <v>1</v>
      </c>
      <c r="H123" s="20" t="s">
        <v>455</v>
      </c>
      <c r="I123" s="20">
        <v>42551.805601851855</v>
      </c>
      <c r="J123" s="34">
        <v>0</v>
      </c>
      <c r="K123" s="34" t="str">
        <f t="shared" si="22"/>
        <v>4027/4028</v>
      </c>
      <c r="L123" s="34" t="str">
        <f>VLOOKUP(A123,'Trips&amp;Operators'!$C$1:$E$10000,3,FALSE)</f>
        <v>MOSES</v>
      </c>
      <c r="M123" s="6">
        <f t="shared" si="23"/>
        <v>2.6921296295768116E-2</v>
      </c>
      <c r="N123" s="7">
        <f t="shared" si="21"/>
        <v>38.766666665906087</v>
      </c>
      <c r="O123" s="7"/>
      <c r="P123" s="7"/>
      <c r="Q123" s="35"/>
      <c r="R123" s="35"/>
      <c r="S123" s="59">
        <f t="shared" si="24"/>
        <v>1</v>
      </c>
      <c r="T123" s="1" t="str">
        <f t="shared" si="25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18:38:55-0600',mode:absolute,to:'2016-06-30 19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3" s="38" t="str">
        <f t="shared" si="27"/>
        <v>N</v>
      </c>
      <c r="X123" s="38">
        <f t="shared" si="28"/>
        <v>1</v>
      </c>
      <c r="Y123" s="38">
        <f t="shared" si="29"/>
        <v>23.296099999999999</v>
      </c>
      <c r="Z123" s="38">
        <f t="shared" si="30"/>
        <v>1.8499999999999999E-2</v>
      </c>
      <c r="AA123" s="38">
        <f t="shared" si="31"/>
        <v>23.2776</v>
      </c>
      <c r="AB123" s="39" t="e">
        <f>VLOOKUP(A123,Enforcements!$C$7:$J$32,8,0)</f>
        <v>#N/A</v>
      </c>
      <c r="AC123" s="39" t="e">
        <f>VLOOKUP(A123,Enforcements!$C$7:$E$32,3,0)</f>
        <v>#N/A</v>
      </c>
    </row>
    <row r="124" spans="1:29" x14ac:dyDescent="0.25">
      <c r="A124" s="67" t="s">
        <v>456</v>
      </c>
      <c r="B124" s="34">
        <v>4014</v>
      </c>
      <c r="C124" s="34" t="s">
        <v>60</v>
      </c>
      <c r="D124" s="34" t="s">
        <v>73</v>
      </c>
      <c r="E124" s="20">
        <v>42551.745949074073</v>
      </c>
      <c r="F124" s="20">
        <v>42551.747395833336</v>
      </c>
      <c r="G124" s="20">
        <v>2</v>
      </c>
      <c r="H124" s="20" t="s">
        <v>93</v>
      </c>
      <c r="I124" s="20">
        <v>42551.777314814812</v>
      </c>
      <c r="J124" s="34">
        <v>0</v>
      </c>
      <c r="K124" s="34" t="str">
        <f t="shared" si="22"/>
        <v>4013/4014</v>
      </c>
      <c r="L124" s="34" t="str">
        <f>VLOOKUP(A124,'Trips&amp;Operators'!$C$1:$E$10000,3,FALSE)</f>
        <v>BARTLETT</v>
      </c>
      <c r="M124" s="6">
        <f t="shared" si="23"/>
        <v>2.9918981475930195E-2</v>
      </c>
      <c r="N124" s="7">
        <f t="shared" si="21"/>
        <v>43.083333325339481</v>
      </c>
      <c r="O124" s="7"/>
      <c r="P124" s="7"/>
      <c r="Q124" s="35"/>
      <c r="R124" s="35"/>
      <c r="S124" s="59">
        <f t="shared" si="24"/>
        <v>1</v>
      </c>
      <c r="T124" s="1" t="str">
        <f t="shared" si="25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17:53:10-0600',mode:absolute,to:'2016-06-30 18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38" t="str">
        <f t="shared" si="27"/>
        <v>N</v>
      </c>
      <c r="X124" s="38">
        <f t="shared" si="28"/>
        <v>1</v>
      </c>
      <c r="Y124" s="38">
        <f t="shared" si="29"/>
        <v>4.5699999999999998E-2</v>
      </c>
      <c r="Z124" s="38">
        <f t="shared" si="30"/>
        <v>23.329499999999999</v>
      </c>
      <c r="AA124" s="38">
        <f t="shared" si="31"/>
        <v>23.283799999999999</v>
      </c>
      <c r="AB124" s="39" t="e">
        <f>VLOOKUP(A124,Enforcements!$C$7:$J$32,8,0)</f>
        <v>#N/A</v>
      </c>
      <c r="AC124" s="39" t="e">
        <f>VLOOKUP(A124,Enforcements!$C$7:$E$32,3,0)</f>
        <v>#N/A</v>
      </c>
    </row>
    <row r="125" spans="1:29" x14ac:dyDescent="0.25">
      <c r="A125" s="67" t="s">
        <v>457</v>
      </c>
      <c r="B125" s="34">
        <v>4013</v>
      </c>
      <c r="C125" s="34" t="s">
        <v>60</v>
      </c>
      <c r="D125" s="34" t="s">
        <v>458</v>
      </c>
      <c r="E125" s="20">
        <v>42551.783703703702</v>
      </c>
      <c r="F125" s="20">
        <v>42551.784884259258</v>
      </c>
      <c r="G125" s="20">
        <v>1</v>
      </c>
      <c r="H125" s="20" t="s">
        <v>169</v>
      </c>
      <c r="I125" s="20">
        <v>42551.817303240743</v>
      </c>
      <c r="J125" s="34">
        <v>0</v>
      </c>
      <c r="K125" s="34" t="str">
        <f t="shared" si="22"/>
        <v>4013/4014</v>
      </c>
      <c r="L125" s="34" t="str">
        <f>VLOOKUP(A125,'Trips&amp;Operators'!$C$1:$E$10000,3,FALSE)</f>
        <v>BARTLETT</v>
      </c>
      <c r="M125" s="6">
        <f t="shared" si="23"/>
        <v>3.2418981485534459E-2</v>
      </c>
      <c r="N125" s="7">
        <f t="shared" si="21"/>
        <v>46.683333339169621</v>
      </c>
      <c r="O125" s="7"/>
      <c r="P125" s="7"/>
      <c r="Q125" s="35"/>
      <c r="R125" s="35"/>
      <c r="S125" s="59">
        <f t="shared" si="24"/>
        <v>1</v>
      </c>
      <c r="T125" s="1" t="str">
        <f t="shared" si="25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18:47:32-0600',mode:absolute,to:'2016-06-30 19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38" t="str">
        <f t="shared" si="27"/>
        <v>N</v>
      </c>
      <c r="X125" s="38">
        <f t="shared" si="28"/>
        <v>1</v>
      </c>
      <c r="Y125" s="38">
        <f t="shared" si="29"/>
        <v>23.301300000000001</v>
      </c>
      <c r="Z125" s="38">
        <f t="shared" si="30"/>
        <v>1.7600000000000001E-2</v>
      </c>
      <c r="AA125" s="38">
        <f t="shared" si="31"/>
        <v>23.2837</v>
      </c>
      <c r="AB125" s="39" t="e">
        <f>VLOOKUP(A125,Enforcements!$C$7:$J$32,8,0)</f>
        <v>#N/A</v>
      </c>
      <c r="AC125" s="39" t="e">
        <f>VLOOKUP(A125,Enforcements!$C$7:$E$32,3,0)</f>
        <v>#N/A</v>
      </c>
    </row>
    <row r="126" spans="1:29" x14ac:dyDescent="0.25">
      <c r="A126" s="67" t="s">
        <v>459</v>
      </c>
      <c r="B126" s="34">
        <v>4040</v>
      </c>
      <c r="C126" s="34" t="s">
        <v>60</v>
      </c>
      <c r="D126" s="34" t="s">
        <v>146</v>
      </c>
      <c r="E126" s="20">
        <v>42551.756458333337</v>
      </c>
      <c r="F126" s="20">
        <v>42551.757557870369</v>
      </c>
      <c r="G126" s="20">
        <v>1</v>
      </c>
      <c r="H126" s="20" t="s">
        <v>139</v>
      </c>
      <c r="I126" s="20">
        <v>42551.786956018521</v>
      </c>
      <c r="J126" s="34">
        <v>1</v>
      </c>
      <c r="K126" s="34" t="str">
        <f t="shared" si="22"/>
        <v>4039/4040</v>
      </c>
      <c r="L126" s="34" t="str">
        <f>VLOOKUP(A126,'Trips&amp;Operators'!$C$1:$E$10000,3,FALSE)</f>
        <v>ADANE</v>
      </c>
      <c r="M126" s="6">
        <f t="shared" si="23"/>
        <v>2.9398148151813075E-2</v>
      </c>
      <c r="N126" s="7">
        <f t="shared" si="21"/>
        <v>42.333333338610828</v>
      </c>
      <c r="O126" s="7"/>
      <c r="P126" s="7"/>
      <c r="Q126" s="35"/>
      <c r="R126" s="35"/>
      <c r="S126" s="59">
        <f t="shared" si="24"/>
        <v>1</v>
      </c>
      <c r="T126" s="1" t="str">
        <f t="shared" si="25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38" t="str">
        <f t="shared" si="27"/>
        <v>N</v>
      </c>
      <c r="X126" s="38">
        <f t="shared" si="28"/>
        <v>1</v>
      </c>
      <c r="Y126" s="38">
        <f t="shared" si="29"/>
        <v>4.4400000000000002E-2</v>
      </c>
      <c r="Z126" s="38">
        <f t="shared" si="30"/>
        <v>23.3293</v>
      </c>
      <c r="AA126" s="38">
        <f t="shared" si="31"/>
        <v>23.2849</v>
      </c>
      <c r="AB126" s="39" t="e">
        <f>VLOOKUP(A126,Enforcements!$C$7:$J$32,8,0)</f>
        <v>#N/A</v>
      </c>
      <c r="AC126" s="39" t="e">
        <f>VLOOKUP(A126,Enforcements!$C$7:$E$32,3,0)</f>
        <v>#N/A</v>
      </c>
    </row>
    <row r="127" spans="1:29" x14ac:dyDescent="0.25">
      <c r="A127" s="34" t="s">
        <v>460</v>
      </c>
      <c r="B127" s="34">
        <v>4039</v>
      </c>
      <c r="C127" s="34" t="s">
        <v>60</v>
      </c>
      <c r="D127" s="34" t="s">
        <v>84</v>
      </c>
      <c r="E127" s="20">
        <v>42551.797546296293</v>
      </c>
      <c r="F127" s="20">
        <v>42551.798472222225</v>
      </c>
      <c r="G127" s="20">
        <v>1</v>
      </c>
      <c r="H127" s="20" t="s">
        <v>74</v>
      </c>
      <c r="I127" s="20">
        <v>42551.824675925927</v>
      </c>
      <c r="J127" s="34">
        <v>0</v>
      </c>
      <c r="K127" s="34" t="str">
        <f t="shared" si="22"/>
        <v>4039/4040</v>
      </c>
      <c r="L127" s="34" t="str">
        <f>VLOOKUP(A127,'Trips&amp;Operators'!$C$1:$E$10000,3,FALSE)</f>
        <v>ADANE</v>
      </c>
      <c r="M127" s="6">
        <f t="shared" si="23"/>
        <v>2.6203703702776693E-2</v>
      </c>
      <c r="N127" s="7">
        <f t="shared" si="21"/>
        <v>37.733333331998438</v>
      </c>
      <c r="O127" s="7"/>
      <c r="P127" s="7"/>
      <c r="Q127" s="35"/>
      <c r="R127" s="35"/>
      <c r="S127" s="59">
        <f t="shared" si="24"/>
        <v>1</v>
      </c>
      <c r="T127" s="1" t="str">
        <f t="shared" si="25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19:07:28-0600',mode:absolute,to:'2016-06-30 19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38" t="str">
        <f t="shared" si="27"/>
        <v>N</v>
      </c>
      <c r="X127" s="38">
        <f t="shared" si="28"/>
        <v>1</v>
      </c>
      <c r="Y127" s="38">
        <f t="shared" si="29"/>
        <v>23.297499999999999</v>
      </c>
      <c r="Z127" s="38">
        <f t="shared" si="30"/>
        <v>1.41E-2</v>
      </c>
      <c r="AA127" s="38">
        <f t="shared" si="31"/>
        <v>23.2834</v>
      </c>
      <c r="AB127" s="39" t="e">
        <f>VLOOKUP(A127,Enforcements!$C$7:$J$32,8,0)</f>
        <v>#N/A</v>
      </c>
      <c r="AC127" s="39" t="e">
        <f>VLOOKUP(A127,Enforcements!$C$7:$E$32,3,0)</f>
        <v>#N/A</v>
      </c>
    </row>
    <row r="128" spans="1:29" x14ac:dyDescent="0.25">
      <c r="A128" s="34" t="s">
        <v>461</v>
      </c>
      <c r="B128" s="34">
        <v>4029</v>
      </c>
      <c r="C128" s="34" t="s">
        <v>60</v>
      </c>
      <c r="D128" s="34" t="s">
        <v>211</v>
      </c>
      <c r="E128" s="20">
        <v>42551.768275462964</v>
      </c>
      <c r="F128" s="20">
        <v>42551.769467592596</v>
      </c>
      <c r="G128" s="20">
        <v>1</v>
      </c>
      <c r="H128" s="20" t="s">
        <v>344</v>
      </c>
      <c r="I128" s="20">
        <v>42551.797384259262</v>
      </c>
      <c r="J128" s="34">
        <v>0</v>
      </c>
      <c r="K128" s="34" t="str">
        <f t="shared" si="22"/>
        <v>4029/4030</v>
      </c>
      <c r="L128" s="34" t="str">
        <f>VLOOKUP(A128,'Trips&amp;Operators'!$C$1:$E$10000,3,FALSE)</f>
        <v>DAVIS</v>
      </c>
      <c r="M128" s="6">
        <f t="shared" si="23"/>
        <v>2.7916666665987577E-2</v>
      </c>
      <c r="N128" s="7">
        <f t="shared" si="21"/>
        <v>40.199999999022111</v>
      </c>
      <c r="O128" s="7"/>
      <c r="P128" s="7"/>
      <c r="Q128" s="35"/>
      <c r="R128" s="35"/>
      <c r="S128" s="59">
        <f t="shared" si="24"/>
        <v>1</v>
      </c>
      <c r="T128" s="1" t="str">
        <f t="shared" si="25"/>
        <v>NorthBound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18:25:19-0600',mode:absolute,to:'2016-06-30 19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8" s="38" t="str">
        <f t="shared" si="27"/>
        <v>N</v>
      </c>
      <c r="X128" s="38">
        <f t="shared" si="28"/>
        <v>1</v>
      </c>
      <c r="Y128" s="38">
        <f t="shared" si="29"/>
        <v>4.6899999999999997E-2</v>
      </c>
      <c r="Z128" s="38">
        <f t="shared" si="30"/>
        <v>23.3308</v>
      </c>
      <c r="AA128" s="38">
        <f t="shared" si="31"/>
        <v>23.283899999999999</v>
      </c>
      <c r="AB128" s="39" t="e">
        <f>VLOOKUP(A128,Enforcements!$C$7:$J$32,8,0)</f>
        <v>#N/A</v>
      </c>
      <c r="AC128" s="39" t="e">
        <f>VLOOKUP(A128,Enforcements!$C$7:$E$32,3,0)</f>
        <v>#N/A</v>
      </c>
    </row>
    <row r="129" spans="1:29" x14ac:dyDescent="0.25">
      <c r="A129" s="34" t="s">
        <v>462</v>
      </c>
      <c r="B129" s="34">
        <v>4030</v>
      </c>
      <c r="C129" s="34" t="s">
        <v>60</v>
      </c>
      <c r="D129" s="34" t="s">
        <v>463</v>
      </c>
      <c r="E129" s="20">
        <v>42551.806921296295</v>
      </c>
      <c r="F129" s="20">
        <v>42551.807800925926</v>
      </c>
      <c r="G129" s="20">
        <v>1</v>
      </c>
      <c r="H129" s="20" t="s">
        <v>212</v>
      </c>
      <c r="I129" s="20">
        <v>42551.835219907407</v>
      </c>
      <c r="J129" s="34">
        <v>0</v>
      </c>
      <c r="K129" s="34" t="str">
        <f t="shared" si="22"/>
        <v>4029/4030</v>
      </c>
      <c r="L129" s="34" t="str">
        <f>VLOOKUP(A129,'Trips&amp;Operators'!$C$1:$E$10000,3,FALSE)</f>
        <v>DAVIS</v>
      </c>
      <c r="M129" s="6">
        <f t="shared" si="23"/>
        <v>2.7418981480877846E-2</v>
      </c>
      <c r="N129" s="7">
        <f t="shared" si="21"/>
        <v>39.483333332464099</v>
      </c>
      <c r="O129" s="7"/>
      <c r="P129" s="7"/>
      <c r="Q129" s="35"/>
      <c r="R129" s="35"/>
      <c r="S129" s="59">
        <f t="shared" si="24"/>
        <v>1</v>
      </c>
      <c r="T129" s="1" t="str">
        <f t="shared" si="25"/>
        <v>Southbound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19:20:58-0600',mode:absolute,to:'2016-06-30 20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38" t="str">
        <f t="shared" si="27"/>
        <v>N</v>
      </c>
      <c r="X129" s="38">
        <f t="shared" si="28"/>
        <v>1</v>
      </c>
      <c r="Y129" s="38">
        <f t="shared" si="29"/>
        <v>23.2974</v>
      </c>
      <c r="Z129" s="38">
        <f t="shared" si="30"/>
        <v>1.6299999999999999E-2</v>
      </c>
      <c r="AA129" s="38">
        <f t="shared" si="31"/>
        <v>23.281099999999999</v>
      </c>
      <c r="AB129" s="39" t="e">
        <f>VLOOKUP(A129,Enforcements!$C$7:$J$32,8,0)</f>
        <v>#N/A</v>
      </c>
      <c r="AC129" s="39" t="e">
        <f>VLOOKUP(A129,Enforcements!$C$7:$E$32,3,0)</f>
        <v>#N/A</v>
      </c>
    </row>
    <row r="130" spans="1:29" x14ac:dyDescent="0.25">
      <c r="A130" s="34" t="s">
        <v>464</v>
      </c>
      <c r="B130" s="34">
        <v>4038</v>
      </c>
      <c r="C130" s="34" t="s">
        <v>60</v>
      </c>
      <c r="D130" s="34" t="s">
        <v>465</v>
      </c>
      <c r="E130" s="20">
        <v>42551.789849537039</v>
      </c>
      <c r="F130" s="20">
        <v>42551.790763888886</v>
      </c>
      <c r="G130" s="20">
        <v>1</v>
      </c>
      <c r="H130" s="20" t="s">
        <v>207</v>
      </c>
      <c r="I130" s="20">
        <v>42551.817407407405</v>
      </c>
      <c r="J130" s="34">
        <v>1</v>
      </c>
      <c r="K130" s="34" t="str">
        <f t="shared" si="22"/>
        <v>4037/4038</v>
      </c>
      <c r="L130" s="34" t="str">
        <f>VLOOKUP(A130,'Trips&amp;Operators'!$C$1:$E$10000,3,FALSE)</f>
        <v>BRUDER</v>
      </c>
      <c r="M130" s="6">
        <f t="shared" si="23"/>
        <v>2.6643518518540077E-2</v>
      </c>
      <c r="N130" s="7">
        <f t="shared" si="21"/>
        <v>38.366666666697711</v>
      </c>
      <c r="O130" s="7"/>
      <c r="P130" s="7"/>
      <c r="Q130" s="35"/>
      <c r="R130" s="35"/>
      <c r="S130" s="59">
        <f t="shared" si="24"/>
        <v>1</v>
      </c>
      <c r="T130" s="1" t="str">
        <f t="shared" si="25"/>
        <v>NorthBound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38" t="str">
        <f t="shared" si="27"/>
        <v>N</v>
      </c>
      <c r="X130" s="38">
        <f t="shared" si="28"/>
        <v>1</v>
      </c>
      <c r="Y130" s="38">
        <f t="shared" si="29"/>
        <v>5.7099999999999998E-2</v>
      </c>
      <c r="Z130" s="38">
        <f t="shared" si="30"/>
        <v>23.3264</v>
      </c>
      <c r="AA130" s="38">
        <f t="shared" si="31"/>
        <v>23.269300000000001</v>
      </c>
      <c r="AB130" s="39" t="e">
        <f>VLOOKUP(A130,Enforcements!$C$7:$J$32,8,0)</f>
        <v>#N/A</v>
      </c>
      <c r="AC130" s="39" t="e">
        <f>VLOOKUP(A130,Enforcements!$C$7:$E$32,3,0)</f>
        <v>#N/A</v>
      </c>
    </row>
    <row r="131" spans="1:29" x14ac:dyDescent="0.25">
      <c r="A131" s="34" t="s">
        <v>466</v>
      </c>
      <c r="B131" s="34">
        <v>4037</v>
      </c>
      <c r="C131" s="34" t="s">
        <v>60</v>
      </c>
      <c r="D131" s="34" t="s">
        <v>467</v>
      </c>
      <c r="E131" s="20">
        <v>42551.826111111113</v>
      </c>
      <c r="F131" s="20">
        <v>42551.82712962963</v>
      </c>
      <c r="G131" s="20">
        <v>1</v>
      </c>
      <c r="H131" s="20" t="s">
        <v>468</v>
      </c>
      <c r="I131" s="20">
        <v>42551.856909722221</v>
      </c>
      <c r="J131" s="34">
        <v>0</v>
      </c>
      <c r="K131" s="34" t="str">
        <f t="shared" si="22"/>
        <v>4037/4038</v>
      </c>
      <c r="L131" s="34" t="str">
        <f>VLOOKUP(A131,'Trips&amp;Operators'!$C$1:$E$10000,3,FALSE)</f>
        <v>BRUDER</v>
      </c>
      <c r="M131" s="6">
        <f t="shared" si="23"/>
        <v>2.9780092590954155E-2</v>
      </c>
      <c r="N131" s="7">
        <f t="shared" si="21"/>
        <v>42.883333330973983</v>
      </c>
      <c r="O131" s="7"/>
      <c r="P131" s="7"/>
      <c r="Q131" s="35"/>
      <c r="R131" s="35"/>
      <c r="S131" s="59">
        <f t="shared" si="24"/>
        <v>1</v>
      </c>
      <c r="T131" s="1" t="str">
        <f t="shared" si="25"/>
        <v>Southbound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19:48:36-0600',mode:absolute,to:'2016-06-30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38" t="str">
        <f t="shared" si="27"/>
        <v>N</v>
      </c>
      <c r="X131" s="38">
        <f t="shared" si="28"/>
        <v>1</v>
      </c>
      <c r="Y131" s="38">
        <f t="shared" si="29"/>
        <v>23.294899999999998</v>
      </c>
      <c r="Z131" s="38">
        <f t="shared" si="30"/>
        <v>2.0500000000000001E-2</v>
      </c>
      <c r="AA131" s="38">
        <f t="shared" si="31"/>
        <v>23.2744</v>
      </c>
      <c r="AB131" s="39" t="e">
        <f>VLOOKUP(A131,Enforcements!$C$7:$J$32,8,0)</f>
        <v>#N/A</v>
      </c>
      <c r="AC131" s="39" t="e">
        <f>VLOOKUP(A131,Enforcements!$C$7:$E$32,3,0)</f>
        <v>#N/A</v>
      </c>
    </row>
    <row r="132" spans="1:29" x14ac:dyDescent="0.25">
      <c r="A132" s="34" t="s">
        <v>469</v>
      </c>
      <c r="B132" s="34">
        <v>4027</v>
      </c>
      <c r="C132" s="34" t="s">
        <v>60</v>
      </c>
      <c r="D132" s="34" t="s">
        <v>470</v>
      </c>
      <c r="E132" s="20">
        <v>42551.806805555556</v>
      </c>
      <c r="F132" s="20">
        <v>42551.808009259257</v>
      </c>
      <c r="G132" s="20">
        <v>1</v>
      </c>
      <c r="H132" s="20" t="s">
        <v>97</v>
      </c>
      <c r="I132" s="20">
        <v>42551.840787037036</v>
      </c>
      <c r="J132" s="34">
        <v>0</v>
      </c>
      <c r="K132" s="34" t="str">
        <f t="shared" si="22"/>
        <v>4027/4028</v>
      </c>
      <c r="L132" s="34" t="str">
        <f>VLOOKUP(A132,'Trips&amp;Operators'!$C$1:$E$10000,3,FALSE)</f>
        <v>MOSES</v>
      </c>
      <c r="M132" s="6">
        <f t="shared" si="23"/>
        <v>3.2777777778392192E-2</v>
      </c>
      <c r="N132" s="7">
        <f t="shared" si="21"/>
        <v>47.200000000884756</v>
      </c>
      <c r="O132" s="7"/>
      <c r="P132" s="7"/>
      <c r="Q132" s="35"/>
      <c r="R132" s="35"/>
      <c r="S132" s="59">
        <f t="shared" si="24"/>
        <v>1</v>
      </c>
      <c r="T132" s="1" t="str">
        <f t="shared" si="25"/>
        <v>NorthBound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19:20:48-0600',mode:absolute,to:'2016-06-30 20:11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2" s="38" t="str">
        <f t="shared" si="27"/>
        <v>N</v>
      </c>
      <c r="X132" s="38">
        <f t="shared" si="28"/>
        <v>1</v>
      </c>
      <c r="Y132" s="38">
        <f t="shared" si="29"/>
        <v>4.8599999999999997E-2</v>
      </c>
      <c r="Z132" s="38">
        <f t="shared" si="30"/>
        <v>23.3291</v>
      </c>
      <c r="AA132" s="38">
        <f t="shared" si="31"/>
        <v>23.2805</v>
      </c>
      <c r="AB132" s="39" t="e">
        <f>VLOOKUP(A132,Enforcements!$C$7:$J$32,8,0)</f>
        <v>#N/A</v>
      </c>
      <c r="AC132" s="39" t="e">
        <f>VLOOKUP(A132,Enforcements!$C$7:$E$32,3,0)</f>
        <v>#N/A</v>
      </c>
    </row>
    <row r="133" spans="1:29" x14ac:dyDescent="0.25">
      <c r="A133" s="34" t="s">
        <v>471</v>
      </c>
      <c r="B133" s="34">
        <v>4028</v>
      </c>
      <c r="C133" s="34" t="s">
        <v>60</v>
      </c>
      <c r="D133" s="34" t="s">
        <v>472</v>
      </c>
      <c r="E133" s="20">
        <v>42551.863599537035</v>
      </c>
      <c r="F133" s="20">
        <v>42551.864606481482</v>
      </c>
      <c r="G133" s="20">
        <v>1</v>
      </c>
      <c r="H133" s="20" t="s">
        <v>468</v>
      </c>
      <c r="I133" s="20">
        <v>42551.885358796295</v>
      </c>
      <c r="J133" s="34">
        <v>1</v>
      </c>
      <c r="K133" s="34" t="str">
        <f t="shared" si="22"/>
        <v>4027/4028</v>
      </c>
      <c r="L133" s="34" t="str">
        <f>VLOOKUP(A133,'Trips&amp;Operators'!$C$1:$E$10000,3,FALSE)</f>
        <v>MOSES</v>
      </c>
      <c r="M133" s="6">
        <f t="shared" si="23"/>
        <v>2.0752314812853001E-2</v>
      </c>
      <c r="N133" s="7"/>
      <c r="O133" s="7"/>
      <c r="P133" s="7">
        <f>24*60*SUM($M133:$M134)</f>
        <v>36.299999988405034</v>
      </c>
      <c r="Q133" s="35"/>
      <c r="R133" s="35" t="s">
        <v>199</v>
      </c>
      <c r="S133" s="59">
        <f t="shared" si="24"/>
        <v>1</v>
      </c>
      <c r="T133" s="1" t="str">
        <f t="shared" si="25"/>
        <v>Southbound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3" s="38" t="str">
        <f t="shared" si="27"/>
        <v>Y</v>
      </c>
      <c r="X133" s="38">
        <f t="shared" si="28"/>
        <v>1</v>
      </c>
      <c r="Y133" s="38">
        <f t="shared" si="29"/>
        <v>15.400399999999999</v>
      </c>
      <c r="Z133" s="38">
        <f t="shared" si="30"/>
        <v>2.0500000000000001E-2</v>
      </c>
      <c r="AA133" s="38">
        <f t="shared" si="31"/>
        <v>15.379899999999999</v>
      </c>
      <c r="AB133" s="39" t="e">
        <f>VLOOKUP(A133,Enforcements!$C$7:$J$32,8,0)</f>
        <v>#N/A</v>
      </c>
      <c r="AC133" s="39" t="e">
        <f>VLOOKUP(A133,Enforcements!$C$7:$E$32,3,0)</f>
        <v>#N/A</v>
      </c>
    </row>
    <row r="134" spans="1:29" x14ac:dyDescent="0.25">
      <c r="A134" s="34" t="s">
        <v>471</v>
      </c>
      <c r="B134" s="34">
        <v>4028</v>
      </c>
      <c r="C134" s="34" t="s">
        <v>60</v>
      </c>
      <c r="D134" s="34" t="s">
        <v>180</v>
      </c>
      <c r="E134" s="20">
        <v>42551.847013888888</v>
      </c>
      <c r="F134" s="20">
        <v>42551.848275462966</v>
      </c>
      <c r="G134" s="20">
        <v>1</v>
      </c>
      <c r="H134" s="20" t="s">
        <v>473</v>
      </c>
      <c r="I134" s="20">
        <v>42551.852731481478</v>
      </c>
      <c r="J134" s="34">
        <v>0</v>
      </c>
      <c r="K134" s="34" t="str">
        <f t="shared" si="22"/>
        <v>4027/4028</v>
      </c>
      <c r="L134" s="34" t="str">
        <f>VLOOKUP(A134,'Trips&amp;Operators'!$C$1:$E$10000,3,FALSE)</f>
        <v>MOSES</v>
      </c>
      <c r="M134" s="6">
        <f t="shared" si="23"/>
        <v>4.4560185124282725E-3</v>
      </c>
      <c r="N134" s="7"/>
      <c r="O134" s="7"/>
      <c r="P134" s="7"/>
      <c r="Q134" s="35"/>
      <c r="R134" s="35"/>
      <c r="S134" s="59"/>
      <c r="T134" s="1" t="str">
        <f t="shared" si="25"/>
        <v>Southbound</v>
      </c>
      <c r="U134" s="1">
        <f>COUNTIFS(Variables!$M$2:$M$19,IF(T134="NorthBound","&gt;=","&lt;=")&amp;Y134,Variables!$M$2:$M$19,IF(T134="NorthBound","&lt;=","&gt;=")&amp;Z134)</f>
        <v>0</v>
      </c>
      <c r="V13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20:18:42-0600',mode:absolute,to:'2016-06-30 20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4" s="38" t="str">
        <f t="shared" si="27"/>
        <v>Y</v>
      </c>
      <c r="X134" s="38">
        <f t="shared" si="28"/>
        <v>0</v>
      </c>
      <c r="Y134" s="38">
        <f t="shared" si="29"/>
        <v>23.297899999999998</v>
      </c>
      <c r="Z134" s="38">
        <f t="shared" si="30"/>
        <v>22.82</v>
      </c>
      <c r="AA134" s="38">
        <f t="shared" si="31"/>
        <v>0.47789999999999822</v>
      </c>
      <c r="AB134" s="39" t="e">
        <f>VLOOKUP(A134,Enforcements!$C$7:$J$32,8,0)</f>
        <v>#N/A</v>
      </c>
      <c r="AC134" s="39" t="e">
        <f>VLOOKUP(A134,Enforcements!$C$7:$E$32,3,0)</f>
        <v>#N/A</v>
      </c>
    </row>
    <row r="135" spans="1:29" x14ac:dyDescent="0.25">
      <c r="A135" s="34" t="s">
        <v>474</v>
      </c>
      <c r="B135" s="34">
        <v>4040</v>
      </c>
      <c r="C135" s="34" t="s">
        <v>60</v>
      </c>
      <c r="D135" s="34" t="s">
        <v>98</v>
      </c>
      <c r="E135" s="20">
        <v>42551.830312500002</v>
      </c>
      <c r="F135" s="20">
        <v>42551.831377314818</v>
      </c>
      <c r="G135" s="20">
        <v>1</v>
      </c>
      <c r="H135" s="20" t="s">
        <v>475</v>
      </c>
      <c r="I135" s="20">
        <v>42551.858946759261</v>
      </c>
      <c r="J135" s="34">
        <v>0</v>
      </c>
      <c r="K135" s="34" t="str">
        <f t="shared" si="22"/>
        <v>4039/4040</v>
      </c>
      <c r="L135" s="34" t="str">
        <f>VLOOKUP(A135,'Trips&amp;Operators'!$C$1:$E$10000,3,FALSE)</f>
        <v>ADANE</v>
      </c>
      <c r="M135" s="6">
        <f t="shared" si="23"/>
        <v>2.7569444442633539E-2</v>
      </c>
      <c r="N135" s="7">
        <f t="shared" si="21"/>
        <v>39.699999997392297</v>
      </c>
      <c r="O135" s="7"/>
      <c r="P135" s="7"/>
      <c r="Q135" s="35"/>
      <c r="R135" s="35"/>
      <c r="S135" s="59">
        <f t="shared" si="24"/>
        <v>1</v>
      </c>
      <c r="T135" s="1" t="str">
        <f t="shared" si="25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19:54:39-0600',mode:absolute,to:'2016-06-30 20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38" t="str">
        <f t="shared" si="27"/>
        <v>N</v>
      </c>
      <c r="X135" s="38">
        <f t="shared" si="28"/>
        <v>1</v>
      </c>
      <c r="Y135" s="38">
        <f t="shared" si="29"/>
        <v>4.6699999999999998E-2</v>
      </c>
      <c r="Z135" s="38">
        <f t="shared" si="30"/>
        <v>23.331700000000001</v>
      </c>
      <c r="AA135" s="38">
        <f t="shared" si="31"/>
        <v>23.285</v>
      </c>
      <c r="AB135" s="39" t="e">
        <f>VLOOKUP(A135,Enforcements!$C$7:$J$32,8,0)</f>
        <v>#N/A</v>
      </c>
      <c r="AC135" s="39" t="e">
        <f>VLOOKUP(A135,Enforcements!$C$7:$E$32,3,0)</f>
        <v>#N/A</v>
      </c>
    </row>
    <row r="136" spans="1:29" x14ac:dyDescent="0.25">
      <c r="A136" s="34" t="s">
        <v>476</v>
      </c>
      <c r="B136" s="34">
        <v>4039</v>
      </c>
      <c r="C136" s="34" t="s">
        <v>60</v>
      </c>
      <c r="D136" s="34" t="s">
        <v>166</v>
      </c>
      <c r="E136" s="20">
        <v>42551.869629629633</v>
      </c>
      <c r="F136" s="20">
        <v>42551.870717592596</v>
      </c>
      <c r="G136" s="20">
        <v>1</v>
      </c>
      <c r="H136" s="20" t="s">
        <v>67</v>
      </c>
      <c r="I136" s="20">
        <v>42551.902094907404</v>
      </c>
      <c r="J136" s="34">
        <v>2</v>
      </c>
      <c r="K136" s="34" t="str">
        <f t="shared" si="22"/>
        <v>4039/4040</v>
      </c>
      <c r="L136" s="34" t="str">
        <f>VLOOKUP(A136,'Trips&amp;Operators'!$C$1:$E$10000,3,FALSE)</f>
        <v>ADANE</v>
      </c>
      <c r="M136" s="6">
        <f t="shared" si="23"/>
        <v>3.1377314808196388E-2</v>
      </c>
      <c r="N136" s="7">
        <f t="shared" si="21"/>
        <v>45.183333323802799</v>
      </c>
      <c r="O136" s="7"/>
      <c r="P136" s="7"/>
      <c r="Q136" s="35"/>
      <c r="R136" s="35"/>
      <c r="S136" s="59">
        <f t="shared" si="24"/>
        <v>1</v>
      </c>
      <c r="T136" s="1" t="str">
        <f t="shared" si="25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38" t="str">
        <f t="shared" si="27"/>
        <v>N</v>
      </c>
      <c r="X136" s="38">
        <f t="shared" si="28"/>
        <v>1</v>
      </c>
      <c r="Y136" s="38">
        <f t="shared" si="29"/>
        <v>23.299600000000002</v>
      </c>
      <c r="Z136" s="38">
        <f t="shared" si="30"/>
        <v>1.47E-2</v>
      </c>
      <c r="AA136" s="38">
        <f t="shared" si="31"/>
        <v>23.2849</v>
      </c>
      <c r="AB136" s="39">
        <f>VLOOKUP(A136,Enforcements!$C$7:$J$32,8,0)</f>
        <v>126678</v>
      </c>
      <c r="AC136" s="39" t="str">
        <f>VLOOKUP(A136,Enforcements!$C$7:$E$32,3,0)</f>
        <v>EQUIPMENT RESTRICTION</v>
      </c>
    </row>
    <row r="137" spans="1:29" x14ac:dyDescent="0.25">
      <c r="A137" s="34" t="s">
        <v>477</v>
      </c>
      <c r="B137" s="34">
        <v>4029</v>
      </c>
      <c r="C137" s="34" t="s">
        <v>60</v>
      </c>
      <c r="D137" s="34" t="s">
        <v>78</v>
      </c>
      <c r="E137" s="20">
        <v>42551.848425925928</v>
      </c>
      <c r="F137" s="20">
        <v>42551.849317129629</v>
      </c>
      <c r="G137" s="20">
        <v>1</v>
      </c>
      <c r="H137" s="20" t="s">
        <v>153</v>
      </c>
      <c r="I137" s="20">
        <v>42551.883148148147</v>
      </c>
      <c r="J137" s="34">
        <v>0</v>
      </c>
      <c r="K137" s="34" t="str">
        <f t="shared" si="22"/>
        <v>4029/4030</v>
      </c>
      <c r="L137" s="34" t="str">
        <f>VLOOKUP(A137,'Trips&amp;Operators'!$C$1:$E$10000,3,FALSE)</f>
        <v>DAVIS</v>
      </c>
      <c r="M137" s="6">
        <f t="shared" si="23"/>
        <v>3.3831018517958E-2</v>
      </c>
      <c r="N137" s="7">
        <f t="shared" si="21"/>
        <v>48.71666666585952</v>
      </c>
      <c r="O137" s="7"/>
      <c r="P137" s="7"/>
      <c r="Q137" s="35"/>
      <c r="R137" s="35"/>
      <c r="S137" s="59">
        <f t="shared" si="24"/>
        <v>1</v>
      </c>
      <c r="T137" s="1" t="str">
        <f t="shared" si="25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20:20:44-0600',mode:absolute,to:'2016-06-30 21:12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38" t="str">
        <f t="shared" si="27"/>
        <v>N</v>
      </c>
      <c r="X137" s="38">
        <f t="shared" si="28"/>
        <v>1</v>
      </c>
      <c r="Y137" s="38">
        <f t="shared" si="29"/>
        <v>4.53E-2</v>
      </c>
      <c r="Z137" s="38">
        <f t="shared" si="30"/>
        <v>23.331399999999999</v>
      </c>
      <c r="AA137" s="38">
        <f t="shared" si="31"/>
        <v>23.286099999999998</v>
      </c>
      <c r="AB137" s="39" t="e">
        <f>VLOOKUP(A137,Enforcements!$C$7:$J$32,8,0)</f>
        <v>#N/A</v>
      </c>
      <c r="AC137" s="39" t="e">
        <f>VLOOKUP(A137,Enforcements!$C$7:$E$32,3,0)</f>
        <v>#N/A</v>
      </c>
    </row>
    <row r="138" spans="1:29" x14ac:dyDescent="0.25">
      <c r="A138" s="34" t="s">
        <v>478</v>
      </c>
      <c r="B138" s="34">
        <v>4030</v>
      </c>
      <c r="C138" s="34" t="s">
        <v>60</v>
      </c>
      <c r="D138" s="34" t="s">
        <v>185</v>
      </c>
      <c r="E138" s="20">
        <v>42551.890740740739</v>
      </c>
      <c r="F138" s="20">
        <v>42551.891724537039</v>
      </c>
      <c r="G138" s="20">
        <v>1</v>
      </c>
      <c r="H138" s="20" t="s">
        <v>202</v>
      </c>
      <c r="I138" s="20">
        <v>42551.919710648152</v>
      </c>
      <c r="J138" s="34">
        <v>1</v>
      </c>
      <c r="K138" s="34" t="str">
        <f t="shared" si="22"/>
        <v>4029/4030</v>
      </c>
      <c r="L138" s="34" t="str">
        <f>VLOOKUP(A138,'Trips&amp;Operators'!$C$1:$E$10000,3,FALSE)</f>
        <v>DAVIS</v>
      </c>
      <c r="M138" s="6">
        <f t="shared" si="23"/>
        <v>2.7986111112113576E-2</v>
      </c>
      <c r="N138" s="7">
        <f t="shared" si="21"/>
        <v>40.30000000144355</v>
      </c>
      <c r="O138" s="7"/>
      <c r="P138" s="7"/>
      <c r="Q138" s="35"/>
      <c r="R138" s="35"/>
      <c r="S138" s="59">
        <f t="shared" si="24"/>
        <v>1</v>
      </c>
      <c r="T138" s="1" t="str">
        <f t="shared" si="25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38" t="str">
        <f t="shared" si="27"/>
        <v>N</v>
      </c>
      <c r="X138" s="38">
        <f t="shared" si="28"/>
        <v>1</v>
      </c>
      <c r="Y138" s="38">
        <f t="shared" si="29"/>
        <v>23.2989</v>
      </c>
      <c r="Z138" s="38">
        <f t="shared" si="30"/>
        <v>1.32E-2</v>
      </c>
      <c r="AA138" s="38">
        <f t="shared" si="31"/>
        <v>23.285699999999999</v>
      </c>
      <c r="AB138" s="39" t="e">
        <f>VLOOKUP(A138,Enforcements!$C$7:$J$32,8,0)</f>
        <v>#N/A</v>
      </c>
      <c r="AC138" s="39" t="e">
        <f>VLOOKUP(A138,Enforcements!$C$7:$E$32,3,0)</f>
        <v>#N/A</v>
      </c>
    </row>
    <row r="139" spans="1:29" x14ac:dyDescent="0.25">
      <c r="A139" s="34" t="s">
        <v>479</v>
      </c>
      <c r="B139" s="34">
        <v>4038</v>
      </c>
      <c r="C139" s="34" t="s">
        <v>60</v>
      </c>
      <c r="D139" s="34" t="s">
        <v>480</v>
      </c>
      <c r="E139" s="20">
        <v>42551.872476851851</v>
      </c>
      <c r="F139" s="20">
        <v>42551.873368055552</v>
      </c>
      <c r="G139" s="20">
        <v>1</v>
      </c>
      <c r="H139" s="20" t="s">
        <v>481</v>
      </c>
      <c r="I139" s="20">
        <v>42551.900185185186</v>
      </c>
      <c r="J139" s="34">
        <v>0</v>
      </c>
      <c r="K139" s="34" t="str">
        <f t="shared" si="22"/>
        <v>4037/4038</v>
      </c>
      <c r="L139" s="34" t="str">
        <f>VLOOKUP(A139,'Trips&amp;Operators'!$C$1:$E$10000,3,FALSE)</f>
        <v>BRUDER</v>
      </c>
      <c r="M139" s="6">
        <f t="shared" si="23"/>
        <v>2.6817129633855075E-2</v>
      </c>
      <c r="N139" s="7">
        <f t="shared" ref="N139:N154" si="32">24*60*SUM($M139:$M139)</f>
        <v>38.616666672751307</v>
      </c>
      <c r="O139" s="7"/>
      <c r="P139" s="7"/>
      <c r="Q139" s="35"/>
      <c r="R139" s="35"/>
      <c r="S139" s="59">
        <f t="shared" si="24"/>
        <v>1</v>
      </c>
      <c r="T139" s="1" t="str">
        <f t="shared" si="25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20:55:22-0600',mode:absolute,to:'2016-06-30 21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 t="shared" si="27"/>
        <v>N</v>
      </c>
      <c r="X139" s="38">
        <f t="shared" si="28"/>
        <v>1</v>
      </c>
      <c r="Y139" s="38">
        <f t="shared" si="29"/>
        <v>5.0200000000000002E-2</v>
      </c>
      <c r="Z139" s="38">
        <f t="shared" si="30"/>
        <v>23.3263</v>
      </c>
      <c r="AA139" s="38">
        <f t="shared" si="31"/>
        <v>23.2761</v>
      </c>
      <c r="AB139" s="39" t="e">
        <f>VLOOKUP(A139,Enforcements!$C$7:$J$32,8,0)</f>
        <v>#N/A</v>
      </c>
      <c r="AC139" s="39" t="e">
        <f>VLOOKUP(A139,Enforcements!$C$7:$E$32,3,0)</f>
        <v>#N/A</v>
      </c>
    </row>
    <row r="140" spans="1:29" x14ac:dyDescent="0.25">
      <c r="A140" s="34" t="s">
        <v>482</v>
      </c>
      <c r="B140" s="34">
        <v>4037</v>
      </c>
      <c r="C140" s="34" t="s">
        <v>60</v>
      </c>
      <c r="D140" s="34" t="s">
        <v>353</v>
      </c>
      <c r="E140" s="20">
        <v>42551.91</v>
      </c>
      <c r="F140" s="20">
        <v>42551.910891203705</v>
      </c>
      <c r="G140" s="20">
        <v>1</v>
      </c>
      <c r="H140" s="20" t="s">
        <v>483</v>
      </c>
      <c r="I140" s="20">
        <v>42551.94054398148</v>
      </c>
      <c r="J140" s="34">
        <v>0</v>
      </c>
      <c r="K140" s="34" t="str">
        <f t="shared" si="22"/>
        <v>4037/4038</v>
      </c>
      <c r="L140" s="34" t="str">
        <f>VLOOKUP(A140,'Trips&amp;Operators'!$C$1:$E$10000,3,FALSE)</f>
        <v>BRUDER</v>
      </c>
      <c r="M140" s="6">
        <f t="shared" si="23"/>
        <v>2.9652777775481809E-2</v>
      </c>
      <c r="N140" s="7">
        <f t="shared" si="32"/>
        <v>42.699999996693805</v>
      </c>
      <c r="O140" s="7"/>
      <c r="P140" s="7"/>
      <c r="Q140" s="35"/>
      <c r="R140" s="35"/>
      <c r="S140" s="59">
        <f t="shared" si="24"/>
        <v>1</v>
      </c>
      <c r="T140" s="1" t="str">
        <f t="shared" si="25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https://search-rtdc-monitor-bjffxe2xuh6vdkpspy63sjmuny.us-east-1.es.amazonaws.com/_plugin/kibana/#/discover/Steve-Slow-Train-Analysis-(2080s-and-2083s)?_g=(refreshInterval:(display:Off,section:0,value:0),time:(from:'2016-06-30 21:49:24-0600',mode:absolute,to:'2016-06-30 22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 t="shared" si="27"/>
        <v>N</v>
      </c>
      <c r="X140" s="38">
        <f t="shared" si="28"/>
        <v>1</v>
      </c>
      <c r="Y140" s="38">
        <f t="shared" si="29"/>
        <v>23.2942</v>
      </c>
      <c r="Z140" s="38">
        <f t="shared" si="30"/>
        <v>2.07E-2</v>
      </c>
      <c r="AA140" s="38">
        <f t="shared" si="31"/>
        <v>23.273499999999999</v>
      </c>
      <c r="AB140" s="39" t="e">
        <f>VLOOKUP(A140,Enforcements!$C$7:$J$32,8,0)</f>
        <v>#N/A</v>
      </c>
      <c r="AC140" s="39" t="e">
        <f>VLOOKUP(A140,Enforcements!$C$7:$E$32,3,0)</f>
        <v>#N/A</v>
      </c>
    </row>
    <row r="141" spans="1:29" x14ac:dyDescent="0.25">
      <c r="A141" s="34" t="s">
        <v>484</v>
      </c>
      <c r="B141" s="34">
        <v>4027</v>
      </c>
      <c r="C141" s="34" t="s">
        <v>60</v>
      </c>
      <c r="D141" s="34" t="s">
        <v>485</v>
      </c>
      <c r="E141" s="20">
        <v>42551.889756944445</v>
      </c>
      <c r="F141" s="20">
        <v>42551.8905787037</v>
      </c>
      <c r="G141" s="20">
        <v>1</v>
      </c>
      <c r="H141" s="20" t="s">
        <v>97</v>
      </c>
      <c r="I141" s="20">
        <v>42551.921655092592</v>
      </c>
      <c r="J141" s="34">
        <v>0</v>
      </c>
      <c r="K141" s="34" t="str">
        <f t="shared" ref="K141:K154" si="33">IF(ISEVEN(B141),(B141-1)&amp;"/"&amp;B141,B141&amp;"/"&amp;(B141+1))</f>
        <v>4027/4028</v>
      </c>
      <c r="L141" s="34" t="str">
        <f>VLOOKUP(A141,'Trips&amp;Operators'!$C$1:$E$10000,3,FALSE)</f>
        <v>MOSES</v>
      </c>
      <c r="M141" s="6">
        <f t="shared" ref="M141:M154" si="34">I141-F141</f>
        <v>3.107638889196096E-2</v>
      </c>
      <c r="N141" s="7">
        <f t="shared" si="32"/>
        <v>44.750000004423782</v>
      </c>
      <c r="O141" s="7"/>
      <c r="P141" s="7"/>
      <c r="Q141" s="35"/>
      <c r="R141" s="35"/>
      <c r="S141" s="59">
        <f t="shared" ref="S141:S154" si="35">SUM(U141:U141)/12</f>
        <v>1</v>
      </c>
      <c r="T141" s="1" t="str">
        <f t="shared" ref="T141:T154" si="36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54" si="37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https://search-rtdc-monitor-bjffxe2xuh6vdkpspy63sjmuny.us-east-1.es.amazonaws.com/_plugin/kibana/#/discover/Steve-Slow-Train-Analysis-(2080s-and-2083s)?_g=(refreshInterval:(display:Off,section:0,value:0),time:(from:'2016-06-30 21:20:15-0600',mode:absolute,to:'2016-06-30 22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 t="shared" ref="W141:W154" si="38">IF(AA141&lt;23,"Y","N")</f>
        <v>N</v>
      </c>
      <c r="X141" s="38">
        <f t="shared" ref="X141:X154" si="39">VALUE(LEFT(A141,3))-VALUE(LEFT(A140,3))</f>
        <v>1</v>
      </c>
      <c r="Y141" s="38">
        <f t="shared" ref="Y141:Y154" si="40">RIGHT(D141,LEN(D141)-4)/10000</f>
        <v>5.3100000000000001E-2</v>
      </c>
      <c r="Z141" s="38">
        <f t="shared" ref="Z141:Z154" si="41">RIGHT(H141,LEN(H141)-4)/10000</f>
        <v>23.3291</v>
      </c>
      <c r="AA141" s="38">
        <f t="shared" ref="AA141:AA154" si="42">ABS(Z141-Y141)</f>
        <v>23.276</v>
      </c>
      <c r="AB141" s="39" t="e">
        <f>VLOOKUP(A141,Enforcements!$C$7:$J$32,8,0)</f>
        <v>#N/A</v>
      </c>
      <c r="AC141" s="39" t="e">
        <f>VLOOKUP(A141,Enforcements!$C$7:$E$32,3,0)</f>
        <v>#N/A</v>
      </c>
    </row>
    <row r="142" spans="1:29" x14ac:dyDescent="0.25">
      <c r="A142" s="34" t="s">
        <v>486</v>
      </c>
      <c r="B142" s="34">
        <v>4028</v>
      </c>
      <c r="C142" s="34" t="s">
        <v>60</v>
      </c>
      <c r="D142" s="34" t="s">
        <v>167</v>
      </c>
      <c r="E142" s="20">
        <v>42551.928946759261</v>
      </c>
      <c r="F142" s="20">
        <v>42551.929861111108</v>
      </c>
      <c r="G142" s="20">
        <v>1</v>
      </c>
      <c r="H142" s="20" t="s">
        <v>87</v>
      </c>
      <c r="I142" s="20">
        <v>42551.961458333331</v>
      </c>
      <c r="J142" s="34">
        <v>0</v>
      </c>
      <c r="K142" s="34" t="str">
        <f t="shared" si="33"/>
        <v>4027/4028</v>
      </c>
      <c r="L142" s="34" t="str">
        <f>VLOOKUP(A142,'Trips&amp;Operators'!$C$1:$E$10000,3,FALSE)</f>
        <v>MOSES</v>
      </c>
      <c r="M142" s="6">
        <f t="shared" si="34"/>
        <v>3.1597222223354038E-2</v>
      </c>
      <c r="N142" s="7">
        <f t="shared" si="32"/>
        <v>45.500000001629815</v>
      </c>
      <c r="O142" s="7"/>
      <c r="P142" s="7"/>
      <c r="Q142" s="35"/>
      <c r="R142" s="35"/>
      <c r="S142" s="59">
        <f t="shared" si="35"/>
        <v>1</v>
      </c>
      <c r="T142" s="1" t="str">
        <f t="shared" si="36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22:16:41-0600',mode:absolute,to:'2016-06-30 23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 t="shared" si="38"/>
        <v>N</v>
      </c>
      <c r="X142" s="38">
        <f t="shared" si="39"/>
        <v>1</v>
      </c>
      <c r="Y142" s="38">
        <f t="shared" si="40"/>
        <v>23.298100000000002</v>
      </c>
      <c r="Z142" s="38">
        <f t="shared" si="41"/>
        <v>1.61E-2</v>
      </c>
      <c r="AA142" s="38">
        <f t="shared" si="42"/>
        <v>23.282</v>
      </c>
      <c r="AB142" s="39" t="e">
        <f>VLOOKUP(A142,Enforcements!$C$7:$J$32,8,0)</f>
        <v>#N/A</v>
      </c>
      <c r="AC142" s="39" t="e">
        <f>VLOOKUP(A142,Enforcements!$C$7:$E$32,3,0)</f>
        <v>#N/A</v>
      </c>
    </row>
    <row r="143" spans="1:29" x14ac:dyDescent="0.25">
      <c r="A143" s="34" t="s">
        <v>487</v>
      </c>
      <c r="B143" s="34">
        <v>4040</v>
      </c>
      <c r="C143" s="34" t="s">
        <v>60</v>
      </c>
      <c r="D143" s="34" t="s">
        <v>146</v>
      </c>
      <c r="E143" s="20">
        <v>42551.912951388891</v>
      </c>
      <c r="F143" s="20">
        <v>42551.913923611108</v>
      </c>
      <c r="G143" s="20">
        <v>1</v>
      </c>
      <c r="H143" s="20" t="s">
        <v>488</v>
      </c>
      <c r="I143" s="20">
        <v>42551.942314814813</v>
      </c>
      <c r="J143" s="34">
        <v>1</v>
      </c>
      <c r="K143" s="34" t="str">
        <f t="shared" si="33"/>
        <v>4039/4040</v>
      </c>
      <c r="L143" s="34" t="str">
        <f>VLOOKUP(A143,'Trips&amp;Operators'!$C$1:$E$10000,3,FALSE)</f>
        <v>ADANE</v>
      </c>
      <c r="M143" s="6">
        <f t="shared" si="34"/>
        <v>2.8391203704813961E-2</v>
      </c>
      <c r="N143" s="7">
        <f t="shared" si="32"/>
        <v>40.883333334932104</v>
      </c>
      <c r="O143" s="7"/>
      <c r="P143" s="7"/>
      <c r="Q143" s="35"/>
      <c r="R143" s="35"/>
      <c r="S143" s="59">
        <f t="shared" si="35"/>
        <v>1</v>
      </c>
      <c r="T143" s="1" t="str">
        <f t="shared" si="36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38" t="str">
        <f t="shared" si="38"/>
        <v>N</v>
      </c>
      <c r="X143" s="38">
        <f t="shared" si="39"/>
        <v>1</v>
      </c>
      <c r="Y143" s="38">
        <f t="shared" si="40"/>
        <v>4.4400000000000002E-2</v>
      </c>
      <c r="Z143" s="38">
        <f t="shared" si="41"/>
        <v>23.329699999999999</v>
      </c>
      <c r="AA143" s="38">
        <f t="shared" si="42"/>
        <v>23.285299999999999</v>
      </c>
      <c r="AB143" s="39">
        <f>VLOOKUP(A143,Enforcements!$C$7:$J$32,8,0)</f>
        <v>183829</v>
      </c>
      <c r="AC143" s="39" t="str">
        <f>VLOOKUP(A143,Enforcements!$C$7:$E$32,3,0)</f>
        <v>PERMANENT SPEED RESTRICTION</v>
      </c>
    </row>
    <row r="144" spans="1:29" x14ac:dyDescent="0.25">
      <c r="A144" s="34" t="s">
        <v>489</v>
      </c>
      <c r="B144" s="34">
        <v>4039</v>
      </c>
      <c r="C144" s="34" t="s">
        <v>60</v>
      </c>
      <c r="D144" s="34" t="s">
        <v>103</v>
      </c>
      <c r="E144" s="20">
        <v>42551.952905092592</v>
      </c>
      <c r="F144" s="20">
        <v>42551.953981481478</v>
      </c>
      <c r="G144" s="20">
        <v>1</v>
      </c>
      <c r="H144" s="20" t="s">
        <v>141</v>
      </c>
      <c r="I144" s="20">
        <v>42551.98369212963</v>
      </c>
      <c r="J144" s="34">
        <v>3</v>
      </c>
      <c r="K144" s="34" t="str">
        <f t="shared" si="33"/>
        <v>4039/4040</v>
      </c>
      <c r="L144" s="34" t="str">
        <f>VLOOKUP(A144,'Trips&amp;Operators'!$C$1:$E$10000,3,FALSE)</f>
        <v>ADANE</v>
      </c>
      <c r="M144" s="6">
        <f t="shared" si="34"/>
        <v>2.9710648152104113E-2</v>
      </c>
      <c r="N144" s="7">
        <f t="shared" si="32"/>
        <v>42.783333339029923</v>
      </c>
      <c r="O144" s="7"/>
      <c r="P144" s="7"/>
      <c r="Q144" s="35"/>
      <c r="R144" s="35"/>
      <c r="S144" s="59">
        <f t="shared" si="35"/>
        <v>1</v>
      </c>
      <c r="T144" s="1" t="str">
        <f t="shared" si="36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38" t="str">
        <f t="shared" si="38"/>
        <v>N</v>
      </c>
      <c r="X144" s="38">
        <f t="shared" si="39"/>
        <v>1</v>
      </c>
      <c r="Y144" s="38">
        <f t="shared" si="40"/>
        <v>23.2986</v>
      </c>
      <c r="Z144" s="38">
        <f t="shared" si="41"/>
        <v>1.3599999999999999E-2</v>
      </c>
      <c r="AA144" s="38">
        <f t="shared" si="42"/>
        <v>23.285</v>
      </c>
      <c r="AB144" s="39">
        <f>VLOOKUP(A144,Enforcements!$C$7:$J$32,8,0)</f>
        <v>109135</v>
      </c>
      <c r="AC144" s="39" t="str">
        <f>VLOOKUP(A144,Enforcements!$C$7:$E$32,3,0)</f>
        <v>GRADE CROSSING</v>
      </c>
    </row>
    <row r="145" spans="1:29" x14ac:dyDescent="0.25">
      <c r="A145" s="34" t="s">
        <v>490</v>
      </c>
      <c r="B145" s="34">
        <v>4029</v>
      </c>
      <c r="C145" s="34" t="s">
        <v>60</v>
      </c>
      <c r="D145" s="34" t="s">
        <v>78</v>
      </c>
      <c r="E145" s="20">
        <v>42551.931863425925</v>
      </c>
      <c r="F145" s="20">
        <v>42551.932789351849</v>
      </c>
      <c r="G145" s="20">
        <v>1</v>
      </c>
      <c r="H145" s="20" t="s">
        <v>380</v>
      </c>
      <c r="I145" s="20">
        <v>42551.962534722225</v>
      </c>
      <c r="J145" s="34">
        <v>0</v>
      </c>
      <c r="K145" s="34" t="str">
        <f t="shared" si="33"/>
        <v>4029/4030</v>
      </c>
      <c r="L145" s="34" t="str">
        <f>VLOOKUP(A145,'Trips&amp;Operators'!$C$1:$E$10000,3,FALSE)</f>
        <v>DAVIS</v>
      </c>
      <c r="M145" s="6">
        <f t="shared" si="34"/>
        <v>2.9745370375167113E-2</v>
      </c>
      <c r="N145" s="7">
        <f t="shared" si="32"/>
        <v>42.833333340240642</v>
      </c>
      <c r="O145" s="7"/>
      <c r="P145" s="7"/>
      <c r="Q145" s="35"/>
      <c r="R145" s="35"/>
      <c r="S145" s="59">
        <f t="shared" si="35"/>
        <v>1</v>
      </c>
      <c r="T145" s="1" t="str">
        <f t="shared" si="36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22:20:53-0600',mode:absolute,to:'2016-06-30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38" t="str">
        <f t="shared" si="38"/>
        <v>N</v>
      </c>
      <c r="X145" s="38">
        <f t="shared" si="39"/>
        <v>1</v>
      </c>
      <c r="Y145" s="38">
        <f t="shared" si="40"/>
        <v>4.53E-2</v>
      </c>
      <c r="Z145" s="38">
        <f t="shared" si="41"/>
        <v>23.328600000000002</v>
      </c>
      <c r="AA145" s="38">
        <f t="shared" si="42"/>
        <v>23.283300000000001</v>
      </c>
      <c r="AB145" s="39" t="e">
        <f>VLOOKUP(A145,Enforcements!$C$7:$J$32,8,0)</f>
        <v>#N/A</v>
      </c>
      <c r="AC145" s="39" t="e">
        <f>VLOOKUP(A145,Enforcements!$C$7:$E$32,3,0)</f>
        <v>#N/A</v>
      </c>
    </row>
    <row r="146" spans="1:29" x14ac:dyDescent="0.25">
      <c r="A146" s="34" t="s">
        <v>491</v>
      </c>
      <c r="B146" s="34">
        <v>4030</v>
      </c>
      <c r="C146" s="34" t="s">
        <v>60</v>
      </c>
      <c r="D146" s="34" t="s">
        <v>145</v>
      </c>
      <c r="E146" s="20">
        <v>42551.973263888889</v>
      </c>
      <c r="F146" s="20">
        <v>42551.974166666667</v>
      </c>
      <c r="G146" s="20">
        <v>1</v>
      </c>
      <c r="H146" s="20" t="s">
        <v>94</v>
      </c>
      <c r="I146" s="20">
        <v>42552.00236111111</v>
      </c>
      <c r="J146" s="34">
        <v>0</v>
      </c>
      <c r="K146" s="34" t="str">
        <f t="shared" si="33"/>
        <v>4029/4030</v>
      </c>
      <c r="L146" s="34" t="str">
        <f>VLOOKUP(A146,'Trips&amp;Operators'!$C$1:$E$10000,3,FALSE)</f>
        <v>DAVIS</v>
      </c>
      <c r="M146" s="6">
        <f t="shared" si="34"/>
        <v>2.8194444443215616E-2</v>
      </c>
      <c r="N146" s="7">
        <f t="shared" si="32"/>
        <v>40.599999998230487</v>
      </c>
      <c r="O146" s="7"/>
      <c r="P146" s="7"/>
      <c r="Q146" s="35"/>
      <c r="R146" s="35"/>
      <c r="S146" s="59">
        <f t="shared" si="35"/>
        <v>1</v>
      </c>
      <c r="T146" s="1" t="str">
        <f t="shared" si="36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23:20:30-0600',mode:absolute,to:'2016-07-01 00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38" t="str">
        <f t="shared" si="38"/>
        <v>N</v>
      </c>
      <c r="X146" s="38">
        <f t="shared" si="39"/>
        <v>1</v>
      </c>
      <c r="Y146" s="38">
        <f t="shared" si="40"/>
        <v>23.2973</v>
      </c>
      <c r="Z146" s="38">
        <f t="shared" si="41"/>
        <v>1.5800000000000002E-2</v>
      </c>
      <c r="AA146" s="38">
        <f t="shared" si="42"/>
        <v>23.281500000000001</v>
      </c>
      <c r="AB146" s="39" t="e">
        <f>VLOOKUP(A146,Enforcements!$C$7:$J$32,8,0)</f>
        <v>#N/A</v>
      </c>
      <c r="AC146" s="39" t="e">
        <f>VLOOKUP(A146,Enforcements!$C$7:$E$32,3,0)</f>
        <v>#N/A</v>
      </c>
    </row>
    <row r="147" spans="1:29" x14ac:dyDescent="0.25">
      <c r="A147" s="34" t="s">
        <v>492</v>
      </c>
      <c r="B147" s="34">
        <v>4038</v>
      </c>
      <c r="C147" s="34" t="s">
        <v>60</v>
      </c>
      <c r="D147" s="34" t="s">
        <v>493</v>
      </c>
      <c r="E147" s="20">
        <v>42551.954583333332</v>
      </c>
      <c r="F147" s="20">
        <v>42551.955625000002</v>
      </c>
      <c r="G147" s="20">
        <v>1</v>
      </c>
      <c r="H147" s="20" t="s">
        <v>494</v>
      </c>
      <c r="I147" s="20">
        <v>42551.983136574076</v>
      </c>
      <c r="J147" s="34">
        <v>0</v>
      </c>
      <c r="K147" s="34" t="str">
        <f t="shared" si="33"/>
        <v>4037/4038</v>
      </c>
      <c r="L147" s="34" t="str">
        <f>VLOOKUP(A147,'Trips&amp;Operators'!$C$1:$E$10000,3,FALSE)</f>
        <v>BRUDER</v>
      </c>
      <c r="M147" s="6">
        <f t="shared" si="34"/>
        <v>2.7511574073287193E-2</v>
      </c>
      <c r="N147" s="7">
        <f t="shared" si="32"/>
        <v>39.616666665533558</v>
      </c>
      <c r="O147" s="7"/>
      <c r="P147" s="7"/>
      <c r="Q147" s="35"/>
      <c r="R147" s="35"/>
      <c r="S147" s="59">
        <f t="shared" si="35"/>
        <v>1</v>
      </c>
      <c r="T147" s="1" t="str">
        <f t="shared" si="36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22:53:36-0600',mode:absolute,to:'2016-06-30 23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7" s="38" t="str">
        <f t="shared" si="38"/>
        <v>N</v>
      </c>
      <c r="X147" s="38">
        <f t="shared" si="39"/>
        <v>1</v>
      </c>
      <c r="Y147" s="38">
        <f t="shared" si="40"/>
        <v>5.28E-2</v>
      </c>
      <c r="Z147" s="38">
        <f t="shared" si="41"/>
        <v>23.325700000000001</v>
      </c>
      <c r="AA147" s="38">
        <f t="shared" si="42"/>
        <v>23.2729</v>
      </c>
      <c r="AB147" s="39" t="e">
        <f>VLOOKUP(A147,Enforcements!$C$7:$J$32,8,0)</f>
        <v>#N/A</v>
      </c>
      <c r="AC147" s="39" t="e">
        <f>VLOOKUP(A147,Enforcements!$C$7:$E$32,3,0)</f>
        <v>#N/A</v>
      </c>
    </row>
    <row r="148" spans="1:29" x14ac:dyDescent="0.25">
      <c r="A148" s="34" t="s">
        <v>495</v>
      </c>
      <c r="B148" s="34">
        <v>4037</v>
      </c>
      <c r="C148" s="34" t="s">
        <v>60</v>
      </c>
      <c r="D148" s="34" t="s">
        <v>496</v>
      </c>
      <c r="E148" s="20">
        <v>42551.993252314816</v>
      </c>
      <c r="F148" s="20">
        <v>42551.993993055556</v>
      </c>
      <c r="G148" s="20">
        <v>1</v>
      </c>
      <c r="H148" s="20" t="s">
        <v>338</v>
      </c>
      <c r="I148" s="20">
        <v>42552.024502314816</v>
      </c>
      <c r="J148" s="34">
        <v>0</v>
      </c>
      <c r="K148" s="34" t="str">
        <f t="shared" si="33"/>
        <v>4037/4038</v>
      </c>
      <c r="L148" s="34" t="str">
        <f>VLOOKUP(A148,'Trips&amp;Operators'!$C$1:$E$10000,3,FALSE)</f>
        <v>BRUDER</v>
      </c>
      <c r="M148" s="6">
        <f t="shared" si="34"/>
        <v>3.050925926072523E-2</v>
      </c>
      <c r="N148" s="7">
        <f t="shared" si="32"/>
        <v>43.933333335444331</v>
      </c>
      <c r="O148" s="7"/>
      <c r="P148" s="7"/>
      <c r="Q148" s="35"/>
      <c r="R148" s="35"/>
      <c r="S148" s="59">
        <f t="shared" si="35"/>
        <v>1</v>
      </c>
      <c r="T148" s="1" t="str">
        <f t="shared" si="36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23:49:17-0600',mode:absolute,to:'2016-07-01 00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8" s="38" t="str">
        <f t="shared" si="38"/>
        <v>N</v>
      </c>
      <c r="X148" s="38">
        <f t="shared" si="39"/>
        <v>1</v>
      </c>
      <c r="Y148" s="38">
        <f t="shared" si="40"/>
        <v>23.293199999999999</v>
      </c>
      <c r="Z148" s="38">
        <f t="shared" si="41"/>
        <v>1.67E-2</v>
      </c>
      <c r="AA148" s="38">
        <f t="shared" si="42"/>
        <v>23.276499999999999</v>
      </c>
      <c r="AB148" s="39" t="e">
        <f>VLOOKUP(A148,Enforcements!$C$7:$J$32,8,0)</f>
        <v>#N/A</v>
      </c>
      <c r="AC148" s="39" t="e">
        <f>VLOOKUP(A148,Enforcements!$C$7:$E$32,3,0)</f>
        <v>#N/A</v>
      </c>
    </row>
    <row r="149" spans="1:29" x14ac:dyDescent="0.25">
      <c r="A149" s="34" t="s">
        <v>497</v>
      </c>
      <c r="B149" s="34">
        <v>4027</v>
      </c>
      <c r="C149" s="34" t="s">
        <v>60</v>
      </c>
      <c r="D149" s="34" t="s">
        <v>211</v>
      </c>
      <c r="E149" s="20">
        <v>42551.973425925928</v>
      </c>
      <c r="F149" s="20">
        <v>42551.974537037036</v>
      </c>
      <c r="G149" s="20">
        <v>1</v>
      </c>
      <c r="H149" s="20" t="s">
        <v>179</v>
      </c>
      <c r="I149" s="20">
        <v>42552.005949074075</v>
      </c>
      <c r="J149" s="34">
        <v>0</v>
      </c>
      <c r="K149" s="34" t="str">
        <f t="shared" si="33"/>
        <v>4027/4028</v>
      </c>
      <c r="L149" s="34" t="str">
        <f>VLOOKUP(A149,'Trips&amp;Operators'!$C$1:$E$10000,3,FALSE)</f>
        <v>MOSES</v>
      </c>
      <c r="M149" s="6">
        <f t="shared" si="34"/>
        <v>3.1412037038535345E-2</v>
      </c>
      <c r="N149" s="7">
        <f t="shared" si="32"/>
        <v>45.233333335490897</v>
      </c>
      <c r="O149" s="7"/>
      <c r="P149" s="7"/>
      <c r="Q149" s="35"/>
      <c r="R149" s="35"/>
      <c r="S149" s="59">
        <f t="shared" si="35"/>
        <v>1</v>
      </c>
      <c r="T149" s="1" t="str">
        <f t="shared" si="36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23:20:44-0600',mode:absolute,to:'2016-07-01 00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9" s="38" t="str">
        <f t="shared" si="38"/>
        <v>N</v>
      </c>
      <c r="X149" s="38">
        <f t="shared" si="39"/>
        <v>1</v>
      </c>
      <c r="Y149" s="38">
        <f t="shared" si="40"/>
        <v>4.6899999999999997E-2</v>
      </c>
      <c r="Z149" s="38">
        <f t="shared" si="41"/>
        <v>23.327999999999999</v>
      </c>
      <c r="AA149" s="38">
        <f t="shared" si="42"/>
        <v>23.281099999999999</v>
      </c>
      <c r="AB149" s="39" t="e">
        <f>VLOOKUP(A149,Enforcements!$C$7:$J$32,8,0)</f>
        <v>#N/A</v>
      </c>
      <c r="AC149" s="39" t="e">
        <f>VLOOKUP(A149,Enforcements!$C$7:$E$32,3,0)</f>
        <v>#N/A</v>
      </c>
    </row>
    <row r="150" spans="1:29" x14ac:dyDescent="0.25">
      <c r="A150" s="34" t="s">
        <v>498</v>
      </c>
      <c r="B150" s="34">
        <v>4028</v>
      </c>
      <c r="C150" s="34" t="s">
        <v>60</v>
      </c>
      <c r="D150" s="34" t="s">
        <v>329</v>
      </c>
      <c r="E150" s="20">
        <v>42552.017060185186</v>
      </c>
      <c r="F150" s="20">
        <v>42552.017997685187</v>
      </c>
      <c r="G150" s="20">
        <v>1</v>
      </c>
      <c r="H150" s="20" t="s">
        <v>499</v>
      </c>
      <c r="I150" s="20">
        <v>42552.045763888891</v>
      </c>
      <c r="J150" s="34">
        <v>0</v>
      </c>
      <c r="K150" s="34" t="str">
        <f t="shared" si="33"/>
        <v>4027/4028</v>
      </c>
      <c r="L150" s="34" t="str">
        <f>VLOOKUP(A150,'Trips&amp;Operators'!$C$1:$E$10000,3,FALSE)</f>
        <v>MOSES</v>
      </c>
      <c r="M150" s="6">
        <f t="shared" si="34"/>
        <v>2.7766203704231884E-2</v>
      </c>
      <c r="N150" s="7">
        <f t="shared" si="32"/>
        <v>39.983333334093913</v>
      </c>
      <c r="O150" s="7"/>
      <c r="P150" s="7"/>
      <c r="Q150" s="35"/>
      <c r="R150" s="35"/>
      <c r="S150" s="59">
        <f t="shared" si="35"/>
        <v>1</v>
      </c>
      <c r="T150" s="1" t="str">
        <f t="shared" si="36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00:23:34-0600',mode:absolute,to:'2016-07-01 01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0" s="38" t="str">
        <f t="shared" si="38"/>
        <v>N</v>
      </c>
      <c r="X150" s="38">
        <f t="shared" si="39"/>
        <v>1</v>
      </c>
      <c r="Y150" s="38">
        <f t="shared" si="40"/>
        <v>23.296099999999999</v>
      </c>
      <c r="Z150" s="38">
        <f t="shared" si="41"/>
        <v>1.8700000000000001E-2</v>
      </c>
      <c r="AA150" s="38">
        <f t="shared" si="42"/>
        <v>23.2774</v>
      </c>
      <c r="AB150" s="39" t="e">
        <f>VLOOKUP(A150,Enforcements!$C$7:$J$32,8,0)</f>
        <v>#N/A</v>
      </c>
      <c r="AC150" s="39" t="e">
        <f>VLOOKUP(A150,Enforcements!$C$7:$E$32,3,0)</f>
        <v>#N/A</v>
      </c>
    </row>
    <row r="151" spans="1:29" x14ac:dyDescent="0.25">
      <c r="A151" s="34" t="s">
        <v>500</v>
      </c>
      <c r="B151" s="34">
        <v>4040</v>
      </c>
      <c r="C151" s="34" t="s">
        <v>60</v>
      </c>
      <c r="D151" s="34" t="s">
        <v>85</v>
      </c>
      <c r="E151" s="20">
        <v>42551.996550925927</v>
      </c>
      <c r="F151" s="20">
        <v>42551.997731481482</v>
      </c>
      <c r="G151" s="20">
        <v>1</v>
      </c>
      <c r="H151" s="20" t="s">
        <v>316</v>
      </c>
      <c r="I151" s="20">
        <v>42552.033043981479</v>
      </c>
      <c r="J151" s="34">
        <v>1</v>
      </c>
      <c r="K151" s="34" t="str">
        <f t="shared" si="33"/>
        <v>4039/4040</v>
      </c>
      <c r="L151" s="34" t="str">
        <f>VLOOKUP(A151,'Trips&amp;Operators'!$C$1:$E$10000,3,FALSE)</f>
        <v>ADANE</v>
      </c>
      <c r="M151" s="6">
        <f t="shared" si="34"/>
        <v>3.531249999650754E-2</v>
      </c>
      <c r="N151" s="7">
        <f t="shared" si="32"/>
        <v>50.849999994970858</v>
      </c>
      <c r="O151" s="7"/>
      <c r="P151" s="7"/>
      <c r="Q151" s="35"/>
      <c r="R151" s="35"/>
      <c r="S151" s="59">
        <f t="shared" si="35"/>
        <v>1</v>
      </c>
      <c r="T151" s="1" t="str">
        <f t="shared" si="36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38" t="str">
        <f t="shared" si="38"/>
        <v>N</v>
      </c>
      <c r="X151" s="38">
        <f t="shared" si="39"/>
        <v>1</v>
      </c>
      <c r="Y151" s="38">
        <f t="shared" si="40"/>
        <v>4.6399999999999997E-2</v>
      </c>
      <c r="Z151" s="38">
        <f t="shared" si="41"/>
        <v>23.330100000000002</v>
      </c>
      <c r="AA151" s="38">
        <f t="shared" si="42"/>
        <v>23.283700000000003</v>
      </c>
      <c r="AB151" s="39">
        <f>VLOOKUP(A151,Enforcements!$C$7:$J$32,8,0)</f>
        <v>4677</v>
      </c>
      <c r="AC151" s="39" t="str">
        <f>VLOOKUP(A151,Enforcements!$C$7:$E$32,3,0)</f>
        <v>PERMANENT SPEED RESTRICTION</v>
      </c>
    </row>
    <row r="152" spans="1:29" x14ac:dyDescent="0.25">
      <c r="A152" s="34" t="s">
        <v>501</v>
      </c>
      <c r="B152" s="34">
        <v>4039</v>
      </c>
      <c r="C152" s="34" t="s">
        <v>60</v>
      </c>
      <c r="D152" s="34" t="s">
        <v>140</v>
      </c>
      <c r="E152" s="20">
        <v>42552.037858796299</v>
      </c>
      <c r="F152" s="20">
        <v>42552.0387962963</v>
      </c>
      <c r="G152" s="20">
        <v>1</v>
      </c>
      <c r="H152" s="20" t="s">
        <v>67</v>
      </c>
      <c r="I152" s="20">
        <v>42552.065474537034</v>
      </c>
      <c r="J152" s="34">
        <v>0</v>
      </c>
      <c r="K152" s="34" t="str">
        <f t="shared" si="33"/>
        <v>4039/4040</v>
      </c>
      <c r="L152" s="34" t="str">
        <f>VLOOKUP(A152,'Trips&amp;Operators'!$C$1:$E$10000,3,FALSE)</f>
        <v>ADANE</v>
      </c>
      <c r="M152" s="6">
        <f t="shared" si="34"/>
        <v>2.6678240734327119E-2</v>
      </c>
      <c r="N152" s="7">
        <f t="shared" si="32"/>
        <v>38.416666657431051</v>
      </c>
      <c r="O152" s="7"/>
      <c r="P152" s="7"/>
      <c r="Q152" s="35"/>
      <c r="R152" s="35"/>
      <c r="S152" s="59">
        <f t="shared" si="35"/>
        <v>1</v>
      </c>
      <c r="T152" s="1" t="str">
        <f t="shared" si="36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00:53:31-0600',mode:absolute,to:'2016-07-01 01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38" t="str">
        <f t="shared" si="38"/>
        <v>N</v>
      </c>
      <c r="X152" s="38">
        <f t="shared" si="39"/>
        <v>1</v>
      </c>
      <c r="Y152" s="38">
        <f t="shared" si="40"/>
        <v>23.2971</v>
      </c>
      <c r="Z152" s="38">
        <f t="shared" si="41"/>
        <v>1.47E-2</v>
      </c>
      <c r="AA152" s="38">
        <f t="shared" si="42"/>
        <v>23.282399999999999</v>
      </c>
      <c r="AB152" s="39" t="e">
        <f>VLOOKUP(A152,Enforcements!$C$7:$J$32,8,0)</f>
        <v>#N/A</v>
      </c>
      <c r="AC152" s="39" t="e">
        <f>VLOOKUP(A152,Enforcements!$C$7:$E$32,3,0)</f>
        <v>#N/A</v>
      </c>
    </row>
    <row r="153" spans="1:29" x14ac:dyDescent="0.25">
      <c r="A153" s="34" t="s">
        <v>502</v>
      </c>
      <c r="B153" s="72">
        <v>4029</v>
      </c>
      <c r="C153" s="72" t="s">
        <v>60</v>
      </c>
      <c r="D153" s="72" t="s">
        <v>78</v>
      </c>
      <c r="E153" s="83">
        <v>42552.015682870369</v>
      </c>
      <c r="F153" s="83">
        <v>42552.016701388886</v>
      </c>
      <c r="G153" s="84">
        <v>1</v>
      </c>
      <c r="H153" s="83" t="s">
        <v>97</v>
      </c>
      <c r="I153" s="83">
        <v>42552.046342592592</v>
      </c>
      <c r="J153" s="72">
        <v>0</v>
      </c>
      <c r="K153" s="34" t="str">
        <f t="shared" si="33"/>
        <v>4029/4030</v>
      </c>
      <c r="L153" s="34" t="str">
        <f>VLOOKUP(A153,'Trips&amp;Operators'!$C$1:$E$10000,3,FALSE)</f>
        <v>DAVIS</v>
      </c>
      <c r="M153" s="6">
        <f t="shared" si="34"/>
        <v>2.9641203705978114E-2</v>
      </c>
      <c r="N153" s="7">
        <f t="shared" si="32"/>
        <v>42.683333336608484</v>
      </c>
      <c r="O153" s="7"/>
      <c r="P153" s="7"/>
      <c r="Q153" s="35"/>
      <c r="R153" s="35"/>
      <c r="S153" s="59">
        <f t="shared" si="35"/>
        <v>1</v>
      </c>
      <c r="T153" s="1" t="str">
        <f t="shared" si="36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00:21:35-0600',mode:absolute,to:'2016-07-01 01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3" s="38" t="str">
        <f t="shared" si="38"/>
        <v>N</v>
      </c>
      <c r="X153" s="38">
        <f t="shared" si="39"/>
        <v>1</v>
      </c>
      <c r="Y153" s="38">
        <f t="shared" si="40"/>
        <v>4.53E-2</v>
      </c>
      <c r="Z153" s="38">
        <f t="shared" si="41"/>
        <v>23.3291</v>
      </c>
      <c r="AA153" s="38">
        <f t="shared" si="42"/>
        <v>23.283799999999999</v>
      </c>
      <c r="AB153" s="39" t="e">
        <f>VLOOKUP(A153,Enforcements!$C$7:$J$32,8,0)</f>
        <v>#N/A</v>
      </c>
      <c r="AC153" s="39" t="e">
        <f>VLOOKUP(A153,Enforcements!$C$7:$E$32,3,0)</f>
        <v>#N/A</v>
      </c>
    </row>
    <row r="154" spans="1:29" x14ac:dyDescent="0.25">
      <c r="A154" s="67" t="s">
        <v>503</v>
      </c>
      <c r="B154" s="34">
        <v>4030</v>
      </c>
      <c r="C154" s="34" t="s">
        <v>60</v>
      </c>
      <c r="D154" s="34" t="s">
        <v>182</v>
      </c>
      <c r="E154" s="20">
        <v>42552.05678240741</v>
      </c>
      <c r="F154" s="20">
        <v>42552.057511574072</v>
      </c>
      <c r="G154" s="20">
        <v>1</v>
      </c>
      <c r="H154" s="20" t="s">
        <v>132</v>
      </c>
      <c r="I154" s="20">
        <v>42552.085972222223</v>
      </c>
      <c r="J154" s="34">
        <v>0</v>
      </c>
      <c r="K154" s="34" t="str">
        <f t="shared" si="33"/>
        <v>4029/4030</v>
      </c>
      <c r="L154" s="34" t="str">
        <f>VLOOKUP(A154,'Trips&amp;Operators'!$C$1:$E$10000,3,FALSE)</f>
        <v>DAVIS</v>
      </c>
      <c r="M154" s="6">
        <f t="shared" si="34"/>
        <v>2.846064815093996E-2</v>
      </c>
      <c r="N154" s="7">
        <f t="shared" si="32"/>
        <v>40.983333337353542</v>
      </c>
      <c r="O154" s="7"/>
      <c r="P154" s="7"/>
      <c r="Q154" s="35"/>
      <c r="R154" s="35"/>
      <c r="S154" s="59">
        <f t="shared" si="35"/>
        <v>1</v>
      </c>
      <c r="T154" s="1" t="str">
        <f t="shared" si="36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01:20:46-0600',mode:absolute,to:'2016-07-01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4" s="38" t="str">
        <f t="shared" si="38"/>
        <v>N</v>
      </c>
      <c r="X154" s="38">
        <f t="shared" si="39"/>
        <v>1</v>
      </c>
      <c r="Y154" s="38">
        <f t="shared" si="40"/>
        <v>23.2988</v>
      </c>
      <c r="Z154" s="38">
        <f t="shared" si="41"/>
        <v>1.43E-2</v>
      </c>
      <c r="AA154" s="38">
        <f t="shared" si="42"/>
        <v>23.284500000000001</v>
      </c>
      <c r="AB154" s="39" t="e">
        <f>VLOOKUP(A154,Enforcements!$C$7:$J$32,8,0)</f>
        <v>#N/A</v>
      </c>
      <c r="AC154" s="39" t="e">
        <f>VLOOKUP(A154,Enforcements!$C$7:$E$32,3,0)</f>
        <v>#N/A</v>
      </c>
    </row>
    <row r="155" spans="1:29" x14ac:dyDescent="0.25">
      <c r="A155" s="34" t="s">
        <v>279</v>
      </c>
      <c r="B155" s="72">
        <v>4041</v>
      </c>
      <c r="C155" s="72" t="s">
        <v>60</v>
      </c>
      <c r="D155" s="72" t="s">
        <v>231</v>
      </c>
      <c r="E155" s="83">
        <v>42551.210219907407</v>
      </c>
      <c r="F155" s="83">
        <v>42551.211562500001</v>
      </c>
      <c r="G155" s="84">
        <v>1</v>
      </c>
      <c r="H155" s="83" t="s">
        <v>504</v>
      </c>
      <c r="I155" s="83">
        <v>42551.225266203706</v>
      </c>
      <c r="J155" s="72">
        <v>0</v>
      </c>
      <c r="K155" s="34" t="str">
        <f t="shared" ref="K155:K176" si="43">IF(ISEVEN(B155),(B155-1)&amp;"/"&amp;B155,B155&amp;"/"&amp;(B155+1))</f>
        <v>4041/4042</v>
      </c>
      <c r="L155" s="34" t="str">
        <f>VLOOKUP(A155,'Trips&amp;Operators'!$C$1:$E$10000,3,FALSE)</f>
        <v>NELSON</v>
      </c>
      <c r="M155" s="6">
        <f t="shared" ref="M155:M176" si="44">I155-F155</f>
        <v>1.3703703705687076E-2</v>
      </c>
      <c r="N155" s="7"/>
      <c r="O155" s="7"/>
      <c r="P155" s="7"/>
      <c r="Q155" s="35"/>
      <c r="R155" s="35"/>
      <c r="S155" s="59"/>
      <c r="T155" s="1"/>
      <c r="U155" s="1"/>
      <c r="V155" s="38"/>
      <c r="W155" s="38"/>
      <c r="X155" s="38"/>
      <c r="Y155" s="38"/>
      <c r="Z155" s="38"/>
      <c r="AA155" s="38"/>
      <c r="AB155" s="39"/>
      <c r="AC155" s="39"/>
    </row>
    <row r="156" spans="1:29" x14ac:dyDescent="0.25">
      <c r="A156" s="34" t="s">
        <v>270</v>
      </c>
      <c r="B156" s="72">
        <v>4042</v>
      </c>
      <c r="C156" s="72" t="s">
        <v>60</v>
      </c>
      <c r="D156" s="72" t="s">
        <v>505</v>
      </c>
      <c r="E156" s="83">
        <v>42551.237083333333</v>
      </c>
      <c r="F156" s="83">
        <v>42551.238159722219</v>
      </c>
      <c r="G156" s="84">
        <v>1</v>
      </c>
      <c r="H156" s="83" t="s">
        <v>506</v>
      </c>
      <c r="I156" s="83">
        <v>42551.252638888887</v>
      </c>
      <c r="J156" s="72">
        <v>0</v>
      </c>
      <c r="K156" s="34" t="str">
        <f t="shared" si="43"/>
        <v>4041/4042</v>
      </c>
      <c r="L156" s="34" t="str">
        <f>VLOOKUP(A156,'Trips&amp;Operators'!$C$1:$E$10000,3,FALSE)</f>
        <v>NELSON</v>
      </c>
      <c r="M156" s="6">
        <f t="shared" si="44"/>
        <v>1.4479166668024845E-2</v>
      </c>
      <c r="N156" s="7"/>
      <c r="O156" s="7"/>
      <c r="P156" s="7"/>
      <c r="Q156" s="35"/>
      <c r="R156" s="35"/>
      <c r="S156" s="59"/>
      <c r="T156" s="1"/>
      <c r="U156" s="1"/>
      <c r="V156" s="38"/>
      <c r="W156" s="38"/>
      <c r="X156" s="38"/>
      <c r="Y156" s="38"/>
      <c r="Z156" s="38"/>
      <c r="AA156" s="38"/>
      <c r="AB156" s="39"/>
      <c r="AC156" s="39"/>
    </row>
    <row r="157" spans="1:29" x14ac:dyDescent="0.25">
      <c r="A157" s="34" t="s">
        <v>285</v>
      </c>
      <c r="B157" s="72">
        <v>4041</v>
      </c>
      <c r="C157" s="72" t="s">
        <v>60</v>
      </c>
      <c r="D157" s="72" t="s">
        <v>236</v>
      </c>
      <c r="E157" s="83">
        <v>42551.255104166667</v>
      </c>
      <c r="F157" s="83">
        <v>42551.255856481483</v>
      </c>
      <c r="G157" s="84">
        <v>1</v>
      </c>
      <c r="H157" s="83" t="s">
        <v>507</v>
      </c>
      <c r="I157" s="83">
        <v>42551.266493055555</v>
      </c>
      <c r="J157" s="72">
        <v>0</v>
      </c>
      <c r="K157" s="34" t="str">
        <f t="shared" si="43"/>
        <v>4041/4042</v>
      </c>
      <c r="L157" s="34" t="str">
        <f>VLOOKUP(A157,'Trips&amp;Operators'!$C$1:$E$10000,3,FALSE)</f>
        <v>NELSON</v>
      </c>
      <c r="M157" s="6">
        <f t="shared" si="44"/>
        <v>1.063657407212304E-2</v>
      </c>
      <c r="N157" s="7"/>
      <c r="O157" s="7"/>
      <c r="P157" s="7"/>
      <c r="Q157" s="35"/>
      <c r="R157" s="35"/>
      <c r="S157" s="59"/>
      <c r="T157" s="1"/>
      <c r="U157" s="1"/>
      <c r="V157" s="38"/>
      <c r="W157" s="38"/>
      <c r="X157" s="38"/>
      <c r="Y157" s="38"/>
      <c r="Z157" s="38"/>
      <c r="AA157" s="38"/>
      <c r="AB157" s="39"/>
      <c r="AC157" s="39"/>
    </row>
    <row r="158" spans="1:29" x14ac:dyDescent="0.25">
      <c r="A158" s="85" t="s">
        <v>271</v>
      </c>
      <c r="B158" s="51">
        <v>4011</v>
      </c>
      <c r="C158" s="51" t="s">
        <v>60</v>
      </c>
      <c r="D158" s="51" t="s">
        <v>508</v>
      </c>
      <c r="E158" s="78">
        <v>42551.258159722223</v>
      </c>
      <c r="F158" s="78">
        <v>42551.260451388887</v>
      </c>
      <c r="G158" s="79">
        <v>3</v>
      </c>
      <c r="H158" s="78" t="s">
        <v>509</v>
      </c>
      <c r="I158" s="78">
        <v>42551.275451388887</v>
      </c>
      <c r="J158" s="51">
        <v>3</v>
      </c>
      <c r="K158" s="73" t="str">
        <f t="shared" si="43"/>
        <v>4011/4012</v>
      </c>
      <c r="L158" s="73" t="str">
        <f>VLOOKUP(A158,'Trips&amp;Operators'!$C$1:$E$10000,3,FALSE)</f>
        <v>BEAM</v>
      </c>
      <c r="M158" s="74">
        <f t="shared" si="44"/>
        <v>1.4999999999417923E-2</v>
      </c>
      <c r="N158" s="75"/>
      <c r="O158" s="75"/>
      <c r="P158" s="75"/>
      <c r="Q158" s="76"/>
      <c r="R158" s="76"/>
      <c r="S158" s="77"/>
      <c r="T158" s="1"/>
      <c r="U158" s="1"/>
      <c r="V158" s="38"/>
      <c r="W158" s="38"/>
      <c r="X158" s="38"/>
      <c r="Y158" s="38"/>
      <c r="Z158" s="38"/>
      <c r="AA158" s="38"/>
      <c r="AB158" s="39"/>
      <c r="AC158" s="39"/>
    </row>
    <row r="159" spans="1:29" x14ac:dyDescent="0.25">
      <c r="A159" s="85" t="s">
        <v>300</v>
      </c>
      <c r="B159" s="51">
        <v>4012</v>
      </c>
      <c r="C159" s="51" t="s">
        <v>60</v>
      </c>
      <c r="D159" s="51" t="s">
        <v>224</v>
      </c>
      <c r="E159" s="78">
        <v>42551.27716435185</v>
      </c>
      <c r="F159" s="78">
        <v>42551.278344907405</v>
      </c>
      <c r="G159" s="79">
        <v>1</v>
      </c>
      <c r="H159" s="78" t="s">
        <v>221</v>
      </c>
      <c r="I159" s="78">
        <v>42551.288356481484</v>
      </c>
      <c r="J159" s="51">
        <v>0</v>
      </c>
      <c r="K159" s="34" t="str">
        <f t="shared" si="43"/>
        <v>4011/4012</v>
      </c>
      <c r="L159" s="34" t="str">
        <f>VLOOKUP(A159,'Trips&amp;Operators'!$C$1:$E$10000,3,FALSE)</f>
        <v>BEAM</v>
      </c>
      <c r="M159" s="6">
        <f t="shared" si="44"/>
        <v>1.0011574078816921E-2</v>
      </c>
      <c r="N159" s="7"/>
      <c r="O159" s="7"/>
      <c r="P159" s="7"/>
      <c r="Q159" s="35"/>
      <c r="R159" s="35"/>
      <c r="S159" s="59"/>
      <c r="T159" s="1"/>
      <c r="U159" s="1"/>
      <c r="V159" s="38"/>
      <c r="W159" s="38"/>
      <c r="X159" s="38"/>
      <c r="Y159" s="38"/>
      <c r="Z159" s="38"/>
      <c r="AA159" s="38"/>
      <c r="AB159" s="39"/>
      <c r="AC159" s="39"/>
    </row>
    <row r="160" spans="1:29" x14ac:dyDescent="0.25">
      <c r="A160" s="85" t="s">
        <v>274</v>
      </c>
      <c r="B160" s="51">
        <v>4042</v>
      </c>
      <c r="C160" s="51" t="s">
        <v>60</v>
      </c>
      <c r="D160" s="51" t="s">
        <v>510</v>
      </c>
      <c r="E160" s="78">
        <v>42551.272650462961</v>
      </c>
      <c r="F160" s="78">
        <v>42551.273506944446</v>
      </c>
      <c r="G160" s="79">
        <v>1</v>
      </c>
      <c r="H160" s="78" t="s">
        <v>511</v>
      </c>
      <c r="I160" s="78">
        <v>42551.29414351852</v>
      </c>
      <c r="J160" s="51">
        <v>0</v>
      </c>
      <c r="K160" s="34" t="str">
        <f t="shared" si="43"/>
        <v>4041/4042</v>
      </c>
      <c r="L160" s="34" t="str">
        <f>VLOOKUP(A160,'Trips&amp;Operators'!$C$1:$E$10000,3,FALSE)</f>
        <v>NELSON</v>
      </c>
      <c r="M160" s="6">
        <f t="shared" si="44"/>
        <v>2.0636574074160308E-2</v>
      </c>
      <c r="N160" s="7"/>
      <c r="O160" s="7"/>
      <c r="P160" s="7"/>
      <c r="Q160" s="35"/>
      <c r="R160" s="35"/>
      <c r="S160" s="59"/>
      <c r="T160" s="1"/>
      <c r="U160" s="1"/>
      <c r="V160" s="38"/>
      <c r="W160" s="38"/>
      <c r="X160" s="38"/>
      <c r="Y160" s="38"/>
      <c r="Z160" s="38"/>
      <c r="AA160" s="38"/>
      <c r="AB160" s="39"/>
      <c r="AC160" s="39"/>
    </row>
    <row r="161" spans="1:29" x14ac:dyDescent="0.25">
      <c r="A161" s="85" t="s">
        <v>301</v>
      </c>
      <c r="B161" s="51">
        <v>4041</v>
      </c>
      <c r="C161" s="51" t="s">
        <v>60</v>
      </c>
      <c r="D161" s="51" t="s">
        <v>512</v>
      </c>
      <c r="E161" s="78">
        <v>42551.296134259261</v>
      </c>
      <c r="F161" s="78">
        <v>42551.297048611108</v>
      </c>
      <c r="G161" s="79">
        <v>1</v>
      </c>
      <c r="H161" s="78" t="s">
        <v>513</v>
      </c>
      <c r="I161" s="78">
        <v>42551.308541666665</v>
      </c>
      <c r="J161" s="51">
        <v>0</v>
      </c>
      <c r="K161" s="34" t="str">
        <f t="shared" si="43"/>
        <v>4041/4042</v>
      </c>
      <c r="L161" s="34" t="str">
        <f>VLOOKUP(A161,'Trips&amp;Operators'!$C$1:$E$10000,3,FALSE)</f>
        <v>NELSON</v>
      </c>
      <c r="M161" s="6">
        <f t="shared" si="44"/>
        <v>1.1493055557366461E-2</v>
      </c>
      <c r="N161" s="7"/>
      <c r="O161" s="7"/>
      <c r="P161" s="7"/>
      <c r="Q161" s="35"/>
      <c r="R161" s="35"/>
      <c r="S161" s="59"/>
      <c r="T161" s="1"/>
      <c r="U161" s="1"/>
      <c r="V161" s="38"/>
      <c r="W161" s="38"/>
      <c r="X161" s="38"/>
      <c r="Y161" s="38"/>
      <c r="Z161" s="38"/>
      <c r="AA161" s="38"/>
      <c r="AB161" s="39"/>
      <c r="AC161" s="39"/>
    </row>
    <row r="162" spans="1:29" x14ac:dyDescent="0.25">
      <c r="A162" s="85" t="s">
        <v>254</v>
      </c>
      <c r="B162" s="51">
        <v>4011</v>
      </c>
      <c r="C162" s="51" t="s">
        <v>60</v>
      </c>
      <c r="D162" s="51" t="s">
        <v>514</v>
      </c>
      <c r="E162" s="78">
        <v>42551.300682870373</v>
      </c>
      <c r="F162" s="78">
        <v>42551.301886574074</v>
      </c>
      <c r="G162" s="79">
        <v>1</v>
      </c>
      <c r="H162" s="78" t="s">
        <v>515</v>
      </c>
      <c r="I162" s="78">
        <v>42551.315474537034</v>
      </c>
      <c r="J162" s="51">
        <v>1</v>
      </c>
      <c r="K162" s="34" t="str">
        <f t="shared" si="43"/>
        <v>4011/4012</v>
      </c>
      <c r="L162" s="34" t="str">
        <f>VLOOKUP(A162,'Trips&amp;Operators'!$C$1:$E$10000,3,FALSE)</f>
        <v>BEAM</v>
      </c>
      <c r="M162" s="6">
        <f t="shared" si="44"/>
        <v>1.3587962959718425E-2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</row>
    <row r="163" spans="1:29" x14ac:dyDescent="0.25">
      <c r="A163" s="85" t="s">
        <v>275</v>
      </c>
      <c r="B163" s="51">
        <v>4012</v>
      </c>
      <c r="C163" s="51" t="s">
        <v>60</v>
      </c>
      <c r="D163" s="51" t="s">
        <v>230</v>
      </c>
      <c r="E163" s="78">
        <v>42551.316701388889</v>
      </c>
      <c r="F163" s="78">
        <v>42551.317465277774</v>
      </c>
      <c r="G163" s="79">
        <v>1</v>
      </c>
      <c r="H163" s="78" t="s">
        <v>516</v>
      </c>
      <c r="I163" s="78">
        <v>42551.330243055556</v>
      </c>
      <c r="J163" s="51">
        <v>0</v>
      </c>
      <c r="K163" s="34" t="str">
        <f t="shared" si="43"/>
        <v>4011/4012</v>
      </c>
      <c r="L163" s="34" t="str">
        <f>VLOOKUP(A163,'Trips&amp;Operators'!$C$1:$E$10000,3,FALSE)</f>
        <v>BEAM</v>
      </c>
      <c r="M163" s="6">
        <f t="shared" si="44"/>
        <v>1.2777777781593613E-2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</row>
    <row r="164" spans="1:29" x14ac:dyDescent="0.25">
      <c r="A164" s="85" t="s">
        <v>261</v>
      </c>
      <c r="B164" s="51">
        <v>4042</v>
      </c>
      <c r="C164" s="51" t="s">
        <v>60</v>
      </c>
      <c r="D164" s="51" t="s">
        <v>517</v>
      </c>
      <c r="E164" s="78">
        <v>42551.317106481481</v>
      </c>
      <c r="F164" s="78">
        <v>42551.318680555552</v>
      </c>
      <c r="G164" s="79">
        <v>2</v>
      </c>
      <c r="H164" s="78" t="s">
        <v>518</v>
      </c>
      <c r="I164" s="78">
        <v>42551.335960648146</v>
      </c>
      <c r="J164" s="51">
        <v>0</v>
      </c>
      <c r="K164" s="34" t="str">
        <f t="shared" si="43"/>
        <v>4041/4042</v>
      </c>
      <c r="L164" s="34" t="str">
        <f>VLOOKUP(A164,'Trips&amp;Operators'!$C$1:$E$10000,3,FALSE)</f>
        <v>NELSON</v>
      </c>
      <c r="M164" s="6">
        <f t="shared" si="44"/>
        <v>1.7280092593864538E-2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</row>
    <row r="165" spans="1:29" x14ac:dyDescent="0.25">
      <c r="A165" s="85" t="s">
        <v>519</v>
      </c>
      <c r="B165" s="51">
        <v>4041</v>
      </c>
      <c r="C165" s="51" t="s">
        <v>60</v>
      </c>
      <c r="D165" s="51" t="s">
        <v>226</v>
      </c>
      <c r="E165" s="78">
        <v>42551.338599537034</v>
      </c>
      <c r="F165" s="78">
        <v>42551.339432870373</v>
      </c>
      <c r="G165" s="79">
        <v>1</v>
      </c>
      <c r="H165" s="78" t="s">
        <v>232</v>
      </c>
      <c r="I165" s="78">
        <v>42551.350069444445</v>
      </c>
      <c r="J165" s="51">
        <v>0</v>
      </c>
      <c r="K165" s="34" t="str">
        <f t="shared" si="43"/>
        <v>4041/4042</v>
      </c>
      <c r="L165" s="34" t="str">
        <f>VLOOKUP(A165,'Trips&amp;Operators'!$C$1:$E$10000,3,FALSE)</f>
        <v>NELSON</v>
      </c>
      <c r="M165" s="6">
        <f t="shared" si="44"/>
        <v>1.063657407212304E-2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</row>
    <row r="166" spans="1:29" x14ac:dyDescent="0.25">
      <c r="A166" s="85" t="s">
        <v>520</v>
      </c>
      <c r="B166" s="51">
        <v>4011</v>
      </c>
      <c r="C166" s="51" t="s">
        <v>60</v>
      </c>
      <c r="D166" s="51" t="s">
        <v>521</v>
      </c>
      <c r="E166" s="78">
        <v>42551.345358796294</v>
      </c>
      <c r="F166" s="78">
        <v>42551.346006944441</v>
      </c>
      <c r="G166" s="79">
        <v>0</v>
      </c>
      <c r="H166" s="78" t="s">
        <v>518</v>
      </c>
      <c r="I166" s="78">
        <v>42551.356226851851</v>
      </c>
      <c r="J166" s="51">
        <v>0</v>
      </c>
      <c r="K166" s="34" t="str">
        <f t="shared" si="43"/>
        <v>4011/4012</v>
      </c>
      <c r="L166" s="34" t="str">
        <f>VLOOKUP(A166,'Trips&amp;Operators'!$C$1:$E$10000,3,FALSE)</f>
        <v>BEAM</v>
      </c>
      <c r="M166" s="6">
        <f t="shared" si="44"/>
        <v>1.021990740991896E-2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</row>
    <row r="167" spans="1:29" x14ac:dyDescent="0.25">
      <c r="A167" s="85" t="s">
        <v>522</v>
      </c>
      <c r="B167" s="51">
        <v>4012</v>
      </c>
      <c r="C167" s="51" t="s">
        <v>60</v>
      </c>
      <c r="D167" s="51" t="s">
        <v>523</v>
      </c>
      <c r="E167" s="78">
        <v>42551.358067129629</v>
      </c>
      <c r="F167" s="78">
        <v>42551.35900462963</v>
      </c>
      <c r="G167" s="79">
        <v>1</v>
      </c>
      <c r="H167" s="78" t="s">
        <v>524</v>
      </c>
      <c r="I167" s="78">
        <v>42551.371562499997</v>
      </c>
      <c r="J167" s="51">
        <v>0</v>
      </c>
      <c r="K167" s="34" t="str">
        <f t="shared" si="43"/>
        <v>4011/4012</v>
      </c>
      <c r="L167" s="34" t="str">
        <f>VLOOKUP(A167,'Trips&amp;Operators'!$C$1:$E$10000,3,FALSE)</f>
        <v>BEAM</v>
      </c>
      <c r="M167" s="6">
        <f t="shared" si="44"/>
        <v>1.2557870366435964E-2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</row>
    <row r="168" spans="1:29" x14ac:dyDescent="0.25">
      <c r="A168" s="85" t="s">
        <v>525</v>
      </c>
      <c r="B168" s="51">
        <v>4011</v>
      </c>
      <c r="C168" s="51" t="s">
        <v>60</v>
      </c>
      <c r="D168" s="51" t="s">
        <v>521</v>
      </c>
      <c r="E168" s="78">
        <v>42551.387175925927</v>
      </c>
      <c r="F168" s="78">
        <v>42551.387916666667</v>
      </c>
      <c r="G168" s="79">
        <v>1</v>
      </c>
      <c r="H168" s="78" t="s">
        <v>526</v>
      </c>
      <c r="I168" s="78">
        <v>42551.398576388892</v>
      </c>
      <c r="J168" s="51">
        <v>0</v>
      </c>
      <c r="K168" s="34" t="str">
        <f t="shared" si="43"/>
        <v>4011/4012</v>
      </c>
      <c r="L168" s="34" t="str">
        <f>VLOOKUP(A168,'Trips&amp;Operators'!$C$1:$E$10000,3,FALSE)</f>
        <v>BEAM</v>
      </c>
      <c r="M168" s="6">
        <f t="shared" si="44"/>
        <v>1.0659722225682344E-2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</row>
    <row r="169" spans="1:29" x14ac:dyDescent="0.25">
      <c r="A169" s="85" t="s">
        <v>527</v>
      </c>
      <c r="B169" s="51">
        <v>4012</v>
      </c>
      <c r="C169" s="51" t="s">
        <v>60</v>
      </c>
      <c r="D169" s="51" t="s">
        <v>528</v>
      </c>
      <c r="E169" s="78">
        <v>42551.402002314811</v>
      </c>
      <c r="F169" s="78">
        <v>42551.403055555558</v>
      </c>
      <c r="G169" s="79">
        <v>1</v>
      </c>
      <c r="H169" s="78" t="s">
        <v>529</v>
      </c>
      <c r="I169" s="78">
        <v>42551.413252314815</v>
      </c>
      <c r="J169" s="51">
        <v>0</v>
      </c>
      <c r="K169" s="34" t="str">
        <f t="shared" si="43"/>
        <v>4011/4012</v>
      </c>
      <c r="L169" s="34" t="str">
        <f>VLOOKUP(A169,'Trips&amp;Operators'!$C$1:$E$10000,3,FALSE)</f>
        <v>BEAM</v>
      </c>
      <c r="M169" s="6">
        <f t="shared" si="44"/>
        <v>1.0196759256359655E-2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</row>
    <row r="170" spans="1:29" x14ac:dyDescent="0.25">
      <c r="A170" s="85" t="s">
        <v>530</v>
      </c>
      <c r="B170" s="51">
        <v>4011</v>
      </c>
      <c r="C170" s="51" t="s">
        <v>60</v>
      </c>
      <c r="D170" s="51" t="s">
        <v>531</v>
      </c>
      <c r="E170" s="78">
        <v>42551.425381944442</v>
      </c>
      <c r="F170" s="78">
        <v>42551.426469907405</v>
      </c>
      <c r="G170" s="79">
        <v>1</v>
      </c>
      <c r="H170" s="78" t="s">
        <v>532</v>
      </c>
      <c r="I170" s="78">
        <v>42551.441053240742</v>
      </c>
      <c r="J170" s="51">
        <v>0</v>
      </c>
      <c r="K170" s="34" t="str">
        <f t="shared" si="43"/>
        <v>4011/4012</v>
      </c>
      <c r="L170" s="34" t="str">
        <f>VLOOKUP(A170,'Trips&amp;Operators'!$C$1:$E$10000,3,FALSE)</f>
        <v>NELSON</v>
      </c>
      <c r="M170" s="6">
        <f t="shared" si="44"/>
        <v>1.4583333337213844E-2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</row>
    <row r="171" spans="1:29" x14ac:dyDescent="0.25">
      <c r="A171" s="85" t="s">
        <v>533</v>
      </c>
      <c r="B171" s="51">
        <v>4012</v>
      </c>
      <c r="C171" s="51" t="s">
        <v>60</v>
      </c>
      <c r="D171" s="51" t="s">
        <v>534</v>
      </c>
      <c r="E171" s="78">
        <v>42551.443715277775</v>
      </c>
      <c r="F171" s="78">
        <v>42551.444537037038</v>
      </c>
      <c r="G171" s="79">
        <v>1</v>
      </c>
      <c r="H171" s="78" t="s">
        <v>237</v>
      </c>
      <c r="I171" s="78">
        <v>42551.454108796293</v>
      </c>
      <c r="J171" s="51">
        <v>0</v>
      </c>
      <c r="K171" s="34" t="str">
        <f t="shared" si="43"/>
        <v>4011/4012</v>
      </c>
      <c r="L171" s="34" t="str">
        <f>VLOOKUP(A171,'Trips&amp;Operators'!$C$1:$E$10000,3,FALSE)</f>
        <v>NELSON</v>
      </c>
      <c r="M171" s="6">
        <f t="shared" si="44"/>
        <v>9.5717592557775788E-3</v>
      </c>
      <c r="N171" s="7"/>
      <c r="O171" s="7"/>
      <c r="P171" s="7"/>
      <c r="Q171" s="35"/>
      <c r="R171" s="35"/>
      <c r="S171" s="59"/>
      <c r="T171" s="1"/>
      <c r="U171" s="1"/>
      <c r="V171" s="38"/>
      <c r="W171" s="38"/>
      <c r="X171" s="38"/>
      <c r="Y171" s="38"/>
      <c r="Z171" s="38"/>
      <c r="AA171" s="38"/>
      <c r="AB171" s="39"/>
      <c r="AC171" s="39"/>
    </row>
    <row r="172" spans="1:29" x14ac:dyDescent="0.25">
      <c r="A172" s="85" t="s">
        <v>535</v>
      </c>
      <c r="B172" s="51">
        <v>4011</v>
      </c>
      <c r="C172" s="51" t="s">
        <v>60</v>
      </c>
      <c r="D172" s="51" t="s">
        <v>536</v>
      </c>
      <c r="E172" s="78">
        <v>42551.465370370373</v>
      </c>
      <c r="F172" s="78">
        <v>42551.466296296298</v>
      </c>
      <c r="G172" s="79">
        <v>1</v>
      </c>
      <c r="H172" s="78" t="s">
        <v>537</v>
      </c>
      <c r="I172" s="78">
        <v>42551.481712962966</v>
      </c>
      <c r="J172" s="51">
        <v>0</v>
      </c>
      <c r="K172" s="34" t="str">
        <f t="shared" si="43"/>
        <v>4011/4012</v>
      </c>
      <c r="L172" s="34" t="str">
        <f>VLOOKUP(A172,'Trips&amp;Operators'!$C$1:$E$10000,3,FALSE)</f>
        <v>NELSON</v>
      </c>
      <c r="M172" s="6">
        <f t="shared" si="44"/>
        <v>1.541666666889796E-2</v>
      </c>
      <c r="N172" s="7"/>
      <c r="O172" s="7"/>
      <c r="P172" s="7"/>
      <c r="Q172" s="35"/>
      <c r="R172" s="35"/>
      <c r="S172" s="59"/>
      <c r="T172" s="1"/>
      <c r="U172" s="1"/>
      <c r="V172" s="38"/>
      <c r="W172" s="38"/>
      <c r="X172" s="38"/>
      <c r="Y172" s="38"/>
      <c r="Z172" s="38"/>
      <c r="AA172" s="38"/>
      <c r="AB172" s="39"/>
      <c r="AC172" s="39"/>
    </row>
    <row r="173" spans="1:29" x14ac:dyDescent="0.25">
      <c r="A173" s="85" t="s">
        <v>538</v>
      </c>
      <c r="B173" s="51">
        <v>4012</v>
      </c>
      <c r="C173" s="51" t="s">
        <v>60</v>
      </c>
      <c r="D173" s="51" t="s">
        <v>539</v>
      </c>
      <c r="E173" s="78">
        <v>42551.484085648146</v>
      </c>
      <c r="F173" s="78">
        <v>42551.484953703701</v>
      </c>
      <c r="G173" s="79">
        <v>1</v>
      </c>
      <c r="H173" s="78" t="s">
        <v>540</v>
      </c>
      <c r="I173" s="78">
        <v>42551.495300925926</v>
      </c>
      <c r="J173" s="51">
        <v>0</v>
      </c>
      <c r="K173" s="34" t="str">
        <f t="shared" si="43"/>
        <v>4011/4012</v>
      </c>
      <c r="L173" s="34" t="str">
        <f>VLOOKUP(A173,'Trips&amp;Operators'!$C$1:$E$10000,3,FALSE)</f>
        <v>NELSON</v>
      </c>
      <c r="M173" s="6">
        <f t="shared" si="44"/>
        <v>1.0347222225391306E-2</v>
      </c>
      <c r="N173" s="7"/>
      <c r="O173" s="7"/>
      <c r="P173" s="7"/>
      <c r="Q173" s="35"/>
      <c r="R173" s="35"/>
      <c r="S173" s="59"/>
      <c r="T173" s="1"/>
      <c r="U173" s="1"/>
      <c r="V173" s="38"/>
      <c r="W173" s="38"/>
      <c r="X173" s="38"/>
      <c r="Y173" s="38"/>
      <c r="Z173" s="38"/>
      <c r="AA173" s="38"/>
      <c r="AB173" s="39"/>
      <c r="AC173" s="39"/>
    </row>
    <row r="174" spans="1:29" x14ac:dyDescent="0.25">
      <c r="A174" s="85" t="s">
        <v>541</v>
      </c>
      <c r="B174" s="51">
        <v>4011</v>
      </c>
      <c r="C174" s="51" t="s">
        <v>60</v>
      </c>
      <c r="D174" s="51" t="s">
        <v>542</v>
      </c>
      <c r="E174" s="78">
        <v>42551.503969907404</v>
      </c>
      <c r="F174" s="78">
        <v>42551.504918981482</v>
      </c>
      <c r="G174" s="79">
        <v>1</v>
      </c>
      <c r="H174" s="78" t="s">
        <v>511</v>
      </c>
      <c r="I174" s="78">
        <v>42551.523518518516</v>
      </c>
      <c r="J174" s="51">
        <v>1</v>
      </c>
      <c r="K174" s="34" t="str">
        <f t="shared" si="43"/>
        <v>4011/4012</v>
      </c>
      <c r="L174" s="34" t="str">
        <f>VLOOKUP(A174,'Trips&amp;Operators'!$C$1:$E$10000,3,FALSE)</f>
        <v>NELSON</v>
      </c>
      <c r="M174" s="6">
        <f t="shared" si="44"/>
        <v>1.8599537033878732E-2</v>
      </c>
      <c r="N174" s="7"/>
      <c r="O174" s="7"/>
      <c r="P174" s="7"/>
      <c r="Q174" s="35"/>
      <c r="R174" s="35"/>
      <c r="S174" s="59"/>
      <c r="T174" s="1"/>
      <c r="U174" s="1"/>
      <c r="V174" s="38"/>
      <c r="W174" s="38"/>
      <c r="X174" s="38"/>
      <c r="Y174" s="38"/>
      <c r="Z174" s="38"/>
      <c r="AA174" s="38"/>
      <c r="AB174" s="39"/>
      <c r="AC174" s="39"/>
    </row>
    <row r="175" spans="1:29" x14ac:dyDescent="0.25">
      <c r="A175" s="85" t="s">
        <v>543</v>
      </c>
      <c r="B175" s="51">
        <v>4012</v>
      </c>
      <c r="C175" s="51" t="s">
        <v>60</v>
      </c>
      <c r="D175" s="51" t="s">
        <v>544</v>
      </c>
      <c r="E175" s="78">
        <v>42551.525208333333</v>
      </c>
      <c r="F175" s="78">
        <v>42551.526203703703</v>
      </c>
      <c r="G175" s="79">
        <v>1</v>
      </c>
      <c r="H175" s="78" t="s">
        <v>545</v>
      </c>
      <c r="I175" s="78">
        <v>42551.537303240744</v>
      </c>
      <c r="J175" s="51">
        <v>0</v>
      </c>
      <c r="K175" s="34" t="str">
        <f t="shared" si="43"/>
        <v>4011/4012</v>
      </c>
      <c r="L175" s="34" t="str">
        <f>VLOOKUP(A175,'Trips&amp;Operators'!$C$1:$E$10000,3,FALSE)</f>
        <v>NELSON</v>
      </c>
      <c r="M175" s="6">
        <f t="shared" si="44"/>
        <v>1.1099537041445728E-2</v>
      </c>
      <c r="N175" s="7"/>
      <c r="O175" s="7"/>
      <c r="P175" s="7"/>
      <c r="Q175" s="35"/>
      <c r="R175" s="35"/>
      <c r="S175" s="59"/>
      <c r="T175" s="1"/>
      <c r="U175" s="1"/>
      <c r="V175" s="38"/>
      <c r="W175" s="38"/>
      <c r="X175" s="38"/>
      <c r="Y175" s="38"/>
      <c r="Z175" s="38"/>
      <c r="AA175" s="38"/>
      <c r="AB175" s="39"/>
      <c r="AC175" s="39"/>
    </row>
    <row r="176" spans="1:29" x14ac:dyDescent="0.25">
      <c r="A176" s="85" t="s">
        <v>546</v>
      </c>
      <c r="B176" s="51">
        <v>4011</v>
      </c>
      <c r="C176" s="51" t="s">
        <v>60</v>
      </c>
      <c r="D176" s="51" t="s">
        <v>547</v>
      </c>
      <c r="E176" s="78">
        <v>42551.545069444444</v>
      </c>
      <c r="F176" s="78">
        <v>42551.545902777776</v>
      </c>
      <c r="G176" s="79">
        <v>1</v>
      </c>
      <c r="H176" s="78" t="s">
        <v>235</v>
      </c>
      <c r="I176" s="78">
        <v>42551.566932870373</v>
      </c>
      <c r="J176" s="51">
        <v>5</v>
      </c>
      <c r="K176" s="34" t="str">
        <f t="shared" si="43"/>
        <v>4011/4012</v>
      </c>
      <c r="L176" s="34" t="str">
        <f>VLOOKUP(A176,'Trips&amp;Operators'!$C$1:$E$10000,3,FALSE)</f>
        <v>NELSON</v>
      </c>
      <c r="M176" s="6">
        <f t="shared" si="44"/>
        <v>2.1030092597356997E-2</v>
      </c>
      <c r="N176" s="7"/>
      <c r="O176" s="7"/>
      <c r="P176" s="7"/>
      <c r="Q176" s="35"/>
      <c r="R176" s="35"/>
      <c r="S176" s="59"/>
      <c r="T176" s="1"/>
      <c r="U176" s="1"/>
      <c r="V176" s="38"/>
      <c r="W176" s="38"/>
      <c r="X176" s="38"/>
      <c r="Y176" s="38"/>
      <c r="Z176" s="38"/>
      <c r="AA176" s="38"/>
      <c r="AB176" s="39"/>
      <c r="AC176" s="39"/>
    </row>
    <row r="177" spans="1:19" x14ac:dyDescent="0.25">
      <c r="A177" s="85" t="s">
        <v>548</v>
      </c>
      <c r="B177" s="51">
        <v>4012</v>
      </c>
      <c r="C177" s="51" t="s">
        <v>60</v>
      </c>
      <c r="D177" s="51" t="s">
        <v>231</v>
      </c>
      <c r="E177" s="78">
        <v>42551.568796296298</v>
      </c>
      <c r="F177" s="78">
        <v>42551.569606481484</v>
      </c>
      <c r="G177" s="79">
        <v>1</v>
      </c>
      <c r="H177" s="78" t="s">
        <v>216</v>
      </c>
      <c r="I177" s="78">
        <v>42551.578993055555</v>
      </c>
      <c r="J177" s="51">
        <v>0</v>
      </c>
      <c r="K177" s="34" t="str">
        <f t="shared" ref="K177:K203" si="45">IF(ISEVEN(B177),(B177-1)&amp;"/"&amp;B177,B177&amp;"/"&amp;(B177+1))</f>
        <v>4011/4012</v>
      </c>
      <c r="L177" s="34" t="str">
        <f>VLOOKUP(A177,'Trips&amp;Operators'!$C$1:$E$10000,3,FALSE)</f>
        <v>NELSON</v>
      </c>
      <c r="M177" s="6">
        <f t="shared" ref="M177:M203" si="46">I177-F177</f>
        <v>9.3865740709588863E-3</v>
      </c>
      <c r="N177" s="7"/>
      <c r="O177" s="7"/>
      <c r="P177" s="7"/>
      <c r="Q177" s="35"/>
      <c r="R177" s="35"/>
      <c r="S177" s="59"/>
    </row>
    <row r="178" spans="1:19" x14ac:dyDescent="0.25">
      <c r="A178" s="85" t="s">
        <v>549</v>
      </c>
      <c r="B178" s="51">
        <v>4011</v>
      </c>
      <c r="C178" s="51" t="s">
        <v>60</v>
      </c>
      <c r="D178" s="51" t="s">
        <v>550</v>
      </c>
      <c r="E178" s="78">
        <v>42551.587233796294</v>
      </c>
      <c r="F178" s="78">
        <v>42551.588113425925</v>
      </c>
      <c r="G178" s="79">
        <v>1</v>
      </c>
      <c r="H178" s="78" t="s">
        <v>511</v>
      </c>
      <c r="I178" s="78">
        <v>42551.607523148145</v>
      </c>
      <c r="J178" s="51">
        <v>0</v>
      </c>
      <c r="K178" s="34" t="str">
        <f t="shared" si="45"/>
        <v>4011/4012</v>
      </c>
      <c r="L178" s="34" t="str">
        <f>VLOOKUP(A178,'Trips&amp;Operators'!$C$1:$E$10000,3,FALSE)</f>
        <v>REBOLETTI</v>
      </c>
      <c r="M178" s="6">
        <f t="shared" si="46"/>
        <v>1.9409722219279502E-2</v>
      </c>
      <c r="N178" s="7"/>
      <c r="O178" s="7"/>
      <c r="P178" s="7"/>
      <c r="Q178" s="35"/>
      <c r="R178" s="35"/>
      <c r="S178" s="59"/>
    </row>
    <row r="179" spans="1:19" x14ac:dyDescent="0.25">
      <c r="A179" s="85" t="s">
        <v>551</v>
      </c>
      <c r="B179" s="51">
        <v>4012</v>
      </c>
      <c r="C179" s="51" t="s">
        <v>60</v>
      </c>
      <c r="D179" s="51" t="s">
        <v>552</v>
      </c>
      <c r="E179" s="78">
        <v>42551.608564814815</v>
      </c>
      <c r="F179" s="78">
        <v>42551.609664351854</v>
      </c>
      <c r="G179" s="79">
        <v>1</v>
      </c>
      <c r="H179" s="78" t="s">
        <v>553</v>
      </c>
      <c r="I179" s="78">
        <v>42551.62096064815</v>
      </c>
      <c r="J179" s="51">
        <v>0</v>
      </c>
      <c r="K179" s="34" t="str">
        <f t="shared" si="45"/>
        <v>4011/4012</v>
      </c>
      <c r="L179" s="34" t="str">
        <f>VLOOKUP(A179,'Trips&amp;Operators'!$C$1:$E$10000,3,FALSE)</f>
        <v>REBOLETTI</v>
      </c>
      <c r="M179" s="6">
        <f t="shared" si="46"/>
        <v>1.1296296295768116E-2</v>
      </c>
      <c r="N179" s="7"/>
      <c r="O179" s="7"/>
      <c r="P179" s="7"/>
      <c r="Q179" s="35"/>
      <c r="R179" s="35"/>
      <c r="S179" s="59"/>
    </row>
    <row r="180" spans="1:19" x14ac:dyDescent="0.25">
      <c r="A180" s="85" t="s">
        <v>554</v>
      </c>
      <c r="B180" s="51">
        <v>4011</v>
      </c>
      <c r="C180" s="51" t="s">
        <v>60</v>
      </c>
      <c r="D180" s="51" t="s">
        <v>234</v>
      </c>
      <c r="E180" s="78">
        <v>42551.635381944441</v>
      </c>
      <c r="F180" s="78">
        <v>42551.636250000003</v>
      </c>
      <c r="G180" s="79">
        <v>1</v>
      </c>
      <c r="H180" s="78" t="s">
        <v>233</v>
      </c>
      <c r="I180" s="78">
        <v>42551.648831018516</v>
      </c>
      <c r="J180" s="51">
        <v>1</v>
      </c>
      <c r="K180" s="34" t="str">
        <f t="shared" si="45"/>
        <v>4011/4012</v>
      </c>
      <c r="L180" s="34" t="str">
        <f>VLOOKUP(A180,'Trips&amp;Operators'!$C$1:$E$10000,3,FALSE)</f>
        <v>REBOLETTI</v>
      </c>
      <c r="M180" s="6">
        <f t="shared" si="46"/>
        <v>1.2581018512719311E-2</v>
      </c>
      <c r="N180" s="7"/>
      <c r="O180" s="7"/>
      <c r="P180" s="7"/>
      <c r="Q180" s="35"/>
      <c r="R180" s="35"/>
      <c r="S180" s="59"/>
    </row>
    <row r="181" spans="1:19" x14ac:dyDescent="0.25">
      <c r="A181" s="85" t="s">
        <v>555</v>
      </c>
      <c r="B181" s="51">
        <v>4012</v>
      </c>
      <c r="C181" s="51" t="s">
        <v>60</v>
      </c>
      <c r="D181" s="51" t="s">
        <v>556</v>
      </c>
      <c r="E181" s="78">
        <v>42551.65115740741</v>
      </c>
      <c r="F181" s="78">
        <v>42551.652013888888</v>
      </c>
      <c r="G181" s="79">
        <v>1</v>
      </c>
      <c r="H181" s="78" t="s">
        <v>557</v>
      </c>
      <c r="I181" s="78">
        <v>42551.663611111115</v>
      </c>
      <c r="J181" s="51">
        <v>0</v>
      </c>
      <c r="K181" s="34" t="str">
        <f t="shared" si="45"/>
        <v>4011/4012</v>
      </c>
      <c r="L181" s="34" t="str">
        <f>VLOOKUP(A181,'Trips&amp;Operators'!$C$1:$E$10000,3,FALSE)</f>
        <v>REBOLETTI</v>
      </c>
      <c r="M181" s="6">
        <f t="shared" si="46"/>
        <v>1.1597222226555459E-2</v>
      </c>
      <c r="N181" s="7"/>
      <c r="O181" s="7"/>
      <c r="P181" s="7"/>
      <c r="Q181" s="35"/>
      <c r="R181" s="35"/>
      <c r="S181" s="59"/>
    </row>
    <row r="182" spans="1:19" x14ac:dyDescent="0.25">
      <c r="A182" s="85" t="s">
        <v>558</v>
      </c>
      <c r="B182" s="51">
        <v>4042</v>
      </c>
      <c r="C182" s="51" t="s">
        <v>60</v>
      </c>
      <c r="D182" s="51" t="s">
        <v>559</v>
      </c>
      <c r="E182" s="78">
        <v>42551.657986111109</v>
      </c>
      <c r="F182" s="78">
        <v>42551.658796296295</v>
      </c>
      <c r="G182" s="79">
        <v>1</v>
      </c>
      <c r="H182" s="78" t="s">
        <v>506</v>
      </c>
      <c r="I182" s="78">
        <v>42551.671759259261</v>
      </c>
      <c r="J182" s="51">
        <v>0</v>
      </c>
      <c r="K182" s="34" t="str">
        <f t="shared" si="45"/>
        <v>4041/4042</v>
      </c>
      <c r="L182" s="34" t="str">
        <f>VLOOKUP(A182,'Trips&amp;Operators'!$C$1:$E$10000,3,FALSE)</f>
        <v>DE LA ROSA</v>
      </c>
      <c r="M182" s="6">
        <f t="shared" si="46"/>
        <v>1.2962962966412306E-2</v>
      </c>
      <c r="N182" s="7"/>
      <c r="O182" s="7"/>
      <c r="P182" s="7"/>
      <c r="Q182" s="35"/>
      <c r="R182" s="35"/>
      <c r="S182" s="59"/>
    </row>
    <row r="183" spans="1:19" x14ac:dyDescent="0.25">
      <c r="A183" s="85" t="s">
        <v>560</v>
      </c>
      <c r="B183" s="51">
        <v>4041</v>
      </c>
      <c r="C183" s="51" t="s">
        <v>60</v>
      </c>
      <c r="D183" s="51" t="s">
        <v>223</v>
      </c>
      <c r="E183" s="78">
        <v>42551.672615740739</v>
      </c>
      <c r="F183" s="78">
        <v>42551.673541666663</v>
      </c>
      <c r="G183" s="79">
        <v>1</v>
      </c>
      <c r="H183" s="78" t="s">
        <v>561</v>
      </c>
      <c r="I183" s="78">
        <v>42551.69153935185</v>
      </c>
      <c r="J183" s="51">
        <v>1</v>
      </c>
      <c r="K183" s="34" t="str">
        <f t="shared" si="45"/>
        <v>4041/4042</v>
      </c>
      <c r="L183" s="34" t="str">
        <f>VLOOKUP(A183,'Trips&amp;Operators'!$C$1:$E$10000,3,FALSE)</f>
        <v>DE LA ROSA</v>
      </c>
      <c r="M183" s="6">
        <f t="shared" si="46"/>
        <v>1.7997685186855961E-2</v>
      </c>
      <c r="N183" s="7"/>
      <c r="O183" s="7"/>
      <c r="P183" s="7"/>
      <c r="Q183" s="35"/>
      <c r="R183" s="35"/>
      <c r="S183" s="59"/>
    </row>
    <row r="184" spans="1:19" x14ac:dyDescent="0.25">
      <c r="A184" s="85" t="s">
        <v>562</v>
      </c>
      <c r="B184" s="51">
        <v>4011</v>
      </c>
      <c r="C184" s="51" t="s">
        <v>60</v>
      </c>
      <c r="D184" s="51" t="s">
        <v>563</v>
      </c>
      <c r="E184" s="78">
        <v>42551.677905092591</v>
      </c>
      <c r="F184" s="78">
        <v>42551.679027777776</v>
      </c>
      <c r="G184" s="79">
        <v>1</v>
      </c>
      <c r="H184" s="78" t="s">
        <v>511</v>
      </c>
      <c r="I184" s="78">
        <v>42551.695104166669</v>
      </c>
      <c r="J184" s="51">
        <v>0</v>
      </c>
      <c r="K184" s="34" t="str">
        <f t="shared" si="45"/>
        <v>4011/4012</v>
      </c>
      <c r="L184" s="34" t="str">
        <f>VLOOKUP(A184,'Trips&amp;Operators'!$C$1:$E$10000,3,FALSE)</f>
        <v>REBOLETTI</v>
      </c>
      <c r="M184" s="6">
        <f t="shared" si="46"/>
        <v>1.6076388892543036E-2</v>
      </c>
      <c r="N184" s="7"/>
      <c r="O184" s="7"/>
      <c r="P184" s="7"/>
      <c r="Q184" s="35"/>
      <c r="R184" s="35"/>
      <c r="S184" s="59"/>
    </row>
    <row r="185" spans="1:19" x14ac:dyDescent="0.25">
      <c r="A185" s="85" t="s">
        <v>564</v>
      </c>
      <c r="B185" s="51">
        <v>4012</v>
      </c>
      <c r="C185" s="51" t="s">
        <v>60</v>
      </c>
      <c r="D185" s="51" t="s">
        <v>512</v>
      </c>
      <c r="E185" s="78">
        <v>42551.695902777778</v>
      </c>
      <c r="F185" s="78">
        <v>42551.696851851855</v>
      </c>
      <c r="G185" s="79">
        <v>1</v>
      </c>
      <c r="H185" s="78" t="s">
        <v>565</v>
      </c>
      <c r="I185" s="78">
        <v>42551.707002314812</v>
      </c>
      <c r="J185" s="51">
        <v>1</v>
      </c>
      <c r="K185" s="34" t="str">
        <f t="shared" si="45"/>
        <v>4011/4012</v>
      </c>
      <c r="L185" s="34" t="str">
        <f>VLOOKUP(A185,'Trips&amp;Operators'!$C$1:$E$10000,3,FALSE)</f>
        <v>REBOLETTI</v>
      </c>
      <c r="M185" s="6">
        <f t="shared" si="46"/>
        <v>1.0150462956517003E-2</v>
      </c>
      <c r="N185" s="7"/>
      <c r="O185" s="7"/>
      <c r="P185" s="7"/>
      <c r="Q185" s="35"/>
      <c r="R185" s="35"/>
      <c r="S185" s="59"/>
    </row>
    <row r="186" spans="1:19" x14ac:dyDescent="0.25">
      <c r="A186" s="85" t="s">
        <v>566</v>
      </c>
      <c r="B186" s="51">
        <v>4042</v>
      </c>
      <c r="C186" s="51" t="s">
        <v>60</v>
      </c>
      <c r="D186" s="51" t="s">
        <v>567</v>
      </c>
      <c r="E186" s="78">
        <v>42551.699166666665</v>
      </c>
      <c r="F186" s="78">
        <v>42551.700104166666</v>
      </c>
      <c r="G186" s="79">
        <v>1</v>
      </c>
      <c r="H186" s="78" t="s">
        <v>305</v>
      </c>
      <c r="I186" s="78">
        <v>42551.712476851855</v>
      </c>
      <c r="J186" s="51">
        <v>1</v>
      </c>
      <c r="K186" s="34" t="str">
        <f t="shared" si="45"/>
        <v>4041/4042</v>
      </c>
      <c r="L186" s="34" t="str">
        <f>VLOOKUP(A186,'Trips&amp;Operators'!$C$1:$E$10000,3,FALSE)</f>
        <v>DE LA ROSA</v>
      </c>
      <c r="M186" s="6">
        <f t="shared" si="46"/>
        <v>1.2372685188893229E-2</v>
      </c>
      <c r="N186" s="7"/>
      <c r="O186" s="7"/>
      <c r="P186" s="7"/>
      <c r="Q186" s="35"/>
      <c r="R186" s="35"/>
      <c r="S186" s="59"/>
    </row>
    <row r="187" spans="1:19" x14ac:dyDescent="0.25">
      <c r="A187" s="85" t="s">
        <v>568</v>
      </c>
      <c r="B187" s="51">
        <v>4041</v>
      </c>
      <c r="C187" s="51" t="s">
        <v>60</v>
      </c>
      <c r="D187" s="51" t="s">
        <v>224</v>
      </c>
      <c r="E187" s="78">
        <v>42551.713356481479</v>
      </c>
      <c r="F187" s="78">
        <v>42551.714456018519</v>
      </c>
      <c r="G187" s="79">
        <v>1</v>
      </c>
      <c r="H187" s="78" t="s">
        <v>569</v>
      </c>
      <c r="I187" s="78">
        <v>42551.727152777778</v>
      </c>
      <c r="J187" s="51">
        <v>0</v>
      </c>
      <c r="K187" s="34" t="str">
        <f t="shared" si="45"/>
        <v>4041/4042</v>
      </c>
      <c r="L187" s="34" t="str">
        <f>VLOOKUP(A187,'Trips&amp;Operators'!$C$1:$E$10000,3,FALSE)</f>
        <v>DE LA ROSA</v>
      </c>
      <c r="M187" s="6">
        <f t="shared" si="46"/>
        <v>1.2696759258687962E-2</v>
      </c>
      <c r="N187" s="7"/>
      <c r="O187" s="7"/>
      <c r="P187" s="7"/>
      <c r="Q187" s="35"/>
      <c r="R187" s="35"/>
      <c r="S187" s="59"/>
    </row>
    <row r="188" spans="1:19" x14ac:dyDescent="0.25">
      <c r="A188" s="85" t="s">
        <v>570</v>
      </c>
      <c r="B188" s="51">
        <v>4011</v>
      </c>
      <c r="C188" s="51" t="s">
        <v>60</v>
      </c>
      <c r="D188" s="51" t="s">
        <v>229</v>
      </c>
      <c r="E188" s="78">
        <v>42551.719537037039</v>
      </c>
      <c r="F188" s="78">
        <v>42551.720462962963</v>
      </c>
      <c r="G188" s="79">
        <v>1</v>
      </c>
      <c r="H188" s="78" t="s">
        <v>571</v>
      </c>
      <c r="I188" s="78">
        <v>42551.732129629629</v>
      </c>
      <c r="J188" s="51">
        <v>0</v>
      </c>
      <c r="K188" s="34" t="str">
        <f t="shared" si="45"/>
        <v>4011/4012</v>
      </c>
      <c r="L188" s="34" t="str">
        <f>VLOOKUP(A188,'Trips&amp;Operators'!$C$1:$E$10000,3,FALSE)</f>
        <v>REBOLETTI</v>
      </c>
      <c r="M188" s="6">
        <f t="shared" si="46"/>
        <v>1.1666666665405501E-2</v>
      </c>
      <c r="N188" s="7"/>
      <c r="O188" s="7"/>
      <c r="P188" s="7"/>
      <c r="Q188" s="35"/>
      <c r="R188" s="35"/>
      <c r="S188" s="59"/>
    </row>
    <row r="189" spans="1:19" x14ac:dyDescent="0.25">
      <c r="A189" s="85" t="s">
        <v>572</v>
      </c>
      <c r="B189" s="51">
        <v>4012</v>
      </c>
      <c r="C189" s="51" t="s">
        <v>60</v>
      </c>
      <c r="D189" s="51" t="s">
        <v>573</v>
      </c>
      <c r="E189" s="78">
        <v>42551.733136574076</v>
      </c>
      <c r="F189" s="78">
        <v>42551.734097222223</v>
      </c>
      <c r="G189" s="79">
        <v>1</v>
      </c>
      <c r="H189" s="78" t="s">
        <v>574</v>
      </c>
      <c r="I189" s="78">
        <v>42551.747187499997</v>
      </c>
      <c r="J189" s="51">
        <v>0</v>
      </c>
      <c r="K189" s="34" t="str">
        <f t="shared" si="45"/>
        <v>4011/4012</v>
      </c>
      <c r="L189" s="34" t="str">
        <f>VLOOKUP(A189,'Trips&amp;Operators'!$C$1:$E$10000,3,FALSE)</f>
        <v>REBOLETTI</v>
      </c>
      <c r="M189" s="6">
        <f t="shared" si="46"/>
        <v>1.3090277774608694E-2</v>
      </c>
      <c r="N189" s="7"/>
      <c r="O189" s="7"/>
      <c r="P189" s="7"/>
      <c r="Q189" s="35"/>
      <c r="R189" s="35"/>
      <c r="S189" s="59"/>
    </row>
    <row r="190" spans="1:19" x14ac:dyDescent="0.25">
      <c r="A190" s="85" t="s">
        <v>575</v>
      </c>
      <c r="B190" s="51">
        <v>4042</v>
      </c>
      <c r="C190" s="51" t="s">
        <v>60</v>
      </c>
      <c r="D190" s="51" t="s">
        <v>576</v>
      </c>
      <c r="E190" s="78">
        <v>42551.739166666666</v>
      </c>
      <c r="F190" s="78">
        <v>42551.74050925926</v>
      </c>
      <c r="G190" s="79">
        <v>1</v>
      </c>
      <c r="H190" s="78" t="s">
        <v>532</v>
      </c>
      <c r="I190" s="78">
        <v>42551.753587962965</v>
      </c>
      <c r="J190" s="51">
        <v>0</v>
      </c>
      <c r="K190" s="34" t="str">
        <f t="shared" si="45"/>
        <v>4041/4042</v>
      </c>
      <c r="L190" s="34" t="str">
        <f>VLOOKUP(A190,'Trips&amp;Operators'!$C$1:$E$10000,3,FALSE)</f>
        <v>DE LA ROSA</v>
      </c>
      <c r="M190" s="6">
        <f t="shared" si="46"/>
        <v>1.3078703705104999E-2</v>
      </c>
      <c r="N190" s="7"/>
      <c r="O190" s="7"/>
      <c r="P190" s="7"/>
      <c r="Q190" s="35"/>
      <c r="R190" s="35"/>
      <c r="S190" s="59"/>
    </row>
    <row r="191" spans="1:19" x14ac:dyDescent="0.25">
      <c r="A191" s="85" t="s">
        <v>577</v>
      </c>
      <c r="B191" s="51">
        <v>4041</v>
      </c>
      <c r="C191" s="51" t="s">
        <v>60</v>
      </c>
      <c r="D191" s="51" t="s">
        <v>578</v>
      </c>
      <c r="E191" s="78">
        <v>42551.754293981481</v>
      </c>
      <c r="F191" s="78">
        <v>42551.755358796298</v>
      </c>
      <c r="G191" s="79">
        <v>1</v>
      </c>
      <c r="H191" s="78" t="s">
        <v>579</v>
      </c>
      <c r="I191" s="78">
        <v>42551.767187500001</v>
      </c>
      <c r="J191" s="51">
        <v>0</v>
      </c>
      <c r="K191" s="34" t="str">
        <f t="shared" si="45"/>
        <v>4041/4042</v>
      </c>
      <c r="L191" s="34" t="str">
        <f>VLOOKUP(A191,'Trips&amp;Operators'!$C$1:$E$10000,3,FALSE)</f>
        <v>DE LA ROSA</v>
      </c>
      <c r="M191" s="6">
        <f t="shared" si="46"/>
        <v>1.1828703703940846E-2</v>
      </c>
      <c r="N191" s="7"/>
      <c r="O191" s="7"/>
      <c r="P191" s="7"/>
      <c r="Q191" s="35"/>
      <c r="R191" s="35"/>
      <c r="S191" s="59"/>
    </row>
    <row r="192" spans="1:19" x14ac:dyDescent="0.25">
      <c r="A192" s="85" t="s">
        <v>580</v>
      </c>
      <c r="B192" s="51">
        <v>4011</v>
      </c>
      <c r="C192" s="51" t="s">
        <v>60</v>
      </c>
      <c r="D192" s="51" t="s">
        <v>581</v>
      </c>
      <c r="E192" s="78">
        <v>42551.760312500002</v>
      </c>
      <c r="F192" s="78">
        <v>42551.761041666665</v>
      </c>
      <c r="G192" s="79">
        <v>1</v>
      </c>
      <c r="H192" s="78" t="s">
        <v>582</v>
      </c>
      <c r="I192" s="78">
        <v>42551.774583333332</v>
      </c>
      <c r="J192" s="51">
        <v>0</v>
      </c>
      <c r="K192" s="34" t="str">
        <f t="shared" si="45"/>
        <v>4011/4012</v>
      </c>
      <c r="L192" s="34" t="str">
        <f>VLOOKUP(A192,'Trips&amp;Operators'!$C$1:$E$10000,3,FALSE)</f>
        <v>REBOLETTI</v>
      </c>
      <c r="M192" s="6">
        <f t="shared" si="46"/>
        <v>1.3541666667151731E-2</v>
      </c>
      <c r="N192" s="7"/>
      <c r="O192" s="7"/>
      <c r="P192" s="7"/>
      <c r="Q192" s="35"/>
      <c r="R192" s="35"/>
      <c r="S192" s="59"/>
    </row>
    <row r="193" spans="1:19" x14ac:dyDescent="0.25">
      <c r="A193" s="85" t="s">
        <v>583</v>
      </c>
      <c r="B193" s="51">
        <v>4012</v>
      </c>
      <c r="C193" s="51" t="s">
        <v>60</v>
      </c>
      <c r="D193" s="51" t="s">
        <v>578</v>
      </c>
      <c r="E193" s="78">
        <v>42551.77553240741</v>
      </c>
      <c r="F193" s="78">
        <v>42551.776759259257</v>
      </c>
      <c r="G193" s="79">
        <v>1</v>
      </c>
      <c r="H193" s="78" t="s">
        <v>584</v>
      </c>
      <c r="I193" s="78">
        <v>42551.788298611114</v>
      </c>
      <c r="J193" s="51">
        <v>0</v>
      </c>
      <c r="K193" s="34" t="str">
        <f t="shared" si="45"/>
        <v>4011/4012</v>
      </c>
      <c r="L193" s="34" t="str">
        <f>VLOOKUP(A193,'Trips&amp;Operators'!$C$1:$E$10000,3,FALSE)</f>
        <v>REBOLETTI</v>
      </c>
      <c r="M193" s="6">
        <f t="shared" si="46"/>
        <v>1.1539351857209112E-2</v>
      </c>
      <c r="N193" s="7"/>
      <c r="O193" s="7"/>
      <c r="P193" s="7"/>
      <c r="Q193" s="35"/>
      <c r="R193" s="35"/>
      <c r="S193" s="59"/>
    </row>
    <row r="194" spans="1:19" x14ac:dyDescent="0.25">
      <c r="A194" s="85" t="s">
        <v>585</v>
      </c>
      <c r="B194" s="51">
        <v>4042</v>
      </c>
      <c r="C194" s="51" t="s">
        <v>60</v>
      </c>
      <c r="D194" s="51" t="s">
        <v>576</v>
      </c>
      <c r="E194" s="78">
        <v>42551.780150462961</v>
      </c>
      <c r="F194" s="78">
        <v>42551.780960648146</v>
      </c>
      <c r="G194" s="79">
        <v>1</v>
      </c>
      <c r="H194" s="78" t="s">
        <v>586</v>
      </c>
      <c r="I194" s="78">
        <v>42551.79488425926</v>
      </c>
      <c r="J194" s="51">
        <v>1</v>
      </c>
      <c r="K194" s="34" t="str">
        <f t="shared" si="45"/>
        <v>4041/4042</v>
      </c>
      <c r="L194" s="34" t="str">
        <f>VLOOKUP(A194,'Trips&amp;Operators'!$C$1:$E$10000,3,FALSE)</f>
        <v>DE LA ROSA</v>
      </c>
      <c r="M194" s="6">
        <f t="shared" si="46"/>
        <v>1.3923611113568768E-2</v>
      </c>
      <c r="N194" s="7"/>
      <c r="O194" s="7"/>
      <c r="P194" s="7"/>
      <c r="Q194" s="35"/>
      <c r="R194" s="35"/>
      <c r="S194" s="59"/>
    </row>
    <row r="195" spans="1:19" x14ac:dyDescent="0.25">
      <c r="A195" s="85" t="s">
        <v>587</v>
      </c>
      <c r="B195" s="51">
        <v>4012</v>
      </c>
      <c r="C195" s="51" t="s">
        <v>60</v>
      </c>
      <c r="D195" s="51" t="s">
        <v>556</v>
      </c>
      <c r="E195" s="78">
        <v>42551.81763888889</v>
      </c>
      <c r="F195" s="78">
        <v>42551.81858796296</v>
      </c>
      <c r="G195" s="79">
        <v>1</v>
      </c>
      <c r="H195" s="78" t="s">
        <v>588</v>
      </c>
      <c r="I195" s="78">
        <v>42551.829942129632</v>
      </c>
      <c r="J195" s="51">
        <v>0</v>
      </c>
      <c r="K195" s="34" t="str">
        <f t="shared" si="45"/>
        <v>4011/4012</v>
      </c>
      <c r="L195" s="34" t="str">
        <f>VLOOKUP(A195,'Trips&amp;Operators'!$C$1:$E$10000,3,FALSE)</f>
        <v>REBOLETTI</v>
      </c>
      <c r="M195" s="6">
        <f t="shared" si="46"/>
        <v>1.135416667239042E-2</v>
      </c>
      <c r="N195" s="7"/>
      <c r="O195" s="7"/>
      <c r="P195" s="7"/>
      <c r="Q195" s="35"/>
      <c r="R195" s="35"/>
      <c r="S195" s="59"/>
    </row>
    <row r="196" spans="1:19" x14ac:dyDescent="0.25">
      <c r="A196" s="85" t="s">
        <v>589</v>
      </c>
      <c r="B196" s="51">
        <v>4011</v>
      </c>
      <c r="C196" s="51" t="s">
        <v>60</v>
      </c>
      <c r="D196" s="51" t="s">
        <v>590</v>
      </c>
      <c r="E196" s="78">
        <v>42551.803587962961</v>
      </c>
      <c r="F196" s="78">
        <v>42551.804652777777</v>
      </c>
      <c r="G196" s="79">
        <v>1</v>
      </c>
      <c r="H196" s="78" t="s">
        <v>591</v>
      </c>
      <c r="I196" s="78">
        <v>42551.815381944441</v>
      </c>
      <c r="J196" s="51">
        <v>0</v>
      </c>
      <c r="K196" s="34" t="str">
        <f t="shared" si="45"/>
        <v>4011/4012</v>
      </c>
      <c r="L196" s="34" t="str">
        <f>VLOOKUP(A196,'Trips&amp;Operators'!$C$1:$E$10000,3,FALSE)</f>
        <v>REBOLETTI</v>
      </c>
      <c r="M196" s="6">
        <f t="shared" si="46"/>
        <v>1.0729166664532386E-2</v>
      </c>
      <c r="N196" s="7"/>
      <c r="O196" s="7"/>
      <c r="P196" s="7"/>
      <c r="Q196" s="35"/>
      <c r="R196" s="35"/>
      <c r="S196" s="59"/>
    </row>
    <row r="197" spans="1:19" x14ac:dyDescent="0.25">
      <c r="A197" s="85" t="s">
        <v>592</v>
      </c>
      <c r="B197" s="51">
        <v>4012</v>
      </c>
      <c r="C197" s="51" t="s">
        <v>60</v>
      </c>
      <c r="D197" s="51" t="s">
        <v>573</v>
      </c>
      <c r="E197" s="78">
        <v>42551.859490740739</v>
      </c>
      <c r="F197" s="78">
        <v>42551.860659722224</v>
      </c>
      <c r="G197" s="79">
        <v>1</v>
      </c>
      <c r="H197" s="78" t="s">
        <v>593</v>
      </c>
      <c r="I197" s="78">
        <v>42551.870972222219</v>
      </c>
      <c r="J197" s="51">
        <v>0</v>
      </c>
      <c r="K197" s="34" t="str">
        <f t="shared" si="45"/>
        <v>4011/4012</v>
      </c>
      <c r="L197" s="34" t="str">
        <f>VLOOKUP(A197,'Trips&amp;Operators'!$C$1:$E$10000,3,FALSE)</f>
        <v>REBOLETTI</v>
      </c>
      <c r="M197" s="6">
        <f t="shared" si="46"/>
        <v>1.0312499995052349E-2</v>
      </c>
      <c r="N197" s="7"/>
      <c r="O197" s="7"/>
      <c r="P197" s="7"/>
      <c r="Q197" s="35"/>
      <c r="R197" s="35"/>
      <c r="S197" s="59"/>
    </row>
    <row r="198" spans="1:19" x14ac:dyDescent="0.25">
      <c r="A198" s="85" t="s">
        <v>594</v>
      </c>
      <c r="B198" s="51">
        <v>4011</v>
      </c>
      <c r="C198" s="51" t="s">
        <v>60</v>
      </c>
      <c r="D198" s="51" t="s">
        <v>595</v>
      </c>
      <c r="E198" s="78">
        <v>42551.844780092593</v>
      </c>
      <c r="F198" s="78">
        <v>42551.845543981479</v>
      </c>
      <c r="G198" s="79">
        <v>1</v>
      </c>
      <c r="H198" s="78" t="s">
        <v>596</v>
      </c>
      <c r="I198" s="78">
        <v>42551.857592592591</v>
      </c>
      <c r="J198" s="51">
        <v>0</v>
      </c>
      <c r="K198" s="34" t="str">
        <f t="shared" si="45"/>
        <v>4011/4012</v>
      </c>
      <c r="L198" s="34" t="str">
        <f>VLOOKUP(A198,'Trips&amp;Operators'!$C$1:$E$10000,3,FALSE)</f>
        <v>REBOLETTI</v>
      </c>
      <c r="M198" s="6">
        <f t="shared" si="46"/>
        <v>1.2048611111822538E-2</v>
      </c>
      <c r="N198" s="7"/>
      <c r="O198" s="7"/>
      <c r="P198" s="7"/>
      <c r="Q198" s="35"/>
      <c r="R198" s="35"/>
      <c r="S198" s="59"/>
    </row>
    <row r="199" spans="1:19" x14ac:dyDescent="0.25">
      <c r="A199" s="85" t="s">
        <v>597</v>
      </c>
      <c r="B199" s="51">
        <v>4012</v>
      </c>
      <c r="C199" s="51" t="s">
        <v>60</v>
      </c>
      <c r="D199" s="51" t="s">
        <v>512</v>
      </c>
      <c r="E199" s="78">
        <v>42551.901018518518</v>
      </c>
      <c r="F199" s="78">
        <v>42551.901944444442</v>
      </c>
      <c r="G199" s="79">
        <v>1</v>
      </c>
      <c r="H199" s="78" t="s">
        <v>598</v>
      </c>
      <c r="I199" s="78">
        <v>42551.912662037037</v>
      </c>
      <c r="J199" s="51">
        <v>0</v>
      </c>
      <c r="K199" s="34" t="str">
        <f t="shared" si="45"/>
        <v>4011/4012</v>
      </c>
      <c r="L199" s="34" t="str">
        <f>VLOOKUP(A199,'Trips&amp;Operators'!$C$1:$E$10000,3,FALSE)</f>
        <v>REBOLETTI</v>
      </c>
      <c r="M199" s="6">
        <f t="shared" si="46"/>
        <v>1.0717592595028691E-2</v>
      </c>
      <c r="N199" s="7"/>
      <c r="O199" s="7"/>
      <c r="P199" s="7"/>
      <c r="Q199" s="35"/>
      <c r="R199" s="35"/>
      <c r="S199" s="59"/>
    </row>
    <row r="200" spans="1:19" x14ac:dyDescent="0.25">
      <c r="A200" s="85" t="s">
        <v>599</v>
      </c>
      <c r="B200" s="51">
        <v>4011</v>
      </c>
      <c r="C200" s="51" t="s">
        <v>60</v>
      </c>
      <c r="D200" s="51" t="s">
        <v>531</v>
      </c>
      <c r="E200" s="78">
        <v>42551.884270833332</v>
      </c>
      <c r="F200" s="78">
        <v>42551.885057870371</v>
      </c>
      <c r="G200" s="79">
        <v>1</v>
      </c>
      <c r="H200" s="78" t="s">
        <v>591</v>
      </c>
      <c r="I200" s="78">
        <v>42551.899537037039</v>
      </c>
      <c r="J200" s="51">
        <v>0</v>
      </c>
      <c r="K200" s="34" t="str">
        <f t="shared" si="45"/>
        <v>4011/4012</v>
      </c>
      <c r="L200" s="34" t="str">
        <f>VLOOKUP(A200,'Trips&amp;Operators'!$C$1:$E$10000,3,FALSE)</f>
        <v>REBOLETTI</v>
      </c>
      <c r="M200" s="6">
        <f t="shared" si="46"/>
        <v>1.4479166668024845E-2</v>
      </c>
      <c r="N200" s="7"/>
      <c r="O200" s="7"/>
      <c r="P200" s="7"/>
      <c r="Q200" s="35"/>
      <c r="R200" s="35"/>
      <c r="S200" s="59"/>
    </row>
    <row r="201" spans="1:19" x14ac:dyDescent="0.25">
      <c r="A201" s="85" t="s">
        <v>600</v>
      </c>
      <c r="B201" s="51">
        <v>4011</v>
      </c>
      <c r="C201" s="51" t="s">
        <v>60</v>
      </c>
      <c r="D201" s="51" t="s">
        <v>601</v>
      </c>
      <c r="E201" s="78">
        <v>42551.927407407406</v>
      </c>
      <c r="F201" s="78">
        <v>42551.928298611114</v>
      </c>
      <c r="G201" s="79">
        <v>1</v>
      </c>
      <c r="H201" s="78" t="s">
        <v>582</v>
      </c>
      <c r="I201" s="78">
        <v>42551.940358796295</v>
      </c>
      <c r="J201" s="51">
        <v>0</v>
      </c>
      <c r="K201" s="34" t="str">
        <f t="shared" si="45"/>
        <v>4011/4012</v>
      </c>
      <c r="L201" s="34" t="str">
        <f>VLOOKUP(A201,'Trips&amp;Operators'!$C$1:$E$10000,3,FALSE)</f>
        <v>REBOLETTI</v>
      </c>
      <c r="M201" s="6">
        <f t="shared" si="46"/>
        <v>1.2060185181326233E-2</v>
      </c>
      <c r="N201" s="7"/>
      <c r="O201" s="7"/>
      <c r="P201" s="7"/>
      <c r="Q201" s="35"/>
      <c r="R201" s="35"/>
      <c r="S201" s="59"/>
    </row>
    <row r="202" spans="1:19" x14ac:dyDescent="0.25">
      <c r="A202" s="85" t="s">
        <v>602</v>
      </c>
      <c r="B202" s="51">
        <v>4041</v>
      </c>
      <c r="C202" s="51" t="s">
        <v>60</v>
      </c>
      <c r="D202" s="51" t="s">
        <v>228</v>
      </c>
      <c r="E202" s="78">
        <v>42551.796203703707</v>
      </c>
      <c r="F202" s="78">
        <v>42551.797071759262</v>
      </c>
      <c r="G202" s="79">
        <v>1</v>
      </c>
      <c r="H202" s="78" t="s">
        <v>603</v>
      </c>
      <c r="I202" s="78">
        <v>42551.804479166669</v>
      </c>
      <c r="J202" s="51">
        <v>0</v>
      </c>
      <c r="K202" s="34" t="str">
        <f t="shared" si="45"/>
        <v>4041/4042</v>
      </c>
      <c r="L202" s="34" t="str">
        <f>VLOOKUP(A202,'Trips&amp;Operators'!$C$1:$E$10000,3,FALSE)</f>
        <v>DE LA ROSA</v>
      </c>
      <c r="M202" s="6">
        <f t="shared" si="46"/>
        <v>7.4074074072996154E-3</v>
      </c>
      <c r="N202" s="7"/>
      <c r="O202" s="7"/>
      <c r="P202" s="7"/>
      <c r="Q202" s="35"/>
      <c r="R202" s="35"/>
      <c r="S202" s="59"/>
    </row>
    <row r="203" spans="1:19" x14ac:dyDescent="0.25">
      <c r="A203" s="85" t="s">
        <v>604</v>
      </c>
      <c r="B203" s="51">
        <v>4012</v>
      </c>
      <c r="C203" s="51" t="s">
        <v>60</v>
      </c>
      <c r="D203" s="51" t="s">
        <v>605</v>
      </c>
      <c r="E203" s="78">
        <v>42551.942488425928</v>
      </c>
      <c r="F203" s="78">
        <v>42551.943483796298</v>
      </c>
      <c r="G203" s="79">
        <v>1</v>
      </c>
      <c r="H203" s="78" t="s">
        <v>606</v>
      </c>
      <c r="I203" s="78">
        <v>42551.950509259259</v>
      </c>
      <c r="J203" s="51">
        <v>0</v>
      </c>
      <c r="K203" s="34" t="str">
        <f t="shared" si="45"/>
        <v>4011/4012</v>
      </c>
      <c r="L203" s="34" t="str">
        <f>VLOOKUP(A203,'Trips&amp;Operators'!$C$1:$E$10000,3,FALSE)</f>
        <v>REBOLETTI</v>
      </c>
      <c r="M203" s="6">
        <f t="shared" si="46"/>
        <v>7.025462960882578E-3</v>
      </c>
      <c r="N203" s="7"/>
      <c r="O203" s="7"/>
      <c r="P203" s="7"/>
      <c r="Q203" s="35"/>
      <c r="R203" s="35"/>
      <c r="S203" s="59"/>
    </row>
  </sheetData>
  <autoFilter ref="A12:AC20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23" priority="75" operator="equal">
      <formula>"Y"</formula>
    </cfRule>
  </conditionalFormatting>
  <conditionalFormatting sqref="X13:X1048576">
    <cfRule type="cellIs" dxfId="22" priority="58" operator="greaterThan">
      <formula>1</formula>
    </cfRule>
  </conditionalFormatting>
  <conditionalFormatting sqref="X12:X1048576">
    <cfRule type="cellIs" dxfId="21" priority="55" operator="equal">
      <formula>0</formula>
    </cfRule>
  </conditionalFormatting>
  <conditionalFormatting sqref="A14:S14 A13:J13 L13:S13 A15:J152 K15:S203">
    <cfRule type="expression" dxfId="20" priority="51">
      <formula>$O13&gt;0</formula>
    </cfRule>
  </conditionalFormatting>
  <conditionalFormatting sqref="A14:S14 A13:J13 L13:S13 A15:J152 K15:S203">
    <cfRule type="expression" dxfId="19" priority="50">
      <formula>$P13&gt;0</formula>
    </cfRule>
  </conditionalFormatting>
  <conditionalFormatting sqref="K13">
    <cfRule type="expression" dxfId="18" priority="6">
      <formula>$O13&gt;0</formula>
    </cfRule>
  </conditionalFormatting>
  <conditionalFormatting sqref="K13">
    <cfRule type="expression" dxfId="17" priority="5">
      <formula>$P13&gt;0</formula>
    </cfRule>
  </conditionalFormatting>
  <conditionalFormatting sqref="A154:J154">
    <cfRule type="expression" dxfId="16" priority="3">
      <formula>$O154&gt;0</formula>
    </cfRule>
  </conditionalFormatting>
  <conditionalFormatting sqref="A154:J154">
    <cfRule type="expression" dxfId="15" priority="2">
      <formula>$P154&gt;0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A15:J152 K15:S203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$N154&gt;Variables!$C$2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A154:J154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showGridLines="0" tabSelected="1" topLeftCell="A19" zoomScale="85" zoomScaleNormal="85" workbookViewId="0">
      <selection activeCell="N40" sqref="N40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P1" s="44"/>
    </row>
    <row r="2" spans="1:17" s="33" customFormat="1" ht="30" x14ac:dyDescent="0.25">
      <c r="A2" s="8"/>
      <c r="K2" s="60" t="s">
        <v>129</v>
      </c>
      <c r="L2" s="61"/>
      <c r="M2" s="62">
        <f>COUNTIF($M$7:$M$830,"=Y")</f>
        <v>10</v>
      </c>
      <c r="P2" s="44"/>
    </row>
    <row r="3" spans="1:17" s="33" customFormat="1" ht="15.75" thickBot="1" x14ac:dyDescent="0.3">
      <c r="A3" s="8"/>
      <c r="K3" s="63" t="s">
        <v>130</v>
      </c>
      <c r="L3" s="64"/>
      <c r="M3" s="65">
        <f>COUNTA($M$7:$M$830)-M2</f>
        <v>64</v>
      </c>
      <c r="P3" s="44"/>
    </row>
    <row r="4" spans="1:17" s="33" customFormat="1" x14ac:dyDescent="0.25">
      <c r="A4" s="8"/>
      <c r="P4" s="44"/>
    </row>
    <row r="5" spans="1:17" s="16" customFormat="1" ht="15" customHeight="1" x14ac:dyDescent="0.25">
      <c r="A5" s="104" t="str">
        <f>"Eagle P3 Braking Events - "&amp;TEXT(Variables!$A$2,"YYYY-mm-dd")</f>
        <v>Eagle P3 Braking Events - 2016-06-30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14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42551.888321759259</v>
      </c>
      <c r="B7" s="55" t="s">
        <v>178</v>
      </c>
      <c r="C7" s="55" t="s">
        <v>476</v>
      </c>
      <c r="D7" s="55" t="s">
        <v>55</v>
      </c>
      <c r="E7" s="55" t="s">
        <v>608</v>
      </c>
      <c r="F7" s="55">
        <v>790</v>
      </c>
      <c r="G7" s="55">
        <v>842</v>
      </c>
      <c r="H7" s="55">
        <v>100094</v>
      </c>
      <c r="I7" s="55" t="s">
        <v>59</v>
      </c>
      <c r="J7" s="55">
        <v>126678</v>
      </c>
      <c r="K7" s="55" t="s">
        <v>54</v>
      </c>
      <c r="L7" s="11" t="str">
        <f>VLOOKUP(C7,'Trips&amp;Operators'!$C$2:$E$10000,3,FALSE)</f>
        <v>ADANE</v>
      </c>
      <c r="M7" s="55" t="s">
        <v>128</v>
      </c>
      <c r="N7" s="55" t="s">
        <v>656</v>
      </c>
      <c r="P7" s="43" t="str">
        <f>VLOOKUP(C7,'Train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" s="9" t="str">
        <f t="shared" ref="Q7:Q38" si="0">MID(B7,13,4)</f>
        <v>4039</v>
      </c>
    </row>
    <row r="8" spans="1:17" s="1" customFormat="1" x14ac:dyDescent="0.25">
      <c r="A8" s="13">
        <v>42551.494155092594</v>
      </c>
      <c r="B8" s="12" t="s">
        <v>159</v>
      </c>
      <c r="C8" s="12" t="s">
        <v>366</v>
      </c>
      <c r="D8" s="12" t="s">
        <v>50</v>
      </c>
      <c r="E8" s="12" t="s">
        <v>76</v>
      </c>
      <c r="F8" s="12">
        <v>0</v>
      </c>
      <c r="G8" s="12">
        <v>443</v>
      </c>
      <c r="H8" s="12">
        <v>67913</v>
      </c>
      <c r="I8" s="12" t="s">
        <v>77</v>
      </c>
      <c r="J8" s="12">
        <v>63309</v>
      </c>
      <c r="K8" s="11" t="s">
        <v>54</v>
      </c>
      <c r="L8" s="11" t="str">
        <f>VLOOKUP(C8,'Trips&amp;Operators'!$C$2:$E$10000,3,FALSE)</f>
        <v>MAELZER</v>
      </c>
      <c r="M8" s="10" t="s">
        <v>128</v>
      </c>
      <c r="N8" s="11" t="s">
        <v>200</v>
      </c>
      <c r="O8" s="33"/>
      <c r="P8" s="43" t="str">
        <f>VLOOKUP(C8,'Train Runs'!$A$13:$V$988,22,0)</f>
        <v>https://search-rtdc-monitor-bjffxe2xuh6vdkpspy63sjmuny.us-east-1.es.amazonaws.com/_plugin/kibana/#/discover/Steve-Slow-Train-Analysis-(2080s-and-2083s)?_g=(refreshInterval:(display:Off,section:0,value:0),time:(from:'2016-06-30 11:15:38-0600',mode:absolute,to:'2016-06-30 12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8" s="9" t="str">
        <f t="shared" si="0"/>
        <v>4026</v>
      </c>
    </row>
    <row r="9" spans="1:17" s="1" customFormat="1" x14ac:dyDescent="0.25">
      <c r="A9" s="66">
        <v>42551.55300925926</v>
      </c>
      <c r="B9" s="55" t="s">
        <v>170</v>
      </c>
      <c r="C9" s="55" t="s">
        <v>381</v>
      </c>
      <c r="D9" s="55" t="s">
        <v>50</v>
      </c>
      <c r="E9" s="55" t="s">
        <v>76</v>
      </c>
      <c r="F9" s="55">
        <v>0</v>
      </c>
      <c r="G9" s="55">
        <v>60</v>
      </c>
      <c r="H9" s="55">
        <v>63486</v>
      </c>
      <c r="I9" s="55" t="s">
        <v>77</v>
      </c>
      <c r="J9" s="55">
        <v>63309</v>
      </c>
      <c r="K9" s="55" t="s">
        <v>54</v>
      </c>
      <c r="L9" s="11" t="str">
        <f>VLOOKUP(C9,'Trips&amp;Operators'!$C$2:$E$10000,3,FALSE)</f>
        <v>MAYBERRY</v>
      </c>
      <c r="M9" s="10" t="s">
        <v>128</v>
      </c>
      <c r="N9" s="11" t="s">
        <v>200</v>
      </c>
      <c r="P9" s="43" t="str">
        <f>VLOOKUP(C9,'Train Runs'!$A$13:$V$988,22,0)</f>
        <v>https://search-rtdc-monitor-bjffxe2xuh6vdkpspy63sjmuny.us-east-1.es.amazonaws.com/_plugin/kibana/#/discover/Steve-Slow-Train-Analysis-(2080s-and-2083s)?_g=(refreshInterval:(display:Off,section:0,value:0),time:(from:'2016-06-30 12:30:56-0600',mode:absolute,to:'2016-06-30 13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9" t="str">
        <f t="shared" si="0"/>
        <v>4037</v>
      </c>
    </row>
    <row r="10" spans="1:17" s="1" customFormat="1" x14ac:dyDescent="0.25">
      <c r="A10" s="66">
        <v>42551.59138888889</v>
      </c>
      <c r="B10" s="55" t="s">
        <v>161</v>
      </c>
      <c r="C10" s="55" t="s">
        <v>389</v>
      </c>
      <c r="D10" s="55" t="s">
        <v>50</v>
      </c>
      <c r="E10" s="55" t="s">
        <v>76</v>
      </c>
      <c r="F10" s="55">
        <v>0</v>
      </c>
      <c r="G10" s="55">
        <v>55</v>
      </c>
      <c r="H10" s="55">
        <v>63472</v>
      </c>
      <c r="I10" s="55" t="s">
        <v>77</v>
      </c>
      <c r="J10" s="55">
        <v>63309</v>
      </c>
      <c r="K10" s="55" t="s">
        <v>54</v>
      </c>
      <c r="L10" s="11" t="str">
        <f>VLOOKUP(C10,'Trips&amp;Operators'!$C$2:$E$10000,3,FALSE)</f>
        <v>BARTLETT</v>
      </c>
      <c r="M10" s="10" t="s">
        <v>128</v>
      </c>
      <c r="N10" s="11" t="s">
        <v>200</v>
      </c>
      <c r="P10" s="43" t="str">
        <f>VLOOKUP(C10,'Train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0" s="9" t="str">
        <f t="shared" si="0"/>
        <v>4013</v>
      </c>
    </row>
    <row r="11" spans="1:17" s="1" customFormat="1" x14ac:dyDescent="0.25">
      <c r="A11" s="66">
        <v>42551.562002314815</v>
      </c>
      <c r="B11" s="55" t="s">
        <v>174</v>
      </c>
      <c r="C11" s="55" t="s">
        <v>391</v>
      </c>
      <c r="D11" s="55" t="s">
        <v>50</v>
      </c>
      <c r="E11" s="55" t="s">
        <v>76</v>
      </c>
      <c r="F11" s="55">
        <v>0</v>
      </c>
      <c r="G11" s="55">
        <v>287</v>
      </c>
      <c r="H11" s="55">
        <v>61601</v>
      </c>
      <c r="I11" s="55" t="s">
        <v>77</v>
      </c>
      <c r="J11" s="55">
        <v>63068</v>
      </c>
      <c r="K11" s="55" t="s">
        <v>53</v>
      </c>
      <c r="L11" s="11" t="str">
        <f>VLOOKUP(C11,'Trips&amp;Operators'!$C$2:$E$10000,3,FALSE)</f>
        <v>SHOOK</v>
      </c>
      <c r="M11" s="10" t="s">
        <v>128</v>
      </c>
      <c r="N11" s="11" t="s">
        <v>200</v>
      </c>
      <c r="P11" s="43" t="str">
        <f>VLOOKUP(C11,'Train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1" s="9" t="str">
        <f t="shared" si="0"/>
        <v>4029</v>
      </c>
    </row>
    <row r="12" spans="1:17" s="1" customFormat="1" x14ac:dyDescent="0.25">
      <c r="A12" s="13">
        <v>42551.969317129631</v>
      </c>
      <c r="B12" s="12" t="s">
        <v>178</v>
      </c>
      <c r="C12" s="12" t="s">
        <v>489</v>
      </c>
      <c r="D12" s="12" t="s">
        <v>50</v>
      </c>
      <c r="E12" s="12" t="s">
        <v>76</v>
      </c>
      <c r="F12" s="12">
        <v>80</v>
      </c>
      <c r="G12" s="12">
        <v>167</v>
      </c>
      <c r="H12" s="12">
        <v>109336</v>
      </c>
      <c r="I12" s="12" t="s">
        <v>77</v>
      </c>
      <c r="J12" s="12">
        <v>109135</v>
      </c>
      <c r="K12" s="11" t="s">
        <v>54</v>
      </c>
      <c r="L12" s="11" t="str">
        <f>VLOOKUP(C12,'Trips&amp;Operators'!$C$2:$E$10000,3,FALSE)</f>
        <v>ADANE</v>
      </c>
      <c r="M12" s="10" t="s">
        <v>128</v>
      </c>
      <c r="N12" s="11" t="s">
        <v>657</v>
      </c>
      <c r="O12" s="33"/>
      <c r="P12" s="43" t="str">
        <f>VLOOKUP(C12,'Train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9" t="str">
        <f t="shared" si="0"/>
        <v>4039</v>
      </c>
    </row>
    <row r="13" spans="1:17" s="1" customFormat="1" x14ac:dyDescent="0.25">
      <c r="A13" s="66">
        <v>42551.26829861111</v>
      </c>
      <c r="B13" s="55" t="s">
        <v>79</v>
      </c>
      <c r="C13" s="55" t="s">
        <v>265</v>
      </c>
      <c r="D13" s="55" t="s">
        <v>50</v>
      </c>
      <c r="E13" s="55" t="s">
        <v>58</v>
      </c>
      <c r="F13" s="55">
        <v>200</v>
      </c>
      <c r="G13" s="55">
        <v>343</v>
      </c>
      <c r="H13" s="55">
        <v>31820</v>
      </c>
      <c r="I13" s="55" t="s">
        <v>59</v>
      </c>
      <c r="J13" s="55">
        <v>30562</v>
      </c>
      <c r="K13" s="55" t="s">
        <v>54</v>
      </c>
      <c r="L13" s="11" t="str">
        <f>VLOOKUP(C13,'Trips&amp;Operators'!$C$2:$E$10000,3,FALSE)</f>
        <v>MAELZER</v>
      </c>
      <c r="M13" s="10" t="s">
        <v>128</v>
      </c>
      <c r="N13" s="11"/>
      <c r="P13" s="43" t="str">
        <f>VLOOKUP(C13,'Train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9" t="str">
        <f t="shared" si="0"/>
        <v>4019</v>
      </c>
    </row>
    <row r="14" spans="1:17" s="1" customFormat="1" x14ac:dyDescent="0.25">
      <c r="A14" s="13">
        <v>42551.250717592593</v>
      </c>
      <c r="B14" s="12" t="s">
        <v>79</v>
      </c>
      <c r="C14" s="12" t="s">
        <v>265</v>
      </c>
      <c r="D14" s="12" t="s">
        <v>50</v>
      </c>
      <c r="E14" s="12" t="s">
        <v>58</v>
      </c>
      <c r="F14" s="12">
        <v>750</v>
      </c>
      <c r="G14" s="12">
        <v>791</v>
      </c>
      <c r="H14" s="12">
        <v>202673</v>
      </c>
      <c r="I14" s="12" t="s">
        <v>59</v>
      </c>
      <c r="J14" s="12">
        <v>200464</v>
      </c>
      <c r="K14" s="11" t="s">
        <v>54</v>
      </c>
      <c r="L14" s="11" t="str">
        <f>VLOOKUP(C14,'Trips&amp;Operators'!$C$2:$E$10000,3,FALSE)</f>
        <v>MAELZER</v>
      </c>
      <c r="M14" s="10" t="s">
        <v>128</v>
      </c>
      <c r="N14" s="11"/>
      <c r="P14" s="43" t="str">
        <f>VLOOKUP(C14,'Train Runs'!$A$13:$V$988,22,0)</f>
        <v>https://search-rtdc-monitor-bjffxe2xuh6vdkpspy63sjmuny.us-east-1.es.amazonaws.com/_plugin/kibana/#/discover/Steve-Slow-Train-Analysis-(2080s-and-2083s)?_g=(refreshInterval:(display:Off,section:0,value:0),time:(from:'2016-06-30 05:52:25-0600',mode:absolute,to:'2016-06-30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4" s="9" t="str">
        <f t="shared" si="0"/>
        <v>4019</v>
      </c>
    </row>
    <row r="15" spans="1:17" s="1" customFormat="1" x14ac:dyDescent="0.25">
      <c r="A15" s="13">
        <v>42551.335474537038</v>
      </c>
      <c r="B15" s="12" t="s">
        <v>160</v>
      </c>
      <c r="C15" s="12" t="s">
        <v>292</v>
      </c>
      <c r="D15" s="12" t="s">
        <v>50</v>
      </c>
      <c r="E15" s="12" t="s">
        <v>58</v>
      </c>
      <c r="F15" s="12">
        <v>450</v>
      </c>
      <c r="G15" s="12">
        <v>727</v>
      </c>
      <c r="H15" s="12">
        <v>214367</v>
      </c>
      <c r="I15" s="12" t="s">
        <v>59</v>
      </c>
      <c r="J15" s="12">
        <v>218954</v>
      </c>
      <c r="K15" s="11" t="s">
        <v>53</v>
      </c>
      <c r="L15" s="11" t="str">
        <f>VLOOKUP(C15,'Trips&amp;Operators'!$C$2:$E$10000,3,FALSE)</f>
        <v>STARKS</v>
      </c>
      <c r="M15" s="10" t="s">
        <v>128</v>
      </c>
      <c r="N15" s="11"/>
      <c r="P15" s="43" t="str">
        <f>VLOOKUP(C15,'Train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5" s="9" t="str">
        <f t="shared" si="0"/>
        <v>4014</v>
      </c>
    </row>
    <row r="16" spans="1:17" s="1" customFormat="1" x14ac:dyDescent="0.25">
      <c r="A16" s="66">
        <v>42551.336712962962</v>
      </c>
      <c r="B16" s="55" t="s">
        <v>160</v>
      </c>
      <c r="C16" s="55" t="s">
        <v>292</v>
      </c>
      <c r="D16" s="55" t="s">
        <v>50</v>
      </c>
      <c r="E16" s="55" t="s">
        <v>58</v>
      </c>
      <c r="F16" s="55">
        <v>350</v>
      </c>
      <c r="G16" s="55">
        <v>422</v>
      </c>
      <c r="H16" s="55">
        <v>223740</v>
      </c>
      <c r="I16" s="55" t="s">
        <v>59</v>
      </c>
      <c r="J16" s="55">
        <v>224581</v>
      </c>
      <c r="K16" s="55" t="s">
        <v>53</v>
      </c>
      <c r="L16" s="11" t="str">
        <f>VLOOKUP(C16,'Trips&amp;Operators'!$C$2:$E$10000,3,FALSE)</f>
        <v>STARKS</v>
      </c>
      <c r="M16" s="10" t="s">
        <v>128</v>
      </c>
      <c r="N16" s="11"/>
      <c r="P16" s="43" t="str">
        <f>VLOOKUP(C16,'Train Runs'!$A$13:$V$988,22,0)</f>
        <v>https://search-rtdc-monitor-bjffxe2xuh6vdkpspy63sjmuny.us-east-1.es.amazonaws.com/_plugin/kibana/#/discover/Steve-Slow-Train-Analysis-(2080s-and-2083s)?_g=(refreshInterval:(display:Off,section:0,value:0),time:(from:'2016-06-30 07:25:33-0600',mode:absolute,to:'2016-06-30 08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6" s="9" t="str">
        <f t="shared" si="0"/>
        <v>4014</v>
      </c>
    </row>
    <row r="17" spans="1:17" s="1" customFormat="1" x14ac:dyDescent="0.25">
      <c r="A17" s="13">
        <v>42551.326851851853</v>
      </c>
      <c r="B17" s="12" t="s">
        <v>238</v>
      </c>
      <c r="C17" s="12" t="s">
        <v>297</v>
      </c>
      <c r="D17" s="12" t="s">
        <v>50</v>
      </c>
      <c r="E17" s="12" t="s">
        <v>58</v>
      </c>
      <c r="F17" s="12">
        <v>300</v>
      </c>
      <c r="G17" s="12">
        <v>251</v>
      </c>
      <c r="H17" s="12">
        <v>19748</v>
      </c>
      <c r="I17" s="12" t="s">
        <v>59</v>
      </c>
      <c r="J17" s="12">
        <v>20338</v>
      </c>
      <c r="K17" s="11" t="s">
        <v>53</v>
      </c>
      <c r="L17" s="11" t="str">
        <f>VLOOKUP(C17,'Trips&amp;Operators'!$C$2:$E$10000,3,FALSE)</f>
        <v>YORK</v>
      </c>
      <c r="M17" s="10" t="s">
        <v>128</v>
      </c>
      <c r="N17" s="11"/>
      <c r="P17" s="43" t="str">
        <f>VLOOKUP(C17,'Train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07:39:00-0600',mode:absolute,to:'2016-06-30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7" s="9" t="str">
        <f t="shared" si="0"/>
        <v>4016</v>
      </c>
    </row>
    <row r="18" spans="1:17" s="1" customFormat="1" x14ac:dyDescent="0.25">
      <c r="A18" s="66">
        <v>42551.345243055555</v>
      </c>
      <c r="B18" s="55" t="s">
        <v>133</v>
      </c>
      <c r="C18" s="55" t="s">
        <v>339</v>
      </c>
      <c r="D18" s="55" t="s">
        <v>55</v>
      </c>
      <c r="E18" s="55" t="s">
        <v>58</v>
      </c>
      <c r="F18" s="55">
        <v>150</v>
      </c>
      <c r="G18" s="55">
        <v>200</v>
      </c>
      <c r="H18" s="55">
        <v>3824</v>
      </c>
      <c r="I18" s="55" t="s">
        <v>59</v>
      </c>
      <c r="J18" s="55">
        <v>0</v>
      </c>
      <c r="K18" s="55" t="s">
        <v>53</v>
      </c>
      <c r="L18" s="11" t="str">
        <f>VLOOKUP(C18,'Trips&amp;Operators'!$C$2:$E$10000,3,FALSE)</f>
        <v>KILLION</v>
      </c>
      <c r="M18" s="10" t="s">
        <v>128</v>
      </c>
      <c r="N18" s="11"/>
      <c r="P18" s="43" t="str">
        <f>VLOOKUP(C18,'Train Runs'!$A$13:$V$988,22,0)</f>
        <v>https://search-rtdc-monitor-bjffxe2xuh6vdkpspy63sjmuny.us-east-1.es.amazonaws.com/_plugin/kibana/#/discover/Steve-Slow-Train-Analysis-(2080s-and-2083s)?_g=(refreshInterval:(display:Off,section:0,value:0),time:(from:'2016-06-30 08:06:17-0600',mode:absolute,to:'2016-06-30 08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8" s="9" t="str">
        <f t="shared" si="0"/>
        <v>4038</v>
      </c>
    </row>
    <row r="19" spans="1:17" s="1" customFormat="1" x14ac:dyDescent="0.25">
      <c r="A19" s="66">
        <v>42551.419386574074</v>
      </c>
      <c r="B19" s="55" t="s">
        <v>238</v>
      </c>
      <c r="C19" s="55" t="s">
        <v>354</v>
      </c>
      <c r="D19" s="55" t="s">
        <v>50</v>
      </c>
      <c r="E19" s="55" t="s">
        <v>58</v>
      </c>
      <c r="F19" s="55">
        <v>150</v>
      </c>
      <c r="G19" s="55">
        <v>154</v>
      </c>
      <c r="H19" s="55">
        <v>229721</v>
      </c>
      <c r="I19" s="55" t="s">
        <v>59</v>
      </c>
      <c r="J19" s="55">
        <v>230436</v>
      </c>
      <c r="K19" s="55" t="s">
        <v>53</v>
      </c>
      <c r="L19" s="11" t="str">
        <f>VLOOKUP(C19,'Trips&amp;Operators'!$C$2:$E$10000,3,FALSE)</f>
        <v>YORK</v>
      </c>
      <c r="M19" s="55" t="s">
        <v>128</v>
      </c>
      <c r="N19" s="55"/>
      <c r="P19" s="43" t="str">
        <f>VLOOKUP(C19,'Train Runs'!$A$13:$V$988,22,0)</f>
        <v>https://search-rtdc-monitor-bjffxe2xuh6vdkpspy63sjmuny.us-east-1.es.amazonaws.com/_plugin/kibana/#/discover/Steve-Slow-Train-Analysis-(2080s-and-2083s)?_g=(refreshInterval:(display:Off,section:0,value:0),time:(from:'2016-06-30 09:21:19-0600',mode:absolute,to:'2016-06-30 10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9" t="str">
        <f t="shared" si="0"/>
        <v>4016</v>
      </c>
    </row>
    <row r="20" spans="1:17" s="1" customFormat="1" x14ac:dyDescent="0.25">
      <c r="A20" s="66">
        <v>42551.568194444444</v>
      </c>
      <c r="B20" s="55" t="s">
        <v>133</v>
      </c>
      <c r="C20" s="55" t="s">
        <v>393</v>
      </c>
      <c r="D20" s="55" t="s">
        <v>50</v>
      </c>
      <c r="E20" s="55" t="s">
        <v>58</v>
      </c>
      <c r="F20" s="55">
        <v>450</v>
      </c>
      <c r="G20" s="55">
        <v>461</v>
      </c>
      <c r="H20" s="55">
        <v>10000</v>
      </c>
      <c r="I20" s="55" t="s">
        <v>59</v>
      </c>
      <c r="J20" s="55">
        <v>11201</v>
      </c>
      <c r="K20" s="55" t="s">
        <v>53</v>
      </c>
      <c r="L20" s="11" t="str">
        <f>VLOOKUP(C20,'Trips&amp;Operators'!$C$2:$E$10000,3,FALSE)</f>
        <v>MAYBERRY</v>
      </c>
      <c r="M20" s="55" t="s">
        <v>128</v>
      </c>
      <c r="N20" s="11"/>
      <c r="P20" s="43" t="str">
        <f>VLOOKUP(C20,'Train Runs'!$A$13:$V$988,22,0)</f>
        <v>https://search-rtdc-monitor-bjffxe2xuh6vdkpspy63sjmuny.us-east-1.es.amazonaws.com/_plugin/kibana/#/discover/Steve-Slow-Train-Analysis-(2080s-and-2083s)?_g=(refreshInterval:(display:Off,section:0,value:0),time:(from:'2016-06-30 13:30:53-0600',mode:absolute,to:'2016-06-30 14:16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9" t="str">
        <f t="shared" si="0"/>
        <v>4038</v>
      </c>
    </row>
    <row r="21" spans="1:17" s="1" customFormat="1" x14ac:dyDescent="0.25">
      <c r="A21" s="66">
        <v>42551.641134259262</v>
      </c>
      <c r="B21" s="55" t="s">
        <v>133</v>
      </c>
      <c r="C21" s="55" t="s">
        <v>416</v>
      </c>
      <c r="D21" s="55" t="s">
        <v>55</v>
      </c>
      <c r="E21" s="55" t="s">
        <v>58</v>
      </c>
      <c r="F21" s="55">
        <v>200</v>
      </c>
      <c r="G21" s="55">
        <v>251</v>
      </c>
      <c r="H21" s="55">
        <v>30358</v>
      </c>
      <c r="I21" s="55" t="s">
        <v>59</v>
      </c>
      <c r="J21" s="55">
        <v>27333</v>
      </c>
      <c r="K21" s="55" t="s">
        <v>53</v>
      </c>
      <c r="L21" s="11" t="str">
        <f>VLOOKUP(C21,'Trips&amp;Operators'!$C$2:$E$10000,3,FALSE)</f>
        <v>MAYBERRY</v>
      </c>
      <c r="M21" s="10" t="s">
        <v>128</v>
      </c>
      <c r="N21" s="11"/>
      <c r="P21" s="43" t="str">
        <f>VLOOKUP(C21,'Train Runs'!$A$13:$V$988,22,0)</f>
        <v>https://search-rtdc-monitor-bjffxe2xuh6vdkpspy63sjmuny.us-east-1.es.amazonaws.com/_plugin/kibana/#/discover/Steve-Slow-Train-Analysis-(2080s-and-2083s)?_g=(refreshInterval:(display:Off,section:0,value:0),time:(from:'2016-06-30 15:05:45-0600',mode:absolute,to:'2016-06-30 15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9" t="str">
        <f t="shared" si="0"/>
        <v>4038</v>
      </c>
    </row>
    <row r="22" spans="1:17" s="1" customFormat="1" x14ac:dyDescent="0.25">
      <c r="A22" s="66">
        <v>42551.734942129631</v>
      </c>
      <c r="B22" s="55" t="s">
        <v>240</v>
      </c>
      <c r="C22" s="55" t="s">
        <v>430</v>
      </c>
      <c r="D22" s="55" t="s">
        <v>50</v>
      </c>
      <c r="E22" s="55" t="s">
        <v>58</v>
      </c>
      <c r="F22" s="55">
        <v>450</v>
      </c>
      <c r="G22" s="55">
        <v>524</v>
      </c>
      <c r="H22" s="55">
        <v>158239</v>
      </c>
      <c r="I22" s="55" t="s">
        <v>59</v>
      </c>
      <c r="J22" s="55">
        <v>156300</v>
      </c>
      <c r="K22" s="55" t="s">
        <v>54</v>
      </c>
      <c r="L22" s="11" t="str">
        <f>VLOOKUP(C22,'Trips&amp;Operators'!$C$2:$E$10000,3,FALSE)</f>
        <v>SPECTOR</v>
      </c>
      <c r="M22" s="55" t="s">
        <v>128</v>
      </c>
      <c r="N22" s="55"/>
      <c r="P22" s="43" t="str">
        <f>VLOOKUP(C22,'Train Runs'!$A$13:$V$988,22,0)</f>
        <v>https://search-rtdc-monitor-bjffxe2xuh6vdkpspy63sjmuny.us-east-1.es.amazonaws.com/_plugin/kibana/#/discover/Steve-Slow-Train-Analysis-(2080s-and-2083s)?_g=(refreshInterval:(display:Off,section:0,value:0),time:(from:'2016-06-30 17:19:57-0600',mode:absolute,to:'2016-06-30 18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2" s="9" t="str">
        <f t="shared" si="0"/>
        <v>4015</v>
      </c>
    </row>
    <row r="23" spans="1:17" s="1" customFormat="1" x14ac:dyDescent="0.25">
      <c r="A23" s="66">
        <v>42551.722662037035</v>
      </c>
      <c r="B23" s="55" t="s">
        <v>174</v>
      </c>
      <c r="C23" s="55" t="s">
        <v>432</v>
      </c>
      <c r="D23" s="55" t="s">
        <v>50</v>
      </c>
      <c r="E23" s="55" t="s">
        <v>58</v>
      </c>
      <c r="F23" s="55">
        <v>150</v>
      </c>
      <c r="G23" s="55">
        <v>160</v>
      </c>
      <c r="H23" s="55">
        <v>228306</v>
      </c>
      <c r="I23" s="55" t="s">
        <v>59</v>
      </c>
      <c r="J23" s="55">
        <v>228668</v>
      </c>
      <c r="K23" s="55" t="s">
        <v>53</v>
      </c>
      <c r="L23" s="11" t="str">
        <f>VLOOKUP(C23,'Trips&amp;Operators'!$C$2:$E$10000,3,FALSE)</f>
        <v>SHOOK</v>
      </c>
      <c r="M23" s="10" t="s">
        <v>128</v>
      </c>
      <c r="N23" s="11"/>
      <c r="P23" s="43" t="str">
        <f>VLOOKUP(C23,'Train Runs'!$A$13:$V$988,22,0)</f>
        <v>https://search-rtdc-monitor-bjffxe2xuh6vdkpspy63sjmuny.us-east-1.es.amazonaws.com/_plugin/kibana/#/discover/Steve-Slow-Train-Analysis-(2080s-and-2083s)?_g=(refreshInterval:(display:Off,section:0,value:0),time:(from:'2016-06-30 16:38:19-0600',mode:absolute,to:'2016-06-30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3" s="9" t="str">
        <f t="shared" si="0"/>
        <v>4029</v>
      </c>
    </row>
    <row r="24" spans="1:17" s="1" customFormat="1" x14ac:dyDescent="0.25">
      <c r="A24" s="66">
        <v>42551.896296296298</v>
      </c>
      <c r="B24" s="55" t="s">
        <v>178</v>
      </c>
      <c r="C24" s="55" t="s">
        <v>476</v>
      </c>
      <c r="D24" s="55" t="s">
        <v>50</v>
      </c>
      <c r="E24" s="55" t="s">
        <v>58</v>
      </c>
      <c r="F24" s="55">
        <v>200</v>
      </c>
      <c r="G24" s="55">
        <v>216</v>
      </c>
      <c r="H24" s="55">
        <v>30600</v>
      </c>
      <c r="I24" s="55" t="s">
        <v>59</v>
      </c>
      <c r="J24" s="55">
        <v>30562</v>
      </c>
      <c r="K24" s="55" t="s">
        <v>54</v>
      </c>
      <c r="L24" s="11" t="str">
        <f>VLOOKUP(C24,'Trips&amp;Operators'!$C$2:$E$10000,3,FALSE)</f>
        <v>ADANE</v>
      </c>
      <c r="M24" s="10" t="s">
        <v>128</v>
      </c>
      <c r="N24" s="11"/>
      <c r="P24" s="43" t="str">
        <f>VLOOKUP(C24,'Train Runs'!$A$13:$V$988,22,0)</f>
        <v>https://search-rtdc-monitor-bjffxe2xuh6vdkpspy63sjmuny.us-east-1.es.amazonaws.com/_plugin/kibana/#/discover/Steve-Slow-Train-Analysis-(2080s-and-2083s)?_g=(refreshInterval:(display:Off,section:0,value:0),time:(from:'2016-06-30 20:51:16-0600',mode:absolute,to:'2016-06-30 21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4" s="9" t="str">
        <f t="shared" si="0"/>
        <v>4039</v>
      </c>
    </row>
    <row r="25" spans="1:17" s="1" customFormat="1" x14ac:dyDescent="0.25">
      <c r="A25" s="66">
        <v>42551.937905092593</v>
      </c>
      <c r="B25" s="55" t="s">
        <v>177</v>
      </c>
      <c r="C25" s="55" t="s">
        <v>487</v>
      </c>
      <c r="D25" s="55" t="s">
        <v>55</v>
      </c>
      <c r="E25" s="55" t="s">
        <v>58</v>
      </c>
      <c r="F25" s="55">
        <v>600</v>
      </c>
      <c r="G25" s="55">
        <v>652</v>
      </c>
      <c r="H25" s="55">
        <v>186465</v>
      </c>
      <c r="I25" s="55" t="s">
        <v>59</v>
      </c>
      <c r="J25" s="55">
        <v>183829</v>
      </c>
      <c r="K25" s="55" t="s">
        <v>53</v>
      </c>
      <c r="L25" s="11" t="str">
        <f>VLOOKUP(C25,'Trips&amp;Operators'!$C$2:$E$10000,3,FALSE)</f>
        <v>ADANE</v>
      </c>
      <c r="M25" s="10" t="s">
        <v>128</v>
      </c>
      <c r="N25" s="11"/>
      <c r="P25" s="43" t="str">
        <f>VLOOKUP(C25,'Train Runs'!$A$13:$V$988,22,0)</f>
        <v>https://search-rtdc-monitor-bjffxe2xuh6vdkpspy63sjmuny.us-east-1.es.amazonaws.com/_plugin/kibana/#/discover/Steve-Slow-Train-Analysis-(2080s-and-2083s)?_g=(refreshInterval:(display:Off,section:0,value:0),time:(from:'2016-06-30 21:53:39-0600',mode:absolute,to:'2016-06-30 22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 t="shared" si="0"/>
        <v>4040</v>
      </c>
    </row>
    <row r="26" spans="1:17" s="1" customFormat="1" x14ac:dyDescent="0.25">
      <c r="A26" s="66">
        <v>42551.968645833331</v>
      </c>
      <c r="B26" s="55" t="s">
        <v>178</v>
      </c>
      <c r="C26" s="55" t="s">
        <v>489</v>
      </c>
      <c r="D26" s="55" t="s">
        <v>50</v>
      </c>
      <c r="E26" s="55" t="s">
        <v>58</v>
      </c>
      <c r="F26" s="55">
        <v>450</v>
      </c>
      <c r="G26" s="55">
        <v>495</v>
      </c>
      <c r="H26" s="55">
        <v>111174</v>
      </c>
      <c r="I26" s="55" t="s">
        <v>59</v>
      </c>
      <c r="J26" s="55">
        <v>110617</v>
      </c>
      <c r="K26" s="55" t="s">
        <v>54</v>
      </c>
      <c r="L26" s="11" t="str">
        <f>VLOOKUP(C26,'Trips&amp;Operators'!$C$2:$E$10000,3,FALSE)</f>
        <v>ADANE</v>
      </c>
      <c r="M26" s="10" t="s">
        <v>128</v>
      </c>
      <c r="N26" s="11"/>
      <c r="O26" s="33"/>
      <c r="P26" s="43" t="str">
        <f>VLOOKUP(C26,'Train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6" s="9" t="str">
        <f t="shared" si="0"/>
        <v>4039</v>
      </c>
    </row>
    <row r="27" spans="1:17" s="1" customFormat="1" x14ac:dyDescent="0.25">
      <c r="A27" s="13">
        <v>42551.961539351854</v>
      </c>
      <c r="B27" s="12" t="s">
        <v>178</v>
      </c>
      <c r="C27" s="12" t="s">
        <v>489</v>
      </c>
      <c r="D27" s="12" t="s">
        <v>55</v>
      </c>
      <c r="E27" s="12" t="s">
        <v>58</v>
      </c>
      <c r="F27" s="12">
        <v>700</v>
      </c>
      <c r="G27" s="12">
        <v>750</v>
      </c>
      <c r="H27" s="12">
        <v>176535</v>
      </c>
      <c r="I27" s="12" t="s">
        <v>59</v>
      </c>
      <c r="J27" s="12">
        <v>183829</v>
      </c>
      <c r="K27" s="11" t="s">
        <v>54</v>
      </c>
      <c r="L27" s="11" t="str">
        <f>VLOOKUP(C27,'Trips&amp;Operators'!$C$2:$E$10000,3,FALSE)</f>
        <v>ADANE</v>
      </c>
      <c r="M27" s="10" t="s">
        <v>128</v>
      </c>
      <c r="N27" s="11"/>
      <c r="O27" s="33"/>
      <c r="P27" s="43" t="str">
        <f>VLOOKUP(C27,'Train Runs'!$A$13:$V$988,22,0)</f>
        <v>https://search-rtdc-monitor-bjffxe2xuh6vdkpspy63sjmuny.us-east-1.es.amazonaws.com/_plugin/kibana/#/discover/Steve-Slow-Train-Analysis-(2080s-and-2083s)?_g=(refreshInterval:(display:Off,section:0,value:0),time:(from:'2016-06-30 22:51:11-0600',mode:absolute,to:'2016-06-30 23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7" s="9" t="str">
        <f t="shared" si="0"/>
        <v>4039</v>
      </c>
    </row>
    <row r="28" spans="1:17" s="1" customFormat="1" x14ac:dyDescent="0.25">
      <c r="A28" s="66">
        <v>42552.004178240742</v>
      </c>
      <c r="B28" s="55" t="s">
        <v>177</v>
      </c>
      <c r="C28" s="55" t="s">
        <v>500</v>
      </c>
      <c r="D28" s="55" t="s">
        <v>50</v>
      </c>
      <c r="E28" s="55" t="s">
        <v>58</v>
      </c>
      <c r="F28" s="55">
        <v>200</v>
      </c>
      <c r="G28" s="55">
        <v>175</v>
      </c>
      <c r="H28" s="55">
        <v>4187</v>
      </c>
      <c r="I28" s="55" t="s">
        <v>59</v>
      </c>
      <c r="J28" s="55">
        <v>4677</v>
      </c>
      <c r="K28" s="55" t="s">
        <v>53</v>
      </c>
      <c r="L28" s="11" t="str">
        <f>VLOOKUP(C28,'Trips&amp;Operators'!$C$2:$E$10000,3,FALSE)</f>
        <v>ADANE</v>
      </c>
      <c r="M28" s="55" t="s">
        <v>128</v>
      </c>
      <c r="N28" s="55"/>
      <c r="O28" s="33"/>
      <c r="P28" s="43" t="str">
        <f>VLOOKUP(C28,'Train Runs'!$A$13:$V$988,22,0)</f>
        <v>https://search-rtdc-monitor-bjffxe2xuh6vdkpspy63sjmuny.us-east-1.es.amazonaws.com/_plugin/kibana/#/discover/Steve-Slow-Train-Analysis-(2080s-and-2083s)?_g=(refreshInterval:(display:Off,section:0,value:0),time:(from:'2016-06-30 23:54:02-0600',mode:absolute,to:'2016-07-01 00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8" s="9" t="str">
        <f t="shared" si="0"/>
        <v>4040</v>
      </c>
    </row>
    <row r="29" spans="1:17" s="1" customFormat="1" x14ac:dyDescent="0.25">
      <c r="A29" s="66">
        <v>42551.268530092595</v>
      </c>
      <c r="B29" s="55" t="s">
        <v>150</v>
      </c>
      <c r="C29" s="55" t="s">
        <v>271</v>
      </c>
      <c r="D29" s="55" t="s">
        <v>50</v>
      </c>
      <c r="E29" s="55" t="s">
        <v>58</v>
      </c>
      <c r="F29" s="55">
        <v>300</v>
      </c>
      <c r="G29" s="55">
        <v>327</v>
      </c>
      <c r="H29" s="55">
        <v>19968</v>
      </c>
      <c r="I29" s="55" t="s">
        <v>59</v>
      </c>
      <c r="J29" s="55">
        <v>21314</v>
      </c>
      <c r="K29" s="55" t="s">
        <v>53</v>
      </c>
      <c r="L29" s="11" t="str">
        <f>VLOOKUP(C29,'Trips&amp;Operators'!$C$2:$E$10000,3,FALSE)</f>
        <v>BEAM</v>
      </c>
      <c r="M29" s="55" t="s">
        <v>128</v>
      </c>
      <c r="N29" s="11"/>
      <c r="P29" s="43">
        <f>VLOOKUP(C29,'Train Runs'!$A$13:$V$988,22,0)</f>
        <v>0</v>
      </c>
      <c r="Q29" s="9" t="str">
        <f t="shared" si="0"/>
        <v>4011</v>
      </c>
    </row>
    <row r="30" spans="1:17" s="1" customFormat="1" x14ac:dyDescent="0.25">
      <c r="A30" s="66">
        <v>42551.521863425929</v>
      </c>
      <c r="B30" s="55" t="s">
        <v>150</v>
      </c>
      <c r="C30" s="55" t="s">
        <v>541</v>
      </c>
      <c r="D30" s="55" t="s">
        <v>50</v>
      </c>
      <c r="E30" s="55" t="s">
        <v>58</v>
      </c>
      <c r="F30" s="55">
        <v>150</v>
      </c>
      <c r="G30" s="55">
        <v>125</v>
      </c>
      <c r="H30" s="55">
        <v>56860</v>
      </c>
      <c r="I30" s="55" t="s">
        <v>59</v>
      </c>
      <c r="J30" s="55">
        <v>57008</v>
      </c>
      <c r="K30" s="55" t="s">
        <v>53</v>
      </c>
      <c r="L30" s="11" t="str">
        <f>VLOOKUP(C30,'Trips&amp;Operators'!$C$2:$E$10000,3,FALSE)</f>
        <v>NELSON</v>
      </c>
      <c r="M30" s="10" t="s">
        <v>128</v>
      </c>
      <c r="N30" s="11"/>
      <c r="O30" s="33"/>
      <c r="P30" s="43">
        <f>VLOOKUP(C30,'Train Runs'!$A$13:$V$988,22,0)</f>
        <v>0</v>
      </c>
      <c r="Q30" s="9" t="str">
        <f t="shared" si="0"/>
        <v>4011</v>
      </c>
    </row>
    <row r="31" spans="1:17" s="1" customFormat="1" x14ac:dyDescent="0.25">
      <c r="A31" s="66">
        <v>42551.701261574075</v>
      </c>
      <c r="B31" s="55" t="s">
        <v>151</v>
      </c>
      <c r="C31" s="55" t="s">
        <v>564</v>
      </c>
      <c r="D31" s="55" t="s">
        <v>50</v>
      </c>
      <c r="E31" s="55" t="s">
        <v>58</v>
      </c>
      <c r="F31" s="55">
        <v>300</v>
      </c>
      <c r="G31" s="55">
        <v>317</v>
      </c>
      <c r="H31" s="55">
        <v>23761</v>
      </c>
      <c r="I31" s="55" t="s">
        <v>59</v>
      </c>
      <c r="J31" s="55">
        <v>23491</v>
      </c>
      <c r="K31" s="55" t="s">
        <v>54</v>
      </c>
      <c r="L31" s="11" t="str">
        <f>VLOOKUP(C31,'Trips&amp;Operators'!$C$2:$E$10000,3,FALSE)</f>
        <v>REBOLETTI</v>
      </c>
      <c r="M31" s="10" t="s">
        <v>128</v>
      </c>
      <c r="N31" s="11"/>
      <c r="P31" s="43">
        <f>VLOOKUP(C31,'Train Runs'!$A$13:$V$988,22,0)</f>
        <v>0</v>
      </c>
      <c r="Q31" s="9" t="str">
        <f t="shared" si="0"/>
        <v>4012</v>
      </c>
    </row>
    <row r="32" spans="1:17" s="1" customFormat="1" x14ac:dyDescent="0.25">
      <c r="A32" s="66">
        <v>42551.255347222221</v>
      </c>
      <c r="B32" s="55" t="s">
        <v>238</v>
      </c>
      <c r="C32" s="55" t="s">
        <v>249</v>
      </c>
      <c r="D32" s="55" t="s">
        <v>55</v>
      </c>
      <c r="E32" s="55" t="s">
        <v>56</v>
      </c>
      <c r="F32" s="55">
        <v>0</v>
      </c>
      <c r="G32" s="55">
        <v>267</v>
      </c>
      <c r="H32" s="55">
        <v>20647</v>
      </c>
      <c r="I32" s="55" t="s">
        <v>57</v>
      </c>
      <c r="J32" s="55">
        <v>20617</v>
      </c>
      <c r="K32" s="55" t="s">
        <v>53</v>
      </c>
      <c r="L32" s="11" t="str">
        <f>VLOOKUP(C32,'Trips&amp;Operators'!$C$2:$E$10000,3,FALSE)</f>
        <v>YORK</v>
      </c>
      <c r="M32" s="10" t="s">
        <v>127</v>
      </c>
      <c r="N32" s="11" t="s">
        <v>201</v>
      </c>
      <c r="P32" s="43" t="str">
        <f>VLOOKUP(C32,'Train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2" s="9" t="str">
        <f t="shared" si="0"/>
        <v>4016</v>
      </c>
    </row>
    <row r="33" spans="1:17" x14ac:dyDescent="0.25">
      <c r="A33" s="66">
        <v>42551.259375000001</v>
      </c>
      <c r="B33" s="55" t="s">
        <v>238</v>
      </c>
      <c r="C33" s="55" t="s">
        <v>249</v>
      </c>
      <c r="D33" s="55" t="s">
        <v>55</v>
      </c>
      <c r="E33" s="55" t="s">
        <v>56</v>
      </c>
      <c r="F33" s="55">
        <v>200</v>
      </c>
      <c r="G33" s="55">
        <v>259</v>
      </c>
      <c r="H33" s="55">
        <v>38326</v>
      </c>
      <c r="I33" s="55" t="s">
        <v>57</v>
      </c>
      <c r="J33" s="55">
        <v>36645</v>
      </c>
      <c r="K33" s="55" t="s">
        <v>53</v>
      </c>
      <c r="L33" s="11" t="str">
        <f>VLOOKUP(C33,'Trips&amp;Operators'!$C$2:$E$10000,3,FALSE)</f>
        <v>YORK</v>
      </c>
      <c r="M33" s="10" t="s">
        <v>128</v>
      </c>
      <c r="N33" s="11" t="s">
        <v>656</v>
      </c>
      <c r="O33" s="1"/>
      <c r="P33" s="43" t="str">
        <f>VLOOKUP(C33,'Train Runs'!$A$13:$V$988,22,0)</f>
        <v>https://search-rtdc-monitor-bjffxe2xuh6vdkpspy63sjmuny.us-east-1.es.amazonaws.com/_plugin/kibana/#/discover/Steve-Slow-Train-Analysis-(2080s-and-2083s)?_g=(refreshInterval:(display:Off,section:0,value:0),time:(from:'2016-06-30 06:10:50-0600',mode:absolute,to:'2016-06-30 06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3" s="9" t="str">
        <f t="shared" si="0"/>
        <v>4016</v>
      </c>
    </row>
    <row r="34" spans="1:17" x14ac:dyDescent="0.25">
      <c r="A34" s="66">
        <v>42551.458692129629</v>
      </c>
      <c r="B34" s="55" t="s">
        <v>240</v>
      </c>
      <c r="C34" s="55" t="s">
        <v>355</v>
      </c>
      <c r="D34" s="55" t="s">
        <v>55</v>
      </c>
      <c r="E34" s="55" t="s">
        <v>56</v>
      </c>
      <c r="F34" s="55">
        <v>200</v>
      </c>
      <c r="G34" s="55">
        <v>299</v>
      </c>
      <c r="H34" s="55">
        <v>18233</v>
      </c>
      <c r="I34" s="55" t="s">
        <v>57</v>
      </c>
      <c r="J34" s="55">
        <v>20632</v>
      </c>
      <c r="K34" s="55" t="s">
        <v>54</v>
      </c>
      <c r="L34" s="11" t="str">
        <f>VLOOKUP(C34,'Trips&amp;Operators'!$C$2:$E$10000,3,FALSE)</f>
        <v>YORK</v>
      </c>
      <c r="M34" s="10" t="s">
        <v>128</v>
      </c>
      <c r="N34" s="11" t="s">
        <v>656</v>
      </c>
      <c r="O34" s="1"/>
      <c r="P34" s="43" t="str">
        <f>VLOOKUP(C34,'Train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4" s="9" t="str">
        <f t="shared" si="0"/>
        <v>4015</v>
      </c>
    </row>
    <row r="35" spans="1:17" x14ac:dyDescent="0.25">
      <c r="A35" s="66">
        <v>42551.450682870367</v>
      </c>
      <c r="B35" s="55" t="s">
        <v>240</v>
      </c>
      <c r="C35" s="55" t="s">
        <v>355</v>
      </c>
      <c r="D35" s="55" t="s">
        <v>50</v>
      </c>
      <c r="E35" s="55" t="s">
        <v>56</v>
      </c>
      <c r="F35" s="55">
        <v>0</v>
      </c>
      <c r="G35" s="55">
        <v>356</v>
      </c>
      <c r="H35" s="55">
        <v>65291</v>
      </c>
      <c r="I35" s="55" t="s">
        <v>57</v>
      </c>
      <c r="J35" s="55">
        <v>64008</v>
      </c>
      <c r="K35" s="55" t="s">
        <v>54</v>
      </c>
      <c r="L35" s="11" t="str">
        <f>VLOOKUP(C35,'Trips&amp;Operators'!$C$2:$E$10000,3,FALSE)</f>
        <v>YORK</v>
      </c>
      <c r="M35" s="10" t="s">
        <v>127</v>
      </c>
      <c r="N35" s="11" t="s">
        <v>652</v>
      </c>
      <c r="O35" s="1"/>
      <c r="P35" s="43" t="str">
        <f>VLOOKUP(C35,'Train Runs'!$A$13:$V$988,22,0)</f>
        <v>https://search-rtdc-monitor-bjffxe2xuh6vdkpspy63sjmuny.us-east-1.es.amazonaws.com/_plugin/kibana/#/discover/Steve-Slow-Train-Analysis-(2080s-and-2083s)?_g=(refreshInterval:(display:Off,section:0,value:0),time:(from:'2016-06-30 10:57:53-0600',mode:absolute,to:'2016-06-30 11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5" s="9" t="str">
        <f t="shared" si="0"/>
        <v>4015</v>
      </c>
    </row>
    <row r="36" spans="1:17" x14ac:dyDescent="0.25">
      <c r="A36" s="66">
        <v>42551.548842592594</v>
      </c>
      <c r="B36" s="55" t="s">
        <v>79</v>
      </c>
      <c r="C36" s="55" t="s">
        <v>384</v>
      </c>
      <c r="D36" s="55" t="s">
        <v>50</v>
      </c>
      <c r="E36" s="55" t="s">
        <v>56</v>
      </c>
      <c r="F36" s="55">
        <v>0</v>
      </c>
      <c r="G36" s="55">
        <v>110</v>
      </c>
      <c r="H36" s="55">
        <v>127974</v>
      </c>
      <c r="I36" s="55" t="s">
        <v>57</v>
      </c>
      <c r="J36" s="55">
        <v>127587</v>
      </c>
      <c r="K36" s="55" t="s">
        <v>54</v>
      </c>
      <c r="L36" s="11" t="str">
        <f>VLOOKUP(C36,'Trips&amp;Operators'!$C$2:$E$10000,3,FALSE)</f>
        <v>ROCHA</v>
      </c>
      <c r="M36" s="10" t="s">
        <v>127</v>
      </c>
      <c r="N36" s="11" t="s">
        <v>658</v>
      </c>
      <c r="O36" s="1"/>
      <c r="P36" s="43" t="str">
        <f>VLOOKUP(C36,'Train Runs'!$A$13:$V$988,22,0)</f>
        <v>https://search-rtdc-monitor-bjffxe2xuh6vdkpspy63sjmuny.us-east-1.es.amazonaws.com/_plugin/kibana/#/discover/Steve-Slow-Train-Analysis-(2080s-and-2083s)?_g=(refreshInterval:(display:Off,section:0,value:0),time:(from:'2016-06-30 12:53:53-0600',mode:absolute,to:'2016-06-30 13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6" s="9" t="str">
        <f t="shared" si="0"/>
        <v>4019</v>
      </c>
    </row>
    <row r="37" spans="1:17" x14ac:dyDescent="0.25">
      <c r="A37" s="66">
        <v>42551.594652777778</v>
      </c>
      <c r="B37" s="55" t="s">
        <v>161</v>
      </c>
      <c r="C37" s="55" t="s">
        <v>389</v>
      </c>
      <c r="D37" s="55" t="s">
        <v>50</v>
      </c>
      <c r="E37" s="55" t="s">
        <v>56</v>
      </c>
      <c r="F37" s="55">
        <v>0</v>
      </c>
      <c r="G37" s="55">
        <v>301</v>
      </c>
      <c r="H37" s="55">
        <v>37645</v>
      </c>
      <c r="I37" s="55" t="s">
        <v>57</v>
      </c>
      <c r="J37" s="55">
        <v>36657</v>
      </c>
      <c r="K37" s="55" t="s">
        <v>54</v>
      </c>
      <c r="L37" s="11" t="str">
        <f>VLOOKUP(C37,'Trips&amp;Operators'!$C$2:$E$10000,3,FALSE)</f>
        <v>BARTLETT</v>
      </c>
      <c r="M37" s="10" t="s">
        <v>127</v>
      </c>
      <c r="N37" s="11" t="s">
        <v>201</v>
      </c>
      <c r="O37" s="1"/>
      <c r="P37" s="43" t="str">
        <f>VLOOKUP(C37,'Train Runs'!$A$13:$V$988,22,0)</f>
        <v>https://search-rtdc-monitor-bjffxe2xuh6vdkpspy63sjmuny.us-east-1.es.amazonaws.com/_plugin/kibana/#/discover/Steve-Slow-Train-Analysis-(2080s-and-2083s)?_g=(refreshInterval:(display:Off,section:0,value:0),time:(from:'2016-06-30 13:36:30-0600',mode:absolute,to:'2016-06-30 14:28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7" s="9" t="str">
        <f t="shared" si="0"/>
        <v>4013</v>
      </c>
    </row>
    <row r="38" spans="1:17" x14ac:dyDescent="0.25">
      <c r="A38" s="66">
        <v>42551.654097222221</v>
      </c>
      <c r="B38" s="55" t="s">
        <v>240</v>
      </c>
      <c r="C38" s="55" t="s">
        <v>410</v>
      </c>
      <c r="D38" s="55" t="s">
        <v>50</v>
      </c>
      <c r="E38" s="55" t="s">
        <v>56</v>
      </c>
      <c r="F38" s="55">
        <v>0</v>
      </c>
      <c r="G38" s="55">
        <v>152</v>
      </c>
      <c r="H38" s="55">
        <v>231750</v>
      </c>
      <c r="I38" s="55" t="s">
        <v>57</v>
      </c>
      <c r="J38" s="55">
        <v>231147</v>
      </c>
      <c r="K38" s="55" t="s">
        <v>54</v>
      </c>
      <c r="L38" s="11" t="str">
        <f>VLOOKUP(C38,'Trips&amp;Operators'!$C$2:$E$10000,3,FALSE)</f>
        <v>SPECTOR</v>
      </c>
      <c r="M38" s="55" t="s">
        <v>127</v>
      </c>
      <c r="N38" s="11" t="s">
        <v>201</v>
      </c>
      <c r="O38" s="1"/>
      <c r="P38" s="43" t="str">
        <f>VLOOKUP(C38,'Train Runs'!$A$13:$V$988,22,0)</f>
        <v>https://search-rtdc-monitor-bjffxe2xuh6vdkpspy63sjmuny.us-east-1.es.amazonaws.com/_plugin/kibana/#/discover/Steve-Slow-Train-Analysis-(2080s-and-2083s)?_g=(refreshInterval:(display:Off,section:0,value:0),time:(from:'2016-06-30 15:36:00-0600',mode:absolute,to:'2016-06-30 16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8" s="9" t="str">
        <f t="shared" si="0"/>
        <v>4015</v>
      </c>
    </row>
    <row r="39" spans="1:17" x14ac:dyDescent="0.25">
      <c r="A39" s="66">
        <v>42551.686006944445</v>
      </c>
      <c r="B39" s="55" t="s">
        <v>170</v>
      </c>
      <c r="C39" s="55" t="s">
        <v>418</v>
      </c>
      <c r="D39" s="55" t="s">
        <v>50</v>
      </c>
      <c r="E39" s="55" t="s">
        <v>56</v>
      </c>
      <c r="F39" s="55">
        <v>0</v>
      </c>
      <c r="G39" s="55">
        <v>394</v>
      </c>
      <c r="H39" s="55">
        <v>129231</v>
      </c>
      <c r="I39" s="55" t="s">
        <v>57</v>
      </c>
      <c r="J39" s="55">
        <v>127587</v>
      </c>
      <c r="K39" s="55" t="s">
        <v>54</v>
      </c>
      <c r="L39" s="11" t="str">
        <f>VLOOKUP(C39,'Trips&amp;Operators'!$C$2:$E$10000,3,FALSE)</f>
        <v>MAYBERRY</v>
      </c>
      <c r="M39" s="55" t="s">
        <v>127</v>
      </c>
      <c r="N39" s="11" t="s">
        <v>658</v>
      </c>
      <c r="O39" s="1"/>
      <c r="P39" s="43" t="str">
        <f>VLOOKUP(C39,'Train Runs'!$A$13:$V$988,22,0)</f>
        <v>https://search-rtdc-monitor-bjffxe2xuh6vdkpspy63sjmuny.us-east-1.es.amazonaws.com/_plugin/kibana/#/discover/Steve-Slow-Train-Analysis-(2080s-and-2083s)?_g=(refreshInterval:(display:Off,section:0,value:0),time:(from:'2016-06-30 16:00:31-0600',mode:absolute,to:'2016-06-30 16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 t="shared" ref="Q39:Q70" si="1">MID(B39,13,4)</f>
        <v>4037</v>
      </c>
    </row>
    <row r="40" spans="1:17" x14ac:dyDescent="0.25">
      <c r="A40" s="66">
        <v>42551.702777777777</v>
      </c>
      <c r="B40" s="55" t="s">
        <v>96</v>
      </c>
      <c r="C40" s="55" t="s">
        <v>566</v>
      </c>
      <c r="D40" s="55" t="s">
        <v>50</v>
      </c>
      <c r="E40" s="55" t="s">
        <v>56</v>
      </c>
      <c r="F40" s="55">
        <v>0</v>
      </c>
      <c r="G40" s="55">
        <v>152</v>
      </c>
      <c r="H40" s="55">
        <v>2179</v>
      </c>
      <c r="I40" s="55" t="s">
        <v>57</v>
      </c>
      <c r="J40" s="55">
        <v>2808</v>
      </c>
      <c r="K40" s="55" t="s">
        <v>53</v>
      </c>
      <c r="L40" s="11" t="str">
        <f>VLOOKUP(C40,'Trips&amp;Operators'!$C$2:$E$10000,3,FALSE)</f>
        <v>DE LA ROSA</v>
      </c>
      <c r="M40" s="10" t="s">
        <v>127</v>
      </c>
      <c r="N40" s="11" t="s">
        <v>659</v>
      </c>
      <c r="O40" s="1"/>
      <c r="P40" s="43">
        <f>VLOOKUP(C40,'Train Runs'!$A$13:$V$988,22,0)</f>
        <v>0</v>
      </c>
      <c r="Q40" s="9" t="str">
        <f t="shared" si="1"/>
        <v>4042</v>
      </c>
    </row>
    <row r="41" spans="1:17" x14ac:dyDescent="0.25">
      <c r="A41" s="66">
        <v>42551.612430555557</v>
      </c>
      <c r="B41" s="55" t="s">
        <v>79</v>
      </c>
      <c r="C41" s="55" t="s">
        <v>398</v>
      </c>
      <c r="D41" s="55" t="s">
        <v>50</v>
      </c>
      <c r="E41" s="55" t="s">
        <v>125</v>
      </c>
      <c r="F41" s="55">
        <v>0</v>
      </c>
      <c r="G41" s="55">
        <v>145</v>
      </c>
      <c r="H41" s="55">
        <v>231784</v>
      </c>
      <c r="I41" s="55" t="s">
        <v>126</v>
      </c>
      <c r="J41" s="55">
        <v>231147</v>
      </c>
      <c r="K41" s="55" t="s">
        <v>54</v>
      </c>
      <c r="L41" s="11" t="str">
        <f>VLOOKUP(C41,'Trips&amp;Operators'!$C$2:$E$10000,3,FALSE)</f>
        <v>ROCHA</v>
      </c>
      <c r="M41" s="10" t="s">
        <v>127</v>
      </c>
      <c r="N41" s="11" t="s">
        <v>201</v>
      </c>
      <c r="O41" s="33"/>
      <c r="P41" s="43" t="str">
        <f>VLOOKUP(C41,'Train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9" t="str">
        <f t="shared" si="1"/>
        <v>4019</v>
      </c>
    </row>
    <row r="42" spans="1:17" x14ac:dyDescent="0.25">
      <c r="A42" s="66">
        <v>42551.894166666665</v>
      </c>
      <c r="B42" s="55" t="s">
        <v>175</v>
      </c>
      <c r="C42" s="55" t="s">
        <v>478</v>
      </c>
      <c r="D42" s="55" t="s">
        <v>55</v>
      </c>
      <c r="E42" s="55" t="s">
        <v>125</v>
      </c>
      <c r="F42" s="55">
        <v>0</v>
      </c>
      <c r="G42" s="55">
        <v>355</v>
      </c>
      <c r="H42" s="55">
        <v>229069</v>
      </c>
      <c r="I42" s="55" t="s">
        <v>126</v>
      </c>
      <c r="J42" s="55">
        <v>231650</v>
      </c>
      <c r="K42" s="55" t="s">
        <v>54</v>
      </c>
      <c r="L42" s="11" t="str">
        <f>VLOOKUP(C42,'Trips&amp;Operators'!$C$2:$E$10000,3,FALSE)</f>
        <v>DAVIS</v>
      </c>
      <c r="M42" s="10" t="s">
        <v>127</v>
      </c>
      <c r="N42" s="11" t="s">
        <v>201</v>
      </c>
      <c r="O42" s="1"/>
      <c r="P42" s="43" t="str">
        <f>VLOOKUP(C42,'Train Runs'!$A$13:$V$988,22,0)</f>
        <v>https://search-rtdc-monitor-bjffxe2xuh6vdkpspy63sjmuny.us-east-1.es.amazonaws.com/_plugin/kibana/#/discover/Steve-Slow-Train-Analysis-(2080s-and-2083s)?_g=(refreshInterval:(display:Off,section:0,value:0),time:(from:'2016-06-30 21:21:40-0600',mode:absolute,to:'2016-06-30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2" s="9" t="str">
        <f t="shared" si="1"/>
        <v>4030</v>
      </c>
    </row>
    <row r="43" spans="1:17" x14ac:dyDescent="0.25">
      <c r="A43" s="66">
        <v>42551.266828703701</v>
      </c>
      <c r="B43" s="55" t="s">
        <v>150</v>
      </c>
      <c r="C43" s="55" t="s">
        <v>271</v>
      </c>
      <c r="D43" s="55" t="s">
        <v>50</v>
      </c>
      <c r="E43" s="55" t="s">
        <v>244</v>
      </c>
      <c r="F43" s="55">
        <v>470</v>
      </c>
      <c r="G43" s="55">
        <v>491</v>
      </c>
      <c r="H43" s="55">
        <v>9060</v>
      </c>
      <c r="I43" s="55" t="s">
        <v>245</v>
      </c>
      <c r="J43" s="55">
        <v>10716</v>
      </c>
      <c r="K43" s="55" t="s">
        <v>53</v>
      </c>
      <c r="L43" s="11" t="str">
        <f>VLOOKUP(C43,'Trips&amp;Operators'!$C$2:$E$10000,3,FALSE)</f>
        <v>BEAM</v>
      </c>
      <c r="M43" s="10" t="s">
        <v>127</v>
      </c>
      <c r="N43" s="11" t="s">
        <v>201</v>
      </c>
      <c r="O43" s="1"/>
      <c r="P43" s="43">
        <f>VLOOKUP(C43,'Train Runs'!$A$13:$V$988,22,0)</f>
        <v>0</v>
      </c>
      <c r="Q43" s="9" t="str">
        <f t="shared" si="1"/>
        <v>4011</v>
      </c>
    </row>
    <row r="44" spans="1:17" x14ac:dyDescent="0.25">
      <c r="A44" s="66">
        <v>42551.233888888892</v>
      </c>
      <c r="B44" s="55" t="s">
        <v>80</v>
      </c>
      <c r="C44" s="55" t="s">
        <v>286</v>
      </c>
      <c r="D44" s="55" t="s">
        <v>50</v>
      </c>
      <c r="E44" s="55" t="s">
        <v>51</v>
      </c>
      <c r="F44" s="55">
        <v>0</v>
      </c>
      <c r="G44" s="55">
        <v>5</v>
      </c>
      <c r="H44" s="55">
        <v>233327</v>
      </c>
      <c r="I44" s="55" t="s">
        <v>52</v>
      </c>
      <c r="J44" s="55">
        <v>233491</v>
      </c>
      <c r="K44" s="55" t="s">
        <v>53</v>
      </c>
      <c r="L44" s="11" t="str">
        <f>VLOOKUP(C44,'Trips&amp;Operators'!$C$2:$E$10000,3,FALSE)</f>
        <v>MAELZER</v>
      </c>
      <c r="M44" s="55" t="s">
        <v>128</v>
      </c>
      <c r="N44" s="11"/>
      <c r="O44" s="1"/>
      <c r="P44" s="43" t="str">
        <f>VLOOKUP(C44,'Train Runs'!$A$13:$V$988,22,0)</f>
        <v>https://search-rtdc-monitor-bjffxe2xuh6vdkpspy63sjmuny.us-east-1.es.amazonaws.com/_plugin/kibana/#/discover/Steve-Slow-Train-Analysis-(2080s-and-2083s)?_g=(refreshInterval:(display:Off,section:0,value:0),time:(from:'2016-06-30 04:51:02-0600',mode:absolute,to:'2016-06-30 05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4" s="9" t="str">
        <f t="shared" si="1"/>
        <v>4020</v>
      </c>
    </row>
    <row r="45" spans="1:17" x14ac:dyDescent="0.25">
      <c r="A45" s="66">
        <v>42551.296365740738</v>
      </c>
      <c r="B45" s="55" t="s">
        <v>70</v>
      </c>
      <c r="C45" s="55" t="s">
        <v>281</v>
      </c>
      <c r="D45" s="55" t="s">
        <v>50</v>
      </c>
      <c r="E45" s="55" t="s">
        <v>51</v>
      </c>
      <c r="F45" s="55">
        <v>0</v>
      </c>
      <c r="G45" s="55">
        <v>9</v>
      </c>
      <c r="H45" s="55">
        <v>132</v>
      </c>
      <c r="I45" s="55" t="s">
        <v>52</v>
      </c>
      <c r="J45" s="55">
        <v>1</v>
      </c>
      <c r="K45" s="55" t="s">
        <v>54</v>
      </c>
      <c r="L45" s="11" t="str">
        <f>VLOOKUP(C45,'Trips&amp;Operators'!$C$2:$E$10000,3,FALSE)</f>
        <v>MALAVE</v>
      </c>
      <c r="M45" s="10" t="s">
        <v>128</v>
      </c>
      <c r="N45" s="11"/>
      <c r="O45" s="1"/>
      <c r="P45" s="43" t="str">
        <f>VLOOKUP(C45,'Train Runs'!$A$13:$V$988,22,0)</f>
        <v>https://search-rtdc-monitor-bjffxe2xuh6vdkpspy63sjmuny.us-east-1.es.amazonaws.com/_plugin/kibana/#/discover/Steve-Slow-Train-Analysis-(2080s-and-2083s)?_g=(refreshInterval:(display:Off,section:0,value:0),time:(from:'2016-06-30 06:25:17-0600',mode:absolute,to:'2016-06-30 07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5" s="9" t="str">
        <f t="shared" si="1"/>
        <v>4032</v>
      </c>
    </row>
    <row r="46" spans="1:17" x14ac:dyDescent="0.25">
      <c r="A46" s="66">
        <v>42551.265405092592</v>
      </c>
      <c r="B46" s="55" t="s">
        <v>160</v>
      </c>
      <c r="C46" s="55" t="s">
        <v>262</v>
      </c>
      <c r="D46" s="55" t="s">
        <v>50</v>
      </c>
      <c r="E46" s="55" t="s">
        <v>51</v>
      </c>
      <c r="F46" s="55">
        <v>0</v>
      </c>
      <c r="G46" s="55">
        <v>100</v>
      </c>
      <c r="H46" s="55">
        <v>233090</v>
      </c>
      <c r="I46" s="55" t="s">
        <v>52</v>
      </c>
      <c r="J46" s="55">
        <v>233491</v>
      </c>
      <c r="K46" s="55" t="s">
        <v>53</v>
      </c>
      <c r="L46" s="11" t="str">
        <f>VLOOKUP(C46,'Trips&amp;Operators'!$C$2:$E$10000,3,FALSE)</f>
        <v>STARKS</v>
      </c>
      <c r="M46" s="55" t="s">
        <v>128</v>
      </c>
      <c r="N46" s="55"/>
      <c r="O46" s="1"/>
      <c r="P46" s="43" t="str">
        <f>VLOOKUP(C46,'Train Runs'!$A$13:$V$988,22,0)</f>
        <v>https://search-rtdc-monitor-bjffxe2xuh6vdkpspy63sjmuny.us-east-1.es.amazonaws.com/_plugin/kibana/#/discover/Steve-Slow-Train-Analysis-(2080s-and-2083s)?_g=(refreshInterval:(display:Off,section:0,value:0),time:(from:'2016-06-30 05:39:12-0600',mode:absolute,to:'2016-06-30 06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6" s="9" t="str">
        <f t="shared" si="1"/>
        <v>4014</v>
      </c>
    </row>
    <row r="47" spans="1:17" x14ac:dyDescent="0.25">
      <c r="A47" s="66">
        <v>42551.286157407405</v>
      </c>
      <c r="B47" s="55" t="s">
        <v>174</v>
      </c>
      <c r="C47" s="55" t="s">
        <v>283</v>
      </c>
      <c r="D47" s="55" t="s">
        <v>50</v>
      </c>
      <c r="E47" s="55" t="s">
        <v>51</v>
      </c>
      <c r="F47" s="55">
        <v>0</v>
      </c>
      <c r="G47" s="55">
        <v>26</v>
      </c>
      <c r="H47" s="55">
        <v>233435</v>
      </c>
      <c r="I47" s="55" t="s">
        <v>52</v>
      </c>
      <c r="J47" s="55">
        <v>233491</v>
      </c>
      <c r="K47" s="55" t="s">
        <v>53</v>
      </c>
      <c r="L47" s="11" t="str">
        <f>VLOOKUP(C47,'Trips&amp;Operators'!$C$2:$E$10000,3,FALSE)</f>
        <v>STAMBAUGH</v>
      </c>
      <c r="M47" s="10" t="s">
        <v>128</v>
      </c>
      <c r="N47" s="11"/>
      <c r="O47" s="1"/>
      <c r="P47" s="43" t="str">
        <f>VLOOKUP(C47,'Train Runs'!$A$13:$V$988,22,0)</f>
        <v>https://search-rtdc-monitor-bjffxe2xuh6vdkpspy63sjmuny.us-east-1.es.amazonaws.com/_plugin/kibana/#/discover/Steve-Slow-Train-Analysis-(2080s-and-2083s)?_g=(refreshInterval:(display:Off,section:0,value:0),time:(from:'2016-06-30 06:09:52-0600',mode:absolute,to:'2016-06-30 08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9" t="str">
        <f t="shared" si="1"/>
        <v>4029</v>
      </c>
    </row>
    <row r="48" spans="1:17" x14ac:dyDescent="0.25">
      <c r="A48" s="66">
        <v>42551.307997685188</v>
      </c>
      <c r="B48" s="55" t="s">
        <v>80</v>
      </c>
      <c r="C48" s="55" t="s">
        <v>253</v>
      </c>
      <c r="D48" s="55" t="s">
        <v>50</v>
      </c>
      <c r="E48" s="55" t="s">
        <v>51</v>
      </c>
      <c r="F48" s="55">
        <v>0</v>
      </c>
      <c r="G48" s="55">
        <v>6</v>
      </c>
      <c r="H48" s="55">
        <v>233326</v>
      </c>
      <c r="I48" s="55" t="s">
        <v>52</v>
      </c>
      <c r="J48" s="55">
        <v>233491</v>
      </c>
      <c r="K48" s="55" t="s">
        <v>53</v>
      </c>
      <c r="L48" s="11" t="str">
        <f>VLOOKUP(C48,'Trips&amp;Operators'!$C$2:$E$10000,3,FALSE)</f>
        <v>MAELZER</v>
      </c>
      <c r="M48" s="10" t="s">
        <v>128</v>
      </c>
      <c r="N48" s="11"/>
      <c r="O48" s="1"/>
      <c r="P48" s="43" t="str">
        <f>VLOOKUP(C48,'Train Runs'!$A$13:$V$988,22,0)</f>
        <v>https://search-rtdc-monitor-bjffxe2xuh6vdkpspy63sjmuny.us-east-1.es.amazonaws.com/_plugin/kibana/#/discover/Steve-Slow-Train-Analysis-(2080s-and-2083s)?_g=(refreshInterval:(display:Off,section:0,value:0),time:(from:'2016-06-30 06:36:52-0600',mode:absolute,to:'2016-06-30 07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8" s="9" t="str">
        <f t="shared" si="1"/>
        <v>4020</v>
      </c>
    </row>
    <row r="49" spans="1:17" x14ac:dyDescent="0.25">
      <c r="A49" s="66">
        <v>42551.347997685189</v>
      </c>
      <c r="B49" s="55" t="s">
        <v>79</v>
      </c>
      <c r="C49" s="55" t="s">
        <v>260</v>
      </c>
      <c r="D49" s="55" t="s">
        <v>50</v>
      </c>
      <c r="E49" s="55" t="s">
        <v>51</v>
      </c>
      <c r="F49" s="55">
        <v>0</v>
      </c>
      <c r="G49" s="55">
        <v>7</v>
      </c>
      <c r="H49" s="55">
        <v>121</v>
      </c>
      <c r="I49" s="55" t="s">
        <v>52</v>
      </c>
      <c r="J49" s="55">
        <v>1</v>
      </c>
      <c r="K49" s="55" t="s">
        <v>54</v>
      </c>
      <c r="L49" s="11" t="str">
        <f>VLOOKUP(C49,'Trips&amp;Operators'!$C$2:$E$10000,3,FALSE)</f>
        <v>MAELZER</v>
      </c>
      <c r="M49" s="10" t="s">
        <v>128</v>
      </c>
      <c r="N49" s="11"/>
      <c r="O49" s="1"/>
      <c r="P49" s="43" t="str">
        <f>VLOOKUP(C49,'Train Runs'!$A$13:$V$988,22,0)</f>
        <v>https://search-rtdc-monitor-bjffxe2xuh6vdkpspy63sjmuny.us-east-1.es.amazonaws.com/_plugin/kibana/#/discover/Steve-Slow-Train-Analysis-(2080s-and-2083s)?_g=(refreshInterval:(display:Off,section:0,value:0),time:(from:'2016-06-30 07:39:45-0600',mode:absolute,to:'2016-06-30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9" s="9" t="str">
        <f t="shared" si="1"/>
        <v>4019</v>
      </c>
    </row>
    <row r="50" spans="1:17" x14ac:dyDescent="0.25">
      <c r="A50" s="66">
        <v>42551.400949074072</v>
      </c>
      <c r="B50" s="55" t="s">
        <v>86</v>
      </c>
      <c r="C50" s="55" t="s">
        <v>348</v>
      </c>
      <c r="D50" s="55" t="s">
        <v>50</v>
      </c>
      <c r="E50" s="55" t="s">
        <v>51</v>
      </c>
      <c r="F50" s="55">
        <v>0</v>
      </c>
      <c r="G50" s="55">
        <v>6</v>
      </c>
      <c r="H50" s="55">
        <v>233317</v>
      </c>
      <c r="I50" s="55" t="s">
        <v>52</v>
      </c>
      <c r="J50" s="55">
        <v>233491</v>
      </c>
      <c r="K50" s="55" t="s">
        <v>53</v>
      </c>
      <c r="L50" s="11" t="str">
        <f>VLOOKUP(C50,'Trips&amp;Operators'!$C$2:$E$10000,3,FALSE)</f>
        <v>MALAVE</v>
      </c>
      <c r="M50" s="10" t="s">
        <v>128</v>
      </c>
      <c r="N50" s="11"/>
      <c r="O50" s="1"/>
      <c r="P50" s="43" t="str">
        <f>VLOOKUP(C50,'Train Runs'!$A$13:$V$988,22,0)</f>
        <v>https://search-rtdc-monitor-bjffxe2xuh6vdkpspy63sjmuny.us-east-1.es.amazonaws.com/_plugin/kibana/#/discover/Steve-Slow-Train-Analysis-(2080s-and-2083s)?_g=(refreshInterval:(display:Off,section:0,value:0),time:(from:'2016-06-30 08:55:57-0600',mode:absolute,to:'2016-06-30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 t="shared" si="1"/>
        <v>4031</v>
      </c>
    </row>
    <row r="51" spans="1:17" x14ac:dyDescent="0.25">
      <c r="A51" s="66">
        <v>42551.442662037036</v>
      </c>
      <c r="B51" s="55" t="s">
        <v>133</v>
      </c>
      <c r="C51" s="55" t="s">
        <v>361</v>
      </c>
      <c r="D51" s="55" t="s">
        <v>50</v>
      </c>
      <c r="E51" s="55" t="s">
        <v>51</v>
      </c>
      <c r="F51" s="55">
        <v>0</v>
      </c>
      <c r="G51" s="55">
        <v>7</v>
      </c>
      <c r="H51" s="55">
        <v>233281</v>
      </c>
      <c r="I51" s="55" t="s">
        <v>52</v>
      </c>
      <c r="J51" s="55">
        <v>233491</v>
      </c>
      <c r="K51" s="55" t="s">
        <v>53</v>
      </c>
      <c r="L51" s="11" t="str">
        <f>VLOOKUP(C51,'Trips&amp;Operators'!$C$2:$E$10000,3,FALSE)</f>
        <v>KILLION</v>
      </c>
      <c r="M51" s="55" t="s">
        <v>128</v>
      </c>
      <c r="N51" s="55"/>
      <c r="O51" s="1"/>
      <c r="P51" s="43" t="str">
        <f>VLOOKUP(C51,'Train Runs'!$A$13:$V$988,22,0)</f>
        <v>https://search-rtdc-monitor-bjffxe2xuh6vdkpspy63sjmuny.us-east-1.es.amazonaws.com/_plugin/kibana/#/discover/Steve-Slow-Train-Analysis-(2080s-and-2083s)?_g=(refreshInterval:(display:Off,section:0,value:0),time:(from:'2016-06-30 09:52:16-0600',mode:absolute,to:'2016-06-30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1" s="9" t="str">
        <f t="shared" si="1"/>
        <v>4038</v>
      </c>
    </row>
    <row r="52" spans="1:17" x14ac:dyDescent="0.25">
      <c r="A52" s="66">
        <v>42551.451273148145</v>
      </c>
      <c r="B52" s="55" t="s">
        <v>80</v>
      </c>
      <c r="C52" s="55" t="s">
        <v>363</v>
      </c>
      <c r="D52" s="55" t="s">
        <v>50</v>
      </c>
      <c r="E52" s="55" t="s">
        <v>51</v>
      </c>
      <c r="F52" s="55">
        <v>0</v>
      </c>
      <c r="G52" s="55">
        <v>3</v>
      </c>
      <c r="H52" s="55">
        <v>233330</v>
      </c>
      <c r="I52" s="55" t="s">
        <v>52</v>
      </c>
      <c r="J52" s="55">
        <v>233491</v>
      </c>
      <c r="K52" s="55" t="s">
        <v>53</v>
      </c>
      <c r="L52" s="11" t="str">
        <f>VLOOKUP(C52,'Trips&amp;Operators'!$C$2:$E$10000,3,FALSE)</f>
        <v>ROCHA</v>
      </c>
      <c r="M52" s="10" t="s">
        <v>128</v>
      </c>
      <c r="N52" s="11"/>
      <c r="O52" s="1"/>
      <c r="P52" s="43" t="str">
        <f>VLOOKUP(C52,'Train Runs'!$A$13:$V$988,22,0)</f>
        <v>https://search-rtdc-monitor-bjffxe2xuh6vdkpspy63sjmuny.us-east-1.es.amazonaws.com/_plugin/kibana/#/discover/Steve-Slow-Train-Analysis-(2080s-and-2083s)?_g=(refreshInterval:(display:Off,section:0,value:0),time:(from:'2016-06-30 10:09:46-0600',mode:absolute,to:'2016-06-30 10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2" s="9" t="str">
        <f t="shared" si="1"/>
        <v>4020</v>
      </c>
    </row>
    <row r="53" spans="1:17" x14ac:dyDescent="0.25">
      <c r="A53" s="66">
        <v>42551.493935185186</v>
      </c>
      <c r="B53" s="55" t="s">
        <v>79</v>
      </c>
      <c r="C53" s="55" t="s">
        <v>364</v>
      </c>
      <c r="D53" s="55" t="s">
        <v>50</v>
      </c>
      <c r="E53" s="55" t="s">
        <v>51</v>
      </c>
      <c r="F53" s="55">
        <v>0</v>
      </c>
      <c r="G53" s="55">
        <v>6</v>
      </c>
      <c r="H53" s="55">
        <v>121</v>
      </c>
      <c r="I53" s="55" t="s">
        <v>52</v>
      </c>
      <c r="J53" s="55">
        <v>1</v>
      </c>
      <c r="K53" s="55" t="s">
        <v>54</v>
      </c>
      <c r="L53" s="11" t="str">
        <f>VLOOKUP(C53,'Trips&amp;Operators'!$C$2:$E$10000,3,FALSE)</f>
        <v>ROCHA</v>
      </c>
      <c r="M53" s="55" t="s">
        <v>128</v>
      </c>
      <c r="N53" s="55"/>
      <c r="O53" s="33"/>
      <c r="P53" s="43" t="str">
        <f>VLOOKUP(C53,'Train Runs'!$A$13:$V$988,22,0)</f>
        <v>https://search-rtdc-monitor-bjffxe2xuh6vdkpspy63sjmuny.us-east-1.es.amazonaws.com/_plugin/kibana/#/discover/Steve-Slow-Train-Analysis-(2080s-and-2083s)?_g=(refreshInterval:(display:Off,section:0,value:0),time:(from:'2016-06-30 10:52:08-0600',mode:absolute,to:'2016-06-30 11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3" s="9" t="str">
        <f t="shared" si="1"/>
        <v>4019</v>
      </c>
    </row>
    <row r="54" spans="1:17" x14ac:dyDescent="0.25">
      <c r="A54" s="66">
        <v>42551.483634259261</v>
      </c>
      <c r="B54" s="55" t="s">
        <v>160</v>
      </c>
      <c r="C54" s="55" t="s">
        <v>369</v>
      </c>
      <c r="D54" s="55" t="s">
        <v>50</v>
      </c>
      <c r="E54" s="55" t="s">
        <v>51</v>
      </c>
      <c r="F54" s="55">
        <v>0</v>
      </c>
      <c r="G54" s="55">
        <v>6</v>
      </c>
      <c r="H54" s="55">
        <v>233325</v>
      </c>
      <c r="I54" s="55" t="s">
        <v>52</v>
      </c>
      <c r="J54" s="55">
        <v>233491</v>
      </c>
      <c r="K54" s="55" t="s">
        <v>53</v>
      </c>
      <c r="L54" s="11" t="str">
        <f>VLOOKUP(C54,'Trips&amp;Operators'!$C$2:$E$10000,3,FALSE)</f>
        <v>MALAVE</v>
      </c>
      <c r="M54" s="10" t="s">
        <v>128</v>
      </c>
      <c r="N54" s="11"/>
      <c r="O54" s="33"/>
      <c r="P54" s="43" t="str">
        <f>VLOOKUP(C54,'Train Runs'!$A$13:$V$988,22,0)</f>
        <v>https://search-rtdc-monitor-bjffxe2xuh6vdkpspy63sjmuny.us-east-1.es.amazonaws.com/_plugin/kibana/#/discover/Steve-Slow-Train-Analysis-(2080s-and-2083s)?_g=(refreshInterval:(display:Off,section:0,value:0),time:(from:'2016-06-30 10:56:48-0600',mode:absolute,to:'2016-06-30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 t="shared" si="1"/>
        <v>4014</v>
      </c>
    </row>
    <row r="55" spans="1:17" x14ac:dyDescent="0.25">
      <c r="A55" s="66">
        <v>42551.526250000003</v>
      </c>
      <c r="B55" s="55" t="s">
        <v>80</v>
      </c>
      <c r="C55" s="55" t="s">
        <v>383</v>
      </c>
      <c r="D55" s="55" t="s">
        <v>50</v>
      </c>
      <c r="E55" s="55" t="s">
        <v>51</v>
      </c>
      <c r="F55" s="55">
        <v>0</v>
      </c>
      <c r="G55" s="55">
        <v>7</v>
      </c>
      <c r="H55" s="55">
        <v>233342</v>
      </c>
      <c r="I55" s="55" t="s">
        <v>52</v>
      </c>
      <c r="J55" s="55">
        <v>233491</v>
      </c>
      <c r="K55" s="55" t="s">
        <v>53</v>
      </c>
      <c r="L55" s="11" t="str">
        <f>VLOOKUP(C55,'Trips&amp;Operators'!$C$2:$E$10000,3,FALSE)</f>
        <v>ROCHA</v>
      </c>
      <c r="M55" s="55" t="s">
        <v>128</v>
      </c>
      <c r="N55" s="55"/>
      <c r="O55" s="33"/>
      <c r="P55" s="43" t="str">
        <f>VLOOKUP(C55,'Train Runs'!$A$13:$V$988,22,0)</f>
        <v>https://search-rtdc-monitor-bjffxe2xuh6vdkpspy63sjmuny.us-east-1.es.amazonaws.com/_plugin/kibana/#/discover/Steve-Slow-Train-Analysis-(2080s-and-2083s)?_g=(refreshInterval:(display:Off,section:0,value:0),time:(from:'2016-06-30 11:54:40-0600',mode:absolute,to:'2016-06-30 12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5" s="9" t="str">
        <f t="shared" si="1"/>
        <v>4020</v>
      </c>
    </row>
    <row r="56" spans="1:17" x14ac:dyDescent="0.25">
      <c r="A56" s="66">
        <v>42551.578819444447</v>
      </c>
      <c r="B56" s="55" t="s">
        <v>174</v>
      </c>
      <c r="C56" s="55" t="s">
        <v>391</v>
      </c>
      <c r="D56" s="55" t="s">
        <v>50</v>
      </c>
      <c r="E56" s="55" t="s">
        <v>51</v>
      </c>
      <c r="F56" s="55">
        <v>0</v>
      </c>
      <c r="G56" s="55">
        <v>9</v>
      </c>
      <c r="H56" s="55">
        <v>233324</v>
      </c>
      <c r="I56" s="55" t="s">
        <v>52</v>
      </c>
      <c r="J56" s="55">
        <v>233491</v>
      </c>
      <c r="K56" s="55" t="s">
        <v>53</v>
      </c>
      <c r="L56" s="11" t="str">
        <f>VLOOKUP(C56,'Trips&amp;Operators'!$C$2:$E$10000,3,FALSE)</f>
        <v>SHOOK</v>
      </c>
      <c r="M56" s="55" t="s">
        <v>128</v>
      </c>
      <c r="N56" s="55"/>
      <c r="O56" s="1"/>
      <c r="P56" s="43" t="str">
        <f>VLOOKUP(C56,'Train Runs'!$A$13:$V$988,22,0)</f>
        <v>https://search-rtdc-monitor-bjffxe2xuh6vdkpspy63sjmuny.us-east-1.es.amazonaws.com/_plugin/kibana/#/discover/Steve-Slow-Train-Analysis-(2080s-and-2083s)?_g=(refreshInterval:(display:Off,section:0,value:0),time:(from:'2016-06-30 13:11:27-0600',mode:absolute,to:'2016-06-30 13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6" s="9" t="str">
        <f t="shared" si="1"/>
        <v>4029</v>
      </c>
    </row>
    <row r="57" spans="1:17" x14ac:dyDescent="0.25">
      <c r="A57" s="66">
        <v>42551.627824074072</v>
      </c>
      <c r="B57" s="55" t="s">
        <v>170</v>
      </c>
      <c r="C57" s="55" t="s">
        <v>395</v>
      </c>
      <c r="D57" s="55" t="s">
        <v>50</v>
      </c>
      <c r="E57" s="55" t="s">
        <v>51</v>
      </c>
      <c r="F57" s="55">
        <v>0</v>
      </c>
      <c r="G57" s="55">
        <v>58</v>
      </c>
      <c r="H57" s="55">
        <v>183</v>
      </c>
      <c r="I57" s="55" t="s">
        <v>52</v>
      </c>
      <c r="J57" s="55">
        <v>1</v>
      </c>
      <c r="K57" s="55" t="s">
        <v>54</v>
      </c>
      <c r="L57" s="11" t="str">
        <f>VLOOKUP(C57,'Trips&amp;Operators'!$C$2:$E$10000,3,FALSE)</f>
        <v>MAYBERRY</v>
      </c>
      <c r="M57" s="10" t="s">
        <v>128</v>
      </c>
      <c r="N57" s="11"/>
      <c r="O57" s="1"/>
      <c r="P57" s="43" t="str">
        <f>VLOOKUP(C57,'Train Runs'!$A$13:$V$988,22,0)</f>
        <v>https://search-rtdc-monitor-bjffxe2xuh6vdkpspy63sjmuny.us-east-1.es.amazonaws.com/_plugin/kibana/#/discover/Steve-Slow-Train-Analysis-(2080s-and-2083s)?_g=(refreshInterval:(display:Off,section:0,value:0),time:(from:'2016-06-30 14:16:05-0600',mode:absolute,to:'2016-06-30 15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7" s="9" t="str">
        <f t="shared" si="1"/>
        <v>4037</v>
      </c>
    </row>
    <row r="58" spans="1:17" x14ac:dyDescent="0.25">
      <c r="A58" s="66">
        <v>42551.63722222222</v>
      </c>
      <c r="B58" s="55" t="s">
        <v>79</v>
      </c>
      <c r="C58" s="55" t="s">
        <v>398</v>
      </c>
      <c r="D58" s="55" t="s">
        <v>50</v>
      </c>
      <c r="E58" s="55" t="s">
        <v>51</v>
      </c>
      <c r="F58" s="55">
        <v>0</v>
      </c>
      <c r="G58" s="55">
        <v>4</v>
      </c>
      <c r="H58" s="55">
        <v>114</v>
      </c>
      <c r="I58" s="55" t="s">
        <v>52</v>
      </c>
      <c r="J58" s="55">
        <v>1</v>
      </c>
      <c r="K58" s="55" t="s">
        <v>54</v>
      </c>
      <c r="L58" s="11" t="str">
        <f>VLOOKUP(C58,'Trips&amp;Operators'!$C$2:$E$10000,3,FALSE)</f>
        <v>ROCHA</v>
      </c>
      <c r="M58" s="10" t="s">
        <v>128</v>
      </c>
      <c r="N58" s="11"/>
      <c r="O58" s="33"/>
      <c r="P58" s="43" t="str">
        <f>VLOOKUP(C58,'Train Runs'!$A$13:$V$988,22,0)</f>
        <v>https://search-rtdc-monitor-bjffxe2xuh6vdkpspy63sjmuny.us-east-1.es.amazonaws.com/_plugin/kibana/#/discover/Steve-Slow-Train-Analysis-(2080s-and-2083s)?_g=(refreshInterval:(display:Off,section:0,value:0),time:(from:'2016-06-30 14:37:29-0600',mode:absolute,to:'2016-06-30 15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8" s="9" t="str">
        <f t="shared" si="1"/>
        <v>4019</v>
      </c>
    </row>
    <row r="59" spans="1:17" x14ac:dyDescent="0.25">
      <c r="A59" s="13">
        <v>42551.638124999998</v>
      </c>
      <c r="B59" s="12" t="s">
        <v>160</v>
      </c>
      <c r="C59" s="12" t="s">
        <v>405</v>
      </c>
      <c r="D59" s="12" t="s">
        <v>50</v>
      </c>
      <c r="E59" s="12" t="s">
        <v>51</v>
      </c>
      <c r="F59" s="12">
        <v>0</v>
      </c>
      <c r="G59" s="12">
        <v>77</v>
      </c>
      <c r="H59" s="12">
        <v>233191</v>
      </c>
      <c r="I59" s="12" t="s">
        <v>52</v>
      </c>
      <c r="J59" s="12">
        <v>233491</v>
      </c>
      <c r="K59" s="11" t="s">
        <v>53</v>
      </c>
      <c r="L59" s="11" t="str">
        <f>VLOOKUP(C59,'Trips&amp;Operators'!$C$2:$E$10000,3,FALSE)</f>
        <v>BARTLETT</v>
      </c>
      <c r="M59" s="10" t="s">
        <v>128</v>
      </c>
      <c r="N59" s="11"/>
      <c r="O59" s="1"/>
      <c r="P59" s="43" t="str">
        <f>VLOOKUP(C59,'Train Runs'!$A$13:$V$988,22,0)</f>
        <v>https://search-rtdc-monitor-bjffxe2xuh6vdkpspy63sjmuny.us-east-1.es.amazonaws.com/_plugin/kibana/#/discover/Steve-Slow-Train-Analysis-(2080s-and-2083s)?_g=(refreshInterval:(display:Off,section:0,value:0),time:(from:'2016-06-30 14:27:24-0600',mode:absolute,to:'2016-06-30 15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9" s="9" t="str">
        <f t="shared" si="1"/>
        <v>4014</v>
      </c>
    </row>
    <row r="60" spans="1:17" x14ac:dyDescent="0.25">
      <c r="A60" s="66">
        <v>42551.651724537034</v>
      </c>
      <c r="B60" s="55" t="s">
        <v>174</v>
      </c>
      <c r="C60" s="55" t="s">
        <v>411</v>
      </c>
      <c r="D60" s="55" t="s">
        <v>50</v>
      </c>
      <c r="E60" s="55" t="s">
        <v>51</v>
      </c>
      <c r="F60" s="55">
        <v>0</v>
      </c>
      <c r="G60" s="55">
        <v>6</v>
      </c>
      <c r="H60" s="55">
        <v>233393</v>
      </c>
      <c r="I60" s="55" t="s">
        <v>52</v>
      </c>
      <c r="J60" s="55">
        <v>233491</v>
      </c>
      <c r="K60" s="55" t="s">
        <v>53</v>
      </c>
      <c r="L60" s="11" t="str">
        <f>VLOOKUP(C60,'Trips&amp;Operators'!$C$2:$E$10000,3,FALSE)</f>
        <v>SHOOK</v>
      </c>
      <c r="M60" s="10" t="s">
        <v>128</v>
      </c>
      <c r="N60" s="11"/>
      <c r="O60" s="1"/>
      <c r="P60" s="43" t="str">
        <f>VLOOKUP(C60,'Train Runs'!$A$13:$V$988,22,0)</f>
        <v>https://search-rtdc-monitor-bjffxe2xuh6vdkpspy63sjmuny.us-east-1.es.amazonaws.com/_plugin/kibana/#/discover/Steve-Slow-Train-Analysis-(2080s-and-2083s)?_g=(refreshInterval:(display:Off,section:0,value:0),time:(from:'2016-06-30 14:57:49-0600',mode:absolute,to:'2016-06-30 15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0" s="9" t="str">
        <f t="shared" si="1"/>
        <v>4029</v>
      </c>
    </row>
    <row r="61" spans="1:17" x14ac:dyDescent="0.25">
      <c r="A61" s="66">
        <v>42551.691331018519</v>
      </c>
      <c r="B61" s="55" t="s">
        <v>175</v>
      </c>
      <c r="C61" s="55" t="s">
        <v>413</v>
      </c>
      <c r="D61" s="55" t="s">
        <v>50</v>
      </c>
      <c r="E61" s="55" t="s">
        <v>51</v>
      </c>
      <c r="F61" s="55">
        <v>0</v>
      </c>
      <c r="G61" s="55">
        <v>9</v>
      </c>
      <c r="H61" s="55">
        <v>176</v>
      </c>
      <c r="I61" s="55" t="s">
        <v>52</v>
      </c>
      <c r="J61" s="55">
        <v>1</v>
      </c>
      <c r="K61" s="55" t="s">
        <v>54</v>
      </c>
      <c r="L61" s="11" t="str">
        <f>VLOOKUP(C61,'Trips&amp;Operators'!$C$2:$E$10000,3,FALSE)</f>
        <v>SHOOK</v>
      </c>
      <c r="M61" s="55" t="s">
        <v>128</v>
      </c>
      <c r="N61" s="55"/>
      <c r="O61" s="1"/>
      <c r="P61" s="43" t="str">
        <f>VLOOKUP(C61,'Train Runs'!$A$13:$V$988,22,0)</f>
        <v>https://search-rtdc-monitor-bjffxe2xuh6vdkpspy63sjmuny.us-east-1.es.amazonaws.com/_plugin/kibana/#/discover/Steve-Slow-Train-Analysis-(2080s-and-2083s)?_g=(refreshInterval:(display:Off,section:0,value:0),time:(from:'2016-06-30 15:52:10-0600',mode:absolute,to:'2016-06-30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1" s="9" t="str">
        <f t="shared" si="1"/>
        <v>4030</v>
      </c>
    </row>
    <row r="62" spans="1:17" x14ac:dyDescent="0.25">
      <c r="A62" s="13">
        <v>42551.684641203705</v>
      </c>
      <c r="B62" s="12" t="s">
        <v>162</v>
      </c>
      <c r="C62" s="12" t="s">
        <v>423</v>
      </c>
      <c r="D62" s="12" t="s">
        <v>50</v>
      </c>
      <c r="E62" s="12" t="s">
        <v>51</v>
      </c>
      <c r="F62" s="12">
        <v>0</v>
      </c>
      <c r="G62" s="12">
        <v>7</v>
      </c>
      <c r="H62" s="12">
        <v>233336</v>
      </c>
      <c r="I62" s="12" t="s">
        <v>52</v>
      </c>
      <c r="J62" s="12">
        <v>233491</v>
      </c>
      <c r="K62" s="11" t="s">
        <v>53</v>
      </c>
      <c r="L62" s="11" t="str">
        <f>VLOOKUP(C62,'Trips&amp;Operators'!$C$2:$E$10000,3,FALSE)</f>
        <v>YOUNG</v>
      </c>
      <c r="M62" s="10" t="s">
        <v>128</v>
      </c>
      <c r="N62" s="11"/>
      <c r="O62" s="1"/>
      <c r="P62" s="43" t="str">
        <f>VLOOKUP(C62,'Train Runs'!$A$13:$V$988,22,0)</f>
        <v>https://search-rtdc-monitor-bjffxe2xuh6vdkpspy63sjmuny.us-east-1.es.amazonaws.com/_plugin/kibana/#/discover/Steve-Slow-Train-Analysis-(2080s-and-2083s)?_g=(refreshInterval:(display:Off,section:0,value:0),time:(from:'2016-06-30 15:42:22-0600',mode:absolute,to:'2016-06-30 16:27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2" s="9" t="str">
        <f t="shared" si="1"/>
        <v>4025</v>
      </c>
    </row>
    <row r="63" spans="1:17" x14ac:dyDescent="0.25">
      <c r="A63" s="66">
        <v>42551.773958333331</v>
      </c>
      <c r="B63" s="55" t="s">
        <v>170</v>
      </c>
      <c r="C63" s="55" t="s">
        <v>438</v>
      </c>
      <c r="D63" s="55" t="s">
        <v>50</v>
      </c>
      <c r="E63" s="55" t="s">
        <v>51</v>
      </c>
      <c r="F63" s="55">
        <v>0</v>
      </c>
      <c r="G63" s="55">
        <v>89</v>
      </c>
      <c r="H63" s="55">
        <v>307</v>
      </c>
      <c r="I63" s="55" t="s">
        <v>52</v>
      </c>
      <c r="J63" s="55">
        <v>1</v>
      </c>
      <c r="K63" s="55" t="s">
        <v>54</v>
      </c>
      <c r="L63" s="11" t="str">
        <f>VLOOKUP(C63,'Trips&amp;Operators'!$C$2:$E$10000,3,FALSE)</f>
        <v>MAYBERRY</v>
      </c>
      <c r="M63" s="55" t="s">
        <v>128</v>
      </c>
      <c r="N63" s="55"/>
      <c r="O63" s="1"/>
      <c r="P63" s="43" t="str">
        <f>VLOOKUP(C63,'Train Runs'!$A$13:$V$988,22,0)</f>
        <v>https://search-rtdc-monitor-bjffxe2xuh6vdkpspy63sjmuny.us-east-1.es.amazonaws.com/_plugin/kibana/#/discover/Steve-Slow-Train-Analysis-(2080s-and-2083s)?_g=(refreshInterval:(display:Off,section:0,value:0),time:(from:'2016-06-30 17:42:20-0600',mode:absolute,to:'2016-06-30 18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3" s="9" t="str">
        <f t="shared" si="1"/>
        <v>4037</v>
      </c>
    </row>
    <row r="64" spans="1:17" x14ac:dyDescent="0.25">
      <c r="A64" s="66">
        <v>42551.744444444441</v>
      </c>
      <c r="B64" s="55" t="s">
        <v>80</v>
      </c>
      <c r="C64" s="55" t="s">
        <v>440</v>
      </c>
      <c r="D64" s="55" t="s">
        <v>50</v>
      </c>
      <c r="E64" s="55" t="s">
        <v>51</v>
      </c>
      <c r="F64" s="55">
        <v>0</v>
      </c>
      <c r="G64" s="55">
        <v>7</v>
      </c>
      <c r="H64" s="55">
        <v>233286</v>
      </c>
      <c r="I64" s="55" t="s">
        <v>52</v>
      </c>
      <c r="J64" s="55">
        <v>233491</v>
      </c>
      <c r="K64" s="55" t="s">
        <v>53</v>
      </c>
      <c r="L64" s="11" t="str">
        <f>VLOOKUP(C64,'Trips&amp;Operators'!$C$2:$E$10000,3,FALSE)</f>
        <v>BRUDER</v>
      </c>
      <c r="M64" s="55" t="s">
        <v>128</v>
      </c>
      <c r="N64" s="55"/>
      <c r="O64" s="1"/>
      <c r="P64" s="43" t="str">
        <f>VLOOKUP(C64,'Train Runs'!$A$13:$V$988,22,0)</f>
        <v>https://search-rtdc-monitor-bjffxe2xuh6vdkpspy63sjmuny.us-east-1.es.amazonaws.com/_plugin/kibana/#/discover/Steve-Slow-Train-Analysis-(2080s-and-2083s)?_g=(refreshInterval:(display:Off,section:0,value:0),time:(from:'2016-06-30 17:10:06-0600',mode:absolute,to:'2016-06-30 17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4" s="9" t="str">
        <f t="shared" si="1"/>
        <v>4020</v>
      </c>
    </row>
    <row r="65" spans="1:17" x14ac:dyDescent="0.25">
      <c r="A65" s="66">
        <v>42551.786458333336</v>
      </c>
      <c r="B65" s="55" t="s">
        <v>177</v>
      </c>
      <c r="C65" s="55" t="s">
        <v>459</v>
      </c>
      <c r="D65" s="55" t="s">
        <v>50</v>
      </c>
      <c r="E65" s="55" t="s">
        <v>51</v>
      </c>
      <c r="F65" s="55">
        <v>0</v>
      </c>
      <c r="G65" s="55">
        <v>6</v>
      </c>
      <c r="H65" s="55">
        <v>233328</v>
      </c>
      <c r="I65" s="55" t="s">
        <v>52</v>
      </c>
      <c r="J65" s="55">
        <v>233491</v>
      </c>
      <c r="K65" s="55" t="s">
        <v>53</v>
      </c>
      <c r="L65" s="11" t="str">
        <f>VLOOKUP(C65,'Trips&amp;Operators'!$C$2:$E$10000,3,FALSE)</f>
        <v>ADANE</v>
      </c>
      <c r="M65" s="55" t="s">
        <v>128</v>
      </c>
      <c r="N65" s="55"/>
      <c r="O65" s="1"/>
      <c r="P65" s="43" t="str">
        <f>VLOOKUP(C65,'Train Runs'!$A$13:$V$988,22,0)</f>
        <v>https://search-rtdc-monitor-bjffxe2xuh6vdkpspy63sjmuny.us-east-1.es.amazonaws.com/_plugin/kibana/#/discover/Steve-Slow-Train-Analysis-(2080s-and-2083s)?_g=(refreshInterval:(display:Off,section:0,value:0),time:(from:'2016-06-30 18:08:18-0600',mode:absolute,to:'2016-06-30 18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65" s="9" t="str">
        <f t="shared" si="1"/>
        <v>4040</v>
      </c>
    </row>
    <row r="66" spans="1:17" x14ac:dyDescent="0.25">
      <c r="A66" s="66">
        <v>42551.817152777781</v>
      </c>
      <c r="B66" s="55" t="s">
        <v>133</v>
      </c>
      <c r="C66" s="55" t="s">
        <v>464</v>
      </c>
      <c r="D66" s="55" t="s">
        <v>50</v>
      </c>
      <c r="E66" s="55" t="s">
        <v>51</v>
      </c>
      <c r="F66" s="55">
        <v>0</v>
      </c>
      <c r="G66" s="55">
        <v>7</v>
      </c>
      <c r="H66" s="55">
        <v>233293</v>
      </c>
      <c r="I66" s="55" t="s">
        <v>52</v>
      </c>
      <c r="J66" s="55">
        <v>233491</v>
      </c>
      <c r="K66" s="55" t="s">
        <v>53</v>
      </c>
      <c r="L66" s="11" t="str">
        <f>VLOOKUP(C66,'Trips&amp;Operators'!$C$2:$E$10000,3,FALSE)</f>
        <v>BRUDER</v>
      </c>
      <c r="M66" s="55" t="s">
        <v>128</v>
      </c>
      <c r="N66" s="55"/>
      <c r="O66" s="1"/>
      <c r="P66" s="43" t="str">
        <f>VLOOKUP(C66,'Train Runs'!$A$13:$V$988,22,0)</f>
        <v>https://search-rtdc-monitor-bjffxe2xuh6vdkpspy63sjmuny.us-east-1.es.amazonaws.com/_plugin/kibana/#/discover/Steve-Slow-Train-Analysis-(2080s-and-2083s)?_g=(refreshInterval:(display:Off,section:0,value:0),time:(from:'2016-06-30 18:56:23-0600',mode:absolute,to:'2016-06-30 19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6" s="9" t="str">
        <f t="shared" si="1"/>
        <v>4038</v>
      </c>
    </row>
    <row r="67" spans="1:17" x14ac:dyDescent="0.25">
      <c r="A67" s="66">
        <v>42551.885185185187</v>
      </c>
      <c r="B67" s="55" t="s">
        <v>163</v>
      </c>
      <c r="C67" s="55" t="s">
        <v>471</v>
      </c>
      <c r="D67" s="55" t="s">
        <v>50</v>
      </c>
      <c r="E67" s="55" t="s">
        <v>51</v>
      </c>
      <c r="F67" s="55">
        <v>0</v>
      </c>
      <c r="G67" s="55">
        <v>63</v>
      </c>
      <c r="H67" s="55">
        <v>232</v>
      </c>
      <c r="I67" s="55" t="s">
        <v>52</v>
      </c>
      <c r="J67" s="55">
        <v>1</v>
      </c>
      <c r="K67" s="55" t="s">
        <v>54</v>
      </c>
      <c r="L67" s="11" t="str">
        <f>VLOOKUP(C67,'Trips&amp;Operators'!$C$2:$E$10000,3,FALSE)</f>
        <v>MOSES</v>
      </c>
      <c r="M67" s="55" t="s">
        <v>128</v>
      </c>
      <c r="N67" s="55"/>
      <c r="O67" s="1"/>
      <c r="P67" s="43" t="str">
        <f>VLOOKUP(C67,'Train Runs'!$A$13:$V$988,22,0)</f>
        <v>https://search-rtdc-monitor-bjffxe2xuh6vdkpspy63sjmuny.us-east-1.es.amazonaws.com/_plugin/kibana/#/discover/Steve-Slow-Train-Analysis-(2080s-and-2083s)?_g=(refreshInterval:(display:Off,section:0,value:0),time:(from:'2016-06-30 20:42:35-0600',mode:absolute,to:'2016-06-30 21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7" s="9" t="str">
        <f t="shared" si="1"/>
        <v>4028</v>
      </c>
    </row>
    <row r="68" spans="1:17" x14ac:dyDescent="0.25">
      <c r="A68" s="66">
        <v>42551.275347222225</v>
      </c>
      <c r="B68" s="55" t="s">
        <v>150</v>
      </c>
      <c r="C68" s="55" t="s">
        <v>271</v>
      </c>
      <c r="D68" s="55" t="s">
        <v>50</v>
      </c>
      <c r="E68" s="55" t="s">
        <v>51</v>
      </c>
      <c r="F68" s="55">
        <v>0</v>
      </c>
      <c r="G68" s="55">
        <v>8</v>
      </c>
      <c r="H68" s="55">
        <v>58941</v>
      </c>
      <c r="I68" s="55" t="s">
        <v>52</v>
      </c>
      <c r="J68" s="55">
        <v>59048</v>
      </c>
      <c r="K68" s="55" t="s">
        <v>53</v>
      </c>
      <c r="L68" s="11" t="str">
        <f>VLOOKUP(C68,'Trips&amp;Operators'!$C$2:$E$10000,3,FALSE)</f>
        <v>BEAM</v>
      </c>
      <c r="M68" s="10" t="s">
        <v>128</v>
      </c>
      <c r="N68" s="11"/>
      <c r="O68" s="1"/>
      <c r="P68" s="43">
        <f>VLOOKUP(C68,'Train Runs'!$A$13:$V$988,22,0)</f>
        <v>0</v>
      </c>
      <c r="Q68" s="9" t="str">
        <f t="shared" si="1"/>
        <v>4011</v>
      </c>
    </row>
    <row r="69" spans="1:17" x14ac:dyDescent="0.25">
      <c r="A69" s="66">
        <v>42551.315370370372</v>
      </c>
      <c r="B69" s="55" t="s">
        <v>150</v>
      </c>
      <c r="C69" s="55" t="s">
        <v>254</v>
      </c>
      <c r="D69" s="55" t="s">
        <v>50</v>
      </c>
      <c r="E69" s="55" t="s">
        <v>51</v>
      </c>
      <c r="F69" s="55">
        <v>0</v>
      </c>
      <c r="G69" s="55">
        <v>9</v>
      </c>
      <c r="H69" s="55">
        <v>58952</v>
      </c>
      <c r="I69" s="55" t="s">
        <v>52</v>
      </c>
      <c r="J69" s="55">
        <v>59058</v>
      </c>
      <c r="K69" s="55" t="s">
        <v>53</v>
      </c>
      <c r="L69" s="11" t="str">
        <f>VLOOKUP(C69,'Trips&amp;Operators'!$C$2:$E$10000,3,FALSE)</f>
        <v>BEAM</v>
      </c>
      <c r="M69" s="10" t="s">
        <v>128</v>
      </c>
      <c r="N69" s="11"/>
      <c r="O69" s="1"/>
      <c r="P69" s="43">
        <f>VLOOKUP(C69,'Train Runs'!$A$13:$V$988,22,0)</f>
        <v>0</v>
      </c>
      <c r="Q69" s="9" t="str">
        <f t="shared" si="1"/>
        <v>4011</v>
      </c>
    </row>
    <row r="70" spans="1:17" x14ac:dyDescent="0.25">
      <c r="A70" s="66">
        <v>42551.413206018522</v>
      </c>
      <c r="B70" s="55" t="s">
        <v>151</v>
      </c>
      <c r="C70" s="55" t="s">
        <v>527</v>
      </c>
      <c r="D70" s="55" t="s">
        <v>50</v>
      </c>
      <c r="E70" s="55" t="s">
        <v>51</v>
      </c>
      <c r="F70" s="55">
        <v>0</v>
      </c>
      <c r="G70" s="55">
        <v>52</v>
      </c>
      <c r="H70" s="55">
        <v>745</v>
      </c>
      <c r="I70" s="55" t="s">
        <v>52</v>
      </c>
      <c r="J70" s="55">
        <v>575</v>
      </c>
      <c r="K70" s="55" t="s">
        <v>54</v>
      </c>
      <c r="L70" s="11" t="str">
        <f>VLOOKUP(C70,'Trips&amp;Operators'!$C$2:$E$10000,3,FALSE)</f>
        <v>BEAM</v>
      </c>
      <c r="M70" s="10" t="s">
        <v>128</v>
      </c>
      <c r="N70" s="11"/>
      <c r="O70" s="1"/>
      <c r="P70" s="43">
        <f>VLOOKUP(C70,'Train Runs'!$A$13:$V$988,22,0)</f>
        <v>0</v>
      </c>
      <c r="Q70" s="9" t="str">
        <f t="shared" si="1"/>
        <v>4012</v>
      </c>
    </row>
    <row r="71" spans="1:17" x14ac:dyDescent="0.25">
      <c r="A71" s="66">
        <v>42551.565196759257</v>
      </c>
      <c r="B71" s="55" t="s">
        <v>150</v>
      </c>
      <c r="C71" s="55" t="s">
        <v>546</v>
      </c>
      <c r="D71" s="55" t="s">
        <v>50</v>
      </c>
      <c r="E71" s="55" t="s">
        <v>51</v>
      </c>
      <c r="F71" s="55">
        <v>0</v>
      </c>
      <c r="G71" s="55">
        <v>118</v>
      </c>
      <c r="H71" s="55">
        <v>58634</v>
      </c>
      <c r="I71" s="55" t="s">
        <v>52</v>
      </c>
      <c r="J71" s="55">
        <v>59048</v>
      </c>
      <c r="K71" s="55" t="s">
        <v>53</v>
      </c>
      <c r="L71" s="11" t="str">
        <f>VLOOKUP(C71,'Trips&amp;Operators'!$C$2:$E$10000,3,FALSE)</f>
        <v>NELSON</v>
      </c>
      <c r="M71" s="10" t="s">
        <v>128</v>
      </c>
      <c r="N71" s="11"/>
      <c r="O71" s="1"/>
      <c r="P71" s="43">
        <f>VLOOKUP(C71,'Train Runs'!$A$13:$V$988,22,0)</f>
        <v>0</v>
      </c>
      <c r="Q71" s="9" t="str">
        <f t="shared" ref="Q71:Q80" si="2">MID(B71,13,4)</f>
        <v>4011</v>
      </c>
    </row>
    <row r="72" spans="1:17" x14ac:dyDescent="0.25">
      <c r="A72" s="13">
        <v>42551.565613425926</v>
      </c>
      <c r="B72" s="12" t="s">
        <v>150</v>
      </c>
      <c r="C72" s="12" t="s">
        <v>546</v>
      </c>
      <c r="D72" s="12" t="s">
        <v>50</v>
      </c>
      <c r="E72" s="12" t="s">
        <v>51</v>
      </c>
      <c r="F72" s="12">
        <v>0</v>
      </c>
      <c r="G72" s="12">
        <v>50</v>
      </c>
      <c r="H72" s="12">
        <v>58879</v>
      </c>
      <c r="I72" s="12" t="s">
        <v>52</v>
      </c>
      <c r="J72" s="12">
        <v>59048</v>
      </c>
      <c r="K72" s="11" t="s">
        <v>53</v>
      </c>
      <c r="L72" s="11" t="str">
        <f>VLOOKUP(C72,'Trips&amp;Operators'!$C$2:$E$10000,3,FALSE)</f>
        <v>NELSON</v>
      </c>
      <c r="M72" s="10" t="s">
        <v>128</v>
      </c>
      <c r="N72" s="11"/>
      <c r="O72" s="1"/>
      <c r="P72" s="43">
        <f>VLOOKUP(C72,'Train Runs'!$A$13:$V$988,22,0)</f>
        <v>0</v>
      </c>
      <c r="Q72" s="9" t="str">
        <f t="shared" si="2"/>
        <v>4011</v>
      </c>
    </row>
    <row r="73" spans="1:17" x14ac:dyDescent="0.25">
      <c r="A73" s="13">
        <v>42551.565972222219</v>
      </c>
      <c r="B73" s="12" t="s">
        <v>150</v>
      </c>
      <c r="C73" s="12" t="s">
        <v>546</v>
      </c>
      <c r="D73" s="12" t="s">
        <v>50</v>
      </c>
      <c r="E73" s="12" t="s">
        <v>51</v>
      </c>
      <c r="F73" s="12">
        <v>0</v>
      </c>
      <c r="G73" s="12">
        <v>4</v>
      </c>
      <c r="H73" s="12">
        <v>58916</v>
      </c>
      <c r="I73" s="12" t="s">
        <v>52</v>
      </c>
      <c r="J73" s="12">
        <v>59048</v>
      </c>
      <c r="K73" s="11" t="s">
        <v>53</v>
      </c>
      <c r="L73" s="11" t="str">
        <f>VLOOKUP(C73,'Trips&amp;Operators'!$C$2:$E$10000,3,FALSE)</f>
        <v>NELSON</v>
      </c>
      <c r="M73" s="10" t="s">
        <v>128</v>
      </c>
      <c r="N73" s="11"/>
      <c r="O73" s="1"/>
      <c r="P73" s="43">
        <f>VLOOKUP(C73,'Train Runs'!$A$13:$V$988,22,0)</f>
        <v>0</v>
      </c>
      <c r="Q73" s="9" t="str">
        <f t="shared" si="2"/>
        <v>4011</v>
      </c>
    </row>
    <row r="74" spans="1:17" x14ac:dyDescent="0.25">
      <c r="A74" s="13">
        <v>42551.566307870373</v>
      </c>
      <c r="B74" s="12" t="s">
        <v>150</v>
      </c>
      <c r="C74" s="12" t="s">
        <v>546</v>
      </c>
      <c r="D74" s="12" t="s">
        <v>50</v>
      </c>
      <c r="E74" s="12" t="s">
        <v>51</v>
      </c>
      <c r="F74" s="12">
        <v>0</v>
      </c>
      <c r="G74" s="12">
        <v>6</v>
      </c>
      <c r="H74" s="12">
        <v>58928</v>
      </c>
      <c r="I74" s="12" t="s">
        <v>52</v>
      </c>
      <c r="J74" s="12">
        <v>59048</v>
      </c>
      <c r="K74" s="11" t="s">
        <v>53</v>
      </c>
      <c r="L74" s="11" t="str">
        <f>VLOOKUP(C74,'Trips&amp;Operators'!$C$2:$E$10000,3,FALSE)</f>
        <v>NELSON</v>
      </c>
      <c r="M74" s="10" t="s">
        <v>128</v>
      </c>
      <c r="N74" s="11"/>
      <c r="O74" s="1"/>
      <c r="P74" s="43">
        <f>VLOOKUP(C74,'Train Runs'!$A$13:$V$988,22,0)</f>
        <v>0</v>
      </c>
      <c r="Q74" s="9" t="str">
        <f t="shared" si="2"/>
        <v>4011</v>
      </c>
    </row>
    <row r="75" spans="1:17" x14ac:dyDescent="0.25">
      <c r="A75" s="66">
        <v>42551.566689814812</v>
      </c>
      <c r="B75" s="55" t="s">
        <v>150</v>
      </c>
      <c r="C75" s="55" t="s">
        <v>546</v>
      </c>
      <c r="D75" s="55" t="s">
        <v>50</v>
      </c>
      <c r="E75" s="55" t="s">
        <v>51</v>
      </c>
      <c r="F75" s="55">
        <v>0</v>
      </c>
      <c r="G75" s="55">
        <v>6</v>
      </c>
      <c r="H75" s="55">
        <v>58944</v>
      </c>
      <c r="I75" s="55" t="s">
        <v>52</v>
      </c>
      <c r="J75" s="55">
        <v>59048</v>
      </c>
      <c r="K75" s="55" t="s">
        <v>53</v>
      </c>
      <c r="L75" s="11" t="str">
        <f>VLOOKUP(C75,'Trips&amp;Operators'!$C$2:$E$10000,3,FALSE)</f>
        <v>NELSON</v>
      </c>
      <c r="M75" s="10" t="s">
        <v>128</v>
      </c>
      <c r="N75" s="11"/>
      <c r="O75" s="1"/>
      <c r="P75" s="43">
        <f>VLOOKUP(C75,'Train Runs'!$A$13:$V$988,22,0)</f>
        <v>0</v>
      </c>
      <c r="Q75" s="9" t="str">
        <f t="shared" si="2"/>
        <v>4011</v>
      </c>
    </row>
    <row r="76" spans="1:17" x14ac:dyDescent="0.25">
      <c r="A76" s="66">
        <v>42551.648715277777</v>
      </c>
      <c r="B76" s="55" t="s">
        <v>150</v>
      </c>
      <c r="C76" s="55" t="s">
        <v>554</v>
      </c>
      <c r="D76" s="55" t="s">
        <v>50</v>
      </c>
      <c r="E76" s="55" t="s">
        <v>51</v>
      </c>
      <c r="F76" s="55">
        <v>0</v>
      </c>
      <c r="G76" s="55">
        <v>2</v>
      </c>
      <c r="H76" s="55">
        <v>58973</v>
      </c>
      <c r="I76" s="55" t="s">
        <v>52</v>
      </c>
      <c r="J76" s="55">
        <v>59048</v>
      </c>
      <c r="K76" s="55" t="s">
        <v>53</v>
      </c>
      <c r="L76" s="11" t="str">
        <f>VLOOKUP(C76,'Trips&amp;Operators'!$C$2:$E$10000,3,FALSE)</f>
        <v>REBOLETTI</v>
      </c>
      <c r="M76" s="10" t="s">
        <v>128</v>
      </c>
      <c r="N76" s="11"/>
      <c r="O76" s="1"/>
      <c r="P76" s="43">
        <f>VLOOKUP(C76,'Train Runs'!$A$13:$V$988,22,0)</f>
        <v>0</v>
      </c>
      <c r="Q76" s="9" t="str">
        <f t="shared" si="2"/>
        <v>4011</v>
      </c>
    </row>
    <row r="77" spans="1:17" x14ac:dyDescent="0.25">
      <c r="A77" s="66">
        <v>42551.691423611112</v>
      </c>
      <c r="B77" s="55" t="s">
        <v>95</v>
      </c>
      <c r="C77" s="55" t="s">
        <v>560</v>
      </c>
      <c r="D77" s="55" t="s">
        <v>50</v>
      </c>
      <c r="E77" s="55" t="s">
        <v>51</v>
      </c>
      <c r="F77" s="55">
        <v>0</v>
      </c>
      <c r="G77" s="55">
        <v>7</v>
      </c>
      <c r="H77" s="55">
        <v>682</v>
      </c>
      <c r="I77" s="55" t="s">
        <v>52</v>
      </c>
      <c r="J77" s="55">
        <v>575</v>
      </c>
      <c r="K77" s="55" t="s">
        <v>54</v>
      </c>
      <c r="L77" s="11" t="str">
        <f>VLOOKUP(C77,'Trips&amp;Operators'!$C$2:$E$10000,3,FALSE)</f>
        <v>DE LA ROSA</v>
      </c>
      <c r="M77" s="10" t="s">
        <v>128</v>
      </c>
      <c r="N77" s="11"/>
      <c r="O77" s="1"/>
      <c r="P77" s="43">
        <f>VLOOKUP(C77,'Train Runs'!$A$13:$V$988,22,0)</f>
        <v>0</v>
      </c>
      <c r="Q77" s="9" t="str">
        <f t="shared" si="2"/>
        <v>4041</v>
      </c>
    </row>
    <row r="78" spans="1:17" x14ac:dyDescent="0.25">
      <c r="A78" s="66">
        <v>42551.794699074075</v>
      </c>
      <c r="B78" s="55" t="s">
        <v>96</v>
      </c>
      <c r="C78" s="55" t="s">
        <v>585</v>
      </c>
      <c r="D78" s="55" t="s">
        <v>50</v>
      </c>
      <c r="E78" s="55" t="s">
        <v>51</v>
      </c>
      <c r="F78" s="55">
        <v>0</v>
      </c>
      <c r="G78" s="55">
        <v>9</v>
      </c>
      <c r="H78" s="55">
        <v>58999</v>
      </c>
      <c r="I78" s="55" t="s">
        <v>52</v>
      </c>
      <c r="J78" s="55">
        <v>59048</v>
      </c>
      <c r="K78" s="55" t="s">
        <v>53</v>
      </c>
      <c r="L78" s="11" t="str">
        <f>VLOOKUP(C78,'Trips&amp;Operators'!$C$2:$E$10000,3,FALSE)</f>
        <v>DE LA ROSA</v>
      </c>
      <c r="M78" s="55" t="s">
        <v>128</v>
      </c>
      <c r="N78" s="55"/>
      <c r="O78" s="1"/>
      <c r="P78" s="43">
        <f>VLOOKUP(C78,'Train Runs'!$A$13:$V$988,22,0)</f>
        <v>0</v>
      </c>
      <c r="Q78" s="9" t="str">
        <f t="shared" si="2"/>
        <v>4042</v>
      </c>
    </row>
    <row r="79" spans="1:17" x14ac:dyDescent="0.25">
      <c r="A79" s="66">
        <v>42551.954710648148</v>
      </c>
      <c r="B79" s="55" t="s">
        <v>609</v>
      </c>
      <c r="C79" s="55" t="s">
        <v>607</v>
      </c>
      <c r="D79" s="55" t="s">
        <v>55</v>
      </c>
      <c r="E79" s="55" t="s">
        <v>51</v>
      </c>
      <c r="F79" s="55">
        <v>0</v>
      </c>
      <c r="G79" s="55">
        <v>8</v>
      </c>
      <c r="H79" s="55">
        <v>59048</v>
      </c>
      <c r="I79" s="55" t="s">
        <v>52</v>
      </c>
      <c r="J79" s="55">
        <v>59048</v>
      </c>
      <c r="K79" s="55" t="s">
        <v>53</v>
      </c>
      <c r="L79" s="11" t="str">
        <f>VLOOKUP(C79,'Trips&amp;Operators'!$C$2:$E$10000,3,FALSE)</f>
        <v>GOLIGHTLY</v>
      </c>
      <c r="M79" s="10" t="s">
        <v>128</v>
      </c>
      <c r="N79" s="11"/>
      <c r="O79" s="1"/>
      <c r="P79" s="43" t="e">
        <f>VLOOKUP(C79,'Train Runs'!$A$13:$V$988,22,0)</f>
        <v>#N/A</v>
      </c>
      <c r="Q79" s="9" t="str">
        <f t="shared" si="2"/>
        <v>4006</v>
      </c>
    </row>
    <row r="80" spans="1:17" x14ac:dyDescent="0.25">
      <c r="A80" s="66">
        <v>42551.98300925926</v>
      </c>
      <c r="B80" s="55" t="s">
        <v>609</v>
      </c>
      <c r="C80" s="55" t="s">
        <v>607</v>
      </c>
      <c r="D80" s="55" t="s">
        <v>55</v>
      </c>
      <c r="E80" s="55" t="s">
        <v>51</v>
      </c>
      <c r="F80" s="55">
        <v>0</v>
      </c>
      <c r="G80" s="55">
        <v>7</v>
      </c>
      <c r="H80" s="55">
        <v>59048</v>
      </c>
      <c r="I80" s="55" t="s">
        <v>52</v>
      </c>
      <c r="J80" s="55">
        <v>59048</v>
      </c>
      <c r="K80" s="55" t="s">
        <v>53</v>
      </c>
      <c r="L80" s="11" t="str">
        <f>VLOOKUP(C80,'Trips&amp;Operators'!$C$2:$E$10000,3,FALSE)</f>
        <v>GOLIGHTLY</v>
      </c>
      <c r="M80" s="55" t="s">
        <v>128</v>
      </c>
      <c r="N80" s="55"/>
      <c r="P80" s="43" t="e">
        <f>VLOOKUP(C80,'Train Runs'!$A$13:$V$988,22,0)</f>
        <v>#N/A</v>
      </c>
      <c r="Q80" s="9" t="str">
        <f t="shared" si="2"/>
        <v>4006</v>
      </c>
    </row>
    <row r="81" spans="1:14" x14ac:dyDescent="0.25">
      <c r="A81" s="48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11"/>
      <c r="M81" s="71"/>
      <c r="N81" s="70"/>
    </row>
    <row r="82" spans="1:14" x14ac:dyDescent="0.25">
      <c r="A82" s="68"/>
      <c r="B82" s="69"/>
      <c r="C82" s="69"/>
      <c r="D82" s="69"/>
      <c r="E82" s="69"/>
      <c r="F82" s="69"/>
      <c r="G82" s="69"/>
      <c r="H82" s="69"/>
      <c r="I82" s="69"/>
      <c r="J82" s="69"/>
      <c r="K82" s="70"/>
      <c r="L82" s="11"/>
      <c r="M82" s="71"/>
      <c r="N82" s="70"/>
    </row>
    <row r="83" spans="1:14" x14ac:dyDescent="0.25">
      <c r="A83" s="68"/>
      <c r="B83" s="69"/>
      <c r="C83" s="69"/>
      <c r="D83" s="69"/>
      <c r="E83" s="69"/>
      <c r="F83" s="69"/>
      <c r="G83" s="69"/>
      <c r="H83" s="69"/>
      <c r="I83" s="69"/>
      <c r="J83" s="69"/>
      <c r="K83" s="70"/>
      <c r="L83" s="11"/>
      <c r="M83" s="71"/>
      <c r="N83" s="70"/>
    </row>
    <row r="84" spans="1:14" x14ac:dyDescent="0.25">
      <c r="A84" s="48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11"/>
      <c r="M84" s="71"/>
      <c r="N84" s="70"/>
    </row>
    <row r="85" spans="1:14" x14ac:dyDescent="0.25">
      <c r="A85" s="48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11"/>
      <c r="M85" s="71"/>
      <c r="N85" s="70"/>
    </row>
    <row r="86" spans="1:14" x14ac:dyDescent="0.25">
      <c r="A86" s="48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11"/>
      <c r="M86" s="71"/>
      <c r="N86" s="70"/>
    </row>
    <row r="87" spans="1:14" x14ac:dyDescent="0.25">
      <c r="A87" s="68"/>
      <c r="B87" s="69"/>
      <c r="C87" s="69"/>
      <c r="D87" s="69"/>
      <c r="E87" s="69"/>
      <c r="F87" s="69"/>
      <c r="G87" s="69"/>
      <c r="H87" s="69"/>
      <c r="I87" s="69"/>
      <c r="J87" s="69"/>
      <c r="K87" s="70"/>
      <c r="L87" s="11"/>
      <c r="M87" s="71"/>
      <c r="N87" s="70"/>
    </row>
    <row r="88" spans="1:14" x14ac:dyDescent="0.25">
      <c r="A88" s="48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11"/>
      <c r="M88" s="71"/>
      <c r="N88" s="70"/>
    </row>
    <row r="89" spans="1:14" x14ac:dyDescent="0.25">
      <c r="A89" s="4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11"/>
      <c r="M89" s="71"/>
      <c r="N89" s="70"/>
    </row>
    <row r="90" spans="1:14" x14ac:dyDescent="0.25">
      <c r="A90" s="48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11"/>
      <c r="M90" s="71"/>
      <c r="N90" s="70"/>
    </row>
    <row r="91" spans="1:14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11"/>
    </row>
    <row r="92" spans="1:14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11"/>
    </row>
    <row r="93" spans="1:14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11"/>
    </row>
    <row r="94" spans="1:14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11"/>
    </row>
    <row r="95" spans="1:14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11"/>
    </row>
    <row r="96" spans="1:14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11"/>
    </row>
    <row r="100" spans="1:14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11"/>
    </row>
    <row r="101" spans="1:14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11"/>
    </row>
    <row r="102" spans="1:14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11"/>
    </row>
    <row r="103" spans="1:14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11"/>
    </row>
    <row r="104" spans="1:14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11"/>
    </row>
    <row r="105" spans="1:14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11"/>
    </row>
    <row r="106" spans="1:14" x14ac:dyDescent="0.25">
      <c r="A106" s="48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11"/>
      <c r="M106" s="71"/>
      <c r="N106" s="70"/>
    </row>
    <row r="107" spans="1:14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11"/>
    </row>
  </sheetData>
  <autoFilter ref="A6:N80"/>
  <sortState ref="A7:Q80">
    <sortCondition ref="E7:E80"/>
    <sortCondition ref="C7:C80"/>
    <sortCondition ref="J7:J80"/>
    <sortCondition ref="F7:F80"/>
  </sortState>
  <mergeCells count="1">
    <mergeCell ref="A5:M5"/>
  </mergeCells>
  <conditionalFormatting sqref="P6 M6:N6 M7:M1048576">
    <cfRule type="cellIs" dxfId="11" priority="12" operator="equal">
      <formula>"Y"</formula>
    </cfRule>
  </conditionalFormatting>
  <conditionalFormatting sqref="M53:N70 A53:K70 L53:L107 A7:N52">
    <cfRule type="expression" dxfId="10" priority="5">
      <formula>$M7="Y"</formula>
    </cfRule>
  </conditionalFormatting>
  <conditionalFormatting sqref="M2:M3">
    <cfRule type="cellIs" dxfId="9" priority="3" operator="equal">
      <formula>"Y"</formula>
    </cfRule>
  </conditionalFormatting>
  <conditionalFormatting sqref="M52">
    <cfRule type="cellIs" dxfId="8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5" t="str">
        <f>"Trips that did not appear in PTC Data "&amp;TEXT(Variables!$A$2,"YYYY-mm-dd")</f>
        <v>Trips that did not appear in PTC Data 2016-06-30</v>
      </c>
      <c r="B1" s="105"/>
      <c r="C1" s="105"/>
      <c r="D1" s="105"/>
      <c r="E1" s="105"/>
    </row>
    <row r="2" spans="1:10" s="41" customFormat="1" ht="45" x14ac:dyDescent="0.25">
      <c r="A2" s="40" t="s">
        <v>90</v>
      </c>
      <c r="B2" s="52" t="s">
        <v>91</v>
      </c>
      <c r="C2" s="50" t="s">
        <v>92</v>
      </c>
      <c r="D2" s="41" t="s">
        <v>88</v>
      </c>
      <c r="E2" s="41" t="s">
        <v>89</v>
      </c>
      <c r="F2" s="41" t="s">
        <v>99</v>
      </c>
      <c r="G2" s="53" t="s">
        <v>100</v>
      </c>
    </row>
    <row r="3" spans="1:10" x14ac:dyDescent="0.25">
      <c r="A3" s="55" t="s">
        <v>258</v>
      </c>
      <c r="B3" s="55"/>
      <c r="C3" s="55"/>
      <c r="D3" s="55"/>
      <c r="E3" s="34" t="str">
        <f>VLOOKUP(A3,'Trips&amp;Operators'!$C$2:$E$10000,3,FALSE)</f>
        <v>STARKS</v>
      </c>
      <c r="F3" s="34" t="str">
        <f>VLOOKUP(A3,'Trips&amp;Operators'!$C$1:$F$10000,4,FALSE)</f>
        <v>rtdc.l.rtdc.4013:itc</v>
      </c>
      <c r="G3" s="54">
        <f>VLOOKUP(A3,'Trips&amp;Operators'!$C$1:$H$10000,5,FALSE)</f>
        <v>42551.196168981478</v>
      </c>
      <c r="H3" s="33"/>
      <c r="I3" s="33"/>
      <c r="J3" s="33"/>
    </row>
    <row r="4" spans="1:10" x14ac:dyDescent="0.25">
      <c r="A4" s="55" t="s">
        <v>273</v>
      </c>
      <c r="B4" s="55"/>
      <c r="C4" s="55"/>
      <c r="D4" s="55"/>
      <c r="E4" s="34" t="str">
        <f>VLOOKUP(A4,'Trips&amp;Operators'!$C$2:$E$10000,3,FALSE)</f>
        <v>STARKS</v>
      </c>
      <c r="F4" s="34" t="str">
        <f>VLOOKUP(A4,'Trips&amp;Operators'!$C$1:$F$10000,4,FALSE)</f>
        <v>rtdc.l.rtdc.4013:itc</v>
      </c>
      <c r="G4" s="54">
        <f>VLOOKUP(A4,'Trips&amp;Operators'!$C$1:$H$10000,5,FALSE)</f>
        <v>42551.276562500003</v>
      </c>
      <c r="H4" s="33"/>
      <c r="I4" s="33"/>
      <c r="J4" s="33"/>
    </row>
    <row r="5" spans="1:10" x14ac:dyDescent="0.25">
      <c r="A5" s="55" t="s">
        <v>648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649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630</v>
      </c>
      <c r="B7"/>
      <c r="C7"/>
      <c r="H7" s="33"/>
      <c r="I7" s="33"/>
      <c r="J7" s="33"/>
    </row>
    <row r="8" spans="1:10" x14ac:dyDescent="0.25">
      <c r="A8" s="53" t="s">
        <v>650</v>
      </c>
      <c r="B8"/>
      <c r="C8"/>
      <c r="H8" s="33"/>
      <c r="I8" s="33"/>
      <c r="J8" s="33"/>
    </row>
    <row r="9" spans="1:10" x14ac:dyDescent="0.25">
      <c r="A9" s="53" t="s">
        <v>651</v>
      </c>
      <c r="B9"/>
      <c r="C9"/>
      <c r="H9" s="33"/>
      <c r="I9" s="33"/>
      <c r="J9" s="33"/>
    </row>
    <row r="10" spans="1:10" x14ac:dyDescent="0.25">
      <c r="A10" s="53" t="s">
        <v>427</v>
      </c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42551.170856481483</v>
      </c>
      <c r="B1" s="33" t="s">
        <v>159</v>
      </c>
      <c r="C1" s="33" t="s">
        <v>284</v>
      </c>
      <c r="D1" s="33">
        <v>1840000</v>
      </c>
      <c r="E1" s="33" t="s">
        <v>134</v>
      </c>
      <c r="F1" s="33" t="str">
        <f>B1</f>
        <v>rtdc.l.rtdc.4026:itc</v>
      </c>
      <c r="G1" s="8">
        <f>A1</f>
        <v>42551.170856481483</v>
      </c>
    </row>
    <row r="2" spans="1:7" x14ac:dyDescent="0.25">
      <c r="A2" s="8">
        <v>42551.330659722225</v>
      </c>
      <c r="B2" s="33" t="s">
        <v>174</v>
      </c>
      <c r="C2" s="33" t="s">
        <v>335</v>
      </c>
      <c r="D2" s="33">
        <v>2000000</v>
      </c>
      <c r="E2" s="33" t="s">
        <v>190</v>
      </c>
      <c r="F2" s="33" t="str">
        <f t="shared" ref="F2:F65" si="0">B2</f>
        <v>rtdc.l.rtdc.4029:itc</v>
      </c>
      <c r="G2" s="8">
        <f t="shared" ref="G2:G65" si="1">A2</f>
        <v>42551.330659722225</v>
      </c>
    </row>
    <row r="3" spans="1:7" x14ac:dyDescent="0.25">
      <c r="A3" s="8">
        <v>42551.359409722223</v>
      </c>
      <c r="B3" s="33" t="s">
        <v>162</v>
      </c>
      <c r="C3" s="33" t="s">
        <v>346</v>
      </c>
      <c r="D3" s="33">
        <v>1840000</v>
      </c>
      <c r="E3" s="33" t="s">
        <v>134</v>
      </c>
      <c r="F3" s="33" t="str">
        <f t="shared" si="0"/>
        <v>rtdc.l.rtdc.4025:itc</v>
      </c>
      <c r="G3" s="8">
        <f t="shared" si="1"/>
        <v>42551.359409722223</v>
      </c>
    </row>
    <row r="4" spans="1:7" x14ac:dyDescent="0.25">
      <c r="A4" s="8">
        <v>42551.403275462966</v>
      </c>
      <c r="B4" s="33" t="s">
        <v>174</v>
      </c>
      <c r="C4" s="33" t="s">
        <v>359</v>
      </c>
      <c r="D4" s="33">
        <v>2000000</v>
      </c>
      <c r="E4" s="33" t="s">
        <v>190</v>
      </c>
      <c r="F4" s="33" t="str">
        <f t="shared" si="0"/>
        <v>rtdc.l.rtdc.4029:itc</v>
      </c>
      <c r="G4" s="8">
        <f t="shared" si="1"/>
        <v>42551.403275462966</v>
      </c>
    </row>
    <row r="5" spans="1:7" x14ac:dyDescent="0.25">
      <c r="A5" s="8">
        <v>42551.910358796296</v>
      </c>
      <c r="B5" s="33" t="s">
        <v>170</v>
      </c>
      <c r="C5" s="33" t="s">
        <v>482</v>
      </c>
      <c r="D5" s="33">
        <v>1770000</v>
      </c>
      <c r="E5" s="33" t="s">
        <v>610</v>
      </c>
      <c r="F5" s="33" t="str">
        <f t="shared" si="0"/>
        <v>rtdc.l.rtdc.4037:itc</v>
      </c>
      <c r="G5" s="8">
        <f t="shared" si="1"/>
        <v>42551.910358796296</v>
      </c>
    </row>
    <row r="6" spans="1:7" x14ac:dyDescent="0.25">
      <c r="A6" s="8">
        <v>42551.576631944445</v>
      </c>
      <c r="B6" s="33" t="s">
        <v>240</v>
      </c>
      <c r="C6" s="33" t="s">
        <v>390</v>
      </c>
      <c r="D6" s="33">
        <v>1090000</v>
      </c>
      <c r="E6" s="33" t="s">
        <v>197</v>
      </c>
      <c r="F6" s="33" t="str">
        <f t="shared" si="0"/>
        <v>rtdc.l.rtdc.4015:itc</v>
      </c>
      <c r="G6" s="8">
        <f t="shared" si="1"/>
        <v>42551.576631944445</v>
      </c>
    </row>
    <row r="7" spans="1:7" x14ac:dyDescent="0.25">
      <c r="A7" s="8">
        <v>42551.971898148149</v>
      </c>
      <c r="B7" s="33" t="s">
        <v>609</v>
      </c>
      <c r="C7" s="33" t="s">
        <v>607</v>
      </c>
      <c r="D7" s="33">
        <v>1410000</v>
      </c>
      <c r="E7" s="33" t="s">
        <v>611</v>
      </c>
      <c r="F7" s="33" t="str">
        <f t="shared" si="0"/>
        <v>rtdc.l.rtdc.4006:itc</v>
      </c>
      <c r="G7" s="8">
        <f t="shared" si="1"/>
        <v>42551.971898148149</v>
      </c>
    </row>
    <row r="8" spans="1:7" x14ac:dyDescent="0.25">
      <c r="A8" s="8">
        <v>42551.985671296294</v>
      </c>
      <c r="B8" s="33" t="s">
        <v>256</v>
      </c>
      <c r="C8" s="33" t="s">
        <v>607</v>
      </c>
      <c r="D8" s="33">
        <v>1410000</v>
      </c>
      <c r="E8" s="33" t="s">
        <v>611</v>
      </c>
      <c r="F8" s="33" t="str">
        <f t="shared" si="0"/>
        <v>rtdc.l.rtdc.4005:itc</v>
      </c>
      <c r="G8" s="8">
        <f t="shared" si="1"/>
        <v>42551.985671296294</v>
      </c>
    </row>
    <row r="9" spans="1:7" ht="15.75" thickBot="1" x14ac:dyDescent="0.3">
      <c r="A9" s="46">
        <v>42551.993645833332</v>
      </c>
      <c r="B9" s="33" t="s">
        <v>170</v>
      </c>
      <c r="C9" s="33" t="s">
        <v>495</v>
      </c>
      <c r="D9" s="33">
        <v>1770000</v>
      </c>
      <c r="E9" s="33" t="s">
        <v>610</v>
      </c>
      <c r="F9" s="33" t="str">
        <f t="shared" si="0"/>
        <v>rtdc.l.rtdc.4037:itc</v>
      </c>
      <c r="G9" s="8">
        <f t="shared" si="1"/>
        <v>42551.993645833332</v>
      </c>
    </row>
    <row r="10" spans="1:7" x14ac:dyDescent="0.25">
      <c r="A10" s="8">
        <v>42552.009722222225</v>
      </c>
      <c r="B10" s="33" t="s">
        <v>256</v>
      </c>
      <c r="C10" s="33" t="s">
        <v>607</v>
      </c>
      <c r="D10" s="33">
        <v>1410000</v>
      </c>
      <c r="E10" s="33" t="s">
        <v>611</v>
      </c>
      <c r="F10" s="33" t="str">
        <f t="shared" si="0"/>
        <v>rtdc.l.rtdc.4005:itc</v>
      </c>
      <c r="G10" s="8">
        <f t="shared" si="1"/>
        <v>42552.009722222225</v>
      </c>
    </row>
    <row r="11" spans="1:7" x14ac:dyDescent="0.25">
      <c r="A11" s="8">
        <v>42551.528981481482</v>
      </c>
      <c r="B11" s="33" t="s">
        <v>160</v>
      </c>
      <c r="C11" s="33" t="s">
        <v>388</v>
      </c>
      <c r="D11" s="33">
        <v>1280000</v>
      </c>
      <c r="E11" s="33" t="s">
        <v>171</v>
      </c>
      <c r="F11" s="33" t="str">
        <f t="shared" si="0"/>
        <v>rtdc.l.rtdc.4014:itc</v>
      </c>
      <c r="G11" s="8">
        <f t="shared" si="1"/>
        <v>42551.528981481482</v>
      </c>
    </row>
    <row r="12" spans="1:7" x14ac:dyDescent="0.25">
      <c r="A12" s="8">
        <v>42552.127604166664</v>
      </c>
      <c r="B12" s="33" t="s">
        <v>238</v>
      </c>
      <c r="C12" s="33" t="s">
        <v>612</v>
      </c>
      <c r="D12" s="33">
        <v>1830000</v>
      </c>
      <c r="E12" s="33" t="s">
        <v>246</v>
      </c>
      <c r="F12" s="33" t="str">
        <f t="shared" si="0"/>
        <v>rtdc.l.rtdc.4016:itc</v>
      </c>
      <c r="G12" s="8">
        <f t="shared" si="1"/>
        <v>42552.127604166664</v>
      </c>
    </row>
    <row r="13" spans="1:7" x14ac:dyDescent="0.25">
      <c r="A13" s="8">
        <v>42551.44840277778</v>
      </c>
      <c r="B13" s="33" t="s">
        <v>86</v>
      </c>
      <c r="C13" s="33" t="s">
        <v>367</v>
      </c>
      <c r="D13" s="33">
        <v>880000</v>
      </c>
      <c r="E13" s="33" t="s">
        <v>248</v>
      </c>
      <c r="F13" s="33" t="str">
        <f t="shared" si="0"/>
        <v>rtdc.l.rtdc.4031:itc</v>
      </c>
      <c r="G13" s="8">
        <f t="shared" si="1"/>
        <v>42551.44840277778</v>
      </c>
    </row>
    <row r="14" spans="1:7" x14ac:dyDescent="0.25">
      <c r="A14" s="8">
        <v>42552.200428240743</v>
      </c>
      <c r="B14" s="33" t="s">
        <v>133</v>
      </c>
      <c r="C14" s="33" t="s">
        <v>613</v>
      </c>
      <c r="D14" s="33">
        <v>1340000</v>
      </c>
      <c r="E14" s="33" t="s">
        <v>255</v>
      </c>
      <c r="F14" s="33" t="str">
        <f t="shared" si="0"/>
        <v>rtdc.l.rtdc.4038:itc</v>
      </c>
      <c r="G14" s="8">
        <f t="shared" si="1"/>
        <v>42552.200428240743</v>
      </c>
    </row>
    <row r="15" spans="1:7" x14ac:dyDescent="0.25">
      <c r="A15" s="8">
        <v>42551.424826388888</v>
      </c>
      <c r="B15" s="33" t="s">
        <v>80</v>
      </c>
      <c r="C15" s="33" t="s">
        <v>363</v>
      </c>
      <c r="D15" s="33">
        <v>900000</v>
      </c>
      <c r="E15" s="33" t="s">
        <v>195</v>
      </c>
      <c r="F15" s="33" t="str">
        <f t="shared" si="0"/>
        <v>rtdc.l.rtdc.4020:itc</v>
      </c>
      <c r="G15" s="8">
        <f t="shared" si="1"/>
        <v>42551.424826388888</v>
      </c>
    </row>
    <row r="16" spans="1:7" x14ac:dyDescent="0.25">
      <c r="A16" s="8">
        <v>42552.205949074072</v>
      </c>
      <c r="B16" s="33" t="s">
        <v>238</v>
      </c>
      <c r="C16" s="33" t="s">
        <v>614</v>
      </c>
      <c r="D16" s="33">
        <v>2010000</v>
      </c>
      <c r="E16" s="33" t="s">
        <v>191</v>
      </c>
      <c r="F16" s="33" t="str">
        <f t="shared" si="0"/>
        <v>rtdc.l.rtdc.4016:itc</v>
      </c>
      <c r="G16" s="8">
        <f t="shared" si="1"/>
        <v>42552.205949074072</v>
      </c>
    </row>
    <row r="17" spans="1:7" x14ac:dyDescent="0.25">
      <c r="A17" s="8">
        <v>42551.41306712963</v>
      </c>
      <c r="B17" s="33" t="s">
        <v>70</v>
      </c>
      <c r="C17" s="33" t="s">
        <v>350</v>
      </c>
      <c r="D17" s="33">
        <v>1310000</v>
      </c>
      <c r="E17" s="33" t="s">
        <v>136</v>
      </c>
      <c r="F17" s="33" t="str">
        <f t="shared" si="0"/>
        <v>rtdc.l.rtdc.4032:itc</v>
      </c>
      <c r="G17" s="8">
        <f t="shared" si="1"/>
        <v>42551.41306712963</v>
      </c>
    </row>
    <row r="18" spans="1:7" x14ac:dyDescent="0.25">
      <c r="A18" s="8">
        <v>42552.282488425924</v>
      </c>
      <c r="B18" s="33" t="s">
        <v>133</v>
      </c>
      <c r="C18" s="33" t="s">
        <v>615</v>
      </c>
      <c r="D18" s="33">
        <v>1340000</v>
      </c>
      <c r="E18" s="33" t="s">
        <v>255</v>
      </c>
      <c r="F18" s="33" t="str">
        <f t="shared" si="0"/>
        <v>rtdc.l.rtdc.4038:itc</v>
      </c>
      <c r="G18" s="8">
        <f t="shared" si="1"/>
        <v>42552.282488425924</v>
      </c>
    </row>
    <row r="19" spans="1:7" x14ac:dyDescent="0.25">
      <c r="A19" s="8">
        <v>42551.790347222224</v>
      </c>
      <c r="B19" s="33" t="s">
        <v>133</v>
      </c>
      <c r="C19" s="33" t="s">
        <v>464</v>
      </c>
      <c r="D19" s="33">
        <v>1770000</v>
      </c>
      <c r="E19" s="33" t="s">
        <v>610</v>
      </c>
      <c r="F19" s="33" t="str">
        <f t="shared" si="0"/>
        <v>rtdc.l.rtdc.4038:itc</v>
      </c>
      <c r="G19" s="8">
        <f t="shared" si="1"/>
        <v>42551.790347222224</v>
      </c>
    </row>
    <row r="20" spans="1:7" x14ac:dyDescent="0.25">
      <c r="A20" s="8">
        <v>42552.128483796296</v>
      </c>
      <c r="B20" s="33" t="s">
        <v>238</v>
      </c>
      <c r="C20" s="33" t="s">
        <v>612</v>
      </c>
      <c r="D20" s="33">
        <v>1830000</v>
      </c>
      <c r="E20" s="33" t="s">
        <v>246</v>
      </c>
      <c r="F20" s="33" t="str">
        <f t="shared" si="0"/>
        <v>rtdc.l.rtdc.4016:itc</v>
      </c>
      <c r="G20" s="8">
        <f t="shared" si="1"/>
        <v>42552.128483796296</v>
      </c>
    </row>
    <row r="21" spans="1:7" x14ac:dyDescent="0.25">
      <c r="A21" s="8">
        <v>42551.753449074073</v>
      </c>
      <c r="B21" s="33" t="s">
        <v>79</v>
      </c>
      <c r="C21" s="33" t="s">
        <v>442</v>
      </c>
      <c r="D21" s="33">
        <v>1770000</v>
      </c>
      <c r="E21" s="33" t="s">
        <v>610</v>
      </c>
      <c r="F21" s="33" t="str">
        <f t="shared" si="0"/>
        <v>rtdc.l.rtdc.4019:itc</v>
      </c>
      <c r="G21" s="8">
        <f t="shared" si="1"/>
        <v>42551.753449074073</v>
      </c>
    </row>
    <row r="22" spans="1:7" x14ac:dyDescent="0.25">
      <c r="A22" s="48">
        <v>42552.170023148145</v>
      </c>
      <c r="B22" s="33" t="s">
        <v>162</v>
      </c>
      <c r="C22" s="33" t="s">
        <v>616</v>
      </c>
      <c r="D22" s="33">
        <v>1840000</v>
      </c>
      <c r="E22" s="33" t="s">
        <v>134</v>
      </c>
      <c r="F22" s="33" t="str">
        <f t="shared" si="0"/>
        <v>rtdc.l.rtdc.4025:itc</v>
      </c>
      <c r="G22" s="8">
        <f t="shared" si="1"/>
        <v>42552.170023148145</v>
      </c>
    </row>
    <row r="23" spans="1:7" x14ac:dyDescent="0.25">
      <c r="A23" s="8">
        <v>42551.732048611113</v>
      </c>
      <c r="B23" s="33" t="s">
        <v>175</v>
      </c>
      <c r="C23" s="33" t="s">
        <v>434</v>
      </c>
      <c r="D23" s="33">
        <v>2020000</v>
      </c>
      <c r="E23" s="33" t="s">
        <v>194</v>
      </c>
      <c r="F23" s="33" t="str">
        <f t="shared" si="0"/>
        <v>rtdc.l.rtdc.4030:itc</v>
      </c>
      <c r="G23" s="8">
        <f t="shared" si="1"/>
        <v>42551.732048611113</v>
      </c>
    </row>
    <row r="24" spans="1:7" x14ac:dyDescent="0.25">
      <c r="A24" s="8">
        <v>42552.188125000001</v>
      </c>
      <c r="B24" s="33" t="s">
        <v>150</v>
      </c>
      <c r="C24" s="33" t="s">
        <v>617</v>
      </c>
      <c r="D24" s="33">
        <v>1110000</v>
      </c>
      <c r="E24" s="33" t="s">
        <v>259</v>
      </c>
      <c r="F24" s="33" t="str">
        <f t="shared" si="0"/>
        <v>rtdc.l.rtdc.4011:itc</v>
      </c>
      <c r="G24" s="8">
        <f t="shared" si="1"/>
        <v>42552.188125000001</v>
      </c>
    </row>
    <row r="25" spans="1:7" x14ac:dyDescent="0.25">
      <c r="A25" s="8">
        <v>42551.651539351849</v>
      </c>
      <c r="B25" s="33" t="s">
        <v>151</v>
      </c>
      <c r="C25" s="33" t="s">
        <v>555</v>
      </c>
      <c r="D25" s="33">
        <v>1750000</v>
      </c>
      <c r="E25" s="33" t="s">
        <v>172</v>
      </c>
      <c r="F25" s="33" t="str">
        <f t="shared" si="0"/>
        <v>rtdc.l.rtdc.4012:itc</v>
      </c>
      <c r="G25" s="8">
        <f t="shared" si="1"/>
        <v>42551.651539351849</v>
      </c>
    </row>
    <row r="26" spans="1:7" x14ac:dyDescent="0.25">
      <c r="A26" s="8">
        <v>42552.210844907408</v>
      </c>
      <c r="B26" s="33" t="s">
        <v>170</v>
      </c>
      <c r="C26" s="33" t="s">
        <v>618</v>
      </c>
      <c r="D26" s="33">
        <v>1340000</v>
      </c>
      <c r="E26" s="33" t="s">
        <v>255</v>
      </c>
      <c r="F26" s="33" t="str">
        <f t="shared" si="0"/>
        <v>rtdc.l.rtdc.4037:itc</v>
      </c>
      <c r="G26" s="8">
        <f t="shared" si="1"/>
        <v>42552.210844907408</v>
      </c>
    </row>
    <row r="27" spans="1:7" x14ac:dyDescent="0.25">
      <c r="A27" s="8">
        <v>42551.545810185184</v>
      </c>
      <c r="B27" s="33" t="s">
        <v>159</v>
      </c>
      <c r="C27" s="33" t="s">
        <v>386</v>
      </c>
      <c r="D27" s="33">
        <v>1140000</v>
      </c>
      <c r="E27" s="33" t="s">
        <v>198</v>
      </c>
      <c r="F27" s="33" t="str">
        <f t="shared" si="0"/>
        <v>rtdc.l.rtdc.4026:itc</v>
      </c>
      <c r="G27" s="8">
        <f t="shared" si="1"/>
        <v>42551.545810185184</v>
      </c>
    </row>
    <row r="28" spans="1:7" x14ac:dyDescent="0.25">
      <c r="A28" s="8">
        <v>42552.25922453704</v>
      </c>
      <c r="B28" s="33" t="s">
        <v>83</v>
      </c>
      <c r="C28" s="33" t="s">
        <v>619</v>
      </c>
      <c r="D28" s="33">
        <v>1830000</v>
      </c>
      <c r="E28" s="33" t="s">
        <v>246</v>
      </c>
      <c r="F28" s="33" t="str">
        <f t="shared" si="0"/>
        <v>rtdc.l.rtdc.4017:itc</v>
      </c>
      <c r="G28" s="8">
        <f t="shared" si="1"/>
        <v>42552.25922453704</v>
      </c>
    </row>
    <row r="29" spans="1:7" x14ac:dyDescent="0.25">
      <c r="A29" s="8">
        <v>42551.511643518519</v>
      </c>
      <c r="B29" s="33" t="s">
        <v>162</v>
      </c>
      <c r="C29" s="33" t="s">
        <v>385</v>
      </c>
      <c r="D29" s="33">
        <v>1140000</v>
      </c>
      <c r="E29" s="33" t="s">
        <v>198</v>
      </c>
      <c r="F29" s="33" t="str">
        <f t="shared" si="0"/>
        <v>rtdc.l.rtdc.4025:itc</v>
      </c>
      <c r="G29" s="8">
        <f t="shared" si="1"/>
        <v>42551.511643518519</v>
      </c>
    </row>
    <row r="30" spans="1:7" x14ac:dyDescent="0.25">
      <c r="A30" s="8">
        <v>42552.283506944441</v>
      </c>
      <c r="B30" s="33" t="s">
        <v>95</v>
      </c>
      <c r="C30" s="33" t="s">
        <v>620</v>
      </c>
      <c r="D30" s="33">
        <v>1480000</v>
      </c>
      <c r="E30" s="33" t="s">
        <v>152</v>
      </c>
      <c r="F30" s="33" t="str">
        <f t="shared" si="0"/>
        <v>rtdc.l.rtdc.4041:itc</v>
      </c>
      <c r="G30" s="8">
        <f t="shared" si="1"/>
        <v>42552.283506944441</v>
      </c>
    </row>
    <row r="31" spans="1:7" x14ac:dyDescent="0.25">
      <c r="A31" s="8">
        <v>42551.864155092589</v>
      </c>
      <c r="B31" s="33" t="s">
        <v>163</v>
      </c>
      <c r="C31" s="33" t="s">
        <v>471</v>
      </c>
      <c r="D31" s="33">
        <v>2040000</v>
      </c>
      <c r="E31" s="33" t="s">
        <v>192</v>
      </c>
      <c r="F31" s="33" t="str">
        <f t="shared" si="0"/>
        <v>rtdc.l.rtdc.4028:itc</v>
      </c>
      <c r="G31" s="8">
        <f t="shared" si="1"/>
        <v>42551.864155092589</v>
      </c>
    </row>
    <row r="32" spans="1:7" x14ac:dyDescent="0.25">
      <c r="A32" s="8">
        <v>42552.296076388891</v>
      </c>
      <c r="B32" s="33" t="s">
        <v>176</v>
      </c>
      <c r="C32" s="33" t="s">
        <v>621</v>
      </c>
      <c r="D32" s="33">
        <v>1460000</v>
      </c>
      <c r="E32" s="33" t="s">
        <v>135</v>
      </c>
      <c r="F32" s="33" t="str">
        <f t="shared" si="0"/>
        <v>rtdc.l.rtdc.4027:itc</v>
      </c>
      <c r="G32" s="8">
        <f t="shared" si="1"/>
        <v>42552.296076388891</v>
      </c>
    </row>
    <row r="33" spans="1:7" x14ac:dyDescent="0.25">
      <c r="A33" s="8">
        <v>42551.826689814814</v>
      </c>
      <c r="B33" s="33" t="s">
        <v>170</v>
      </c>
      <c r="C33" s="33" t="s">
        <v>466</v>
      </c>
      <c r="D33" s="33">
        <v>1770000</v>
      </c>
      <c r="E33" s="33" t="s">
        <v>610</v>
      </c>
      <c r="F33" s="33" t="str">
        <f t="shared" si="0"/>
        <v>rtdc.l.rtdc.4037:itc</v>
      </c>
      <c r="G33" s="8">
        <f t="shared" si="1"/>
        <v>42551.826689814814</v>
      </c>
    </row>
    <row r="34" spans="1:7" x14ac:dyDescent="0.25">
      <c r="A34" s="8">
        <v>42552.319502314815</v>
      </c>
      <c r="B34" s="33" t="s">
        <v>160</v>
      </c>
      <c r="C34" s="33" t="s">
        <v>622</v>
      </c>
      <c r="D34" s="33">
        <v>2000000</v>
      </c>
      <c r="E34" s="33" t="s">
        <v>190</v>
      </c>
      <c r="F34" s="33" t="str">
        <f t="shared" si="0"/>
        <v>rtdc.l.rtdc.4014:itc</v>
      </c>
      <c r="G34" s="8">
        <f t="shared" si="1"/>
        <v>42552.319502314815</v>
      </c>
    </row>
    <row r="35" spans="1:7" x14ac:dyDescent="0.25">
      <c r="A35" s="8">
        <v>42551.79587962963</v>
      </c>
      <c r="B35" s="33" t="s">
        <v>178</v>
      </c>
      <c r="C35" s="33" t="s">
        <v>460</v>
      </c>
      <c r="D35" s="33">
        <v>1820000</v>
      </c>
      <c r="E35" s="33" t="s">
        <v>124</v>
      </c>
      <c r="F35" s="33" t="str">
        <f t="shared" si="0"/>
        <v>rtdc.l.rtdc.4039:itc</v>
      </c>
      <c r="G35" s="8">
        <f t="shared" si="1"/>
        <v>42551.79587962963</v>
      </c>
    </row>
    <row r="36" spans="1:7" x14ac:dyDescent="0.25">
      <c r="A36" s="8">
        <v>42551.94290509259</v>
      </c>
      <c r="B36" s="33" t="s">
        <v>151</v>
      </c>
      <c r="C36" s="33" t="s">
        <v>604</v>
      </c>
      <c r="D36" s="33">
        <v>1750000</v>
      </c>
      <c r="E36" s="33" t="s">
        <v>172</v>
      </c>
      <c r="F36" s="33" t="str">
        <f t="shared" si="0"/>
        <v>rtdc.l.rtdc.4012:itc</v>
      </c>
      <c r="G36" s="8">
        <f t="shared" si="1"/>
        <v>42551.94290509259</v>
      </c>
    </row>
    <row r="37" spans="1:7" x14ac:dyDescent="0.25">
      <c r="A37" s="8">
        <v>42551.723240740743</v>
      </c>
      <c r="B37" s="33" t="s">
        <v>240</v>
      </c>
      <c r="C37" s="33" t="s">
        <v>430</v>
      </c>
      <c r="D37" s="33">
        <v>1090000</v>
      </c>
      <c r="E37" s="33" t="s">
        <v>197</v>
      </c>
      <c r="F37" s="33" t="str">
        <f t="shared" si="0"/>
        <v>rtdc.l.rtdc.4015:itc</v>
      </c>
      <c r="G37" s="8">
        <f t="shared" si="1"/>
        <v>42551.723240740743</v>
      </c>
    </row>
    <row r="38" spans="1:7" x14ac:dyDescent="0.25">
      <c r="A38" s="8">
        <v>42552.016122685185</v>
      </c>
      <c r="B38" s="33" t="s">
        <v>174</v>
      </c>
      <c r="C38" s="33" t="s">
        <v>502</v>
      </c>
      <c r="D38" s="33">
        <v>1990000</v>
      </c>
      <c r="E38" s="33" t="s">
        <v>196</v>
      </c>
      <c r="F38" s="33" t="str">
        <f t="shared" si="0"/>
        <v>rtdc.l.rtdc.4029:itc</v>
      </c>
      <c r="G38" s="8">
        <f t="shared" si="1"/>
        <v>42552.016122685185</v>
      </c>
    </row>
    <row r="39" spans="1:7" x14ac:dyDescent="0.25">
      <c r="A39" s="8">
        <v>42551.716724537036</v>
      </c>
      <c r="B39" s="33" t="s">
        <v>80</v>
      </c>
      <c r="C39" s="33" t="s">
        <v>440</v>
      </c>
      <c r="D39" s="33">
        <v>1770000</v>
      </c>
      <c r="E39" s="33" t="s">
        <v>610</v>
      </c>
      <c r="F39" s="33" t="str">
        <f t="shared" si="0"/>
        <v>rtdc.l.rtdc.4020:itc</v>
      </c>
      <c r="G39" s="8">
        <f t="shared" si="1"/>
        <v>42551.716724537036</v>
      </c>
    </row>
    <row r="40" spans="1:7" x14ac:dyDescent="0.25">
      <c r="A40" s="8">
        <v>42552.260555555556</v>
      </c>
      <c r="B40" s="47" t="s">
        <v>83</v>
      </c>
      <c r="C40" s="33" t="s">
        <v>619</v>
      </c>
      <c r="D40" s="33">
        <v>1830000</v>
      </c>
      <c r="E40" s="33" t="s">
        <v>246</v>
      </c>
      <c r="F40" s="33" t="str">
        <f t="shared" si="0"/>
        <v>rtdc.l.rtdc.4017:itc</v>
      </c>
      <c r="G40" s="8">
        <f t="shared" si="1"/>
        <v>42552.260555555556</v>
      </c>
    </row>
    <row r="41" spans="1:7" x14ac:dyDescent="0.25">
      <c r="A41" s="8">
        <v>42551.644652777781</v>
      </c>
      <c r="B41" s="33" t="s">
        <v>80</v>
      </c>
      <c r="C41" s="33" t="s">
        <v>419</v>
      </c>
      <c r="D41" s="33">
        <v>900000</v>
      </c>
      <c r="E41" s="33" t="s">
        <v>195</v>
      </c>
      <c r="F41" s="33" t="str">
        <f t="shared" si="0"/>
        <v>rtdc.l.rtdc.4020:itc</v>
      </c>
      <c r="G41" s="8">
        <f t="shared" si="1"/>
        <v>42551.644652777781</v>
      </c>
    </row>
    <row r="42" spans="1:7" x14ac:dyDescent="0.25">
      <c r="A42" s="8">
        <v>42552.266921296294</v>
      </c>
      <c r="B42" s="33" t="s">
        <v>83</v>
      </c>
      <c r="C42" s="33" t="s">
        <v>619</v>
      </c>
      <c r="D42" s="33">
        <v>1830000</v>
      </c>
      <c r="E42" s="33" t="s">
        <v>246</v>
      </c>
      <c r="F42" s="33" t="str">
        <f t="shared" si="0"/>
        <v>rtdc.l.rtdc.4017:itc</v>
      </c>
      <c r="G42" s="8">
        <f t="shared" si="1"/>
        <v>42552.266921296294</v>
      </c>
    </row>
    <row r="43" spans="1:7" x14ac:dyDescent="0.25">
      <c r="A43" s="8">
        <v>42551.609293981484</v>
      </c>
      <c r="B43" s="33" t="s">
        <v>151</v>
      </c>
      <c r="C43" s="33" t="s">
        <v>551</v>
      </c>
      <c r="D43" s="33">
        <v>1750000</v>
      </c>
      <c r="E43" s="33" t="s">
        <v>172</v>
      </c>
      <c r="F43" s="33" t="str">
        <f t="shared" si="0"/>
        <v>rtdc.l.rtdc.4012:itc</v>
      </c>
      <c r="G43" s="8">
        <f t="shared" si="1"/>
        <v>42551.609293981484</v>
      </c>
    </row>
    <row r="44" spans="1:7" x14ac:dyDescent="0.25">
      <c r="A44" s="8">
        <v>42551.244780092595</v>
      </c>
      <c r="B44" s="33" t="s">
        <v>79</v>
      </c>
      <c r="C44" s="33" t="s">
        <v>265</v>
      </c>
      <c r="D44" s="33">
        <v>2010000</v>
      </c>
      <c r="E44" s="33" t="s">
        <v>191</v>
      </c>
      <c r="F44" s="33" t="str">
        <f t="shared" si="0"/>
        <v>rtdc.l.rtdc.4019:itc</v>
      </c>
      <c r="G44" s="8">
        <f t="shared" si="1"/>
        <v>42551.244780092595</v>
      </c>
    </row>
    <row r="45" spans="1:7" x14ac:dyDescent="0.25">
      <c r="A45" s="8">
        <v>42551.320567129631</v>
      </c>
      <c r="B45" s="33" t="s">
        <v>79</v>
      </c>
      <c r="C45" s="33" t="s">
        <v>260</v>
      </c>
      <c r="D45" s="33">
        <v>2010000</v>
      </c>
      <c r="E45" s="33" t="s">
        <v>191</v>
      </c>
      <c r="F45" s="33" t="str">
        <f t="shared" si="0"/>
        <v>rtdc.l.rtdc.4019:itc</v>
      </c>
      <c r="G45" s="8">
        <f t="shared" si="1"/>
        <v>42551.320567129631</v>
      </c>
    </row>
    <row r="46" spans="1:7" x14ac:dyDescent="0.25">
      <c r="A46" s="8">
        <v>42551.349317129629</v>
      </c>
      <c r="B46" s="33" t="s">
        <v>161</v>
      </c>
      <c r="C46" s="33" t="s">
        <v>287</v>
      </c>
      <c r="D46" s="33">
        <v>1110000</v>
      </c>
      <c r="E46" s="33" t="s">
        <v>259</v>
      </c>
      <c r="F46" s="33" t="str">
        <f t="shared" si="0"/>
        <v>rtdc.l.rtdc.4013:itc</v>
      </c>
      <c r="G46" s="8">
        <f t="shared" si="1"/>
        <v>42551.349317129629</v>
      </c>
    </row>
    <row r="47" spans="1:7" x14ac:dyDescent="0.25">
      <c r="A47" s="8">
        <v>42551.196168981478</v>
      </c>
      <c r="B47" s="33" t="s">
        <v>161</v>
      </c>
      <c r="C47" s="33" t="s">
        <v>258</v>
      </c>
      <c r="D47" s="33">
        <v>1110000</v>
      </c>
      <c r="E47" s="33" t="s">
        <v>259</v>
      </c>
      <c r="F47" s="33" t="str">
        <f t="shared" si="0"/>
        <v>rtdc.l.rtdc.4013:itc</v>
      </c>
      <c r="G47" s="8">
        <f t="shared" si="1"/>
        <v>42551.196168981478</v>
      </c>
    </row>
    <row r="48" spans="1:7" x14ac:dyDescent="0.25">
      <c r="A48" s="8">
        <v>42551.276562500003</v>
      </c>
      <c r="B48" s="33" t="s">
        <v>161</v>
      </c>
      <c r="C48" s="33" t="s">
        <v>273</v>
      </c>
      <c r="D48" s="33">
        <v>1110000</v>
      </c>
      <c r="E48" s="33" t="s">
        <v>259</v>
      </c>
      <c r="F48" s="33" t="str">
        <f t="shared" si="0"/>
        <v>rtdc.l.rtdc.4013:itc</v>
      </c>
      <c r="G48" s="8">
        <f t="shared" si="1"/>
        <v>42551.276562500003</v>
      </c>
    </row>
    <row r="49" spans="1:7" x14ac:dyDescent="0.25">
      <c r="A49" s="8">
        <v>42551.30096064815</v>
      </c>
      <c r="B49" s="33" t="s">
        <v>150</v>
      </c>
      <c r="C49" s="33" t="s">
        <v>254</v>
      </c>
      <c r="D49" s="33">
        <v>1340000</v>
      </c>
      <c r="E49" s="33" t="s">
        <v>255</v>
      </c>
      <c r="F49" s="33" t="str">
        <f t="shared" si="0"/>
        <v>rtdc.l.rtdc.4011:itc</v>
      </c>
      <c r="G49" s="8">
        <f t="shared" si="1"/>
        <v>42551.30096064815</v>
      </c>
    </row>
    <row r="50" spans="1:7" x14ac:dyDescent="0.25">
      <c r="A50" s="8">
        <v>42551.30028935185</v>
      </c>
      <c r="B50" s="33" t="s">
        <v>86</v>
      </c>
      <c r="C50" s="33" t="s">
        <v>272</v>
      </c>
      <c r="D50" s="33">
        <v>1310000</v>
      </c>
      <c r="E50" s="33" t="s">
        <v>136</v>
      </c>
      <c r="F50" s="33" t="str">
        <f t="shared" si="0"/>
        <v>rtdc.l.rtdc.4031:itc</v>
      </c>
      <c r="G50" s="8">
        <f t="shared" si="1"/>
        <v>42551.30028935185</v>
      </c>
    </row>
    <row r="51" spans="1:7" x14ac:dyDescent="0.25">
      <c r="A51" s="8">
        <v>42551.276805555557</v>
      </c>
      <c r="B51" s="33" t="s">
        <v>80</v>
      </c>
      <c r="C51" s="33" t="s">
        <v>253</v>
      </c>
      <c r="D51" s="33">
        <v>2010000</v>
      </c>
      <c r="E51" s="33" t="s">
        <v>191</v>
      </c>
      <c r="F51" s="33" t="str">
        <f t="shared" si="0"/>
        <v>rtdc.l.rtdc.4020:itc</v>
      </c>
      <c r="G51" s="8">
        <f t="shared" si="1"/>
        <v>42551.276805555557</v>
      </c>
    </row>
    <row r="52" spans="1:7" x14ac:dyDescent="0.25">
      <c r="A52" s="8">
        <v>42551.50708333333</v>
      </c>
      <c r="B52" s="33" t="s">
        <v>240</v>
      </c>
      <c r="C52" s="33" t="s">
        <v>374</v>
      </c>
      <c r="D52" s="33">
        <v>1090000</v>
      </c>
      <c r="E52" s="33" t="s">
        <v>197</v>
      </c>
      <c r="F52" s="33" t="str">
        <f t="shared" si="0"/>
        <v>rtdc.l.rtdc.4015:itc</v>
      </c>
      <c r="G52" s="8">
        <f t="shared" si="1"/>
        <v>42551.50708333333</v>
      </c>
    </row>
    <row r="53" spans="1:7" x14ac:dyDescent="0.25">
      <c r="A53" s="8">
        <v>42551.183865740742</v>
      </c>
      <c r="B53" s="33" t="s">
        <v>174</v>
      </c>
      <c r="C53" s="33" t="s">
        <v>252</v>
      </c>
      <c r="D53" s="33">
        <v>2000000</v>
      </c>
      <c r="E53" s="33" t="s">
        <v>190</v>
      </c>
      <c r="F53" s="33" t="str">
        <f t="shared" si="0"/>
        <v>rtdc.l.rtdc.4029:itc</v>
      </c>
      <c r="G53" s="8">
        <f t="shared" si="1"/>
        <v>42551.183865740742</v>
      </c>
    </row>
    <row r="54" spans="1:7" x14ac:dyDescent="0.25">
      <c r="A54" s="8">
        <v>42551.237650462965</v>
      </c>
      <c r="B54" s="33" t="s">
        <v>96</v>
      </c>
      <c r="C54" s="33" t="s">
        <v>270</v>
      </c>
      <c r="D54" s="33">
        <v>1460000</v>
      </c>
      <c r="E54" s="33" t="s">
        <v>135</v>
      </c>
      <c r="F54" s="33" t="str">
        <f t="shared" si="0"/>
        <v>rtdc.l.rtdc.4042:itc</v>
      </c>
      <c r="G54" s="8">
        <f t="shared" si="1"/>
        <v>42551.237650462965</v>
      </c>
    </row>
    <row r="55" spans="1:7" x14ac:dyDescent="0.25">
      <c r="A55" s="8">
        <v>42551.245949074073</v>
      </c>
      <c r="B55" s="33" t="s">
        <v>238</v>
      </c>
      <c r="C55" s="33" t="s">
        <v>249</v>
      </c>
      <c r="D55" s="33">
        <v>1830000</v>
      </c>
      <c r="E55" s="33" t="s">
        <v>246</v>
      </c>
      <c r="F55" s="33" t="str">
        <f t="shared" si="0"/>
        <v>rtdc.l.rtdc.4016:itc</v>
      </c>
      <c r="G55" s="8">
        <f t="shared" si="1"/>
        <v>42551.245949074073</v>
      </c>
    </row>
    <row r="56" spans="1:7" x14ac:dyDescent="0.25">
      <c r="A56" s="8">
        <v>42551.259884259256</v>
      </c>
      <c r="B56" s="33" t="s">
        <v>150</v>
      </c>
      <c r="C56" s="33" t="s">
        <v>271</v>
      </c>
      <c r="D56" s="33">
        <v>1340000</v>
      </c>
      <c r="E56" s="33" t="s">
        <v>255</v>
      </c>
      <c r="F56" s="33" t="str">
        <f t="shared" si="0"/>
        <v>rtdc.l.rtdc.4011:itc</v>
      </c>
      <c r="G56" s="8">
        <f t="shared" si="1"/>
        <v>42551.259884259256</v>
      </c>
    </row>
    <row r="57" spans="1:7" x14ac:dyDescent="0.25">
      <c r="A57" s="8">
        <v>42552.275196759256</v>
      </c>
      <c r="B57" s="33" t="s">
        <v>83</v>
      </c>
      <c r="C57" s="33" t="s">
        <v>619</v>
      </c>
      <c r="D57" s="33">
        <v>1830000</v>
      </c>
      <c r="E57" s="33" t="s">
        <v>246</v>
      </c>
      <c r="F57" s="33" t="str">
        <f t="shared" si="0"/>
        <v>rtdc.l.rtdc.4017:itc</v>
      </c>
      <c r="G57" s="8">
        <f t="shared" si="1"/>
        <v>42552.275196759256</v>
      </c>
    </row>
    <row r="58" spans="1:7" x14ac:dyDescent="0.25">
      <c r="A58" s="8">
        <v>42551.358483796299</v>
      </c>
      <c r="B58" s="33" t="s">
        <v>151</v>
      </c>
      <c r="C58" s="33" t="s">
        <v>522</v>
      </c>
      <c r="D58" s="33">
        <v>1340000</v>
      </c>
      <c r="E58" s="33" t="s">
        <v>255</v>
      </c>
      <c r="F58" s="33" t="str">
        <f t="shared" si="0"/>
        <v>rtdc.l.rtdc.4012:itc</v>
      </c>
      <c r="G58" s="8">
        <f t="shared" si="1"/>
        <v>42551.358483796299</v>
      </c>
    </row>
    <row r="59" spans="1:7" x14ac:dyDescent="0.25">
      <c r="A59" s="8">
        <v>42552.275659722225</v>
      </c>
      <c r="B59" s="33" t="s">
        <v>150</v>
      </c>
      <c r="C59" s="33" t="s">
        <v>623</v>
      </c>
      <c r="D59" s="33">
        <v>1110000</v>
      </c>
      <c r="E59" s="33" t="s">
        <v>259</v>
      </c>
      <c r="F59" s="33" t="str">
        <f t="shared" si="0"/>
        <v>rtdc.l.rtdc.4011:itc</v>
      </c>
      <c r="G59" s="8">
        <f t="shared" si="1"/>
        <v>42552.275659722225</v>
      </c>
    </row>
    <row r="60" spans="1:7" x14ac:dyDescent="0.25">
      <c r="A60" s="8">
        <v>42551.360567129632</v>
      </c>
      <c r="B60" s="33" t="s">
        <v>175</v>
      </c>
      <c r="C60" s="33" t="s">
        <v>337</v>
      </c>
      <c r="D60" s="33">
        <v>2000000</v>
      </c>
      <c r="E60" s="33" t="s">
        <v>190</v>
      </c>
      <c r="F60" s="33" t="str">
        <f t="shared" si="0"/>
        <v>rtdc.l.rtdc.4030:itc</v>
      </c>
      <c r="G60" s="8">
        <f t="shared" si="1"/>
        <v>42551.360567129632</v>
      </c>
    </row>
    <row r="61" spans="1:7" x14ac:dyDescent="0.25">
      <c r="A61" s="8">
        <v>42552.255624999998</v>
      </c>
      <c r="B61" s="33" t="s">
        <v>170</v>
      </c>
      <c r="C61" s="33" t="s">
        <v>624</v>
      </c>
      <c r="D61" s="33">
        <v>1340000</v>
      </c>
      <c r="E61" s="33" t="s">
        <v>255</v>
      </c>
      <c r="F61" s="33" t="str">
        <f t="shared" si="0"/>
        <v>rtdc.l.rtdc.4037:itc</v>
      </c>
      <c r="G61" s="8">
        <f t="shared" si="1"/>
        <v>42552.255624999998</v>
      </c>
    </row>
    <row r="62" spans="1:7" x14ac:dyDescent="0.25">
      <c r="A62" s="8">
        <v>42551.227361111109</v>
      </c>
      <c r="B62" s="33" t="s">
        <v>86</v>
      </c>
      <c r="C62" s="33" t="s">
        <v>269</v>
      </c>
      <c r="D62" s="33">
        <v>1310000</v>
      </c>
      <c r="E62" s="33" t="s">
        <v>136</v>
      </c>
      <c r="F62" s="33" t="str">
        <f t="shared" si="0"/>
        <v>rtdc.l.rtdc.4031:itc</v>
      </c>
      <c r="G62" s="8">
        <f t="shared" si="1"/>
        <v>42551.227361111109</v>
      </c>
    </row>
    <row r="63" spans="1:7" x14ac:dyDescent="0.25">
      <c r="A63" s="8">
        <v>42552.241620370369</v>
      </c>
      <c r="B63" s="33" t="s">
        <v>160</v>
      </c>
      <c r="C63" s="33" t="s">
        <v>625</v>
      </c>
      <c r="D63" s="33">
        <v>2000000</v>
      </c>
      <c r="E63" s="33" t="s">
        <v>190</v>
      </c>
      <c r="F63" s="33" t="str">
        <f t="shared" si="0"/>
        <v>rtdc.l.rtdc.4014:itc</v>
      </c>
      <c r="G63" s="8">
        <f t="shared" si="1"/>
        <v>42552.241620370369</v>
      </c>
    </row>
    <row r="64" spans="1:7" x14ac:dyDescent="0.25">
      <c r="A64" s="48">
        <v>42551.390787037039</v>
      </c>
      <c r="B64" s="33" t="s">
        <v>238</v>
      </c>
      <c r="C64" s="33" t="s">
        <v>354</v>
      </c>
      <c r="D64" s="33">
        <v>1830000</v>
      </c>
      <c r="E64" s="33" t="s">
        <v>246</v>
      </c>
      <c r="F64" s="33" t="str">
        <f t="shared" si="0"/>
        <v>rtdc.l.rtdc.4016:itc</v>
      </c>
      <c r="G64" s="8">
        <f t="shared" si="1"/>
        <v>42551.390787037039</v>
      </c>
    </row>
    <row r="65" spans="1:7" x14ac:dyDescent="0.25">
      <c r="A65" s="8">
        <v>42552.231898148151</v>
      </c>
      <c r="B65" s="33" t="s">
        <v>160</v>
      </c>
      <c r="C65" s="33" t="s">
        <v>625</v>
      </c>
      <c r="D65" s="33">
        <v>2000000</v>
      </c>
      <c r="E65" s="33" t="s">
        <v>190</v>
      </c>
      <c r="F65" s="33" t="str">
        <f t="shared" si="0"/>
        <v>rtdc.l.rtdc.4014:itc</v>
      </c>
      <c r="G65" s="8">
        <f t="shared" si="1"/>
        <v>42552.231898148151</v>
      </c>
    </row>
    <row r="66" spans="1:7" x14ac:dyDescent="0.25">
      <c r="A66" s="8">
        <v>42551.27306712963</v>
      </c>
      <c r="B66" s="33" t="s">
        <v>96</v>
      </c>
      <c r="C66" s="33" t="s">
        <v>274</v>
      </c>
      <c r="D66" s="33">
        <v>1460000</v>
      </c>
      <c r="E66" s="33" t="s">
        <v>135</v>
      </c>
      <c r="F66" s="33" t="str">
        <f t="shared" ref="F66:F129" si="2">B66</f>
        <v>rtdc.l.rtdc.4042:itc</v>
      </c>
      <c r="G66" s="8">
        <f t="shared" ref="G66:G129" si="3">A66</f>
        <v>42551.27306712963</v>
      </c>
    </row>
    <row r="67" spans="1:7" x14ac:dyDescent="0.25">
      <c r="A67" s="8">
        <v>42552.23238425926</v>
      </c>
      <c r="B67" s="33" t="s">
        <v>79</v>
      </c>
      <c r="C67" s="33" t="s">
        <v>626</v>
      </c>
      <c r="D67" s="33">
        <v>1840000</v>
      </c>
      <c r="E67" s="33" t="s">
        <v>134</v>
      </c>
      <c r="F67" s="33" t="str">
        <f t="shared" si="2"/>
        <v>rtdc.l.rtdc.4019:itc</v>
      </c>
      <c r="G67" s="8">
        <f t="shared" si="3"/>
        <v>42552.23238425926</v>
      </c>
    </row>
    <row r="68" spans="1:7" x14ac:dyDescent="0.25">
      <c r="A68" s="8">
        <v>42551.317037037035</v>
      </c>
      <c r="B68" s="33" t="s">
        <v>151</v>
      </c>
      <c r="C68" s="33" t="s">
        <v>275</v>
      </c>
      <c r="D68" s="33">
        <v>1340000</v>
      </c>
      <c r="E68" s="33" t="s">
        <v>255</v>
      </c>
      <c r="F68" s="33" t="str">
        <f t="shared" si="2"/>
        <v>rtdc.l.rtdc.4012:itc</v>
      </c>
      <c r="G68" s="8">
        <f t="shared" si="3"/>
        <v>42551.317037037035</v>
      </c>
    </row>
    <row r="69" spans="1:7" x14ac:dyDescent="0.25">
      <c r="A69" s="8">
        <v>42552.037245370368</v>
      </c>
      <c r="B69" s="33" t="s">
        <v>178</v>
      </c>
      <c r="C69" s="33" t="s">
        <v>501</v>
      </c>
      <c r="D69" s="33">
        <v>1820000</v>
      </c>
      <c r="E69" s="33" t="s">
        <v>124</v>
      </c>
      <c r="F69" s="33" t="str">
        <f t="shared" si="2"/>
        <v>rtdc.l.rtdc.4039:itc</v>
      </c>
      <c r="G69" s="8">
        <f t="shared" si="3"/>
        <v>42552.037245370368</v>
      </c>
    </row>
    <row r="70" spans="1:7" x14ac:dyDescent="0.25">
      <c r="A70" s="8">
        <v>42551.387488425928</v>
      </c>
      <c r="B70" s="33" t="s">
        <v>150</v>
      </c>
      <c r="C70" s="33" t="s">
        <v>525</v>
      </c>
      <c r="D70" s="33">
        <v>1340000</v>
      </c>
      <c r="E70" s="33" t="s">
        <v>255</v>
      </c>
      <c r="F70" s="33" t="str">
        <f t="shared" si="2"/>
        <v>rtdc.l.rtdc.4011:itc</v>
      </c>
      <c r="G70" s="8">
        <f t="shared" si="3"/>
        <v>42551.387488425928</v>
      </c>
    </row>
    <row r="71" spans="1:7" x14ac:dyDescent="0.25">
      <c r="A71" s="8">
        <v>42551.997164351851</v>
      </c>
      <c r="B71" s="33" t="s">
        <v>177</v>
      </c>
      <c r="C71" s="33" t="s">
        <v>500</v>
      </c>
      <c r="D71" s="33">
        <v>1820000</v>
      </c>
      <c r="E71" s="33" t="s">
        <v>124</v>
      </c>
      <c r="F71" s="33" t="str">
        <f t="shared" si="2"/>
        <v>rtdc.l.rtdc.4040:itc</v>
      </c>
      <c r="G71" s="8">
        <f t="shared" si="3"/>
        <v>42551.997164351851</v>
      </c>
    </row>
    <row r="72" spans="1:7" x14ac:dyDescent="0.25">
      <c r="A72" s="8">
        <v>42551.465868055559</v>
      </c>
      <c r="B72" s="33" t="s">
        <v>150</v>
      </c>
      <c r="C72" s="33" t="s">
        <v>535</v>
      </c>
      <c r="D72" s="33">
        <v>1460000</v>
      </c>
      <c r="E72" s="33" t="s">
        <v>135</v>
      </c>
      <c r="F72" s="33" t="str">
        <f t="shared" si="2"/>
        <v>rtdc.l.rtdc.4011:itc</v>
      </c>
      <c r="G72" s="8">
        <f t="shared" si="3"/>
        <v>42551.465868055559</v>
      </c>
    </row>
    <row r="73" spans="1:7" x14ac:dyDescent="0.25">
      <c r="A73" s="8">
        <v>42551.98673611111</v>
      </c>
      <c r="B73" s="33" t="s">
        <v>256</v>
      </c>
      <c r="C73" s="33" t="s">
        <v>607</v>
      </c>
      <c r="D73" s="33">
        <v>1410000</v>
      </c>
      <c r="E73" s="33" t="s">
        <v>611</v>
      </c>
      <c r="F73" s="33" t="str">
        <f t="shared" si="2"/>
        <v>rtdc.l.rtdc.4005:itc</v>
      </c>
      <c r="G73" s="8">
        <f t="shared" si="3"/>
        <v>42551.98673611111</v>
      </c>
    </row>
    <row r="74" spans="1:7" x14ac:dyDescent="0.25">
      <c r="A74" s="8">
        <v>42551.525636574072</v>
      </c>
      <c r="B74" s="33" t="s">
        <v>151</v>
      </c>
      <c r="C74" s="33" t="s">
        <v>543</v>
      </c>
      <c r="D74" s="33">
        <v>1460000</v>
      </c>
      <c r="E74" s="33" t="s">
        <v>135</v>
      </c>
      <c r="F74" s="33" t="str">
        <f t="shared" si="2"/>
        <v>rtdc.l.rtdc.4012:itc</v>
      </c>
      <c r="G74" s="8">
        <f t="shared" si="3"/>
        <v>42551.525636574072</v>
      </c>
    </row>
    <row r="75" spans="1:7" x14ac:dyDescent="0.25">
      <c r="A75" s="8">
        <v>42551.935057870367</v>
      </c>
      <c r="B75" s="33" t="s">
        <v>609</v>
      </c>
      <c r="C75" s="33" t="s">
        <v>607</v>
      </c>
      <c r="D75" s="33">
        <v>1410000</v>
      </c>
      <c r="E75" s="33" t="s">
        <v>611</v>
      </c>
      <c r="F75" s="33" t="str">
        <f t="shared" si="2"/>
        <v>rtdc.l.rtdc.4006:itc</v>
      </c>
      <c r="G75" s="8">
        <f t="shared" si="3"/>
        <v>42551.935057870367</v>
      </c>
    </row>
    <row r="76" spans="1:7" x14ac:dyDescent="0.25">
      <c r="A76" s="8">
        <v>42551.169976851852</v>
      </c>
      <c r="B76" s="33" t="s">
        <v>238</v>
      </c>
      <c r="C76" s="33" t="s">
        <v>276</v>
      </c>
      <c r="D76" s="33">
        <v>1830000</v>
      </c>
      <c r="E76" s="33" t="s">
        <v>246</v>
      </c>
      <c r="F76" s="33" t="str">
        <f t="shared" si="2"/>
        <v>rtdc.l.rtdc.4016:itc</v>
      </c>
      <c r="G76" s="8">
        <f t="shared" si="3"/>
        <v>42551.169976851852</v>
      </c>
    </row>
    <row r="77" spans="1:7" x14ac:dyDescent="0.25">
      <c r="A77" s="8">
        <v>42551.929282407407</v>
      </c>
      <c r="B77" s="33" t="s">
        <v>163</v>
      </c>
      <c r="C77" s="33" t="s">
        <v>486</v>
      </c>
      <c r="D77" s="33">
        <v>2040000</v>
      </c>
      <c r="E77" s="33" t="s">
        <v>192</v>
      </c>
      <c r="F77" s="33" t="str">
        <f t="shared" si="2"/>
        <v>rtdc.l.rtdc.4028:itc</v>
      </c>
      <c r="G77" s="8">
        <f t="shared" si="3"/>
        <v>42551.929282407407</v>
      </c>
    </row>
    <row r="78" spans="1:7" x14ac:dyDescent="0.25">
      <c r="A78" s="8">
        <v>42551.193391203706</v>
      </c>
      <c r="B78" s="33" t="s">
        <v>133</v>
      </c>
      <c r="C78" s="33" t="s">
        <v>278</v>
      </c>
      <c r="D78" s="33">
        <v>2030000</v>
      </c>
      <c r="E78" s="33" t="s">
        <v>193</v>
      </c>
      <c r="F78" s="33" t="str">
        <f t="shared" si="2"/>
        <v>rtdc.l.rtdc.4038:itc</v>
      </c>
      <c r="G78" s="8">
        <f t="shared" si="3"/>
        <v>42551.193391203706</v>
      </c>
    </row>
    <row r="79" spans="1:7" x14ac:dyDescent="0.25">
      <c r="A79" s="8">
        <v>42551.871782407405</v>
      </c>
      <c r="B79" s="33" t="s">
        <v>133</v>
      </c>
      <c r="C79" s="33" t="s">
        <v>479</v>
      </c>
      <c r="D79" s="33">
        <v>1770000</v>
      </c>
      <c r="E79" s="33" t="s">
        <v>610</v>
      </c>
      <c r="F79" s="33" t="str">
        <f t="shared" si="2"/>
        <v>rtdc.l.rtdc.4038:itc</v>
      </c>
      <c r="G79" s="8">
        <f t="shared" si="3"/>
        <v>42551.871782407405</v>
      </c>
    </row>
    <row r="80" spans="1:7" x14ac:dyDescent="0.25">
      <c r="A80" s="8">
        <v>42551.288124999999</v>
      </c>
      <c r="B80" s="33" t="s">
        <v>162</v>
      </c>
      <c r="C80" s="33" t="s">
        <v>280</v>
      </c>
      <c r="D80" s="33">
        <v>1840000</v>
      </c>
      <c r="E80" s="33" t="s">
        <v>134</v>
      </c>
      <c r="F80" s="33" t="str">
        <f t="shared" si="2"/>
        <v>rtdc.l.rtdc.4025:itc</v>
      </c>
      <c r="G80" s="8">
        <f t="shared" si="3"/>
        <v>42551.288124999999</v>
      </c>
    </row>
    <row r="81" spans="1:7" x14ac:dyDescent="0.25">
      <c r="A81" s="8">
        <v>42551.807511574072</v>
      </c>
      <c r="B81" s="33" t="s">
        <v>176</v>
      </c>
      <c r="C81" s="33" t="s">
        <v>469</v>
      </c>
      <c r="D81" s="33">
        <v>2040000</v>
      </c>
      <c r="E81" s="33" t="s">
        <v>192</v>
      </c>
      <c r="F81" s="33" t="str">
        <f t="shared" si="2"/>
        <v>rtdc.l.rtdc.4027:itc</v>
      </c>
      <c r="G81" s="8">
        <f t="shared" si="3"/>
        <v>42551.807511574072</v>
      </c>
    </row>
    <row r="82" spans="1:7" x14ac:dyDescent="0.25">
      <c r="A82" s="8">
        <v>42551.733599537038</v>
      </c>
      <c r="B82" s="33" t="s">
        <v>151</v>
      </c>
      <c r="C82" s="33" t="s">
        <v>572</v>
      </c>
      <c r="D82" s="33">
        <v>1750000</v>
      </c>
      <c r="E82" s="33" t="s">
        <v>172</v>
      </c>
      <c r="F82" s="33" t="str">
        <f t="shared" si="2"/>
        <v>rtdc.l.rtdc.4012:itc</v>
      </c>
      <c r="G82" s="8">
        <f t="shared" si="3"/>
        <v>42551.733599537038</v>
      </c>
    </row>
    <row r="83" spans="1:7" x14ac:dyDescent="0.25">
      <c r="A83" s="8">
        <v>42551.767500000002</v>
      </c>
      <c r="B83" s="33" t="s">
        <v>174</v>
      </c>
      <c r="C83" s="33" t="s">
        <v>627</v>
      </c>
      <c r="D83" s="33">
        <v>1990000</v>
      </c>
      <c r="E83" s="33" t="s">
        <v>196</v>
      </c>
      <c r="F83" s="33" t="str">
        <f t="shared" si="2"/>
        <v>rtdc.l.rtdc.4029:itc</v>
      </c>
      <c r="G83" s="8">
        <f t="shared" si="3"/>
        <v>42551.767500000002</v>
      </c>
    </row>
    <row r="84" spans="1:7" x14ac:dyDescent="0.25">
      <c r="A84" s="8">
        <v>42551.913449074076</v>
      </c>
      <c r="B84" s="33" t="s">
        <v>177</v>
      </c>
      <c r="C84" s="33" t="s">
        <v>487</v>
      </c>
      <c r="D84" s="33">
        <v>1820000</v>
      </c>
      <c r="E84" s="33" t="s">
        <v>124</v>
      </c>
      <c r="F84" s="33" t="str">
        <f t="shared" si="2"/>
        <v>rtdc.l.rtdc.4040:itc</v>
      </c>
      <c r="G84" s="8">
        <f t="shared" si="3"/>
        <v>42551.913449074076</v>
      </c>
    </row>
    <row r="85" spans="1:7" x14ac:dyDescent="0.25">
      <c r="A85" s="8">
        <v>42551.75708333333</v>
      </c>
      <c r="B85" s="33" t="s">
        <v>177</v>
      </c>
      <c r="C85" s="33" t="s">
        <v>459</v>
      </c>
      <c r="D85" s="33">
        <v>1820000</v>
      </c>
      <c r="E85" s="33" t="s">
        <v>124</v>
      </c>
      <c r="F85" s="33" t="str">
        <f t="shared" si="2"/>
        <v>rtdc.l.rtdc.4040:itc</v>
      </c>
      <c r="G85" s="8">
        <f t="shared" si="3"/>
        <v>42551.75708333333</v>
      </c>
    </row>
    <row r="86" spans="1:7" x14ac:dyDescent="0.25">
      <c r="A86" s="8">
        <v>42551.635613425926</v>
      </c>
      <c r="B86" s="33" t="s">
        <v>70</v>
      </c>
      <c r="C86" s="33" t="s">
        <v>404</v>
      </c>
      <c r="D86" s="33">
        <v>880000</v>
      </c>
      <c r="E86" s="33" t="s">
        <v>248</v>
      </c>
      <c r="F86" s="33" t="str">
        <f t="shared" si="2"/>
        <v>rtdc.l.rtdc.4032:itc</v>
      </c>
      <c r="G86" s="8">
        <f t="shared" si="3"/>
        <v>42551.635613425926</v>
      </c>
    </row>
    <row r="87" spans="1:7" x14ac:dyDescent="0.25">
      <c r="A87" s="8">
        <v>42552.276932870373</v>
      </c>
      <c r="B87" s="33" t="s">
        <v>150</v>
      </c>
      <c r="C87" s="33" t="s">
        <v>623</v>
      </c>
      <c r="D87" s="33">
        <v>1110000</v>
      </c>
      <c r="E87" s="33" t="s">
        <v>259</v>
      </c>
      <c r="F87" s="33" t="str">
        <f t="shared" si="2"/>
        <v>rtdc.l.rtdc.4011:itc</v>
      </c>
      <c r="G87" s="8">
        <f t="shared" si="3"/>
        <v>42552.276932870373</v>
      </c>
    </row>
    <row r="88" spans="1:7" x14ac:dyDescent="0.25">
      <c r="A88" s="8">
        <v>42551.694282407407</v>
      </c>
      <c r="B88" s="33" t="s">
        <v>174</v>
      </c>
      <c r="C88" s="33" t="s">
        <v>432</v>
      </c>
      <c r="D88" s="33">
        <v>2020000</v>
      </c>
      <c r="E88" s="33" t="s">
        <v>194</v>
      </c>
      <c r="F88" s="33" t="str">
        <f t="shared" si="2"/>
        <v>rtdc.l.rtdc.4029:itc</v>
      </c>
      <c r="G88" s="8">
        <f t="shared" si="3"/>
        <v>42551.694282407407</v>
      </c>
    </row>
    <row r="89" spans="1:7" x14ac:dyDescent="0.25">
      <c r="A89" s="8">
        <v>42552.276504629626</v>
      </c>
      <c r="B89" s="33" t="s">
        <v>163</v>
      </c>
      <c r="C89" s="33" t="s">
        <v>628</v>
      </c>
      <c r="D89" s="33">
        <v>1460000</v>
      </c>
      <c r="E89" s="33" t="s">
        <v>135</v>
      </c>
      <c r="F89" s="33" t="str">
        <f t="shared" si="2"/>
        <v>rtdc.l.rtdc.4028:itc</v>
      </c>
      <c r="G89" s="8">
        <f t="shared" si="3"/>
        <v>42552.276504629626</v>
      </c>
    </row>
    <row r="90" spans="1:7" x14ac:dyDescent="0.25">
      <c r="A90" s="8">
        <v>42551.796574074076</v>
      </c>
      <c r="B90" s="33" t="s">
        <v>95</v>
      </c>
      <c r="C90" s="33" t="s">
        <v>602</v>
      </c>
      <c r="D90" s="33">
        <v>1780000</v>
      </c>
      <c r="E90" s="33" t="s">
        <v>173</v>
      </c>
      <c r="F90" s="33" t="str">
        <f t="shared" si="2"/>
        <v>rtdc.l.rtdc.4041:itc</v>
      </c>
      <c r="G90" s="8">
        <f t="shared" si="3"/>
        <v>42551.796574074076</v>
      </c>
    </row>
    <row r="91" spans="1:7" x14ac:dyDescent="0.25">
      <c r="A91" s="8">
        <v>42552.246770833335</v>
      </c>
      <c r="B91" s="33" t="s">
        <v>70</v>
      </c>
      <c r="C91" s="33" t="s">
        <v>629</v>
      </c>
      <c r="D91" s="33">
        <v>1310000</v>
      </c>
      <c r="E91" s="33" t="s">
        <v>136</v>
      </c>
      <c r="F91" s="33" t="str">
        <f t="shared" si="2"/>
        <v>rtdc.l.rtdc.4032:itc</v>
      </c>
      <c r="G91" s="8">
        <f t="shared" si="3"/>
        <v>42552.246770833335</v>
      </c>
    </row>
    <row r="92" spans="1:7" x14ac:dyDescent="0.25">
      <c r="A92" s="8">
        <v>42551.597025462965</v>
      </c>
      <c r="B92" s="33" t="s">
        <v>86</v>
      </c>
      <c r="C92" s="33" t="s">
        <v>630</v>
      </c>
      <c r="D92" s="33">
        <v>880000</v>
      </c>
      <c r="E92" s="33" t="s">
        <v>248</v>
      </c>
      <c r="F92" s="33" t="str">
        <f t="shared" si="2"/>
        <v>rtdc.l.rtdc.4031:itc</v>
      </c>
      <c r="G92" s="8">
        <f t="shared" si="3"/>
        <v>42551.597025462965</v>
      </c>
    </row>
    <row r="93" spans="1:7" x14ac:dyDescent="0.25">
      <c r="A93" s="8">
        <v>42552.247581018521</v>
      </c>
      <c r="B93" s="33" t="s">
        <v>240</v>
      </c>
      <c r="C93" s="33" t="s">
        <v>614</v>
      </c>
      <c r="D93" s="33">
        <v>2010000</v>
      </c>
      <c r="E93" s="33" t="s">
        <v>191</v>
      </c>
      <c r="F93" s="33" t="str">
        <f t="shared" si="2"/>
        <v>rtdc.l.rtdc.4015:itc</v>
      </c>
      <c r="G93" s="8">
        <f t="shared" si="3"/>
        <v>42552.247581018521</v>
      </c>
    </row>
    <row r="94" spans="1:7" x14ac:dyDescent="0.25">
      <c r="A94" s="8">
        <v>42551.651180555556</v>
      </c>
      <c r="B94" s="33" t="s">
        <v>240</v>
      </c>
      <c r="C94" s="33" t="s">
        <v>410</v>
      </c>
      <c r="D94" s="33">
        <v>1090000</v>
      </c>
      <c r="E94" s="33" t="s">
        <v>197</v>
      </c>
      <c r="F94" s="33" t="str">
        <f t="shared" si="2"/>
        <v>rtdc.l.rtdc.4015:itc</v>
      </c>
      <c r="G94" s="8">
        <f t="shared" si="3"/>
        <v>42551.651180555556</v>
      </c>
    </row>
    <row r="95" spans="1:7" x14ac:dyDescent="0.25">
      <c r="A95" s="8">
        <v>42552.195902777778</v>
      </c>
      <c r="B95" s="33" t="s">
        <v>86</v>
      </c>
      <c r="C95" s="33" t="s">
        <v>631</v>
      </c>
      <c r="D95" s="33">
        <v>1310000</v>
      </c>
      <c r="E95" s="33" t="s">
        <v>136</v>
      </c>
      <c r="F95" s="33" t="str">
        <f t="shared" si="2"/>
        <v>rtdc.l.rtdc.4031:itc</v>
      </c>
      <c r="G95" s="8">
        <f t="shared" si="3"/>
        <v>42552.195902777778</v>
      </c>
    </row>
    <row r="96" spans="1:7" x14ac:dyDescent="0.25">
      <c r="A96" s="8">
        <v>42551.719918981478</v>
      </c>
      <c r="B96" s="33" t="s">
        <v>150</v>
      </c>
      <c r="C96" s="33" t="s">
        <v>570</v>
      </c>
      <c r="D96" s="33">
        <v>1750000</v>
      </c>
      <c r="E96" s="33" t="s">
        <v>172</v>
      </c>
      <c r="F96" s="33" t="str">
        <f t="shared" si="2"/>
        <v>rtdc.l.rtdc.4011:itc</v>
      </c>
      <c r="G96" s="8">
        <f t="shared" si="3"/>
        <v>42551.719918981478</v>
      </c>
    </row>
    <row r="97" spans="1:7" x14ac:dyDescent="0.25">
      <c r="A97" s="8">
        <v>42551.928287037037</v>
      </c>
      <c r="B97" s="33" t="s">
        <v>163</v>
      </c>
      <c r="C97" s="33" t="s">
        <v>486</v>
      </c>
      <c r="D97" s="33">
        <v>2040000</v>
      </c>
      <c r="E97" s="33" t="s">
        <v>192</v>
      </c>
      <c r="F97" s="33" t="str">
        <f t="shared" si="2"/>
        <v>rtdc.l.rtdc.4028:itc</v>
      </c>
      <c r="G97" s="8">
        <f t="shared" si="3"/>
        <v>42551.928287037037</v>
      </c>
    </row>
    <row r="98" spans="1:7" x14ac:dyDescent="0.25">
      <c r="A98" s="8">
        <v>42551.754791666666</v>
      </c>
      <c r="B98" s="33" t="s">
        <v>95</v>
      </c>
      <c r="C98" s="33" t="s">
        <v>577</v>
      </c>
      <c r="D98" s="33">
        <v>1780000</v>
      </c>
      <c r="E98" s="33" t="s">
        <v>173</v>
      </c>
      <c r="F98" s="33" t="str">
        <f t="shared" si="2"/>
        <v>rtdc.l.rtdc.4041:itc</v>
      </c>
      <c r="G98" s="8">
        <f t="shared" si="3"/>
        <v>42551.754791666666</v>
      </c>
    </row>
    <row r="99" spans="1:7" x14ac:dyDescent="0.25">
      <c r="A99" s="8">
        <v>42551.927870370368</v>
      </c>
      <c r="B99" s="33" t="s">
        <v>150</v>
      </c>
      <c r="C99" s="33" t="s">
        <v>600</v>
      </c>
      <c r="D99" s="33">
        <v>1750000</v>
      </c>
      <c r="E99" s="33" t="s">
        <v>172</v>
      </c>
      <c r="F99" s="33" t="str">
        <f t="shared" si="2"/>
        <v>rtdc.l.rtdc.4011:itc</v>
      </c>
      <c r="G99" s="8">
        <f t="shared" si="3"/>
        <v>42551.927870370368</v>
      </c>
    </row>
    <row r="100" spans="1:7" x14ac:dyDescent="0.25">
      <c r="A100" s="8">
        <v>42551.87296296296</v>
      </c>
      <c r="B100" s="33" t="s">
        <v>133</v>
      </c>
      <c r="C100" s="33" t="s">
        <v>479</v>
      </c>
      <c r="D100" s="33">
        <v>1770000</v>
      </c>
      <c r="E100" s="33" t="s">
        <v>610</v>
      </c>
      <c r="F100" s="33" t="str">
        <f t="shared" si="2"/>
        <v>rtdc.l.rtdc.4038:itc</v>
      </c>
      <c r="G100" s="8">
        <f t="shared" si="3"/>
        <v>42551.87296296296</v>
      </c>
    </row>
    <row r="101" spans="1:7" x14ac:dyDescent="0.25">
      <c r="A101" s="8">
        <v>42551.86</v>
      </c>
      <c r="B101" s="33" t="s">
        <v>151</v>
      </c>
      <c r="C101" s="33" t="s">
        <v>592</v>
      </c>
      <c r="D101" s="33">
        <v>1750000</v>
      </c>
      <c r="E101" s="33" t="s">
        <v>172</v>
      </c>
      <c r="F101" s="33" t="str">
        <f t="shared" si="2"/>
        <v>rtdc.l.rtdc.4012:itc</v>
      </c>
      <c r="G101" s="8">
        <f t="shared" si="3"/>
        <v>42551.86</v>
      </c>
    </row>
    <row r="102" spans="1:7" x14ac:dyDescent="0.25">
      <c r="A102" s="8">
        <v>42551.884652777779</v>
      </c>
      <c r="B102" s="33" t="s">
        <v>150</v>
      </c>
      <c r="C102" s="33" t="s">
        <v>599</v>
      </c>
      <c r="D102" s="33">
        <v>1750000</v>
      </c>
      <c r="E102" s="33" t="s">
        <v>172</v>
      </c>
      <c r="F102" s="33" t="str">
        <f t="shared" si="2"/>
        <v>rtdc.l.rtdc.4011:itc</v>
      </c>
      <c r="G102" s="8">
        <f t="shared" si="3"/>
        <v>42551.884652777779</v>
      </c>
    </row>
    <row r="103" spans="1:7" x14ac:dyDescent="0.25">
      <c r="A103" s="8">
        <v>42551.807326388887</v>
      </c>
      <c r="B103" s="33" t="s">
        <v>175</v>
      </c>
      <c r="C103" s="33" t="s">
        <v>462</v>
      </c>
      <c r="D103" s="33">
        <v>1990000</v>
      </c>
      <c r="E103" s="33" t="s">
        <v>196</v>
      </c>
      <c r="F103" s="33" t="str">
        <f t="shared" si="2"/>
        <v>rtdc.l.rtdc.4030:itc</v>
      </c>
      <c r="G103" s="8">
        <f t="shared" si="3"/>
        <v>42551.807326388887</v>
      </c>
    </row>
    <row r="104" spans="1:7" x14ac:dyDescent="0.25">
      <c r="A104" s="8">
        <v>42552.318668981483</v>
      </c>
      <c r="B104" s="33" t="s">
        <v>163</v>
      </c>
      <c r="C104" s="33" t="s">
        <v>632</v>
      </c>
      <c r="D104" s="33">
        <v>1460000</v>
      </c>
      <c r="E104" s="33" t="s">
        <v>135</v>
      </c>
      <c r="F104" s="33" t="str">
        <f t="shared" si="2"/>
        <v>rtdc.l.rtdc.4028:itc</v>
      </c>
      <c r="G104" s="8">
        <f t="shared" si="3"/>
        <v>42552.318668981483</v>
      </c>
    </row>
    <row r="105" spans="1:7" x14ac:dyDescent="0.25">
      <c r="A105" s="8">
        <v>42551.804131944446</v>
      </c>
      <c r="B105" s="33" t="s">
        <v>150</v>
      </c>
      <c r="C105" s="33" t="s">
        <v>589</v>
      </c>
      <c r="D105" s="33">
        <v>1750000</v>
      </c>
      <c r="E105" s="33" t="s">
        <v>172</v>
      </c>
      <c r="F105" s="33" t="str">
        <f t="shared" si="2"/>
        <v>rtdc.l.rtdc.4011:itc</v>
      </c>
      <c r="G105" s="8">
        <f t="shared" si="3"/>
        <v>42551.804131944446</v>
      </c>
    </row>
    <row r="106" spans="1:7" x14ac:dyDescent="0.25">
      <c r="A106" s="8">
        <v>42551.595578703702</v>
      </c>
      <c r="B106" s="33" t="s">
        <v>170</v>
      </c>
      <c r="C106" s="33" t="s">
        <v>395</v>
      </c>
      <c r="D106" s="33">
        <v>1520000</v>
      </c>
      <c r="E106" s="33" t="s">
        <v>250</v>
      </c>
      <c r="F106" s="33" t="str">
        <f t="shared" si="2"/>
        <v>rtdc.l.rtdc.4037:itc</v>
      </c>
      <c r="G106" s="8">
        <f t="shared" si="3"/>
        <v>42551.595578703702</v>
      </c>
    </row>
    <row r="107" spans="1:7" x14ac:dyDescent="0.25">
      <c r="A107" s="8">
        <v>42551.780601851853</v>
      </c>
      <c r="B107" s="33" t="s">
        <v>96</v>
      </c>
      <c r="C107" s="33" t="s">
        <v>585</v>
      </c>
      <c r="D107" s="33">
        <v>1780000</v>
      </c>
      <c r="E107" s="33" t="s">
        <v>173</v>
      </c>
      <c r="F107" s="33" t="str">
        <f t="shared" si="2"/>
        <v>rtdc.l.rtdc.4042:itc</v>
      </c>
      <c r="G107" s="8">
        <f t="shared" si="3"/>
        <v>42551.780601851853</v>
      </c>
    </row>
    <row r="108" spans="1:7" x14ac:dyDescent="0.25">
      <c r="A108" s="8">
        <v>42551.655509259261</v>
      </c>
      <c r="B108" s="33" t="s">
        <v>162</v>
      </c>
      <c r="C108" s="33" t="s">
        <v>423</v>
      </c>
      <c r="D108" s="33">
        <v>1140000</v>
      </c>
      <c r="E108" s="33" t="s">
        <v>198</v>
      </c>
      <c r="F108" s="33" t="str">
        <f t="shared" si="2"/>
        <v>rtdc.l.rtdc.4025:itc</v>
      </c>
      <c r="G108" s="8">
        <f t="shared" si="3"/>
        <v>42551.655509259261</v>
      </c>
    </row>
    <row r="109" spans="1:7" x14ac:dyDescent="0.25">
      <c r="A109" s="8">
        <v>42551.771967592591</v>
      </c>
      <c r="B109" s="33" t="s">
        <v>159</v>
      </c>
      <c r="C109" s="33" t="s">
        <v>448</v>
      </c>
      <c r="D109" s="33">
        <v>1140000</v>
      </c>
      <c r="E109" s="33" t="s">
        <v>198</v>
      </c>
      <c r="F109" s="33" t="str">
        <f t="shared" si="2"/>
        <v>rtdc.l.rtdc.4026:itc</v>
      </c>
      <c r="G109" s="8">
        <f t="shared" si="3"/>
        <v>42551.771967592591</v>
      </c>
    </row>
    <row r="110" spans="1:7" x14ac:dyDescent="0.25">
      <c r="A110" s="8">
        <v>42551.658310185187</v>
      </c>
      <c r="B110" s="33" t="s">
        <v>96</v>
      </c>
      <c r="C110" s="33" t="s">
        <v>558</v>
      </c>
      <c r="D110" s="33">
        <v>1780000</v>
      </c>
      <c r="E110" s="33" t="s">
        <v>173</v>
      </c>
      <c r="F110" s="33" t="str">
        <f t="shared" si="2"/>
        <v>rtdc.l.rtdc.4042:itc</v>
      </c>
      <c r="G110" s="8">
        <f t="shared" si="3"/>
        <v>42551.658310185187</v>
      </c>
    </row>
    <row r="111" spans="1:7" x14ac:dyDescent="0.25">
      <c r="A111" s="8">
        <v>42551.768888888888</v>
      </c>
      <c r="B111" s="33" t="s">
        <v>174</v>
      </c>
      <c r="C111" s="33" t="s">
        <v>461</v>
      </c>
      <c r="D111" s="33">
        <v>1990000</v>
      </c>
      <c r="E111" s="33" t="s">
        <v>196</v>
      </c>
      <c r="F111" s="33" t="str">
        <f t="shared" si="2"/>
        <v>rtdc.l.rtdc.4029:itc</v>
      </c>
      <c r="G111" s="8">
        <f t="shared" si="3"/>
        <v>42551.768888888888</v>
      </c>
    </row>
    <row r="112" spans="1:7" x14ac:dyDescent="0.25">
      <c r="A112" s="8">
        <v>42551.696319444447</v>
      </c>
      <c r="B112" s="33" t="s">
        <v>151</v>
      </c>
      <c r="C112" s="33" t="s">
        <v>564</v>
      </c>
      <c r="D112" s="33">
        <v>1750000</v>
      </c>
      <c r="E112" s="33" t="s">
        <v>172</v>
      </c>
      <c r="F112" s="33" t="str">
        <f t="shared" si="2"/>
        <v>rtdc.l.rtdc.4012:itc</v>
      </c>
      <c r="G112" s="8">
        <f t="shared" si="3"/>
        <v>42551.696319444447</v>
      </c>
    </row>
    <row r="113" spans="1:7" x14ac:dyDescent="0.25">
      <c r="A113" s="8">
        <v>42551.705868055556</v>
      </c>
      <c r="B113" s="33" t="s">
        <v>133</v>
      </c>
      <c r="C113" s="33" t="s">
        <v>436</v>
      </c>
      <c r="D113" s="33">
        <v>1520000</v>
      </c>
      <c r="E113" s="33" t="s">
        <v>250</v>
      </c>
      <c r="F113" s="33" t="str">
        <f t="shared" si="2"/>
        <v>rtdc.l.rtdc.4038:itc</v>
      </c>
      <c r="G113" s="8">
        <f t="shared" si="3"/>
        <v>42551.705868055556</v>
      </c>
    </row>
    <row r="114" spans="1:7" x14ac:dyDescent="0.25">
      <c r="A114" s="8">
        <v>42551.776956018519</v>
      </c>
      <c r="B114" s="33" t="s">
        <v>163</v>
      </c>
      <c r="C114" s="33" t="s">
        <v>454</v>
      </c>
      <c r="D114" s="33">
        <v>2040000</v>
      </c>
      <c r="E114" s="33" t="s">
        <v>192</v>
      </c>
      <c r="F114" s="33" t="str">
        <f t="shared" si="2"/>
        <v>rtdc.l.rtdc.4028:itc</v>
      </c>
      <c r="G114" s="8">
        <f t="shared" si="3"/>
        <v>42551.776956018519</v>
      </c>
    </row>
    <row r="115" spans="1:7" x14ac:dyDescent="0.25">
      <c r="A115" s="8">
        <v>42551.635844907411</v>
      </c>
      <c r="B115" s="33" t="s">
        <v>150</v>
      </c>
      <c r="C115" s="33" t="s">
        <v>554</v>
      </c>
      <c r="D115" s="33">
        <v>1750000</v>
      </c>
      <c r="E115" s="33" t="s">
        <v>172</v>
      </c>
      <c r="F115" s="33" t="str">
        <f t="shared" si="2"/>
        <v>rtdc.l.rtdc.4011:itc</v>
      </c>
      <c r="G115" s="8">
        <f t="shared" si="3"/>
        <v>42551.635844907411</v>
      </c>
    </row>
    <row r="116" spans="1:7" x14ac:dyDescent="0.25">
      <c r="A116" s="8">
        <v>42551.890127314815</v>
      </c>
      <c r="B116" s="33" t="s">
        <v>176</v>
      </c>
      <c r="C116" s="33" t="s">
        <v>484</v>
      </c>
      <c r="D116" s="33">
        <v>2040000</v>
      </c>
      <c r="E116" s="33" t="s">
        <v>192</v>
      </c>
      <c r="F116" s="33" t="str">
        <f t="shared" si="2"/>
        <v>rtdc.l.rtdc.4027:itc</v>
      </c>
      <c r="G116" s="8">
        <f t="shared" si="3"/>
        <v>42551.890127314815</v>
      </c>
    </row>
    <row r="117" spans="1:7" x14ac:dyDescent="0.25">
      <c r="A117" s="8">
        <v>42551.504490740743</v>
      </c>
      <c r="B117" s="33" t="s">
        <v>150</v>
      </c>
      <c r="C117" s="33" t="s">
        <v>541</v>
      </c>
      <c r="D117" s="33">
        <v>1460000</v>
      </c>
      <c r="E117" s="33" t="s">
        <v>135</v>
      </c>
      <c r="F117" s="33" t="str">
        <f t="shared" si="2"/>
        <v>rtdc.l.rtdc.4011:itc</v>
      </c>
      <c r="G117" s="8">
        <f t="shared" si="3"/>
        <v>42551.504490740743</v>
      </c>
    </row>
    <row r="118" spans="1:7" x14ac:dyDescent="0.25">
      <c r="A118" s="8">
        <v>42552.324421296296</v>
      </c>
      <c r="B118" s="33" t="s">
        <v>133</v>
      </c>
      <c r="C118" s="33" t="s">
        <v>633</v>
      </c>
      <c r="D118" s="33">
        <v>1340000</v>
      </c>
      <c r="E118" s="33" t="s">
        <v>255</v>
      </c>
      <c r="F118" s="33" t="str">
        <f t="shared" si="2"/>
        <v>rtdc.l.rtdc.4038:itc</v>
      </c>
      <c r="G118" s="8">
        <f t="shared" si="3"/>
        <v>42552.324421296296</v>
      </c>
    </row>
    <row r="119" spans="1:7" x14ac:dyDescent="0.25">
      <c r="A119" s="8">
        <v>42551.496064814812</v>
      </c>
      <c r="B119" s="33" t="s">
        <v>161</v>
      </c>
      <c r="C119" s="33" t="s">
        <v>371</v>
      </c>
      <c r="D119" s="33">
        <v>1310000</v>
      </c>
      <c r="E119" s="33" t="s">
        <v>136</v>
      </c>
      <c r="F119" s="33" t="str">
        <f t="shared" si="2"/>
        <v>rtdc.l.rtdc.4013:itc</v>
      </c>
      <c r="G119" s="8">
        <f t="shared" si="3"/>
        <v>42551.496064814812</v>
      </c>
    </row>
    <row r="120" spans="1:7" x14ac:dyDescent="0.25">
      <c r="A120" s="8">
        <v>42551.569074074076</v>
      </c>
      <c r="B120" s="33" t="s">
        <v>161</v>
      </c>
      <c r="C120" s="33" t="s">
        <v>389</v>
      </c>
      <c r="D120" s="33">
        <v>1280000</v>
      </c>
      <c r="E120" s="33" t="s">
        <v>171</v>
      </c>
      <c r="F120" s="33" t="str">
        <f t="shared" si="2"/>
        <v>rtdc.l.rtdc.4013:itc</v>
      </c>
      <c r="G120" s="8">
        <f t="shared" si="3"/>
        <v>42551.569074074076</v>
      </c>
    </row>
    <row r="121" spans="1:7" x14ac:dyDescent="0.25">
      <c r="A121" s="8">
        <v>42551.484537037039</v>
      </c>
      <c r="B121" s="33" t="s">
        <v>174</v>
      </c>
      <c r="C121" s="33" t="s">
        <v>375</v>
      </c>
      <c r="D121" s="33">
        <v>2020000</v>
      </c>
      <c r="E121" s="33" t="s">
        <v>194</v>
      </c>
      <c r="F121" s="33" t="str">
        <f t="shared" si="2"/>
        <v>rtdc.l.rtdc.4029:itc</v>
      </c>
      <c r="G121" s="8">
        <f t="shared" si="3"/>
        <v>42551.484537037039</v>
      </c>
    </row>
    <row r="122" spans="1:7" x14ac:dyDescent="0.25">
      <c r="A122" s="8">
        <v>42551.740081018521</v>
      </c>
      <c r="B122" s="47" t="s">
        <v>96</v>
      </c>
      <c r="C122" s="33" t="s">
        <v>575</v>
      </c>
      <c r="D122" s="33">
        <v>1780000</v>
      </c>
      <c r="E122" s="33" t="s">
        <v>173</v>
      </c>
      <c r="F122" s="33" t="str">
        <f t="shared" si="2"/>
        <v>rtdc.l.rtdc.4042:itc</v>
      </c>
      <c r="G122" s="8">
        <f t="shared" si="3"/>
        <v>42551.740081018521</v>
      </c>
    </row>
    <row r="123" spans="1:7" x14ac:dyDescent="0.25">
      <c r="A123" s="8">
        <v>42551.457731481481</v>
      </c>
      <c r="B123" s="33" t="s">
        <v>240</v>
      </c>
      <c r="C123" s="33" t="s">
        <v>355</v>
      </c>
      <c r="D123" s="33">
        <v>1830000</v>
      </c>
      <c r="E123" s="33" t="s">
        <v>246</v>
      </c>
      <c r="F123" s="33" t="str">
        <f t="shared" si="2"/>
        <v>rtdc.l.rtdc.4015:itc</v>
      </c>
      <c r="G123" s="8">
        <f t="shared" si="3"/>
        <v>42551.457731481481</v>
      </c>
    </row>
    <row r="124" spans="1:7" x14ac:dyDescent="0.25">
      <c r="A124" s="8">
        <v>42551.901516203703</v>
      </c>
      <c r="B124" s="33" t="s">
        <v>151</v>
      </c>
      <c r="C124" s="33" t="s">
        <v>597</v>
      </c>
      <c r="D124" s="33">
        <v>1750000</v>
      </c>
      <c r="E124" s="33" t="s">
        <v>172</v>
      </c>
      <c r="F124" s="33" t="str">
        <f t="shared" si="2"/>
        <v>rtdc.l.rtdc.4012:itc</v>
      </c>
      <c r="G124" s="8">
        <f t="shared" si="3"/>
        <v>42551.901516203703</v>
      </c>
    </row>
    <row r="125" spans="1:7" x14ac:dyDescent="0.25">
      <c r="A125" s="8">
        <v>42551.454108796293</v>
      </c>
      <c r="B125" s="33" t="s">
        <v>79</v>
      </c>
      <c r="C125" s="33" t="s">
        <v>364</v>
      </c>
      <c r="D125" s="33">
        <v>900000</v>
      </c>
      <c r="E125" s="33" t="s">
        <v>195</v>
      </c>
      <c r="F125" s="33" t="str">
        <f t="shared" si="2"/>
        <v>rtdc.l.rtdc.4019:itc</v>
      </c>
      <c r="G125" s="8">
        <f t="shared" si="3"/>
        <v>42551.454108796293</v>
      </c>
    </row>
    <row r="126" spans="1:7" x14ac:dyDescent="0.25">
      <c r="A126" s="8">
        <v>42551.957442129627</v>
      </c>
      <c r="B126" s="33" t="s">
        <v>256</v>
      </c>
      <c r="C126" s="33" t="s">
        <v>607</v>
      </c>
      <c r="D126" s="33">
        <v>1410000</v>
      </c>
      <c r="E126" s="33" t="s">
        <v>611</v>
      </c>
      <c r="F126" s="33" t="str">
        <f t="shared" si="2"/>
        <v>rtdc.l.rtdc.4005:itc</v>
      </c>
      <c r="G126" s="8">
        <f t="shared" si="3"/>
        <v>42551.957442129627</v>
      </c>
    </row>
    <row r="127" spans="1:7" x14ac:dyDescent="0.25">
      <c r="A127" s="8">
        <v>42551.40252314815</v>
      </c>
      <c r="B127" s="33" t="s">
        <v>151</v>
      </c>
      <c r="C127" s="33" t="s">
        <v>527</v>
      </c>
      <c r="D127" s="33">
        <v>1340000</v>
      </c>
      <c r="E127" s="33" t="s">
        <v>255</v>
      </c>
      <c r="F127" s="33" t="str">
        <f t="shared" si="2"/>
        <v>rtdc.l.rtdc.4012:itc</v>
      </c>
      <c r="G127" s="8">
        <f t="shared" si="3"/>
        <v>42551.40252314815</v>
      </c>
    </row>
    <row r="128" spans="1:7" x14ac:dyDescent="0.25">
      <c r="A128" s="8">
        <v>42552.234097222223</v>
      </c>
      <c r="B128" s="33" t="s">
        <v>96</v>
      </c>
      <c r="C128" s="33" t="s">
        <v>634</v>
      </c>
      <c r="D128" s="33">
        <v>1480000</v>
      </c>
      <c r="E128" s="33" t="s">
        <v>152</v>
      </c>
      <c r="F128" s="33" t="str">
        <f t="shared" si="2"/>
        <v>rtdc.l.rtdc.4042:itc</v>
      </c>
      <c r="G128" s="8">
        <f t="shared" si="3"/>
        <v>42552.234097222223</v>
      </c>
    </row>
    <row r="129" spans="1:7" x14ac:dyDescent="0.25">
      <c r="A129" s="8">
        <v>42551.338946759257</v>
      </c>
      <c r="B129" s="33" t="s">
        <v>95</v>
      </c>
      <c r="C129" s="33" t="s">
        <v>519</v>
      </c>
      <c r="D129" s="33">
        <v>1460000</v>
      </c>
      <c r="E129" s="33" t="s">
        <v>135</v>
      </c>
      <c r="F129" s="33" t="str">
        <f t="shared" si="2"/>
        <v>rtdc.l.rtdc.4041:itc</v>
      </c>
      <c r="G129" s="8">
        <f t="shared" si="3"/>
        <v>42551.338946759257</v>
      </c>
    </row>
    <row r="130" spans="1:7" x14ac:dyDescent="0.25">
      <c r="A130" s="8">
        <v>42552.295787037037</v>
      </c>
      <c r="B130" s="33" t="s">
        <v>170</v>
      </c>
      <c r="C130" s="33" t="s">
        <v>635</v>
      </c>
      <c r="D130" s="33">
        <v>1340000</v>
      </c>
      <c r="E130" s="33" t="s">
        <v>255</v>
      </c>
      <c r="F130" s="33" t="str">
        <f t="shared" ref="F130:F193" si="4">B130</f>
        <v>rtdc.l.rtdc.4037:itc</v>
      </c>
      <c r="G130" s="8">
        <f t="shared" ref="G130:G193" si="5">A130</f>
        <v>42552.295787037037</v>
      </c>
    </row>
    <row r="131" spans="1:7" x14ac:dyDescent="0.25">
      <c r="A131" s="8">
        <v>42551.317627314813</v>
      </c>
      <c r="B131" s="33" t="s">
        <v>96</v>
      </c>
      <c r="C131" s="33" t="s">
        <v>261</v>
      </c>
      <c r="D131" s="33">
        <v>1460000</v>
      </c>
      <c r="E131" s="33" t="s">
        <v>135</v>
      </c>
      <c r="F131" s="33" t="str">
        <f t="shared" si="4"/>
        <v>rtdc.l.rtdc.4042:itc</v>
      </c>
      <c r="G131" s="8">
        <f t="shared" si="5"/>
        <v>42551.317627314813</v>
      </c>
    </row>
    <row r="132" spans="1:7" x14ac:dyDescent="0.25">
      <c r="A132" s="8">
        <v>42551.571550925924</v>
      </c>
      <c r="B132" s="33" t="s">
        <v>80</v>
      </c>
      <c r="C132" s="33" t="s">
        <v>397</v>
      </c>
      <c r="D132" s="33">
        <v>900000</v>
      </c>
      <c r="E132" s="33" t="s">
        <v>195</v>
      </c>
      <c r="F132" s="33" t="str">
        <f t="shared" si="4"/>
        <v>rtdc.l.rtdc.4020:itc</v>
      </c>
      <c r="G132" s="8">
        <f t="shared" si="5"/>
        <v>42551.571550925924</v>
      </c>
    </row>
    <row r="133" spans="1:7" x14ac:dyDescent="0.25">
      <c r="A133" s="8">
        <v>42551.641342592593</v>
      </c>
      <c r="B133" s="33" t="s">
        <v>161</v>
      </c>
      <c r="C133" s="33" t="s">
        <v>408</v>
      </c>
      <c r="D133" s="33">
        <v>1280000</v>
      </c>
      <c r="E133" s="33" t="s">
        <v>171</v>
      </c>
      <c r="F133" s="33" t="str">
        <f t="shared" si="4"/>
        <v>rtdc.l.rtdc.4013:itc</v>
      </c>
      <c r="G133" s="8">
        <f t="shared" si="5"/>
        <v>42551.641342592593</v>
      </c>
    </row>
    <row r="134" spans="1:7" x14ac:dyDescent="0.25">
      <c r="A134" s="8">
        <v>42551.691377314812</v>
      </c>
      <c r="B134" s="33" t="s">
        <v>159</v>
      </c>
      <c r="C134" s="33" t="s">
        <v>424</v>
      </c>
      <c r="D134" s="33">
        <v>1140000</v>
      </c>
      <c r="E134" s="33" t="s">
        <v>198</v>
      </c>
      <c r="F134" s="33" t="str">
        <f t="shared" si="4"/>
        <v>rtdc.l.rtdc.4026:itc</v>
      </c>
      <c r="G134" s="8">
        <f t="shared" si="5"/>
        <v>42551.691377314812</v>
      </c>
    </row>
    <row r="135" spans="1:7" x14ac:dyDescent="0.25">
      <c r="A135" s="8">
        <v>42551.620821759258</v>
      </c>
      <c r="B135" s="33" t="s">
        <v>159</v>
      </c>
      <c r="C135" s="33" t="s">
        <v>402</v>
      </c>
      <c r="D135" s="33">
        <v>1140000</v>
      </c>
      <c r="E135" s="33" t="s">
        <v>198</v>
      </c>
      <c r="F135" s="33" t="str">
        <f t="shared" si="4"/>
        <v>rtdc.l.rtdc.4026:itc</v>
      </c>
      <c r="G135" s="8">
        <f t="shared" si="5"/>
        <v>42551.620821759258</v>
      </c>
    </row>
    <row r="136" spans="1:7" x14ac:dyDescent="0.25">
      <c r="A136" s="8">
        <v>42551.714016203703</v>
      </c>
      <c r="B136" s="33" t="s">
        <v>95</v>
      </c>
      <c r="C136" s="33" t="s">
        <v>568</v>
      </c>
      <c r="D136" s="33">
        <v>1780000</v>
      </c>
      <c r="E136" s="33" t="s">
        <v>173</v>
      </c>
      <c r="F136" s="33" t="str">
        <f t="shared" si="4"/>
        <v>rtdc.l.rtdc.4041:itc</v>
      </c>
      <c r="G136" s="8">
        <f t="shared" si="5"/>
        <v>42551.714016203703</v>
      </c>
    </row>
    <row r="137" spans="1:7" x14ac:dyDescent="0.25">
      <c r="A137" s="8">
        <v>42551.610601851855</v>
      </c>
      <c r="B137" s="33" t="s">
        <v>79</v>
      </c>
      <c r="C137" s="33" t="s">
        <v>398</v>
      </c>
      <c r="D137" s="33">
        <v>900000</v>
      </c>
      <c r="E137" s="33" t="s">
        <v>195</v>
      </c>
      <c r="F137" s="33" t="str">
        <f t="shared" si="4"/>
        <v>rtdc.l.rtdc.4019:itc</v>
      </c>
      <c r="G137" s="8">
        <f t="shared" si="5"/>
        <v>42551.610601851855</v>
      </c>
    </row>
    <row r="138" spans="1:7" x14ac:dyDescent="0.25">
      <c r="A138" s="8">
        <v>42551.714155092595</v>
      </c>
      <c r="B138" s="33" t="s">
        <v>161</v>
      </c>
      <c r="C138" s="33" t="s">
        <v>429</v>
      </c>
      <c r="D138" s="33">
        <v>1280000</v>
      </c>
      <c r="E138" s="33" t="s">
        <v>171</v>
      </c>
      <c r="F138" s="33" t="str">
        <f t="shared" si="4"/>
        <v>rtdc.l.rtdc.4013:itc</v>
      </c>
      <c r="G138" s="8">
        <f t="shared" si="5"/>
        <v>42551.714155092595</v>
      </c>
    </row>
    <row r="139" spans="1:7" x14ac:dyDescent="0.25">
      <c r="A139" s="8">
        <v>42551.604120370372</v>
      </c>
      <c r="B139" s="33" t="s">
        <v>86</v>
      </c>
      <c r="C139" s="33" t="s">
        <v>630</v>
      </c>
      <c r="D139" s="33">
        <v>880000</v>
      </c>
      <c r="E139" s="33" t="s">
        <v>248</v>
      </c>
      <c r="F139" s="33" t="str">
        <f t="shared" si="4"/>
        <v>rtdc.l.rtdc.4031:itc</v>
      </c>
      <c r="G139" s="8">
        <f t="shared" si="5"/>
        <v>42551.604120370372</v>
      </c>
    </row>
    <row r="140" spans="1:7" x14ac:dyDescent="0.25">
      <c r="A140" s="8">
        <v>42551.738993055558</v>
      </c>
      <c r="B140" s="33" t="s">
        <v>170</v>
      </c>
      <c r="C140" s="33" t="s">
        <v>438</v>
      </c>
      <c r="D140" s="33">
        <v>1520000</v>
      </c>
      <c r="E140" s="33" t="s">
        <v>250</v>
      </c>
      <c r="F140" s="33" t="str">
        <f t="shared" si="4"/>
        <v>rtdc.l.rtdc.4037:itc</v>
      </c>
      <c r="G140" s="8">
        <f t="shared" si="5"/>
        <v>42551.738993055558</v>
      </c>
    </row>
    <row r="141" spans="1:7" x14ac:dyDescent="0.25">
      <c r="A141" s="8">
        <v>42551.569131944445</v>
      </c>
      <c r="B141" s="33" t="s">
        <v>151</v>
      </c>
      <c r="C141" s="33" t="s">
        <v>548</v>
      </c>
      <c r="D141" s="33">
        <v>1460000</v>
      </c>
      <c r="E141" s="33" t="s">
        <v>135</v>
      </c>
      <c r="F141" s="33" t="str">
        <f t="shared" si="4"/>
        <v>rtdc.l.rtdc.4012:itc</v>
      </c>
      <c r="G141" s="8">
        <f t="shared" si="5"/>
        <v>42551.569131944445</v>
      </c>
    </row>
    <row r="142" spans="1:7" x14ac:dyDescent="0.25">
      <c r="A142" s="8">
        <v>42551.797905092593</v>
      </c>
      <c r="B142" s="33" t="s">
        <v>178</v>
      </c>
      <c r="C142" s="33" t="s">
        <v>460</v>
      </c>
      <c r="D142" s="33">
        <v>1820000</v>
      </c>
      <c r="E142" s="33" t="s">
        <v>124</v>
      </c>
      <c r="F142" s="33" t="str">
        <f t="shared" si="4"/>
        <v>rtdc.l.rtdc.4039:itc</v>
      </c>
      <c r="G142" s="8">
        <f t="shared" si="5"/>
        <v>42551.797905092593</v>
      </c>
    </row>
    <row r="143" spans="1:7" x14ac:dyDescent="0.25">
      <c r="A143" s="8">
        <v>42551.345625000002</v>
      </c>
      <c r="B143" s="33" t="s">
        <v>150</v>
      </c>
      <c r="C143" s="33" t="s">
        <v>520</v>
      </c>
      <c r="D143" s="33">
        <v>1340000</v>
      </c>
      <c r="E143" s="33" t="s">
        <v>255</v>
      </c>
      <c r="F143" s="33" t="str">
        <f t="shared" si="4"/>
        <v>rtdc.l.rtdc.4011:itc</v>
      </c>
      <c r="G143" s="8">
        <f t="shared" si="5"/>
        <v>42551.345625000002</v>
      </c>
    </row>
    <row r="144" spans="1:7" x14ac:dyDescent="0.25">
      <c r="A144" s="8">
        <v>42551.973958333336</v>
      </c>
      <c r="B144" s="33" t="s">
        <v>176</v>
      </c>
      <c r="C144" s="33" t="s">
        <v>497</v>
      </c>
      <c r="D144" s="33">
        <v>2040000</v>
      </c>
      <c r="E144" s="33" t="s">
        <v>192</v>
      </c>
      <c r="F144" s="33" t="str">
        <f t="shared" si="4"/>
        <v>rtdc.l.rtdc.4027:itc</v>
      </c>
      <c r="G144" s="8">
        <f t="shared" si="5"/>
        <v>42551.973958333336</v>
      </c>
    </row>
    <row r="145" spans="1:7" x14ac:dyDescent="0.25">
      <c r="A145" s="8">
        <v>42551.699641203704</v>
      </c>
      <c r="B145" s="33" t="s">
        <v>96</v>
      </c>
      <c r="C145" s="33" t="s">
        <v>566</v>
      </c>
      <c r="D145" s="33">
        <v>1780000</v>
      </c>
      <c r="E145" s="33" t="s">
        <v>173</v>
      </c>
      <c r="F145" s="33" t="str">
        <f t="shared" si="4"/>
        <v>rtdc.l.rtdc.4042:itc</v>
      </c>
      <c r="G145" s="8">
        <f t="shared" si="5"/>
        <v>42551.699641203704</v>
      </c>
    </row>
    <row r="146" spans="1:7" x14ac:dyDescent="0.25">
      <c r="A146" s="8">
        <v>42552.240324074075</v>
      </c>
      <c r="B146" s="33" t="s">
        <v>160</v>
      </c>
      <c r="C146" s="33" t="s">
        <v>625</v>
      </c>
      <c r="D146" s="33">
        <v>2000000</v>
      </c>
      <c r="E146" s="33" t="s">
        <v>190</v>
      </c>
      <c r="F146" s="33" t="str">
        <f t="shared" si="4"/>
        <v>rtdc.l.rtdc.4014:itc</v>
      </c>
      <c r="G146" s="8">
        <f t="shared" si="5"/>
        <v>42552.240324074075</v>
      </c>
    </row>
    <row r="147" spans="1:7" x14ac:dyDescent="0.25">
      <c r="A147" s="8">
        <v>42551.675949074073</v>
      </c>
      <c r="B147" s="33" t="s">
        <v>160</v>
      </c>
      <c r="C147" s="33" t="s">
        <v>428</v>
      </c>
      <c r="D147" s="33">
        <v>1280000</v>
      </c>
      <c r="E147" s="33" t="s">
        <v>171</v>
      </c>
      <c r="F147" s="33" t="str">
        <f t="shared" si="4"/>
        <v>rtdc.l.rtdc.4014:itc</v>
      </c>
      <c r="G147" s="8">
        <f t="shared" si="5"/>
        <v>42551.675949074073</v>
      </c>
    </row>
    <row r="148" spans="1:7" x14ac:dyDescent="0.25">
      <c r="A148" s="8">
        <v>42552.26116898148</v>
      </c>
      <c r="B148" s="33" t="s">
        <v>83</v>
      </c>
      <c r="C148" s="33" t="s">
        <v>619</v>
      </c>
      <c r="D148" s="33">
        <v>1830000</v>
      </c>
      <c r="E148" s="33" t="s">
        <v>246</v>
      </c>
      <c r="F148" s="33" t="str">
        <f t="shared" si="4"/>
        <v>rtdc.l.rtdc.4017:itc</v>
      </c>
      <c r="G148" s="8">
        <f t="shared" si="5"/>
        <v>42552.26116898148</v>
      </c>
    </row>
    <row r="149" spans="1:7" x14ac:dyDescent="0.25">
      <c r="A149" s="8">
        <v>42551.662499999999</v>
      </c>
      <c r="B149" s="33" t="s">
        <v>175</v>
      </c>
      <c r="C149" s="33" t="s">
        <v>413</v>
      </c>
      <c r="D149" s="33">
        <v>2020000</v>
      </c>
      <c r="E149" s="33" t="s">
        <v>194</v>
      </c>
      <c r="F149" s="33" t="str">
        <f t="shared" si="4"/>
        <v>rtdc.l.rtdc.4030:itc</v>
      </c>
      <c r="G149" s="8">
        <f t="shared" si="5"/>
        <v>42551.662499999999</v>
      </c>
    </row>
    <row r="150" spans="1:7" x14ac:dyDescent="0.25">
      <c r="A150" s="8">
        <v>42551.131898148145</v>
      </c>
      <c r="B150" s="33" t="s">
        <v>263</v>
      </c>
      <c r="C150" s="33" t="s">
        <v>264</v>
      </c>
      <c r="D150" s="33">
        <v>1840000</v>
      </c>
      <c r="E150" s="33" t="s">
        <v>134</v>
      </c>
      <c r="F150" s="33" t="str">
        <f t="shared" si="4"/>
        <v>rtdc.l.rtdc.4002:itc</v>
      </c>
      <c r="G150" s="8">
        <f t="shared" si="5"/>
        <v>42551.131898148145</v>
      </c>
    </row>
    <row r="151" spans="1:7" x14ac:dyDescent="0.25">
      <c r="A151" s="8">
        <v>42551.624594907407</v>
      </c>
      <c r="B151" s="33" t="s">
        <v>174</v>
      </c>
      <c r="C151" s="33" t="s">
        <v>411</v>
      </c>
      <c r="D151" s="33">
        <v>2020000</v>
      </c>
      <c r="E151" s="33" t="s">
        <v>194</v>
      </c>
      <c r="F151" s="33" t="str">
        <f t="shared" si="4"/>
        <v>rtdc.l.rtdc.4029:itc</v>
      </c>
      <c r="G151" s="8">
        <f t="shared" si="5"/>
        <v>42551.624594907407</v>
      </c>
    </row>
    <row r="152" spans="1:7" x14ac:dyDescent="0.25">
      <c r="A152" s="8">
        <v>42551.21570601852</v>
      </c>
      <c r="B152" s="33" t="s">
        <v>175</v>
      </c>
      <c r="C152" s="33" t="s">
        <v>290</v>
      </c>
      <c r="D152" s="33">
        <v>2000000</v>
      </c>
      <c r="E152" s="33" t="s">
        <v>190</v>
      </c>
      <c r="F152" s="33" t="str">
        <f t="shared" si="4"/>
        <v>rtdc.l.rtdc.4030:itc</v>
      </c>
      <c r="G152" s="8">
        <f t="shared" si="5"/>
        <v>42551.21570601852</v>
      </c>
    </row>
    <row r="153" spans="1:7" x14ac:dyDescent="0.25">
      <c r="A153" s="8">
        <v>42551.585196759261</v>
      </c>
      <c r="B153" s="33" t="s">
        <v>175</v>
      </c>
      <c r="C153" s="33" t="s">
        <v>392</v>
      </c>
      <c r="D153" s="33">
        <v>2020000</v>
      </c>
      <c r="E153" s="33" t="s">
        <v>194</v>
      </c>
      <c r="F153" s="33" t="str">
        <f t="shared" si="4"/>
        <v>rtdc.l.rtdc.4030:itc</v>
      </c>
      <c r="G153" s="8">
        <f t="shared" si="5"/>
        <v>42551.585196759261</v>
      </c>
    </row>
    <row r="154" spans="1:7" x14ac:dyDescent="0.25">
      <c r="A154" s="8">
        <v>42551.310439814813</v>
      </c>
      <c r="B154" s="33" t="s">
        <v>160</v>
      </c>
      <c r="C154" s="33" t="s">
        <v>292</v>
      </c>
      <c r="D154" s="33">
        <v>1110000</v>
      </c>
      <c r="E154" s="33" t="s">
        <v>259</v>
      </c>
      <c r="F154" s="33" t="str">
        <f t="shared" si="4"/>
        <v>rtdc.l.rtdc.4014:itc</v>
      </c>
      <c r="G154" s="8">
        <f t="shared" si="5"/>
        <v>42551.310439814813</v>
      </c>
    </row>
    <row r="155" spans="1:7" x14ac:dyDescent="0.25">
      <c r="A155" s="8">
        <v>42551.466979166667</v>
      </c>
      <c r="B155" s="33" t="s">
        <v>238</v>
      </c>
      <c r="C155" s="33" t="s">
        <v>372</v>
      </c>
      <c r="D155" s="33">
        <v>1090000</v>
      </c>
      <c r="E155" s="33" t="s">
        <v>197</v>
      </c>
      <c r="F155" s="33" t="str">
        <f t="shared" si="4"/>
        <v>rtdc.l.rtdc.4016:itc</v>
      </c>
      <c r="G155" s="8">
        <f t="shared" si="5"/>
        <v>42551.466979166667</v>
      </c>
    </row>
    <row r="156" spans="1:7" x14ac:dyDescent="0.25">
      <c r="A156" s="8">
        <v>42551.538518518515</v>
      </c>
      <c r="B156" s="33" t="s">
        <v>79</v>
      </c>
      <c r="C156" s="33" t="s">
        <v>384</v>
      </c>
      <c r="D156" s="33">
        <v>900000</v>
      </c>
      <c r="E156" s="33" t="s">
        <v>195</v>
      </c>
      <c r="F156" s="33" t="str">
        <f t="shared" si="4"/>
        <v>rtdc.l.rtdc.4019:itc</v>
      </c>
      <c r="G156" s="8">
        <f t="shared" si="5"/>
        <v>42551.538518518515</v>
      </c>
    </row>
    <row r="157" spans="1:7" x14ac:dyDescent="0.25">
      <c r="A157" s="8">
        <v>42551.442476851851</v>
      </c>
      <c r="B157" s="33" t="s">
        <v>175</v>
      </c>
      <c r="C157" s="33" t="s">
        <v>360</v>
      </c>
      <c r="D157" s="33">
        <v>2000000</v>
      </c>
      <c r="E157" s="33" t="s">
        <v>190</v>
      </c>
      <c r="F157" s="33" t="str">
        <f t="shared" si="4"/>
        <v>rtdc.l.rtdc.4030:itc</v>
      </c>
      <c r="G157" s="8">
        <f t="shared" si="5"/>
        <v>42551.442476851851</v>
      </c>
    </row>
    <row r="158" spans="1:7" x14ac:dyDescent="0.25">
      <c r="A158" s="8">
        <v>42551.869976851849</v>
      </c>
      <c r="B158" s="33" t="s">
        <v>178</v>
      </c>
      <c r="C158" s="33" t="s">
        <v>476</v>
      </c>
      <c r="D158" s="33">
        <v>1820000</v>
      </c>
      <c r="E158" s="33" t="s">
        <v>124</v>
      </c>
      <c r="F158" s="33" t="str">
        <f t="shared" si="4"/>
        <v>rtdc.l.rtdc.4039:itc</v>
      </c>
      <c r="G158" s="8">
        <f t="shared" si="5"/>
        <v>42551.869976851849</v>
      </c>
    </row>
    <row r="159" spans="1:7" x14ac:dyDescent="0.25">
      <c r="A159" s="8">
        <v>42551.379629629628</v>
      </c>
      <c r="B159" s="33" t="s">
        <v>170</v>
      </c>
      <c r="C159" s="33" t="s">
        <v>341</v>
      </c>
      <c r="D159" s="33">
        <v>2030000</v>
      </c>
      <c r="E159" s="33" t="s">
        <v>193</v>
      </c>
      <c r="F159" s="33" t="str">
        <f t="shared" si="4"/>
        <v>rtdc.l.rtdc.4037:itc</v>
      </c>
      <c r="G159" s="8">
        <f t="shared" si="5"/>
        <v>42551.379629629628</v>
      </c>
    </row>
    <row r="160" spans="1:7" x14ac:dyDescent="0.25">
      <c r="A160" s="8">
        <v>42551.932199074072</v>
      </c>
      <c r="B160" s="33" t="s">
        <v>174</v>
      </c>
      <c r="C160" s="33" t="s">
        <v>490</v>
      </c>
      <c r="D160" s="33">
        <v>1990000</v>
      </c>
      <c r="E160" s="33" t="s">
        <v>196</v>
      </c>
      <c r="F160" s="33" t="str">
        <f t="shared" si="4"/>
        <v>rtdc.l.rtdc.4029:itc</v>
      </c>
      <c r="G160" s="8">
        <f t="shared" si="5"/>
        <v>42551.932199074072</v>
      </c>
    </row>
    <row r="161" spans="1:7" x14ac:dyDescent="0.25">
      <c r="A161" s="8">
        <v>42551.236643518518</v>
      </c>
      <c r="B161" s="33" t="s">
        <v>160</v>
      </c>
      <c r="C161" s="33" t="s">
        <v>262</v>
      </c>
      <c r="D161" s="33">
        <v>1110000</v>
      </c>
      <c r="E161" s="33" t="s">
        <v>259</v>
      </c>
      <c r="F161" s="33" t="str">
        <f t="shared" si="4"/>
        <v>rtdc.l.rtdc.4014:itc</v>
      </c>
      <c r="G161" s="8">
        <f t="shared" si="5"/>
        <v>42551.236643518518</v>
      </c>
    </row>
    <row r="162" spans="1:7" x14ac:dyDescent="0.25">
      <c r="A162" s="8">
        <v>42552.231157407405</v>
      </c>
      <c r="B162" s="33" t="s">
        <v>79</v>
      </c>
      <c r="C162" s="33" t="s">
        <v>626</v>
      </c>
      <c r="D162" s="33">
        <v>1840000</v>
      </c>
      <c r="E162" s="33" t="s">
        <v>134</v>
      </c>
      <c r="F162" s="33" t="str">
        <f t="shared" si="4"/>
        <v>rtdc.l.rtdc.4019:itc</v>
      </c>
      <c r="G162" s="8">
        <f t="shared" si="5"/>
        <v>42552.231157407405</v>
      </c>
    </row>
    <row r="163" spans="1:7" x14ac:dyDescent="0.25">
      <c r="A163" s="8">
        <v>42551.1330787037</v>
      </c>
      <c r="B163" s="33" t="s">
        <v>263</v>
      </c>
      <c r="C163" s="33" t="s">
        <v>264</v>
      </c>
      <c r="D163" s="33">
        <v>1840000</v>
      </c>
      <c r="E163" s="33" t="s">
        <v>134</v>
      </c>
      <c r="F163" s="33" t="str">
        <f t="shared" si="4"/>
        <v>rtdc.l.rtdc.4002:itc</v>
      </c>
      <c r="G163" s="8">
        <f t="shared" si="5"/>
        <v>42551.1330787037</v>
      </c>
    </row>
    <row r="164" spans="1:7" x14ac:dyDescent="0.25">
      <c r="A164" s="8">
        <v>42551.194016203706</v>
      </c>
      <c r="B164" s="33" t="s">
        <v>161</v>
      </c>
      <c r="C164" s="33" t="s">
        <v>258</v>
      </c>
      <c r="D164" s="33">
        <v>1110000</v>
      </c>
      <c r="E164" s="33" t="s">
        <v>259</v>
      </c>
      <c r="F164" s="33" t="str">
        <f t="shared" si="4"/>
        <v>rtdc.l.rtdc.4013:itc</v>
      </c>
      <c r="G164" s="8">
        <f t="shared" si="5"/>
        <v>42551.194016203706</v>
      </c>
    </row>
    <row r="165" spans="1:7" x14ac:dyDescent="0.25">
      <c r="A165" s="8">
        <v>42551.245821759258</v>
      </c>
      <c r="B165" s="33" t="s">
        <v>79</v>
      </c>
      <c r="C165" s="33" t="s">
        <v>265</v>
      </c>
      <c r="D165" s="33">
        <v>2010000</v>
      </c>
      <c r="E165" s="33" t="s">
        <v>191</v>
      </c>
      <c r="F165" s="33" t="str">
        <f t="shared" si="4"/>
        <v>rtdc.l.rtdc.4019:itc</v>
      </c>
      <c r="G165" s="8">
        <f t="shared" si="5"/>
        <v>42551.245821759258</v>
      </c>
    </row>
    <row r="166" spans="1:7" x14ac:dyDescent="0.25">
      <c r="A166" s="8">
        <v>42551.232997685183</v>
      </c>
      <c r="B166" s="33" t="s">
        <v>170</v>
      </c>
      <c r="C166" s="33" t="s">
        <v>294</v>
      </c>
      <c r="D166" s="33">
        <v>2030000</v>
      </c>
      <c r="E166" s="33" t="s">
        <v>193</v>
      </c>
      <c r="F166" s="33" t="str">
        <f t="shared" si="4"/>
        <v>rtdc.l.rtdc.4037:itc</v>
      </c>
      <c r="G166" s="8">
        <f t="shared" si="5"/>
        <v>42551.232997685183</v>
      </c>
    </row>
    <row r="167" spans="1:7" x14ac:dyDescent="0.25">
      <c r="A167" s="8">
        <v>42551.244085648148</v>
      </c>
      <c r="B167" s="33" t="s">
        <v>79</v>
      </c>
      <c r="C167" s="33" t="s">
        <v>265</v>
      </c>
      <c r="D167" s="33">
        <v>2010000</v>
      </c>
      <c r="E167" s="33" t="s">
        <v>191</v>
      </c>
      <c r="F167" s="33" t="str">
        <f t="shared" si="4"/>
        <v>rtdc.l.rtdc.4019:itc</v>
      </c>
      <c r="G167" s="8">
        <f t="shared" si="5"/>
        <v>42551.244085648148</v>
      </c>
    </row>
    <row r="168" spans="1:7" x14ac:dyDescent="0.25">
      <c r="A168" s="8">
        <v>42551.307175925926</v>
      </c>
      <c r="B168" s="33" t="s">
        <v>170</v>
      </c>
      <c r="C168" s="33" t="s">
        <v>295</v>
      </c>
      <c r="D168" s="33">
        <v>2030000</v>
      </c>
      <c r="E168" s="33" t="s">
        <v>193</v>
      </c>
      <c r="F168" s="33" t="str">
        <f t="shared" si="4"/>
        <v>rtdc.l.rtdc.4037:itc</v>
      </c>
      <c r="G168" s="8">
        <f t="shared" si="5"/>
        <v>42551.307175925926</v>
      </c>
    </row>
    <row r="169" spans="1:7" x14ac:dyDescent="0.25">
      <c r="A169" s="8">
        <v>42551.206956018519</v>
      </c>
      <c r="B169" s="33" t="s">
        <v>163</v>
      </c>
      <c r="C169" s="33" t="s">
        <v>266</v>
      </c>
      <c r="D169" s="33">
        <v>1830000</v>
      </c>
      <c r="E169" s="33" t="s">
        <v>246</v>
      </c>
      <c r="F169" s="33" t="str">
        <f t="shared" si="4"/>
        <v>rtdc.l.rtdc.4028:itc</v>
      </c>
      <c r="G169" s="8">
        <f t="shared" si="5"/>
        <v>42551.206956018519</v>
      </c>
    </row>
    <row r="170" spans="1:7" x14ac:dyDescent="0.25">
      <c r="A170" s="8">
        <v>42551.587719907409</v>
      </c>
      <c r="B170" s="33" t="s">
        <v>150</v>
      </c>
      <c r="C170" s="33" t="s">
        <v>549</v>
      </c>
      <c r="D170" s="33">
        <v>1750000</v>
      </c>
      <c r="E170" s="33" t="s">
        <v>172</v>
      </c>
      <c r="F170" s="33" t="str">
        <f t="shared" si="4"/>
        <v>rtdc.l.rtdc.4011:itc</v>
      </c>
      <c r="G170" s="8">
        <f t="shared" si="5"/>
        <v>42551.587719907409</v>
      </c>
    </row>
    <row r="171" spans="1:7" x14ac:dyDescent="0.25">
      <c r="A171" s="8">
        <v>42551.154664351852</v>
      </c>
      <c r="B171" s="33" t="s">
        <v>86</v>
      </c>
      <c r="C171" s="33" t="s">
        <v>267</v>
      </c>
      <c r="D171" s="33">
        <v>1110000</v>
      </c>
      <c r="E171" s="33" t="s">
        <v>259</v>
      </c>
      <c r="F171" s="33" t="str">
        <f t="shared" si="4"/>
        <v>rtdc.l.rtdc.4031:itc</v>
      </c>
      <c r="G171" s="8">
        <f t="shared" si="5"/>
        <v>42551.154664351852</v>
      </c>
    </row>
    <row r="172" spans="1:7" x14ac:dyDescent="0.25">
      <c r="A172" s="8">
        <v>42551.656585648147</v>
      </c>
      <c r="B172" s="33" t="s">
        <v>96</v>
      </c>
      <c r="C172" s="33" t="s">
        <v>558</v>
      </c>
      <c r="D172" s="33">
        <v>1780000</v>
      </c>
      <c r="E172" s="33" t="s">
        <v>173</v>
      </c>
      <c r="F172" s="33" t="str">
        <f t="shared" si="4"/>
        <v>rtdc.l.rtdc.4042:itc</v>
      </c>
      <c r="G172" s="8">
        <f t="shared" si="5"/>
        <v>42551.656585648147</v>
      </c>
    </row>
    <row r="173" spans="1:7" x14ac:dyDescent="0.25">
      <c r="A173" s="8">
        <v>42551.267106481479</v>
      </c>
      <c r="B173" s="33" t="s">
        <v>133</v>
      </c>
      <c r="C173" s="33" t="s">
        <v>268</v>
      </c>
      <c r="D173" s="33">
        <v>2030000</v>
      </c>
      <c r="E173" s="33" t="s">
        <v>193</v>
      </c>
      <c r="F173" s="33" t="str">
        <f t="shared" si="4"/>
        <v>rtdc.l.rtdc.4038:itc</v>
      </c>
      <c r="G173" s="8">
        <f t="shared" si="5"/>
        <v>42551.267106481479</v>
      </c>
    </row>
    <row r="174" spans="1:7" x14ac:dyDescent="0.25">
      <c r="A174" s="8">
        <v>42551.667222222219</v>
      </c>
      <c r="B174" s="33" t="s">
        <v>86</v>
      </c>
      <c r="C174" s="33" t="s">
        <v>426</v>
      </c>
      <c r="D174" s="33">
        <v>880000</v>
      </c>
      <c r="E174" s="33" t="s">
        <v>248</v>
      </c>
      <c r="F174" s="33" t="str">
        <f t="shared" si="4"/>
        <v>rtdc.l.rtdc.4031:itc</v>
      </c>
      <c r="G174" s="8">
        <f t="shared" si="5"/>
        <v>42551.667222222219</v>
      </c>
    </row>
    <row r="175" spans="1:7" x14ac:dyDescent="0.25">
      <c r="A175" s="8">
        <v>42551.203969907408</v>
      </c>
      <c r="B175" s="33" t="s">
        <v>161</v>
      </c>
      <c r="C175" s="33" t="s">
        <v>258</v>
      </c>
      <c r="D175" s="33">
        <v>1110000</v>
      </c>
      <c r="E175" s="33" t="s">
        <v>259</v>
      </c>
      <c r="F175" s="33" t="str">
        <f t="shared" si="4"/>
        <v>rtdc.l.rtdc.4013:itc</v>
      </c>
      <c r="G175" s="8">
        <f t="shared" si="5"/>
        <v>42551.203969907408</v>
      </c>
    </row>
    <row r="176" spans="1:7" x14ac:dyDescent="0.25">
      <c r="A176" s="8">
        <v>42551.868657407409</v>
      </c>
      <c r="B176" s="33" t="s">
        <v>178</v>
      </c>
      <c r="C176" s="33" t="s">
        <v>476</v>
      </c>
      <c r="D176" s="33">
        <v>1820000</v>
      </c>
      <c r="E176" s="33" t="s">
        <v>124</v>
      </c>
      <c r="F176" s="33" t="str">
        <f t="shared" si="4"/>
        <v>rtdc.l.rtdc.4039:itc</v>
      </c>
      <c r="G176" s="8">
        <f t="shared" si="5"/>
        <v>42551.868657407409</v>
      </c>
    </row>
    <row r="177" spans="1:7" x14ac:dyDescent="0.25">
      <c r="A177" s="8">
        <v>42551.182256944441</v>
      </c>
      <c r="B177" s="33" t="s">
        <v>174</v>
      </c>
      <c r="C177" s="33" t="s">
        <v>252</v>
      </c>
      <c r="D177" s="33">
        <v>2000000</v>
      </c>
      <c r="E177" s="33" t="s">
        <v>190</v>
      </c>
      <c r="F177" s="33" t="str">
        <f t="shared" si="4"/>
        <v>rtdc.l.rtdc.4029:itc</v>
      </c>
      <c r="G177" s="8">
        <f t="shared" si="5"/>
        <v>42551.182256944441</v>
      </c>
    </row>
    <row r="178" spans="1:7" x14ac:dyDescent="0.25">
      <c r="A178" s="8">
        <v>42552.016157407408</v>
      </c>
      <c r="B178" s="33" t="s">
        <v>163</v>
      </c>
      <c r="C178" s="33" t="s">
        <v>498</v>
      </c>
      <c r="D178" s="33">
        <v>2040000</v>
      </c>
      <c r="E178" s="33" t="s">
        <v>192</v>
      </c>
      <c r="F178" s="33" t="str">
        <f t="shared" si="4"/>
        <v>rtdc.l.rtdc.4028:itc</v>
      </c>
      <c r="G178" s="8">
        <f t="shared" si="5"/>
        <v>42552.016157407408</v>
      </c>
    </row>
    <row r="179" spans="1:7" x14ac:dyDescent="0.25">
      <c r="A179" s="8">
        <v>42551.603680555556</v>
      </c>
      <c r="B179" s="33" t="s">
        <v>160</v>
      </c>
      <c r="C179" s="33" t="s">
        <v>405</v>
      </c>
      <c r="D179" s="33">
        <v>1280000</v>
      </c>
      <c r="E179" s="33" t="s">
        <v>171</v>
      </c>
      <c r="F179" s="33" t="str">
        <f t="shared" si="4"/>
        <v>rtdc.l.rtdc.4014:itc</v>
      </c>
      <c r="G179" s="8">
        <f t="shared" si="5"/>
        <v>42551.603680555556</v>
      </c>
    </row>
    <row r="180" spans="1:7" x14ac:dyDescent="0.25">
      <c r="A180" s="8">
        <v>42552.038240740738</v>
      </c>
      <c r="B180" s="33" t="s">
        <v>178</v>
      </c>
      <c r="C180" s="33" t="s">
        <v>501</v>
      </c>
      <c r="D180" s="33">
        <v>1820000</v>
      </c>
      <c r="E180" s="33" t="s">
        <v>124</v>
      </c>
      <c r="F180" s="33" t="str">
        <f t="shared" si="4"/>
        <v>rtdc.l.rtdc.4039:itc</v>
      </c>
      <c r="G180" s="8">
        <f t="shared" si="5"/>
        <v>42552.038240740738</v>
      </c>
    </row>
    <row r="181" spans="1:7" x14ac:dyDescent="0.25">
      <c r="A181" s="8">
        <v>42551.585150462961</v>
      </c>
      <c r="B181" s="33" t="s">
        <v>162</v>
      </c>
      <c r="C181" s="33" t="s">
        <v>399</v>
      </c>
      <c r="D181" s="33">
        <v>1140000</v>
      </c>
      <c r="E181" s="33" t="s">
        <v>198</v>
      </c>
      <c r="F181" s="33" t="str">
        <f t="shared" si="4"/>
        <v>rtdc.l.rtdc.4025:itc</v>
      </c>
      <c r="G181" s="8">
        <f t="shared" si="5"/>
        <v>42551.585150462961</v>
      </c>
    </row>
    <row r="182" spans="1:7" x14ac:dyDescent="0.25">
      <c r="A182" s="8">
        <v>42552.235925925925</v>
      </c>
      <c r="B182" s="33" t="s">
        <v>133</v>
      </c>
      <c r="C182" s="33" t="s">
        <v>636</v>
      </c>
      <c r="D182" s="33">
        <v>1340000</v>
      </c>
      <c r="E182" s="33" t="s">
        <v>255</v>
      </c>
      <c r="F182" s="33" t="str">
        <f t="shared" si="4"/>
        <v>rtdc.l.rtdc.4038:itc</v>
      </c>
      <c r="G182" s="8">
        <f t="shared" si="5"/>
        <v>42552.235925925925</v>
      </c>
    </row>
    <row r="183" spans="1:7" x14ac:dyDescent="0.25">
      <c r="A183" s="8">
        <v>42551.517569444448</v>
      </c>
      <c r="B183" s="33" t="s">
        <v>175</v>
      </c>
      <c r="C183" s="33" t="s">
        <v>378</v>
      </c>
      <c r="D183" s="33">
        <v>2020000</v>
      </c>
      <c r="E183" s="33" t="s">
        <v>194</v>
      </c>
      <c r="F183" s="33" t="str">
        <f t="shared" si="4"/>
        <v>rtdc.l.rtdc.4030:itc</v>
      </c>
      <c r="G183" s="8">
        <f t="shared" si="5"/>
        <v>42551.517569444448</v>
      </c>
    </row>
    <row r="184" spans="1:7" x14ac:dyDescent="0.25">
      <c r="A184" s="8">
        <v>42551.257870370369</v>
      </c>
      <c r="B184" s="33" t="s">
        <v>174</v>
      </c>
      <c r="C184" s="33" t="s">
        <v>283</v>
      </c>
      <c r="D184" s="33">
        <v>2000000</v>
      </c>
      <c r="E184" s="33" t="s">
        <v>190</v>
      </c>
      <c r="F184" s="33" t="str">
        <f t="shared" si="4"/>
        <v>rtdc.l.rtdc.4029:itc</v>
      </c>
      <c r="G184" s="8">
        <f t="shared" si="5"/>
        <v>42551.257870370369</v>
      </c>
    </row>
    <row r="185" spans="1:7" x14ac:dyDescent="0.25">
      <c r="A185" s="8">
        <v>42551.450289351851</v>
      </c>
      <c r="B185" s="33" t="s">
        <v>170</v>
      </c>
      <c r="C185" s="33" t="s">
        <v>362</v>
      </c>
      <c r="D185" s="33">
        <v>2030000</v>
      </c>
      <c r="E185" s="33" t="s">
        <v>193</v>
      </c>
      <c r="F185" s="33" t="str">
        <f t="shared" si="4"/>
        <v>rtdc.l.rtdc.4037:itc</v>
      </c>
      <c r="G185" s="8">
        <f t="shared" si="5"/>
        <v>42551.450289351851</v>
      </c>
    </row>
    <row r="186" spans="1:7" x14ac:dyDescent="0.25">
      <c r="A186" s="8">
        <v>42551.349386574075</v>
      </c>
      <c r="B186" s="33" t="s">
        <v>240</v>
      </c>
      <c r="C186" s="33" t="s">
        <v>334</v>
      </c>
      <c r="D186" s="33">
        <v>1830000</v>
      </c>
      <c r="E186" s="33" t="s">
        <v>246</v>
      </c>
      <c r="F186" s="33" t="str">
        <f t="shared" si="4"/>
        <v>rtdc.l.rtdc.4015:itc</v>
      </c>
      <c r="G186" s="8">
        <f t="shared" si="5"/>
        <v>42551.349386574075</v>
      </c>
    </row>
    <row r="187" spans="1:7" x14ac:dyDescent="0.25">
      <c r="A187" s="8">
        <v>42551.444212962961</v>
      </c>
      <c r="B187" s="33" t="s">
        <v>151</v>
      </c>
      <c r="C187" s="33" t="s">
        <v>533</v>
      </c>
      <c r="D187" s="33">
        <v>1460000</v>
      </c>
      <c r="E187" s="33" t="s">
        <v>135</v>
      </c>
      <c r="F187" s="33" t="str">
        <f t="shared" si="4"/>
        <v>rtdc.l.rtdc.4012:itc</v>
      </c>
      <c r="G187" s="8">
        <f t="shared" si="5"/>
        <v>42551.444212962961</v>
      </c>
    </row>
    <row r="188" spans="1:7" x14ac:dyDescent="0.25">
      <c r="A188" s="8">
        <v>42551.476898148147</v>
      </c>
      <c r="B188" s="33" t="s">
        <v>174</v>
      </c>
      <c r="C188" s="33" t="s">
        <v>375</v>
      </c>
      <c r="D188" s="33">
        <v>2020000</v>
      </c>
      <c r="E188" s="33" t="s">
        <v>194</v>
      </c>
      <c r="F188" s="33" t="str">
        <f t="shared" si="4"/>
        <v>rtdc.l.rtdc.4029:itc</v>
      </c>
      <c r="G188" s="8">
        <f t="shared" si="5"/>
        <v>42551.476898148147</v>
      </c>
    </row>
    <row r="189" spans="1:7" x14ac:dyDescent="0.25">
      <c r="A189" s="8">
        <v>42551.444027777776</v>
      </c>
      <c r="B189" s="33" t="s">
        <v>86</v>
      </c>
      <c r="C189" s="33" t="s">
        <v>367</v>
      </c>
      <c r="D189" s="33">
        <v>880000</v>
      </c>
      <c r="E189" s="33" t="s">
        <v>248</v>
      </c>
      <c r="F189" s="33" t="str">
        <f t="shared" si="4"/>
        <v>rtdc.l.rtdc.4031:itc</v>
      </c>
      <c r="G189" s="8">
        <f t="shared" si="5"/>
        <v>42551.444027777776</v>
      </c>
    </row>
    <row r="190" spans="1:7" x14ac:dyDescent="0.25">
      <c r="A190" s="8">
        <v>42551.651562500003</v>
      </c>
      <c r="B190" s="33" t="s">
        <v>80</v>
      </c>
      <c r="C190" s="33" t="s">
        <v>419</v>
      </c>
      <c r="D190" s="33">
        <v>900000</v>
      </c>
      <c r="E190" s="33" t="s">
        <v>195</v>
      </c>
      <c r="F190" s="33" t="str">
        <f t="shared" si="4"/>
        <v>rtdc.l.rtdc.4020:itc</v>
      </c>
      <c r="G190" s="8">
        <f t="shared" si="5"/>
        <v>42551.651562500003</v>
      </c>
    </row>
    <row r="191" spans="1:7" x14ac:dyDescent="0.25">
      <c r="A191" s="8">
        <v>42551.425983796296</v>
      </c>
      <c r="B191" s="33" t="s">
        <v>150</v>
      </c>
      <c r="C191" s="33" t="s">
        <v>530</v>
      </c>
      <c r="D191" s="33">
        <v>1460000</v>
      </c>
      <c r="E191" s="33" t="s">
        <v>135</v>
      </c>
      <c r="F191" s="33" t="str">
        <f t="shared" si="4"/>
        <v>rtdc.l.rtdc.4011:itc</v>
      </c>
      <c r="G191" s="8">
        <f t="shared" si="5"/>
        <v>42551.425983796296</v>
      </c>
    </row>
    <row r="192" spans="1:7" x14ac:dyDescent="0.25">
      <c r="A192" s="8">
        <v>42551.703750000001</v>
      </c>
      <c r="B192" s="33" t="s">
        <v>70</v>
      </c>
      <c r="C192" s="33" t="s">
        <v>427</v>
      </c>
      <c r="D192" s="33">
        <v>880000</v>
      </c>
      <c r="E192" s="33" t="s">
        <v>248</v>
      </c>
      <c r="F192" s="33" t="str">
        <f t="shared" si="4"/>
        <v>rtdc.l.rtdc.4032:itc</v>
      </c>
      <c r="G192" s="8">
        <f t="shared" si="5"/>
        <v>42551.703750000001</v>
      </c>
    </row>
    <row r="193" spans="1:7" x14ac:dyDescent="0.25">
      <c r="A193" s="8">
        <v>42552.204328703701</v>
      </c>
      <c r="B193" s="33" t="s">
        <v>82</v>
      </c>
      <c r="C193" s="33" t="s">
        <v>637</v>
      </c>
      <c r="D193" s="33">
        <v>1830000</v>
      </c>
      <c r="E193" s="33" t="s">
        <v>246</v>
      </c>
      <c r="F193" s="33" t="str">
        <f t="shared" si="4"/>
        <v>rtdc.l.rtdc.4018:itc</v>
      </c>
      <c r="G193" s="8">
        <f t="shared" si="5"/>
        <v>42552.204328703701</v>
      </c>
    </row>
    <row r="194" spans="1:7" x14ac:dyDescent="0.25">
      <c r="A194" s="8">
        <v>42552.000636574077</v>
      </c>
      <c r="B194" s="33" t="s">
        <v>609</v>
      </c>
      <c r="C194" s="33" t="s">
        <v>607</v>
      </c>
      <c r="D194" s="33">
        <v>1410000</v>
      </c>
      <c r="E194" s="33" t="s">
        <v>611</v>
      </c>
      <c r="F194" s="33" t="str">
        <f t="shared" ref="F194:F235" si="6">B194</f>
        <v>rtdc.l.rtdc.4006:itc</v>
      </c>
      <c r="G194" s="8">
        <f t="shared" ref="G194:G235" si="7">A194</f>
        <v>42552.000636574077</v>
      </c>
    </row>
    <row r="195" spans="1:7" x14ac:dyDescent="0.25">
      <c r="A195" s="8">
        <v>42551.891192129631</v>
      </c>
      <c r="B195" s="33" t="s">
        <v>175</v>
      </c>
      <c r="C195" s="33" t="s">
        <v>478</v>
      </c>
      <c r="D195" s="33">
        <v>1990000</v>
      </c>
      <c r="E195" s="33" t="s">
        <v>196</v>
      </c>
      <c r="F195" s="33" t="str">
        <f t="shared" si="6"/>
        <v>rtdc.l.rtdc.4030:itc</v>
      </c>
      <c r="G195" s="8">
        <f t="shared" si="7"/>
        <v>42551.891192129631</v>
      </c>
    </row>
    <row r="196" spans="1:7" x14ac:dyDescent="0.25">
      <c r="A196" s="8">
        <v>42552.276388888888</v>
      </c>
      <c r="B196" s="33" t="s">
        <v>161</v>
      </c>
      <c r="C196" s="33" t="s">
        <v>638</v>
      </c>
      <c r="D196" s="33">
        <v>2000000</v>
      </c>
      <c r="E196" s="33" t="s">
        <v>190</v>
      </c>
      <c r="F196" s="33" t="str">
        <f t="shared" si="6"/>
        <v>rtdc.l.rtdc.4013:itc</v>
      </c>
      <c r="G196" s="8">
        <f t="shared" si="7"/>
        <v>42552.276388888888</v>
      </c>
    </row>
    <row r="197" spans="1:7" x14ac:dyDescent="0.25">
      <c r="A197" s="8">
        <v>42551.778113425928</v>
      </c>
      <c r="B197" s="33" t="s">
        <v>163</v>
      </c>
      <c r="C197" s="33" t="s">
        <v>454</v>
      </c>
      <c r="D197" s="33">
        <v>2040000</v>
      </c>
      <c r="E197" s="33" t="s">
        <v>192</v>
      </c>
      <c r="F197" s="33" t="str">
        <f t="shared" si="6"/>
        <v>rtdc.l.rtdc.4028:itc</v>
      </c>
      <c r="G197" s="8">
        <f t="shared" si="7"/>
        <v>42551.778113425928</v>
      </c>
    </row>
    <row r="198" spans="1:7" x14ac:dyDescent="0.25">
      <c r="A198" s="8">
        <v>42551.279895833337</v>
      </c>
      <c r="B198" s="33" t="s">
        <v>240</v>
      </c>
      <c r="C198" s="33" t="s">
        <v>296</v>
      </c>
      <c r="D198" s="33">
        <v>1830000</v>
      </c>
      <c r="E198" s="33" t="s">
        <v>246</v>
      </c>
      <c r="F198" s="33" t="str">
        <f t="shared" si="6"/>
        <v>rtdc.l.rtdc.4015:itc</v>
      </c>
      <c r="G198" s="8">
        <f t="shared" si="7"/>
        <v>42551.279895833337</v>
      </c>
    </row>
    <row r="199" spans="1:7" x14ac:dyDescent="0.25">
      <c r="A199" s="8">
        <v>42551.522777777776</v>
      </c>
      <c r="B199" s="33" t="s">
        <v>170</v>
      </c>
      <c r="C199" s="33" t="s">
        <v>381</v>
      </c>
      <c r="D199" s="33">
        <v>1520000</v>
      </c>
      <c r="E199" s="33" t="s">
        <v>250</v>
      </c>
      <c r="F199" s="33" t="str">
        <f t="shared" si="6"/>
        <v>rtdc.l.rtdc.4037:itc</v>
      </c>
      <c r="G199" s="8">
        <f t="shared" si="7"/>
        <v>42551.522777777776</v>
      </c>
    </row>
    <row r="200" spans="1:7" x14ac:dyDescent="0.25">
      <c r="A200" s="8">
        <v>42551.319918981484</v>
      </c>
      <c r="B200" s="33" t="s">
        <v>238</v>
      </c>
      <c r="C200" s="33" t="s">
        <v>297</v>
      </c>
      <c r="D200" s="33">
        <v>1830000</v>
      </c>
      <c r="E200" s="33" t="s">
        <v>246</v>
      </c>
      <c r="F200" s="33" t="str">
        <f t="shared" si="6"/>
        <v>rtdc.l.rtdc.4016:itc</v>
      </c>
      <c r="G200" s="8">
        <f t="shared" si="7"/>
        <v>42551.319918981484</v>
      </c>
    </row>
    <row r="201" spans="1:7" x14ac:dyDescent="0.25">
      <c r="A201" s="8">
        <v>42551.388078703705</v>
      </c>
      <c r="B201" s="33" t="s">
        <v>79</v>
      </c>
      <c r="C201" s="33" t="s">
        <v>345</v>
      </c>
      <c r="D201" s="33">
        <v>2010000</v>
      </c>
      <c r="E201" s="33" t="s">
        <v>191</v>
      </c>
      <c r="F201" s="33" t="str">
        <f t="shared" si="6"/>
        <v>rtdc.l.rtdc.4019:itc</v>
      </c>
      <c r="G201" s="8">
        <f t="shared" si="7"/>
        <v>42551.388078703705</v>
      </c>
    </row>
    <row r="202" spans="1:7" x14ac:dyDescent="0.25">
      <c r="A202" s="48">
        <v>42551.412476851852</v>
      </c>
      <c r="B202" s="33" t="s">
        <v>133</v>
      </c>
      <c r="C202" s="33" t="s">
        <v>361</v>
      </c>
      <c r="D202" s="33">
        <v>2030000</v>
      </c>
      <c r="E202" s="33" t="s">
        <v>193</v>
      </c>
      <c r="F202" s="33" t="str">
        <f t="shared" si="6"/>
        <v>rtdc.l.rtdc.4038:itc</v>
      </c>
      <c r="G202" s="8">
        <f t="shared" si="7"/>
        <v>42551.412476851852</v>
      </c>
    </row>
    <row r="203" spans="1:7" x14ac:dyDescent="0.25">
      <c r="A203" s="8">
        <v>42552.298113425924</v>
      </c>
      <c r="B203" s="33" t="s">
        <v>82</v>
      </c>
      <c r="C203" s="33" t="s">
        <v>639</v>
      </c>
      <c r="D203" s="33">
        <v>1830000</v>
      </c>
      <c r="E203" s="33" t="s">
        <v>246</v>
      </c>
      <c r="F203" s="33" t="str">
        <f t="shared" si="6"/>
        <v>rtdc.l.rtdc.4018:itc</v>
      </c>
      <c r="G203" s="8">
        <f t="shared" si="7"/>
        <v>42552.298113425924</v>
      </c>
    </row>
    <row r="204" spans="1:7" x14ac:dyDescent="0.25">
      <c r="A204" s="8">
        <v>42551.545532407406</v>
      </c>
      <c r="B204" s="33" t="s">
        <v>150</v>
      </c>
      <c r="C204" s="33" t="s">
        <v>546</v>
      </c>
      <c r="D204" s="33">
        <v>1460000</v>
      </c>
      <c r="E204" s="33" t="s">
        <v>135</v>
      </c>
      <c r="F204" s="33" t="str">
        <f t="shared" si="6"/>
        <v>rtdc.l.rtdc.4011:itc</v>
      </c>
      <c r="G204" s="8">
        <f t="shared" si="7"/>
        <v>42551.545532407406</v>
      </c>
    </row>
    <row r="205" spans="1:7" x14ac:dyDescent="0.25">
      <c r="A205" s="8">
        <v>42551.848738425928</v>
      </c>
      <c r="B205" s="33" t="s">
        <v>174</v>
      </c>
      <c r="C205" s="33" t="s">
        <v>477</v>
      </c>
      <c r="D205" s="33">
        <v>1990000</v>
      </c>
      <c r="E205" s="33" t="s">
        <v>196</v>
      </c>
      <c r="F205" s="33" t="str">
        <f t="shared" si="6"/>
        <v>rtdc.l.rtdc.4029:itc</v>
      </c>
      <c r="G205" s="8">
        <f t="shared" si="7"/>
        <v>42551.848738425928</v>
      </c>
    </row>
    <row r="206" spans="1:7" x14ac:dyDescent="0.25">
      <c r="A206" s="8">
        <v>42551.683888888889</v>
      </c>
      <c r="B206" s="33" t="s">
        <v>79</v>
      </c>
      <c r="C206" s="33" t="s">
        <v>422</v>
      </c>
      <c r="D206" s="33">
        <v>900000</v>
      </c>
      <c r="E206" s="33" t="s">
        <v>195</v>
      </c>
      <c r="F206" s="33" t="str">
        <f t="shared" si="6"/>
        <v>rtdc.l.rtdc.4019:itc</v>
      </c>
      <c r="G206" s="8">
        <f t="shared" si="7"/>
        <v>42551.683888888889</v>
      </c>
    </row>
    <row r="207" spans="1:7" x14ac:dyDescent="0.25">
      <c r="A207" s="8">
        <v>42551.505185185182</v>
      </c>
      <c r="B207" s="33" t="s">
        <v>240</v>
      </c>
      <c r="C207" s="33" t="s">
        <v>374</v>
      </c>
      <c r="D207" s="33">
        <v>1090000</v>
      </c>
      <c r="E207" s="33" t="s">
        <v>197</v>
      </c>
      <c r="F207" s="33" t="str">
        <f t="shared" si="6"/>
        <v>rtdc.l.rtdc.4015:itc</v>
      </c>
      <c r="G207" s="8">
        <f t="shared" si="7"/>
        <v>42551.505185185182</v>
      </c>
    </row>
    <row r="208" spans="1:7" x14ac:dyDescent="0.25">
      <c r="A208" s="8">
        <v>42552.151493055557</v>
      </c>
      <c r="B208" s="33" t="s">
        <v>160</v>
      </c>
      <c r="C208" s="33" t="s">
        <v>640</v>
      </c>
      <c r="D208" s="33">
        <v>1480000</v>
      </c>
      <c r="E208" s="33" t="s">
        <v>152</v>
      </c>
      <c r="F208" s="33" t="str">
        <f t="shared" si="6"/>
        <v>rtdc.l.rtdc.4014:itc</v>
      </c>
      <c r="G208" s="8">
        <f t="shared" si="7"/>
        <v>42552.151493055557</v>
      </c>
    </row>
    <row r="209" spans="1:7" x14ac:dyDescent="0.25">
      <c r="A209" s="8">
        <v>42551.486898148149</v>
      </c>
      <c r="B209" s="33" t="s">
        <v>133</v>
      </c>
      <c r="C209" s="33" t="s">
        <v>379</v>
      </c>
      <c r="D209" s="33">
        <v>1520000</v>
      </c>
      <c r="E209" s="33" t="s">
        <v>250</v>
      </c>
      <c r="F209" s="33" t="str">
        <f t="shared" si="6"/>
        <v>rtdc.l.rtdc.4038:itc</v>
      </c>
      <c r="G209" s="8">
        <f t="shared" si="7"/>
        <v>42551.486898148149</v>
      </c>
    </row>
    <row r="210" spans="1:7" x14ac:dyDescent="0.25">
      <c r="A210" s="8">
        <v>42551.256041666667</v>
      </c>
      <c r="B210" s="33" t="s">
        <v>174</v>
      </c>
      <c r="C210" s="33" t="s">
        <v>283</v>
      </c>
      <c r="D210" s="33">
        <v>2000000</v>
      </c>
      <c r="E210" s="33" t="s">
        <v>190</v>
      </c>
      <c r="F210" s="33" t="str">
        <f t="shared" si="6"/>
        <v>rtdc.l.rtdc.4029:itc</v>
      </c>
      <c r="G210" s="8">
        <f t="shared" si="7"/>
        <v>42551.256041666667</v>
      </c>
    </row>
    <row r="211" spans="1:7" x14ac:dyDescent="0.25">
      <c r="A211" s="8">
        <v>42551.482175925928</v>
      </c>
      <c r="B211" s="33" t="s">
        <v>70</v>
      </c>
      <c r="C211" s="33" t="s">
        <v>368</v>
      </c>
      <c r="D211" s="33">
        <v>880000</v>
      </c>
      <c r="E211" s="33" t="s">
        <v>248</v>
      </c>
      <c r="F211" s="33" t="str">
        <f t="shared" si="6"/>
        <v>rtdc.l.rtdc.4032:itc</v>
      </c>
      <c r="G211" s="8">
        <f t="shared" si="7"/>
        <v>42551.482175925928</v>
      </c>
    </row>
    <row r="212" spans="1:7" x14ac:dyDescent="0.25">
      <c r="A212" s="8">
        <v>42551.353831018518</v>
      </c>
      <c r="B212" s="33" t="s">
        <v>80</v>
      </c>
      <c r="C212" s="33" t="s">
        <v>342</v>
      </c>
      <c r="D212" s="33">
        <v>2010000</v>
      </c>
      <c r="E212" s="33" t="s">
        <v>191</v>
      </c>
      <c r="F212" s="33" t="str">
        <f t="shared" si="6"/>
        <v>rtdc.l.rtdc.4020:itc</v>
      </c>
      <c r="G212" s="8">
        <f t="shared" si="7"/>
        <v>42551.353831018518</v>
      </c>
    </row>
    <row r="213" spans="1:7" x14ac:dyDescent="0.25">
      <c r="A213" s="8">
        <v>42551.737164351849</v>
      </c>
      <c r="B213" s="33" t="s">
        <v>176</v>
      </c>
      <c r="C213" s="33" t="s">
        <v>451</v>
      </c>
      <c r="D213" s="33">
        <v>2040000</v>
      </c>
      <c r="E213" s="33" t="s">
        <v>192</v>
      </c>
      <c r="F213" s="33" t="str">
        <f t="shared" si="6"/>
        <v>rtdc.l.rtdc.4027:itc</v>
      </c>
      <c r="G213" s="8">
        <f t="shared" si="7"/>
        <v>42551.737164351849</v>
      </c>
    </row>
    <row r="214" spans="1:7" x14ac:dyDescent="0.25">
      <c r="A214" s="8">
        <v>42551.423402777778</v>
      </c>
      <c r="B214" s="33" t="s">
        <v>240</v>
      </c>
      <c r="C214" s="33" t="s">
        <v>355</v>
      </c>
      <c r="D214" s="33">
        <v>1830000</v>
      </c>
      <c r="E214" s="33" t="s">
        <v>246</v>
      </c>
      <c r="F214" s="33" t="str">
        <f t="shared" si="6"/>
        <v>rtdc.l.rtdc.4015:itc</v>
      </c>
      <c r="G214" s="8">
        <f t="shared" si="7"/>
        <v>42551.423402777778</v>
      </c>
    </row>
    <row r="215" spans="1:7" x14ac:dyDescent="0.25">
      <c r="A215" s="8">
        <v>42551.728020833332</v>
      </c>
      <c r="B215" s="33" t="s">
        <v>162</v>
      </c>
      <c r="C215" s="33" t="s">
        <v>445</v>
      </c>
      <c r="D215" s="33">
        <v>1140000</v>
      </c>
      <c r="E215" s="33" t="s">
        <v>198</v>
      </c>
      <c r="F215" s="33" t="str">
        <f t="shared" si="6"/>
        <v>rtdc.l.rtdc.4025:itc</v>
      </c>
      <c r="G215" s="8">
        <f t="shared" si="7"/>
        <v>42551.728020833332</v>
      </c>
    </row>
    <row r="216" spans="1:7" x14ac:dyDescent="0.25">
      <c r="A216" s="8">
        <v>42551.956550925926</v>
      </c>
      <c r="B216" s="33" t="s">
        <v>256</v>
      </c>
      <c r="C216" s="33" t="s">
        <v>607</v>
      </c>
      <c r="D216" s="33">
        <v>1410000</v>
      </c>
      <c r="E216" s="33" t="s">
        <v>611</v>
      </c>
      <c r="F216" s="33" t="str">
        <f t="shared" si="6"/>
        <v>rtdc.l.rtdc.4005:itc</v>
      </c>
      <c r="G216" s="8">
        <f t="shared" si="7"/>
        <v>42551.956550925926</v>
      </c>
    </row>
    <row r="217" spans="1:7" x14ac:dyDescent="0.25">
      <c r="A217" s="8">
        <v>42551.470439814817</v>
      </c>
      <c r="B217" s="33" t="s">
        <v>159</v>
      </c>
      <c r="C217" s="33" t="s">
        <v>366</v>
      </c>
      <c r="D217" s="33">
        <v>2010000</v>
      </c>
      <c r="E217" s="33" t="s">
        <v>191</v>
      </c>
      <c r="F217" s="33" t="str">
        <f t="shared" si="6"/>
        <v>rtdc.l.rtdc.4026:itc</v>
      </c>
      <c r="G217" s="8">
        <f t="shared" si="7"/>
        <v>42551.470439814817</v>
      </c>
    </row>
    <row r="218" spans="1:7" x14ac:dyDescent="0.25">
      <c r="A218" s="8">
        <v>42552.289363425924</v>
      </c>
      <c r="B218" s="33" t="s">
        <v>86</v>
      </c>
      <c r="C218" s="33" t="s">
        <v>641</v>
      </c>
      <c r="D218" s="33">
        <v>1310000</v>
      </c>
      <c r="E218" s="33" t="s">
        <v>136</v>
      </c>
      <c r="F218" s="33" t="str">
        <f t="shared" si="6"/>
        <v>rtdc.l.rtdc.4031:itc</v>
      </c>
      <c r="G218" s="8">
        <f t="shared" si="7"/>
        <v>42552.289363425924</v>
      </c>
    </row>
    <row r="219" spans="1:7" x14ac:dyDescent="0.25">
      <c r="A219" s="8">
        <v>42551.42292824074</v>
      </c>
      <c r="B219" s="33" t="s">
        <v>161</v>
      </c>
      <c r="C219" s="33" t="s">
        <v>352</v>
      </c>
      <c r="D219" s="33">
        <v>1110000</v>
      </c>
      <c r="E219" s="33" t="s">
        <v>259</v>
      </c>
      <c r="F219" s="33" t="str">
        <f t="shared" si="6"/>
        <v>rtdc.l.rtdc.4013:itc</v>
      </c>
      <c r="G219" s="8">
        <f t="shared" si="7"/>
        <v>42551.42292824074</v>
      </c>
    </row>
    <row r="220" spans="1:7" x14ac:dyDescent="0.25">
      <c r="A220" s="8">
        <v>42552.298958333333</v>
      </c>
      <c r="B220" s="33" t="s">
        <v>82</v>
      </c>
      <c r="C220" s="33" t="s">
        <v>639</v>
      </c>
      <c r="D220" s="33">
        <v>1830000</v>
      </c>
      <c r="E220" s="33" t="s">
        <v>246</v>
      </c>
      <c r="F220" s="33" t="str">
        <f t="shared" si="6"/>
        <v>rtdc.l.rtdc.4018:itc</v>
      </c>
      <c r="G220" s="8">
        <f t="shared" si="7"/>
        <v>42552.298958333333</v>
      </c>
    </row>
    <row r="221" spans="1:7" x14ac:dyDescent="0.25">
      <c r="A221" s="8">
        <v>42552.057106481479</v>
      </c>
      <c r="B221" s="33" t="s">
        <v>175</v>
      </c>
      <c r="C221" s="33" t="s">
        <v>503</v>
      </c>
      <c r="D221" s="33">
        <v>1990000</v>
      </c>
      <c r="E221" s="33" t="s">
        <v>196</v>
      </c>
      <c r="F221" s="33" t="str">
        <f t="shared" si="6"/>
        <v>rtdc.l.rtdc.4030:itc</v>
      </c>
      <c r="G221" s="8">
        <f t="shared" si="7"/>
        <v>42552.057106481479</v>
      </c>
    </row>
    <row r="222" spans="1:7" x14ac:dyDescent="0.25">
      <c r="A222" s="8">
        <v>42551.205451388887</v>
      </c>
      <c r="B222" s="33" t="s">
        <v>163</v>
      </c>
      <c r="C222" s="33" t="s">
        <v>266</v>
      </c>
      <c r="D222" s="33">
        <v>1830000</v>
      </c>
      <c r="E222" s="33" t="s">
        <v>246</v>
      </c>
      <c r="F222" s="33" t="str">
        <f t="shared" si="6"/>
        <v>rtdc.l.rtdc.4028:itc</v>
      </c>
      <c r="G222" s="8">
        <f t="shared" si="7"/>
        <v>42551.205451388887</v>
      </c>
    </row>
    <row r="223" spans="1:7" x14ac:dyDescent="0.25">
      <c r="A223" s="8">
        <v>42551.955046296294</v>
      </c>
      <c r="B223" s="33" t="s">
        <v>133</v>
      </c>
      <c r="C223" s="33" t="s">
        <v>492</v>
      </c>
      <c r="D223" s="33">
        <v>1770000</v>
      </c>
      <c r="E223" s="33" t="s">
        <v>610</v>
      </c>
      <c r="F223" s="33" t="str">
        <f t="shared" si="6"/>
        <v>rtdc.l.rtdc.4038:itc</v>
      </c>
      <c r="G223" s="8">
        <f t="shared" si="7"/>
        <v>42551.955046296294</v>
      </c>
    </row>
    <row r="224" spans="1:7" x14ac:dyDescent="0.25">
      <c r="A224" s="8">
        <v>42551.484467592592</v>
      </c>
      <c r="B224" t="s">
        <v>151</v>
      </c>
      <c r="C224" t="s">
        <v>538</v>
      </c>
      <c r="D224">
        <v>1460000</v>
      </c>
      <c r="E224" t="s">
        <v>135</v>
      </c>
      <c r="F224" s="33" t="str">
        <f t="shared" si="6"/>
        <v>rtdc.l.rtdc.4012:itc</v>
      </c>
      <c r="G224" s="8">
        <f t="shared" si="7"/>
        <v>42551.484467592592</v>
      </c>
    </row>
    <row r="225" spans="1:7" x14ac:dyDescent="0.25">
      <c r="A225" s="8">
        <v>42551.847685185188</v>
      </c>
      <c r="B225" t="s">
        <v>163</v>
      </c>
      <c r="C225" t="s">
        <v>471</v>
      </c>
      <c r="D225">
        <v>2040000</v>
      </c>
      <c r="E225" t="s">
        <v>192</v>
      </c>
      <c r="F225" s="33" t="str">
        <f t="shared" si="6"/>
        <v>rtdc.l.rtdc.4028:itc</v>
      </c>
      <c r="G225" s="8">
        <f t="shared" si="7"/>
        <v>42551.847685185188</v>
      </c>
    </row>
    <row r="226" spans="1:7" x14ac:dyDescent="0.25">
      <c r="A226" s="8">
        <v>42552.017407407409</v>
      </c>
      <c r="B226" t="s">
        <v>163</v>
      </c>
      <c r="C226" t="s">
        <v>498</v>
      </c>
      <c r="D226">
        <v>2040000</v>
      </c>
      <c r="E226" t="s">
        <v>192</v>
      </c>
      <c r="F226" s="33" t="str">
        <f t="shared" si="6"/>
        <v>rtdc.l.rtdc.4028:itc</v>
      </c>
      <c r="G226" s="8">
        <f t="shared" si="7"/>
        <v>42552.017407407409</v>
      </c>
    </row>
    <row r="227" spans="1:7" x14ac:dyDescent="0.25">
      <c r="A227" s="8">
        <v>42551.830949074072</v>
      </c>
      <c r="B227" t="s">
        <v>177</v>
      </c>
      <c r="C227" t="s">
        <v>474</v>
      </c>
      <c r="D227">
        <v>1820000</v>
      </c>
      <c r="E227" t="s">
        <v>124</v>
      </c>
      <c r="F227" s="33" t="str">
        <f t="shared" si="6"/>
        <v>rtdc.l.rtdc.4040:itc</v>
      </c>
      <c r="G227" s="8">
        <f t="shared" si="7"/>
        <v>42551.830949074072</v>
      </c>
    </row>
    <row r="228" spans="1:7" x14ac:dyDescent="0.25">
      <c r="A228" s="8">
        <v>42551.20417824074</v>
      </c>
      <c r="B228" t="s">
        <v>163</v>
      </c>
      <c r="C228" t="s">
        <v>266</v>
      </c>
      <c r="D228">
        <v>1830000</v>
      </c>
      <c r="E228" t="s">
        <v>246</v>
      </c>
      <c r="F228" s="33" t="str">
        <f t="shared" si="6"/>
        <v>rtdc.l.rtdc.4028:itc</v>
      </c>
      <c r="G228" s="8">
        <f t="shared" si="7"/>
        <v>42551.20417824074</v>
      </c>
    </row>
    <row r="229" spans="1:7" x14ac:dyDescent="0.25">
      <c r="A229" s="8">
        <v>42551.818101851852</v>
      </c>
      <c r="B229" t="s">
        <v>151</v>
      </c>
      <c r="C229" t="s">
        <v>587</v>
      </c>
      <c r="D229">
        <v>1750000</v>
      </c>
      <c r="E229" t="s">
        <v>172</v>
      </c>
      <c r="F229" s="33" t="str">
        <f t="shared" si="6"/>
        <v>rtdc.l.rtdc.4012:itc</v>
      </c>
      <c r="G229" s="8">
        <f t="shared" si="7"/>
        <v>42551.818101851852</v>
      </c>
    </row>
    <row r="230" spans="1:7" x14ac:dyDescent="0.25">
      <c r="A230" s="8">
        <v>42551.27783564815</v>
      </c>
      <c r="B230" t="s">
        <v>151</v>
      </c>
      <c r="C230" t="s">
        <v>300</v>
      </c>
      <c r="D230">
        <v>1340000</v>
      </c>
      <c r="E230" t="s">
        <v>255</v>
      </c>
      <c r="F230" s="33" t="str">
        <f t="shared" si="6"/>
        <v>rtdc.l.rtdc.4012:itc</v>
      </c>
      <c r="G230" s="8">
        <f t="shared" si="7"/>
        <v>42551.27783564815</v>
      </c>
    </row>
    <row r="231" spans="1:7" x14ac:dyDescent="0.25">
      <c r="A231" s="8">
        <v>42551.796840277777</v>
      </c>
      <c r="B231" t="s">
        <v>178</v>
      </c>
      <c r="C231" t="s">
        <v>460</v>
      </c>
      <c r="D231">
        <v>1820000</v>
      </c>
      <c r="E231" t="s">
        <v>124</v>
      </c>
      <c r="F231" s="33" t="str">
        <f t="shared" si="6"/>
        <v>rtdc.l.rtdc.4039:itc</v>
      </c>
      <c r="G231" s="8">
        <f t="shared" si="7"/>
        <v>42551.796840277777</v>
      </c>
    </row>
    <row r="232" spans="1:7" x14ac:dyDescent="0.25">
      <c r="A232" s="8">
        <v>42551.433483796296</v>
      </c>
      <c r="B232" t="s">
        <v>162</v>
      </c>
      <c r="C232" t="s">
        <v>365</v>
      </c>
      <c r="D232">
        <v>2010000</v>
      </c>
      <c r="E232" t="s">
        <v>191</v>
      </c>
      <c r="F232" s="33" t="str">
        <f t="shared" si="6"/>
        <v>rtdc.l.rtdc.4025:itc</v>
      </c>
      <c r="G232" s="8">
        <f t="shared" si="7"/>
        <v>42551.433483796296</v>
      </c>
    </row>
    <row r="233" spans="1:7" x14ac:dyDescent="0.25">
      <c r="A233" s="8">
        <v>42551.784108796295</v>
      </c>
      <c r="B233" t="s">
        <v>161</v>
      </c>
      <c r="C233" t="s">
        <v>457</v>
      </c>
      <c r="D233">
        <v>1280000</v>
      </c>
      <c r="E233" t="s">
        <v>171</v>
      </c>
      <c r="F233" s="33" t="str">
        <f t="shared" si="6"/>
        <v>rtdc.l.rtdc.4013:itc</v>
      </c>
      <c r="G233" s="8">
        <f t="shared" si="7"/>
        <v>42551.784108796295</v>
      </c>
    </row>
    <row r="234" spans="1:7" x14ac:dyDescent="0.25">
      <c r="A234" s="8">
        <v>42551.497442129628</v>
      </c>
      <c r="B234" t="s">
        <v>80</v>
      </c>
      <c r="C234" t="s">
        <v>383</v>
      </c>
      <c r="D234">
        <v>900000</v>
      </c>
      <c r="E234" t="s">
        <v>195</v>
      </c>
      <c r="F234" s="33" t="str">
        <f t="shared" si="6"/>
        <v>rtdc.l.rtdc.4020:itc</v>
      </c>
      <c r="G234" s="8">
        <f t="shared" si="7"/>
        <v>42551.497442129628</v>
      </c>
    </row>
    <row r="235" spans="1:7" x14ac:dyDescent="0.25">
      <c r="A235" s="8">
        <v>42551.382685185185</v>
      </c>
      <c r="B235" t="s">
        <v>160</v>
      </c>
      <c r="C235" t="s">
        <v>351</v>
      </c>
      <c r="D235">
        <v>1110000</v>
      </c>
      <c r="E235" t="s">
        <v>259</v>
      </c>
      <c r="F235" s="33" t="str">
        <f t="shared" si="6"/>
        <v>rtdc.l.rtdc.4014:itc</v>
      </c>
      <c r="G235" s="8">
        <f t="shared" si="7"/>
        <v>42551.382685185185</v>
      </c>
    </row>
    <row r="236" spans="1:7" x14ac:dyDescent="0.25">
      <c r="A236" s="8">
        <v>42551.562719907408</v>
      </c>
      <c r="B236" t="s">
        <v>70</v>
      </c>
      <c r="C236" t="s">
        <v>387</v>
      </c>
      <c r="D236">
        <v>880000</v>
      </c>
      <c r="E236" t="s">
        <v>248</v>
      </c>
      <c r="F236" s="33" t="str">
        <f t="shared" ref="F236:F265" si="8">B236</f>
        <v>rtdc.l.rtdc.4032:itc</v>
      </c>
      <c r="G236" s="8">
        <f t="shared" ref="G236:G265" si="9">A236</f>
        <v>42551.562719907408</v>
      </c>
    </row>
    <row r="237" spans="1:7" x14ac:dyDescent="0.25">
      <c r="A237" s="8">
        <v>42552.318113425928</v>
      </c>
      <c r="B237" t="s">
        <v>160</v>
      </c>
      <c r="C237" t="s">
        <v>622</v>
      </c>
      <c r="D237">
        <v>2000000</v>
      </c>
      <c r="E237" t="s">
        <v>190</v>
      </c>
      <c r="F237" s="33" t="str">
        <f t="shared" si="8"/>
        <v>rtdc.l.rtdc.4014:itc</v>
      </c>
      <c r="G237" s="8">
        <f t="shared" si="9"/>
        <v>42552.318113425928</v>
      </c>
    </row>
    <row r="238" spans="1:7" x14ac:dyDescent="0.25">
      <c r="A238" s="8">
        <v>42551.760706018518</v>
      </c>
      <c r="B238" t="s">
        <v>150</v>
      </c>
      <c r="C238" t="s">
        <v>580</v>
      </c>
      <c r="D238">
        <v>1750000</v>
      </c>
      <c r="E238" t="s">
        <v>172</v>
      </c>
      <c r="F238" s="33" t="str">
        <f t="shared" si="8"/>
        <v>rtdc.l.rtdc.4011:itc</v>
      </c>
      <c r="G238" s="8">
        <f t="shared" si="9"/>
        <v>42551.760706018518</v>
      </c>
    </row>
    <row r="239" spans="1:7" x14ac:dyDescent="0.25">
      <c r="A239" s="8">
        <v>42551.973587962966</v>
      </c>
      <c r="B239" t="s">
        <v>175</v>
      </c>
      <c r="C239" t="s">
        <v>491</v>
      </c>
      <c r="D239">
        <v>1990000</v>
      </c>
      <c r="E239" t="s">
        <v>196</v>
      </c>
      <c r="F239" s="33" t="str">
        <f t="shared" si="8"/>
        <v>rtdc.l.rtdc.4030:itc</v>
      </c>
      <c r="G239" s="8">
        <f t="shared" si="9"/>
        <v>42551.973587962966</v>
      </c>
    </row>
    <row r="240" spans="1:7" x14ac:dyDescent="0.25">
      <c r="A240" s="8">
        <v>42552.162511574075</v>
      </c>
      <c r="B240" t="s">
        <v>83</v>
      </c>
      <c r="C240" t="s">
        <v>642</v>
      </c>
      <c r="D240">
        <v>1830000</v>
      </c>
      <c r="E240" t="s">
        <v>246</v>
      </c>
      <c r="F240" s="33" t="str">
        <f t="shared" si="8"/>
        <v>rtdc.l.rtdc.4017:itc</v>
      </c>
      <c r="G240" s="8">
        <f t="shared" si="9"/>
        <v>42552.162511574075</v>
      </c>
    </row>
    <row r="241" spans="1:7" x14ac:dyDescent="0.25">
      <c r="A241" s="8">
        <v>42551.92324074074</v>
      </c>
      <c r="B241" t="s">
        <v>256</v>
      </c>
      <c r="C241" t="s">
        <v>607</v>
      </c>
      <c r="D241">
        <v>1410000</v>
      </c>
      <c r="E241" t="s">
        <v>611</v>
      </c>
      <c r="F241" s="33" t="str">
        <f t="shared" si="8"/>
        <v>rtdc.l.rtdc.4005:itc</v>
      </c>
      <c r="G241" s="8">
        <f t="shared" si="9"/>
        <v>42551.92324074074</v>
      </c>
    </row>
    <row r="242" spans="1:7" x14ac:dyDescent="0.25">
      <c r="A242" s="8">
        <v>42552.194340277776</v>
      </c>
      <c r="B242" t="s">
        <v>95</v>
      </c>
      <c r="C242" t="s">
        <v>643</v>
      </c>
      <c r="D242">
        <v>1480000</v>
      </c>
      <c r="E242" t="s">
        <v>152</v>
      </c>
      <c r="F242" s="33" t="str">
        <f t="shared" si="8"/>
        <v>rtdc.l.rtdc.4041:itc</v>
      </c>
      <c r="G242" s="8">
        <f t="shared" si="9"/>
        <v>42552.194340277776</v>
      </c>
    </row>
    <row r="243" spans="1:7" x14ac:dyDescent="0.25">
      <c r="A243" s="8">
        <v>42551.845196759263</v>
      </c>
      <c r="B243" t="s">
        <v>150</v>
      </c>
      <c r="C243" t="s">
        <v>594</v>
      </c>
      <c r="D243">
        <v>1750000</v>
      </c>
      <c r="E243" t="s">
        <v>172</v>
      </c>
      <c r="F243" s="33" t="str">
        <f t="shared" si="8"/>
        <v>rtdc.l.rtdc.4011:itc</v>
      </c>
      <c r="G243" s="8">
        <f t="shared" si="9"/>
        <v>42551.845196759263</v>
      </c>
    </row>
    <row r="244" spans="1:7" x14ac:dyDescent="0.25">
      <c r="A244" s="8">
        <v>42552.294212962966</v>
      </c>
      <c r="B244" t="s">
        <v>238</v>
      </c>
      <c r="C244" t="s">
        <v>644</v>
      </c>
      <c r="D244">
        <v>2010000</v>
      </c>
      <c r="E244" t="s">
        <v>191</v>
      </c>
      <c r="F244" s="33" t="str">
        <f t="shared" si="8"/>
        <v>rtdc.l.rtdc.4016:itc</v>
      </c>
      <c r="G244" s="8">
        <f t="shared" si="9"/>
        <v>42552.294212962966</v>
      </c>
    </row>
    <row r="245" spans="1:7" x14ac:dyDescent="0.25">
      <c r="A245" s="8">
        <v>42551.746782407405</v>
      </c>
      <c r="B245" t="s">
        <v>160</v>
      </c>
      <c r="C245" t="s">
        <v>456</v>
      </c>
      <c r="D245">
        <v>1280000</v>
      </c>
      <c r="E245" t="s">
        <v>171</v>
      </c>
      <c r="F245" s="33" t="str">
        <f t="shared" si="8"/>
        <v>rtdc.l.rtdc.4014:itc</v>
      </c>
      <c r="G245" s="8">
        <f t="shared" si="9"/>
        <v>42551.746782407405</v>
      </c>
    </row>
    <row r="246" spans="1:7" x14ac:dyDescent="0.25">
      <c r="A246" s="8">
        <v>42551.296678240738</v>
      </c>
      <c r="B246" t="s">
        <v>95</v>
      </c>
      <c r="C246" t="s">
        <v>301</v>
      </c>
      <c r="D246">
        <v>1460000</v>
      </c>
      <c r="E246" t="s">
        <v>135</v>
      </c>
      <c r="F246" s="33" t="str">
        <f t="shared" si="8"/>
        <v>rtdc.l.rtdc.4041:itc</v>
      </c>
      <c r="G246" s="8">
        <f t="shared" si="9"/>
        <v>42551.296678240738</v>
      </c>
    </row>
    <row r="247" spans="1:7" x14ac:dyDescent="0.25">
      <c r="A247" s="8">
        <v>42551.678287037037</v>
      </c>
      <c r="B247" t="s">
        <v>150</v>
      </c>
      <c r="C247" t="s">
        <v>562</v>
      </c>
      <c r="D247">
        <v>1750000</v>
      </c>
      <c r="E247" t="s">
        <v>172</v>
      </c>
      <c r="F247" s="33" t="str">
        <f t="shared" si="8"/>
        <v>rtdc.l.rtdc.4011:itc</v>
      </c>
      <c r="G247" s="8">
        <f t="shared" si="9"/>
        <v>42551.678287037037</v>
      </c>
    </row>
    <row r="248" spans="1:7" x14ac:dyDescent="0.25">
      <c r="A248" s="8">
        <v>42551.457349537035</v>
      </c>
      <c r="B248" t="s">
        <v>160</v>
      </c>
      <c r="C248" t="s">
        <v>369</v>
      </c>
      <c r="D248">
        <v>1310000</v>
      </c>
      <c r="E248" t="s">
        <v>136</v>
      </c>
      <c r="F248" s="33" t="str">
        <f t="shared" si="8"/>
        <v>rtdc.l.rtdc.4014:itc</v>
      </c>
      <c r="G248" s="8">
        <f t="shared" si="9"/>
        <v>42551.457349537035</v>
      </c>
    </row>
    <row r="249" spans="1:7" x14ac:dyDescent="0.25">
      <c r="A249" s="8">
        <v>42551.673182870371</v>
      </c>
      <c r="B249" t="s">
        <v>95</v>
      </c>
      <c r="C249" t="s">
        <v>560</v>
      </c>
      <c r="D249">
        <v>1780000</v>
      </c>
      <c r="E249" t="s">
        <v>173</v>
      </c>
      <c r="F249" s="33" t="str">
        <f t="shared" si="8"/>
        <v>rtdc.l.rtdc.4041:itc</v>
      </c>
      <c r="G249" s="8">
        <f t="shared" si="9"/>
        <v>42551.673182870371</v>
      </c>
    </row>
    <row r="250" spans="1:7" x14ac:dyDescent="0.25">
      <c r="A250" s="8">
        <v>42551.550717592596</v>
      </c>
      <c r="B250" t="s">
        <v>174</v>
      </c>
      <c r="C250" t="s">
        <v>391</v>
      </c>
      <c r="D250">
        <v>2020000</v>
      </c>
      <c r="E250" t="s">
        <v>194</v>
      </c>
      <c r="F250" s="33" t="str">
        <f t="shared" si="8"/>
        <v>rtdc.l.rtdc.4029:itc</v>
      </c>
      <c r="G250" s="8">
        <f t="shared" si="9"/>
        <v>42551.550717592596</v>
      </c>
    </row>
    <row r="251" spans="1:7" x14ac:dyDescent="0.25">
      <c r="A251" s="8">
        <v>42551.401377314818</v>
      </c>
      <c r="B251" t="s">
        <v>159</v>
      </c>
      <c r="C251" t="s">
        <v>347</v>
      </c>
      <c r="D251">
        <v>1840000</v>
      </c>
      <c r="E251" t="s">
        <v>134</v>
      </c>
      <c r="F251" s="33" t="str">
        <f t="shared" si="8"/>
        <v>rtdc.l.rtdc.4026:itc</v>
      </c>
      <c r="G251" s="8">
        <f t="shared" si="9"/>
        <v>42551.401377314818</v>
      </c>
    </row>
    <row r="252" spans="1:7" x14ac:dyDescent="0.25">
      <c r="A252" s="8">
        <v>42551.630231481482</v>
      </c>
      <c r="B252" t="s">
        <v>133</v>
      </c>
      <c r="C252" t="s">
        <v>416</v>
      </c>
      <c r="D252">
        <v>1520000</v>
      </c>
      <c r="E252" t="s">
        <v>250</v>
      </c>
      <c r="F252" s="33" t="str">
        <f t="shared" si="8"/>
        <v>rtdc.l.rtdc.4038:itc</v>
      </c>
      <c r="G252" s="8">
        <f t="shared" si="9"/>
        <v>42551.630231481482</v>
      </c>
    </row>
    <row r="253" spans="1:7" x14ac:dyDescent="0.25">
      <c r="A253" s="8">
        <v>42551.338761574072</v>
      </c>
      <c r="B253" t="s">
        <v>133</v>
      </c>
      <c r="C253" t="s">
        <v>339</v>
      </c>
      <c r="D253">
        <v>2030000</v>
      </c>
      <c r="E253" t="s">
        <v>193</v>
      </c>
      <c r="F253" s="33" t="str">
        <f t="shared" si="8"/>
        <v>rtdc.l.rtdc.4038:itc</v>
      </c>
      <c r="G253" s="8">
        <f t="shared" si="9"/>
        <v>42551.338761574072</v>
      </c>
    </row>
    <row r="254" spans="1:7" x14ac:dyDescent="0.25">
      <c r="A254" s="8">
        <v>42551.668344907404</v>
      </c>
      <c r="B254" t="s">
        <v>170</v>
      </c>
      <c r="C254" t="s">
        <v>418</v>
      </c>
      <c r="D254">
        <v>1520000</v>
      </c>
      <c r="E254" t="s">
        <v>250</v>
      </c>
      <c r="F254" s="33" t="str">
        <f t="shared" si="8"/>
        <v>rtdc.l.rtdc.4037:itc</v>
      </c>
      <c r="G254" s="8">
        <f t="shared" si="9"/>
        <v>42551.668344907404</v>
      </c>
    </row>
    <row r="255" spans="1:7" x14ac:dyDescent="0.25">
      <c r="A255" s="8">
        <v>42551.211030092592</v>
      </c>
      <c r="B255" t="s">
        <v>162</v>
      </c>
      <c r="C255" t="s">
        <v>277</v>
      </c>
      <c r="D255">
        <v>1840000</v>
      </c>
      <c r="E255" t="s">
        <v>134</v>
      </c>
      <c r="F255" s="33" t="str">
        <f t="shared" si="8"/>
        <v>rtdc.l.rtdc.4025:itc</v>
      </c>
      <c r="G255" s="8">
        <f t="shared" si="9"/>
        <v>42551.211030092592</v>
      </c>
    </row>
    <row r="256" spans="1:7" x14ac:dyDescent="0.25">
      <c r="A256" s="8">
        <v>42552.010636574072</v>
      </c>
      <c r="B256" t="s">
        <v>256</v>
      </c>
      <c r="C256" t="s">
        <v>607</v>
      </c>
      <c r="D256">
        <v>1410000</v>
      </c>
      <c r="E256" t="s">
        <v>611</v>
      </c>
      <c r="F256" s="33" t="str">
        <f t="shared" si="8"/>
        <v>rtdc.l.rtdc.4005:itc</v>
      </c>
      <c r="G256" s="8">
        <f t="shared" si="9"/>
        <v>42552.010636574072</v>
      </c>
    </row>
    <row r="257" spans="1:7" x14ac:dyDescent="0.25">
      <c r="A257" s="8">
        <v>42551.210995370369</v>
      </c>
      <c r="B257" t="s">
        <v>95</v>
      </c>
      <c r="C257" t="s">
        <v>279</v>
      </c>
      <c r="D257">
        <v>1460000</v>
      </c>
      <c r="E257" t="s">
        <v>135</v>
      </c>
      <c r="F257" s="33" t="str">
        <f t="shared" si="8"/>
        <v>rtdc.l.rtdc.4041:itc</v>
      </c>
      <c r="G257" s="8">
        <f t="shared" si="9"/>
        <v>42551.210995370369</v>
      </c>
    </row>
    <row r="258" spans="1:7" x14ac:dyDescent="0.25">
      <c r="A258" s="8">
        <v>42552.290324074071</v>
      </c>
      <c r="B258" t="s">
        <v>86</v>
      </c>
      <c r="C258" t="s">
        <v>641</v>
      </c>
      <c r="D258">
        <v>1310000</v>
      </c>
      <c r="E258" t="s">
        <v>136</v>
      </c>
      <c r="F258" s="33" t="str">
        <f t="shared" si="8"/>
        <v>rtdc.l.rtdc.4031:itc</v>
      </c>
      <c r="G258" s="8">
        <f t="shared" si="9"/>
        <v>42552.290324074071</v>
      </c>
    </row>
    <row r="259" spans="1:7" x14ac:dyDescent="0.25">
      <c r="A259" s="8">
        <v>42551.255474537036</v>
      </c>
      <c r="B259" t="s">
        <v>95</v>
      </c>
      <c r="C259" t="s">
        <v>285</v>
      </c>
      <c r="D259">
        <v>1460000</v>
      </c>
      <c r="E259" t="s">
        <v>135</v>
      </c>
      <c r="F259" s="33" t="str">
        <f t="shared" si="8"/>
        <v>rtdc.l.rtdc.4041:itc</v>
      </c>
      <c r="G259" s="8">
        <f t="shared" si="9"/>
        <v>42551.255474537036</v>
      </c>
    </row>
    <row r="260" spans="1:7" x14ac:dyDescent="0.25">
      <c r="A260" s="8">
        <v>42551.325462962966</v>
      </c>
      <c r="B260" t="s">
        <v>159</v>
      </c>
      <c r="C260" t="s">
        <v>327</v>
      </c>
      <c r="D260">
        <v>1840000</v>
      </c>
      <c r="E260" t="s">
        <v>134</v>
      </c>
      <c r="F260" s="33" t="str">
        <f t="shared" si="8"/>
        <v>rtdc.l.rtdc.4026:itc</v>
      </c>
      <c r="G260" s="8">
        <f t="shared" si="9"/>
        <v>42551.325462962966</v>
      </c>
    </row>
    <row r="261" spans="1:7" x14ac:dyDescent="0.25">
      <c r="A261" s="8">
        <v>42551.203738425924</v>
      </c>
      <c r="B261" t="s">
        <v>80</v>
      </c>
      <c r="C261" t="s">
        <v>286</v>
      </c>
      <c r="D261">
        <v>2010000</v>
      </c>
      <c r="E261" t="s">
        <v>191</v>
      </c>
      <c r="F261" s="33" t="str">
        <f t="shared" si="8"/>
        <v>rtdc.l.rtdc.4020:itc</v>
      </c>
      <c r="G261" s="8">
        <f t="shared" si="9"/>
        <v>42551.203738425924</v>
      </c>
    </row>
    <row r="262" spans="1:7" x14ac:dyDescent="0.25">
      <c r="A262" s="8">
        <v>42551.373229166667</v>
      </c>
      <c r="B262" t="s">
        <v>86</v>
      </c>
      <c r="C262" t="s">
        <v>348</v>
      </c>
      <c r="D262">
        <v>1310000</v>
      </c>
      <c r="E262" t="s">
        <v>136</v>
      </c>
      <c r="F262" s="33" t="str">
        <f t="shared" si="8"/>
        <v>rtdc.l.rtdc.4031:itc</v>
      </c>
      <c r="G262" s="8">
        <f t="shared" si="9"/>
        <v>42551.373229166667</v>
      </c>
    </row>
    <row r="263" spans="1:7" x14ac:dyDescent="0.25">
      <c r="A263" s="8">
        <v>42551.195405092592</v>
      </c>
      <c r="B263" t="s">
        <v>161</v>
      </c>
      <c r="C263" t="s">
        <v>258</v>
      </c>
      <c r="D263">
        <v>1110000</v>
      </c>
      <c r="E263" t="s">
        <v>259</v>
      </c>
      <c r="F263" s="33" t="str">
        <f t="shared" si="8"/>
        <v>rtdc.l.rtdc.4013:itc</v>
      </c>
      <c r="G263" s="8">
        <f t="shared" si="9"/>
        <v>42551.195405092592</v>
      </c>
    </row>
    <row r="264" spans="1:7" x14ac:dyDescent="0.25">
      <c r="A264" s="8">
        <v>42551.775960648149</v>
      </c>
      <c r="B264" t="s">
        <v>151</v>
      </c>
      <c r="C264" t="s">
        <v>583</v>
      </c>
      <c r="D264">
        <v>1750000</v>
      </c>
      <c r="E264" t="s">
        <v>172</v>
      </c>
      <c r="F264" s="33" t="str">
        <f t="shared" si="8"/>
        <v>rtdc.l.rtdc.4012:itc</v>
      </c>
      <c r="G264" s="8">
        <f t="shared" si="9"/>
        <v>42551.775960648149</v>
      </c>
    </row>
    <row r="265" spans="1:7" x14ac:dyDescent="0.25">
      <c r="A265" s="8">
        <v>42551.339259259257</v>
      </c>
      <c r="B265" t="s">
        <v>70</v>
      </c>
      <c r="C265" t="s">
        <v>328</v>
      </c>
      <c r="D265">
        <v>1310000</v>
      </c>
      <c r="E265" t="s">
        <v>136</v>
      </c>
      <c r="F265" s="33" t="str">
        <f t="shared" si="8"/>
        <v>rtdc.l.rtdc.4032:itc</v>
      </c>
      <c r="G265" s="8">
        <f t="shared" si="9"/>
        <v>42551.339259259257</v>
      </c>
    </row>
    <row r="266" spans="1:7" x14ac:dyDescent="0.25">
      <c r="A266" s="8">
        <v>42551.934108796297</v>
      </c>
      <c r="B266" t="s">
        <v>609</v>
      </c>
      <c r="C266" t="s">
        <v>607</v>
      </c>
      <c r="D266">
        <v>1410000</v>
      </c>
      <c r="E266" t="s">
        <v>611</v>
      </c>
      <c r="F266" s="33" t="str">
        <f t="shared" ref="F266:F281" si="10">B266</f>
        <v>rtdc.l.rtdc.4006:itc</v>
      </c>
      <c r="G266" s="8">
        <f t="shared" ref="G266:G281" si="11">A266</f>
        <v>42551.934108796297</v>
      </c>
    </row>
    <row r="267" spans="1:7" x14ac:dyDescent="0.25">
      <c r="A267" s="8">
        <v>42551.295659722222</v>
      </c>
      <c r="B267" t="s">
        <v>175</v>
      </c>
      <c r="C267" t="s">
        <v>288</v>
      </c>
      <c r="D267">
        <v>2000000</v>
      </c>
      <c r="E267" t="s">
        <v>190</v>
      </c>
      <c r="F267" s="33" t="str">
        <f t="shared" si="10"/>
        <v>rtdc.l.rtdc.4030:itc</v>
      </c>
      <c r="G267" s="8">
        <f t="shared" si="11"/>
        <v>42551.295659722222</v>
      </c>
    </row>
    <row r="268" spans="1:7" x14ac:dyDescent="0.25">
      <c r="A268" s="8">
        <v>42551.9534375</v>
      </c>
      <c r="B268" t="s">
        <v>178</v>
      </c>
      <c r="C268" t="s">
        <v>489</v>
      </c>
      <c r="D268">
        <v>1820000</v>
      </c>
      <c r="E268" t="s">
        <v>124</v>
      </c>
      <c r="F268" s="33" t="str">
        <f t="shared" si="10"/>
        <v>rtdc.l.rtdc.4039:itc</v>
      </c>
      <c r="G268" s="8">
        <f t="shared" si="11"/>
        <v>42551.9534375</v>
      </c>
    </row>
    <row r="269" spans="1:7" x14ac:dyDescent="0.25">
      <c r="A269" s="8">
        <v>42551.258437500001</v>
      </c>
      <c r="B269" t="s">
        <v>238</v>
      </c>
      <c r="C269" t="s">
        <v>249</v>
      </c>
      <c r="D269">
        <v>1830000</v>
      </c>
      <c r="E269" t="s">
        <v>246</v>
      </c>
      <c r="F269" s="33" t="str">
        <f t="shared" si="10"/>
        <v>rtdc.l.rtdc.4016:itc</v>
      </c>
      <c r="G269" s="8">
        <f t="shared" si="11"/>
        <v>42551.258437500001</v>
      </c>
    </row>
    <row r="270" spans="1:7" x14ac:dyDescent="0.25">
      <c r="A270" s="8">
        <v>42551.970960648148</v>
      </c>
      <c r="B270" t="s">
        <v>609</v>
      </c>
      <c r="C270" t="s">
        <v>607</v>
      </c>
      <c r="D270">
        <v>1410000</v>
      </c>
      <c r="E270" t="s">
        <v>611</v>
      </c>
      <c r="F270" s="33" t="str">
        <f t="shared" si="10"/>
        <v>rtdc.l.rtdc.4006:itc</v>
      </c>
      <c r="G270" s="8">
        <f t="shared" si="11"/>
        <v>42551.970960648148</v>
      </c>
    </row>
    <row r="271" spans="1:7" x14ac:dyDescent="0.25">
      <c r="A271" s="8">
        <v>42551.234780092593</v>
      </c>
      <c r="B271" t="s">
        <v>160</v>
      </c>
      <c r="C271" t="s">
        <v>262</v>
      </c>
      <c r="D271">
        <v>1110000</v>
      </c>
      <c r="E271" t="s">
        <v>259</v>
      </c>
      <c r="F271" s="33" t="str">
        <f t="shared" si="10"/>
        <v>rtdc.l.rtdc.4014:itc</v>
      </c>
      <c r="G271" s="8">
        <f t="shared" si="11"/>
        <v>42551.234780092593</v>
      </c>
    </row>
    <row r="272" spans="1:7" x14ac:dyDescent="0.25">
      <c r="A272" s="8">
        <v>42552.206759259258</v>
      </c>
      <c r="B272" t="s">
        <v>82</v>
      </c>
      <c r="C272" t="s">
        <v>637</v>
      </c>
      <c r="D272">
        <v>1830000</v>
      </c>
      <c r="E272" t="s">
        <v>246</v>
      </c>
      <c r="F272" s="33" t="str">
        <f t="shared" si="10"/>
        <v>rtdc.l.rtdc.4018:itc</v>
      </c>
      <c r="G272" s="8">
        <f t="shared" si="11"/>
        <v>42552.206759259258</v>
      </c>
    </row>
    <row r="273" spans="1:7" x14ac:dyDescent="0.25">
      <c r="A273" s="8">
        <v>42551.277372685188</v>
      </c>
      <c r="B273" t="s">
        <v>161</v>
      </c>
      <c r="C273" t="s">
        <v>287</v>
      </c>
      <c r="D273">
        <v>1110000</v>
      </c>
      <c r="E273" t="s">
        <v>259</v>
      </c>
      <c r="F273" s="33" t="str">
        <f t="shared" si="10"/>
        <v>rtdc.l.rtdc.4013:itc</v>
      </c>
      <c r="G273" s="8">
        <f t="shared" si="11"/>
        <v>42551.277372685188</v>
      </c>
    </row>
    <row r="274" spans="1:7" x14ac:dyDescent="0.25">
      <c r="A274" s="8">
        <v>42552.249305555553</v>
      </c>
      <c r="B274" t="s">
        <v>240</v>
      </c>
      <c r="C274" t="s">
        <v>645</v>
      </c>
      <c r="D274">
        <v>2010000</v>
      </c>
      <c r="E274" t="s">
        <v>191</v>
      </c>
      <c r="F274" s="33" t="str">
        <f t="shared" si="10"/>
        <v>rtdc.l.rtdc.4015:itc</v>
      </c>
      <c r="G274" s="8">
        <f t="shared" si="11"/>
        <v>42552.249305555553</v>
      </c>
    </row>
    <row r="275" spans="1:7" x14ac:dyDescent="0.25">
      <c r="A275" s="8">
        <v>42551.268784722219</v>
      </c>
      <c r="B275" t="s">
        <v>70</v>
      </c>
      <c r="C275" t="s">
        <v>281</v>
      </c>
      <c r="D275">
        <v>1310000</v>
      </c>
      <c r="E275" t="s">
        <v>136</v>
      </c>
      <c r="F275" s="33" t="str">
        <f t="shared" si="10"/>
        <v>rtdc.l.rtdc.4032:itc</v>
      </c>
      <c r="G275" s="8">
        <f t="shared" si="11"/>
        <v>42551.268784722219</v>
      </c>
    </row>
    <row r="276" spans="1:7" x14ac:dyDescent="0.25">
      <c r="A276" s="8">
        <v>42552.258576388886</v>
      </c>
      <c r="B276" t="s">
        <v>176</v>
      </c>
      <c r="C276" t="s">
        <v>646</v>
      </c>
      <c r="D276">
        <v>1460000</v>
      </c>
      <c r="E276" t="s">
        <v>135</v>
      </c>
      <c r="F276" s="33" t="str">
        <f t="shared" si="10"/>
        <v>rtdc.l.rtdc.4027:itc</v>
      </c>
      <c r="G276" s="8">
        <f t="shared" si="11"/>
        <v>42552.258576388886</v>
      </c>
    </row>
    <row r="277" spans="1:7" x14ac:dyDescent="0.25">
      <c r="A277" s="8">
        <v>42551.253564814811</v>
      </c>
      <c r="B277" t="s">
        <v>159</v>
      </c>
      <c r="C277" t="s">
        <v>282</v>
      </c>
      <c r="D277">
        <v>1840000</v>
      </c>
      <c r="E277" t="s">
        <v>134</v>
      </c>
      <c r="F277" s="33" t="str">
        <f t="shared" si="10"/>
        <v>rtdc.l.rtdc.4026:itc</v>
      </c>
      <c r="G277" s="8">
        <f t="shared" si="11"/>
        <v>42551.253564814811</v>
      </c>
    </row>
    <row r="278" spans="1:7" x14ac:dyDescent="0.25">
      <c r="A278" s="8">
        <v>42552.291412037041</v>
      </c>
      <c r="B278" t="s">
        <v>238</v>
      </c>
      <c r="C278" t="s">
        <v>644</v>
      </c>
      <c r="D278">
        <v>2010000</v>
      </c>
      <c r="E278" t="s">
        <v>191</v>
      </c>
      <c r="F278" s="33" t="str">
        <f t="shared" si="10"/>
        <v>rtdc.l.rtdc.4016:itc</v>
      </c>
      <c r="G278" s="8">
        <f t="shared" si="11"/>
        <v>42552.291412037041</v>
      </c>
    </row>
    <row r="279" spans="1:7" x14ac:dyDescent="0.25">
      <c r="A279" s="8">
        <v>42551.256921296299</v>
      </c>
      <c r="B279" t="s">
        <v>174</v>
      </c>
      <c r="C279" t="s">
        <v>283</v>
      </c>
      <c r="D279">
        <v>2000000</v>
      </c>
      <c r="E279" t="s">
        <v>190</v>
      </c>
      <c r="F279" s="33" t="str">
        <f t="shared" si="10"/>
        <v>rtdc.l.rtdc.4029:itc</v>
      </c>
      <c r="G279" s="8">
        <f t="shared" si="11"/>
        <v>42551.256921296299</v>
      </c>
    </row>
    <row r="280" spans="1:7" x14ac:dyDescent="0.25">
      <c r="A280" s="8">
        <v>42552.31722222222</v>
      </c>
      <c r="B280" t="s">
        <v>151</v>
      </c>
      <c r="C280" t="s">
        <v>647</v>
      </c>
      <c r="D280">
        <v>1110000</v>
      </c>
      <c r="E280" t="s">
        <v>259</v>
      </c>
      <c r="F280" s="33" t="str">
        <f t="shared" si="10"/>
        <v>rtdc.l.rtdc.4012:itc</v>
      </c>
      <c r="G280" s="8">
        <f t="shared" si="11"/>
        <v>42552.31722222222</v>
      </c>
    </row>
    <row r="281" spans="1:7" x14ac:dyDescent="0.25">
      <c r="A281" s="8">
        <v>42551.564155092594</v>
      </c>
      <c r="B281" t="s">
        <v>133</v>
      </c>
      <c r="C281" t="s">
        <v>393</v>
      </c>
      <c r="D281">
        <v>1520000</v>
      </c>
      <c r="E281" t="s">
        <v>250</v>
      </c>
      <c r="F281" s="33" t="str">
        <f t="shared" si="10"/>
        <v>rtdc.l.rtdc.4038:itc</v>
      </c>
      <c r="G281" s="8">
        <f t="shared" si="11"/>
        <v>42551.564155092594</v>
      </c>
    </row>
    <row r="282" spans="1:7" x14ac:dyDescent="0.25">
      <c r="F282" s="33">
        <f t="shared" ref="F282:F345" si="12">B282</f>
        <v>0</v>
      </c>
      <c r="G282" s="8">
        <f t="shared" ref="G282:G345" si="13">A282</f>
        <v>0</v>
      </c>
    </row>
    <row r="283" spans="1:7" x14ac:dyDescent="0.25">
      <c r="A283" s="8">
        <v>42550.012743055559</v>
      </c>
      <c r="B283" t="s">
        <v>83</v>
      </c>
      <c r="C283" t="s">
        <v>289</v>
      </c>
      <c r="D283">
        <v>2040000</v>
      </c>
      <c r="E283" t="s">
        <v>192</v>
      </c>
      <c r="F283" s="33" t="str">
        <f t="shared" si="12"/>
        <v>rtdc.l.rtdc.4017:itc</v>
      </c>
      <c r="G283" s="8">
        <f t="shared" si="13"/>
        <v>42550.012743055559</v>
      </c>
    </row>
    <row r="284" spans="1:7" x14ac:dyDescent="0.25">
      <c r="A284" s="8">
        <v>42551.21570601852</v>
      </c>
      <c r="B284" t="s">
        <v>175</v>
      </c>
      <c r="C284" t="s">
        <v>290</v>
      </c>
      <c r="D284">
        <v>2000000</v>
      </c>
      <c r="E284" t="s">
        <v>190</v>
      </c>
      <c r="F284" s="33" t="str">
        <f t="shared" si="12"/>
        <v>rtdc.l.rtdc.4030:itc</v>
      </c>
      <c r="G284" s="8">
        <f t="shared" si="13"/>
        <v>42551.21570601852</v>
      </c>
    </row>
    <row r="285" spans="1:7" x14ac:dyDescent="0.25">
      <c r="A285" s="8">
        <v>42549.822395833333</v>
      </c>
      <c r="B285" t="s">
        <v>159</v>
      </c>
      <c r="C285" t="s">
        <v>291</v>
      </c>
      <c r="D285">
        <v>1820000</v>
      </c>
      <c r="E285" t="s">
        <v>124</v>
      </c>
      <c r="F285" s="33" t="str">
        <f t="shared" si="12"/>
        <v>rtdc.l.rtdc.4026:itc</v>
      </c>
      <c r="G285" s="8">
        <f t="shared" si="13"/>
        <v>42549.822395833333</v>
      </c>
    </row>
    <row r="286" spans="1:7" x14ac:dyDescent="0.25">
      <c r="A286" s="8">
        <v>42551.310439814813</v>
      </c>
      <c r="B286" t="s">
        <v>160</v>
      </c>
      <c r="C286" t="s">
        <v>292</v>
      </c>
      <c r="D286">
        <v>1110000</v>
      </c>
      <c r="E286" t="s">
        <v>259</v>
      </c>
      <c r="F286" s="33" t="str">
        <f t="shared" si="12"/>
        <v>rtdc.l.rtdc.4014:itc</v>
      </c>
      <c r="G286" s="8">
        <f t="shared" si="13"/>
        <v>42551.310439814813</v>
      </c>
    </row>
    <row r="287" spans="1:7" x14ac:dyDescent="0.25">
      <c r="A287" s="8">
        <v>42550.382291666669</v>
      </c>
      <c r="B287" t="s">
        <v>151</v>
      </c>
      <c r="C287" t="s">
        <v>242</v>
      </c>
      <c r="D287">
        <v>1360000</v>
      </c>
      <c r="E287" t="s">
        <v>251</v>
      </c>
      <c r="F287" s="33" t="str">
        <f t="shared" si="12"/>
        <v>rtdc.l.rtdc.4012:itc</v>
      </c>
      <c r="G287" s="8">
        <f t="shared" si="13"/>
        <v>42550.382291666669</v>
      </c>
    </row>
    <row r="288" spans="1:7" x14ac:dyDescent="0.25">
      <c r="A288" s="8">
        <v>42551.194016203706</v>
      </c>
      <c r="B288" t="s">
        <v>161</v>
      </c>
      <c r="C288" t="s">
        <v>258</v>
      </c>
      <c r="D288">
        <v>1110000</v>
      </c>
      <c r="E288" t="s">
        <v>259</v>
      </c>
      <c r="F288" s="33" t="str">
        <f t="shared" si="12"/>
        <v>rtdc.l.rtdc.4013:itc</v>
      </c>
      <c r="G288" s="8">
        <f t="shared" si="13"/>
        <v>42551.194016203706</v>
      </c>
    </row>
    <row r="289" spans="1:7" x14ac:dyDescent="0.25">
      <c r="A289" s="8">
        <v>42550.369328703702</v>
      </c>
      <c r="B289" t="s">
        <v>178</v>
      </c>
      <c r="C289" t="s">
        <v>293</v>
      </c>
      <c r="D289">
        <v>2030000</v>
      </c>
      <c r="E289" t="s">
        <v>193</v>
      </c>
      <c r="F289" s="33" t="str">
        <f t="shared" si="12"/>
        <v>rtdc.l.rtdc.4039:itc</v>
      </c>
      <c r="G289" s="8">
        <f t="shared" si="13"/>
        <v>42550.369328703702</v>
      </c>
    </row>
    <row r="290" spans="1:7" x14ac:dyDescent="0.25">
      <c r="A290" s="8">
        <v>42551.232997685183</v>
      </c>
      <c r="B290" t="s">
        <v>170</v>
      </c>
      <c r="C290" t="s">
        <v>294</v>
      </c>
      <c r="D290">
        <v>2030000</v>
      </c>
      <c r="E290" t="s">
        <v>193</v>
      </c>
      <c r="F290" s="33" t="str">
        <f t="shared" si="12"/>
        <v>rtdc.l.rtdc.4037:itc</v>
      </c>
      <c r="G290" s="8">
        <f t="shared" si="13"/>
        <v>42551.232997685183</v>
      </c>
    </row>
    <row r="291" spans="1:7" x14ac:dyDescent="0.25">
      <c r="A291" s="8">
        <v>42550.349965277775</v>
      </c>
      <c r="B291" t="s">
        <v>70</v>
      </c>
      <c r="C291" t="s">
        <v>239</v>
      </c>
      <c r="D291">
        <v>1110000</v>
      </c>
      <c r="E291" t="s">
        <v>259</v>
      </c>
      <c r="F291" s="33" t="str">
        <f t="shared" si="12"/>
        <v>rtdc.l.rtdc.4032:itc</v>
      </c>
      <c r="G291" s="8">
        <f t="shared" si="13"/>
        <v>42550.349965277775</v>
      </c>
    </row>
    <row r="292" spans="1:7" x14ac:dyDescent="0.25">
      <c r="A292" s="8">
        <v>42551.307175925926</v>
      </c>
      <c r="B292" t="s">
        <v>170</v>
      </c>
      <c r="C292" t="s">
        <v>295</v>
      </c>
      <c r="D292">
        <v>2030000</v>
      </c>
      <c r="E292" t="s">
        <v>193</v>
      </c>
      <c r="F292" s="33" t="str">
        <f t="shared" si="12"/>
        <v>rtdc.l.rtdc.4037:itc</v>
      </c>
      <c r="G292" s="8">
        <f t="shared" si="13"/>
        <v>42551.307175925926</v>
      </c>
    </row>
    <row r="293" spans="1:7" x14ac:dyDescent="0.25">
      <c r="A293" s="8">
        <v>42550.278900462959</v>
      </c>
      <c r="B293" t="s">
        <v>83</v>
      </c>
      <c r="C293" t="s">
        <v>225</v>
      </c>
      <c r="D293">
        <v>1520000</v>
      </c>
      <c r="E293" t="s">
        <v>250</v>
      </c>
      <c r="F293" s="33" t="str">
        <f t="shared" si="12"/>
        <v>rtdc.l.rtdc.4017:itc</v>
      </c>
      <c r="G293" s="8">
        <f t="shared" si="13"/>
        <v>42550.278900462959</v>
      </c>
    </row>
    <row r="294" spans="1:7" x14ac:dyDescent="0.25">
      <c r="A294" s="8">
        <v>42551.257870370369</v>
      </c>
      <c r="B294" t="s">
        <v>174</v>
      </c>
      <c r="C294" t="s">
        <v>283</v>
      </c>
      <c r="D294">
        <v>2000000</v>
      </c>
      <c r="E294" t="s">
        <v>190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159</v>
      </c>
      <c r="C295" t="s">
        <v>247</v>
      </c>
      <c r="D295">
        <v>1820000</v>
      </c>
      <c r="E295" t="s">
        <v>124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240</v>
      </c>
      <c r="C296" t="s">
        <v>296</v>
      </c>
      <c r="D296">
        <v>1830000</v>
      </c>
      <c r="E296" t="s">
        <v>246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238</v>
      </c>
      <c r="C297" t="s">
        <v>243</v>
      </c>
      <c r="D297">
        <v>1360000</v>
      </c>
      <c r="E297" t="s">
        <v>251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238</v>
      </c>
      <c r="C298" t="s">
        <v>297</v>
      </c>
      <c r="D298">
        <v>1830000</v>
      </c>
      <c r="E298" t="s">
        <v>246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240</v>
      </c>
      <c r="C299" t="s">
        <v>241</v>
      </c>
      <c r="D299">
        <v>1830000</v>
      </c>
      <c r="E299" t="s">
        <v>246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174</v>
      </c>
      <c r="C300" t="s">
        <v>283</v>
      </c>
      <c r="D300">
        <v>2000000</v>
      </c>
      <c r="E300" t="s">
        <v>190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149</v>
      </c>
      <c r="C301" t="s">
        <v>298</v>
      </c>
      <c r="D301">
        <v>900000</v>
      </c>
      <c r="E301" t="s">
        <v>195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163</v>
      </c>
      <c r="C302" t="s">
        <v>266</v>
      </c>
      <c r="D302">
        <v>1830000</v>
      </c>
      <c r="E302" t="s">
        <v>246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176</v>
      </c>
      <c r="C303" t="s">
        <v>257</v>
      </c>
      <c r="D303">
        <v>1280000</v>
      </c>
      <c r="E303" t="s">
        <v>171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163</v>
      </c>
      <c r="C304" t="s">
        <v>266</v>
      </c>
      <c r="D304">
        <v>1830000</v>
      </c>
      <c r="E304" t="s">
        <v>246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83</v>
      </c>
      <c r="C305" t="s">
        <v>299</v>
      </c>
      <c r="D305">
        <v>2040000</v>
      </c>
      <c r="E305" t="s">
        <v>192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151</v>
      </c>
      <c r="C306" t="s">
        <v>300</v>
      </c>
      <c r="D306">
        <v>1340000</v>
      </c>
      <c r="E306" t="s">
        <v>255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203</v>
      </c>
      <c r="D307">
        <v>1110000</v>
      </c>
      <c r="E307" t="s">
        <v>259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95</v>
      </c>
      <c r="C308" t="s">
        <v>301</v>
      </c>
      <c r="D308">
        <v>1460000</v>
      </c>
      <c r="E308" t="s">
        <v>135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86</v>
      </c>
      <c r="C309" t="s">
        <v>215</v>
      </c>
      <c r="D309">
        <v>1140000</v>
      </c>
      <c r="E309" t="s">
        <v>198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107</v>
      </c>
      <c r="K1" s="56" t="s">
        <v>108</v>
      </c>
      <c r="L1" s="56" t="s">
        <v>109</v>
      </c>
      <c r="M1" s="33"/>
    </row>
    <row r="2" spans="1:13" ht="15.75" thickBot="1" x14ac:dyDescent="0.3">
      <c r="A2" s="19">
        <v>42551</v>
      </c>
      <c r="B2" s="4"/>
      <c r="C2" s="22">
        <v>50</v>
      </c>
      <c r="F2" t="s">
        <v>63</v>
      </c>
      <c r="J2" s="56" t="s">
        <v>107</v>
      </c>
      <c r="K2" s="56" t="s">
        <v>108</v>
      </c>
      <c r="L2" s="56" t="s">
        <v>109</v>
      </c>
      <c r="M2" s="33"/>
    </row>
    <row r="3" spans="1:13" x14ac:dyDescent="0.25">
      <c r="F3" t="s">
        <v>64</v>
      </c>
      <c r="J3" s="57" t="s">
        <v>110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111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112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113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114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115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116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117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118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119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120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121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2016-07-01T15:18:39Z</dcterms:modified>
</cp:coreProperties>
</file>