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Enforcements!$A$2:$N$41</definedName>
    <definedName name="_xlnm._FilterDatabase" localSheetId="0" hidden="1">'Train Runs'!$A$2:$AA$144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4" i="1" l="1"/>
  <c r="V10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3" i="1"/>
  <c r="T141" i="1" l="1"/>
  <c r="W141" i="1"/>
  <c r="X141" i="1"/>
  <c r="Z141" i="1"/>
  <c r="T142" i="1"/>
  <c r="W142" i="1"/>
  <c r="X142" i="1"/>
  <c r="Y142" i="1" s="1"/>
  <c r="U142" i="1" s="1"/>
  <c r="Z142" i="1"/>
  <c r="T143" i="1"/>
  <c r="W143" i="1"/>
  <c r="X143" i="1"/>
  <c r="Z143" i="1"/>
  <c r="K141" i="1"/>
  <c r="L141" i="1"/>
  <c r="M141" i="1"/>
  <c r="P141" i="1" s="1"/>
  <c r="T124" i="1"/>
  <c r="W124" i="1"/>
  <c r="X124" i="1"/>
  <c r="T125" i="1"/>
  <c r="W125" i="1"/>
  <c r="X125" i="1"/>
  <c r="T126" i="1"/>
  <c r="W126" i="1"/>
  <c r="X126" i="1"/>
  <c r="K125" i="1"/>
  <c r="L125" i="1"/>
  <c r="M125" i="1"/>
  <c r="T121" i="1"/>
  <c r="W121" i="1"/>
  <c r="X121" i="1"/>
  <c r="Z121" i="1"/>
  <c r="T122" i="1"/>
  <c r="W122" i="1"/>
  <c r="X122" i="1"/>
  <c r="Z122" i="1"/>
  <c r="T123" i="1"/>
  <c r="W123" i="1"/>
  <c r="X123" i="1"/>
  <c r="Z123" i="1"/>
  <c r="K122" i="1"/>
  <c r="L122" i="1"/>
  <c r="M122" i="1"/>
  <c r="P122" i="1" s="1"/>
  <c r="T118" i="1"/>
  <c r="W118" i="1"/>
  <c r="X118" i="1"/>
  <c r="Z118" i="1"/>
  <c r="T119" i="1"/>
  <c r="W119" i="1"/>
  <c r="X119" i="1"/>
  <c r="Z119" i="1"/>
  <c r="T104" i="1"/>
  <c r="W104" i="1"/>
  <c r="X104" i="1"/>
  <c r="T105" i="1"/>
  <c r="W105" i="1"/>
  <c r="X105" i="1"/>
  <c r="T106" i="1"/>
  <c r="W106" i="1"/>
  <c r="X106" i="1"/>
  <c r="T107" i="1"/>
  <c r="W107" i="1"/>
  <c r="X107" i="1"/>
  <c r="T108" i="1"/>
  <c r="W108" i="1"/>
  <c r="X108" i="1"/>
  <c r="T109" i="1"/>
  <c r="W109" i="1"/>
  <c r="X109" i="1"/>
  <c r="K107" i="1"/>
  <c r="L107" i="1"/>
  <c r="M107" i="1"/>
  <c r="P107" i="1" s="1"/>
  <c r="Z105" i="1"/>
  <c r="T96" i="1"/>
  <c r="W96" i="1"/>
  <c r="X96" i="1"/>
  <c r="Z96" i="1"/>
  <c r="T97" i="1"/>
  <c r="W97" i="1"/>
  <c r="X97" i="1"/>
  <c r="Z97" i="1"/>
  <c r="K96" i="1"/>
  <c r="L96" i="1"/>
  <c r="M96" i="1"/>
  <c r="K97" i="1"/>
  <c r="L97" i="1"/>
  <c r="M97" i="1"/>
  <c r="N97" i="1"/>
  <c r="T78" i="1"/>
  <c r="W78" i="1"/>
  <c r="X78" i="1"/>
  <c r="Z78" i="1"/>
  <c r="AA78" i="1"/>
  <c r="K63" i="1"/>
  <c r="L63" i="1"/>
  <c r="M63" i="1"/>
  <c r="P63" i="1" s="1"/>
  <c r="T63" i="1"/>
  <c r="W63" i="1"/>
  <c r="X63" i="1"/>
  <c r="Z63" i="1"/>
  <c r="AA63" i="1"/>
  <c r="K44" i="1"/>
  <c r="L44" i="1"/>
  <c r="M44" i="1"/>
  <c r="P44" i="1" s="1"/>
  <c r="T44" i="1"/>
  <c r="W44" i="1"/>
  <c r="Y44" i="1" s="1"/>
  <c r="U44" i="1" s="1"/>
  <c r="Z44" i="1"/>
  <c r="AA44" i="1"/>
  <c r="Y126" i="1" l="1"/>
  <c r="U126" i="1" s="1"/>
  <c r="Y118" i="1"/>
  <c r="U118" i="1" s="1"/>
  <c r="Y107" i="1"/>
  <c r="U107" i="1" s="1"/>
  <c r="Y123" i="1"/>
  <c r="U123" i="1" s="1"/>
  <c r="Y63" i="1"/>
  <c r="U63" i="1" s="1"/>
  <c r="Y143" i="1"/>
  <c r="U143" i="1" s="1"/>
  <c r="Y109" i="1"/>
  <c r="U109" i="1" s="1"/>
  <c r="Y141" i="1"/>
  <c r="U141" i="1" s="1"/>
  <c r="Y119" i="1"/>
  <c r="U119" i="1" s="1"/>
  <c r="Y104" i="1"/>
  <c r="U104" i="1" s="1"/>
  <c r="Y125" i="1"/>
  <c r="U125" i="1" s="1"/>
  <c r="Y106" i="1"/>
  <c r="U106" i="1" s="1"/>
  <c r="Y124" i="1"/>
  <c r="U124" i="1" s="1"/>
  <c r="Y122" i="1"/>
  <c r="U122" i="1" s="1"/>
  <c r="Y121" i="1"/>
  <c r="U121" i="1" s="1"/>
  <c r="Y97" i="1"/>
  <c r="U97" i="1" s="1"/>
  <c r="Y105" i="1"/>
  <c r="U105" i="1" s="1"/>
  <c r="Y108" i="1"/>
  <c r="U108" i="1" s="1"/>
  <c r="Y96" i="1"/>
  <c r="U96" i="1" s="1"/>
  <c r="Y78" i="1"/>
  <c r="U78" i="1" s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Z24" i="1"/>
  <c r="AA24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P22" i="1" s="1"/>
  <c r="K23" i="1"/>
  <c r="L23" i="1"/>
  <c r="M23" i="1"/>
  <c r="K24" i="1"/>
  <c r="L24" i="1"/>
  <c r="M24" i="1"/>
  <c r="N24" i="1" s="1"/>
  <c r="K25" i="1"/>
  <c r="L25" i="1"/>
  <c r="M25" i="1"/>
  <c r="N25" i="1" s="1"/>
  <c r="N23" i="1"/>
  <c r="I147" i="1"/>
  <c r="Y20" i="1" l="1"/>
  <c r="U20" i="1" s="1"/>
  <c r="Y22" i="1"/>
  <c r="U22" i="1" s="1"/>
  <c r="Y24" i="1"/>
  <c r="U24" i="1" s="1"/>
  <c r="Y19" i="1"/>
  <c r="U19" i="1" s="1"/>
  <c r="Y23" i="1"/>
  <c r="U23" i="1" s="1"/>
  <c r="Y17" i="1"/>
  <c r="U17" i="1" s="1"/>
  <c r="Y21" i="1"/>
  <c r="U21" i="1" s="1"/>
  <c r="Y18" i="1"/>
  <c r="U18" i="1" s="1"/>
  <c r="E4" i="6"/>
  <c r="E5" i="6"/>
  <c r="E6" i="6"/>
  <c r="E7" i="6"/>
  <c r="E8" i="6"/>
  <c r="E9" i="6"/>
  <c r="E10" i="6"/>
  <c r="E11" i="6"/>
  <c r="E12" i="6"/>
  <c r="E13" i="6"/>
  <c r="E14" i="6"/>
  <c r="E3" i="6"/>
  <c r="T6" i="1" l="1"/>
  <c r="W6" i="1"/>
  <c r="X6" i="1"/>
  <c r="Y6" i="1" s="1"/>
  <c r="U6" i="1" s="1"/>
  <c r="Z6" i="1"/>
  <c r="T38" i="1"/>
  <c r="W38" i="1"/>
  <c r="X38" i="1"/>
  <c r="T34" i="1"/>
  <c r="W34" i="1"/>
  <c r="X34" i="1"/>
  <c r="T14" i="1"/>
  <c r="W14" i="1"/>
  <c r="X14" i="1"/>
  <c r="Z14" i="1"/>
  <c r="T26" i="1"/>
  <c r="W26" i="1"/>
  <c r="X26" i="1"/>
  <c r="Z26" i="1"/>
  <c r="T32" i="1"/>
  <c r="W32" i="1"/>
  <c r="X32" i="1"/>
  <c r="Z32" i="1"/>
  <c r="Z38" i="1"/>
  <c r="Z34" i="1"/>
  <c r="T39" i="1"/>
  <c r="W39" i="1"/>
  <c r="X39" i="1"/>
  <c r="Z39" i="1"/>
  <c r="T35" i="1"/>
  <c r="W35" i="1"/>
  <c r="X35" i="1"/>
  <c r="Z35" i="1"/>
  <c r="T41" i="1"/>
  <c r="W41" i="1"/>
  <c r="X41" i="1"/>
  <c r="Z41" i="1"/>
  <c r="Y14" i="1" l="1"/>
  <c r="U14" i="1" s="1"/>
  <c r="Y26" i="1"/>
  <c r="U26" i="1" s="1"/>
  <c r="Y34" i="1"/>
  <c r="U34" i="1" s="1"/>
  <c r="Y38" i="1"/>
  <c r="U38" i="1" s="1"/>
  <c r="Y41" i="1"/>
  <c r="U41" i="1" s="1"/>
  <c r="Y35" i="1"/>
  <c r="U35" i="1" s="1"/>
  <c r="Y39" i="1"/>
  <c r="U39" i="1" s="1"/>
  <c r="Y32" i="1"/>
  <c r="U32" i="1" s="1"/>
  <c r="T88" i="1"/>
  <c r="W88" i="1"/>
  <c r="X88" i="1"/>
  <c r="Z88" i="1"/>
  <c r="T29" i="1"/>
  <c r="W29" i="1"/>
  <c r="X29" i="1"/>
  <c r="Z29" i="1"/>
  <c r="W102" i="1"/>
  <c r="X102" i="1"/>
  <c r="Z102" i="1"/>
  <c r="W53" i="1"/>
  <c r="X53" i="1"/>
  <c r="Z53" i="1"/>
  <c r="W114" i="1"/>
  <c r="X114" i="1"/>
  <c r="Z114" i="1"/>
  <c r="W46" i="1"/>
  <c r="X46" i="1"/>
  <c r="Z46" i="1"/>
  <c r="W66" i="1"/>
  <c r="X66" i="1"/>
  <c r="Z66" i="1"/>
  <c r="W86" i="1"/>
  <c r="X86" i="1"/>
  <c r="Z86" i="1"/>
  <c r="W89" i="1"/>
  <c r="X89" i="1"/>
  <c r="Z89" i="1"/>
  <c r="W57" i="1"/>
  <c r="X57" i="1"/>
  <c r="Z57" i="1"/>
  <c r="W133" i="1"/>
  <c r="X133" i="1"/>
  <c r="Z133" i="1"/>
  <c r="W85" i="1"/>
  <c r="X85" i="1"/>
  <c r="Z85" i="1"/>
  <c r="W113" i="1"/>
  <c r="X113" i="1"/>
  <c r="Z113" i="1"/>
  <c r="W51" i="1"/>
  <c r="X51" i="1"/>
  <c r="Z51" i="1"/>
  <c r="W54" i="1"/>
  <c r="X54" i="1"/>
  <c r="Z54" i="1"/>
  <c r="W111" i="1"/>
  <c r="X111" i="1"/>
  <c r="Z111" i="1"/>
  <c r="W134" i="1"/>
  <c r="X134" i="1"/>
  <c r="Z134" i="1"/>
  <c r="W27" i="1"/>
  <c r="X27" i="1"/>
  <c r="Z27" i="1"/>
  <c r="W101" i="1"/>
  <c r="X101" i="1"/>
  <c r="Z101" i="1"/>
  <c r="W31" i="1"/>
  <c r="X31" i="1"/>
  <c r="Z31" i="1"/>
  <c r="W11" i="1"/>
  <c r="X11" i="1"/>
  <c r="Z11" i="1"/>
  <c r="W56" i="1"/>
  <c r="X56" i="1"/>
  <c r="Z56" i="1"/>
  <c r="W100" i="1"/>
  <c r="X100" i="1"/>
  <c r="Z100" i="1"/>
  <c r="W59" i="1"/>
  <c r="X59" i="1"/>
  <c r="Z59" i="1"/>
  <c r="Z126" i="1"/>
  <c r="W5" i="1"/>
  <c r="X5" i="1"/>
  <c r="Z5" i="1"/>
  <c r="W16" i="1"/>
  <c r="X16" i="1"/>
  <c r="Z16" i="1"/>
  <c r="W116" i="1"/>
  <c r="X116" i="1"/>
  <c r="Z116" i="1"/>
  <c r="W65" i="1"/>
  <c r="X65" i="1"/>
  <c r="Z65" i="1"/>
  <c r="W139" i="1"/>
  <c r="X139" i="1"/>
  <c r="Z139" i="1"/>
  <c r="W94" i="1"/>
  <c r="X94" i="1"/>
  <c r="Z94" i="1"/>
  <c r="W67" i="1"/>
  <c r="X67" i="1"/>
  <c r="Z67" i="1"/>
  <c r="W7" i="1"/>
  <c r="X7" i="1"/>
  <c r="Z7" i="1"/>
  <c r="W135" i="1"/>
  <c r="X135" i="1"/>
  <c r="Z135" i="1"/>
  <c r="Z124" i="1"/>
  <c r="W40" i="1"/>
  <c r="X40" i="1"/>
  <c r="Z40" i="1"/>
  <c r="W144" i="1"/>
  <c r="X144" i="1"/>
  <c r="Z144" i="1"/>
  <c r="W112" i="1"/>
  <c r="X112" i="1"/>
  <c r="Z112" i="1"/>
  <c r="W75" i="1"/>
  <c r="X75" i="1"/>
  <c r="Z75" i="1"/>
  <c r="W120" i="1"/>
  <c r="X120" i="1"/>
  <c r="Z120" i="1"/>
  <c r="W128" i="1"/>
  <c r="X128" i="1"/>
  <c r="Z128" i="1"/>
  <c r="W72" i="1"/>
  <c r="X72" i="1"/>
  <c r="Z72" i="1"/>
  <c r="W82" i="1"/>
  <c r="X82" i="1"/>
  <c r="Z82" i="1"/>
  <c r="W42" i="1"/>
  <c r="X42" i="1"/>
  <c r="Z42" i="1"/>
  <c r="W83" i="1"/>
  <c r="X83" i="1"/>
  <c r="Z83" i="1"/>
  <c r="W4" i="1"/>
  <c r="X4" i="1"/>
  <c r="Z4" i="1"/>
  <c r="W129" i="1"/>
  <c r="X129" i="1"/>
  <c r="Z129" i="1"/>
  <c r="W70" i="1"/>
  <c r="X70" i="1"/>
  <c r="Z70" i="1"/>
  <c r="Z109" i="1"/>
  <c r="W12" i="1"/>
  <c r="X12" i="1"/>
  <c r="Z12" i="1"/>
  <c r="W15" i="1"/>
  <c r="X15" i="1"/>
  <c r="Z15" i="1"/>
  <c r="W81" i="1"/>
  <c r="X81" i="1"/>
  <c r="Z81" i="1"/>
  <c r="W87" i="1"/>
  <c r="X87" i="1"/>
  <c r="Z87" i="1"/>
  <c r="W117" i="1"/>
  <c r="X117" i="1"/>
  <c r="Z117" i="1"/>
  <c r="W132" i="1"/>
  <c r="X132" i="1"/>
  <c r="Z132" i="1"/>
  <c r="W49" i="1"/>
  <c r="X49" i="1"/>
  <c r="Z49" i="1"/>
  <c r="W55" i="1"/>
  <c r="X55" i="1"/>
  <c r="Z55" i="1"/>
  <c r="W127" i="1"/>
  <c r="X127" i="1"/>
  <c r="Z127" i="1"/>
  <c r="W140" i="1"/>
  <c r="X140" i="1"/>
  <c r="Z140" i="1"/>
  <c r="W10" i="1"/>
  <c r="X10" i="1"/>
  <c r="Z10" i="1"/>
  <c r="W77" i="1"/>
  <c r="Z77" i="1"/>
  <c r="W13" i="1"/>
  <c r="X13" i="1"/>
  <c r="Z13" i="1"/>
  <c r="W28" i="1"/>
  <c r="X28" i="1"/>
  <c r="Z28" i="1"/>
  <c r="W103" i="1"/>
  <c r="X103" i="1"/>
  <c r="Z103" i="1"/>
  <c r="W130" i="1"/>
  <c r="X130" i="1"/>
  <c r="Z130" i="1"/>
  <c r="W80" i="1"/>
  <c r="X80" i="1"/>
  <c r="Z80" i="1"/>
  <c r="W25" i="1"/>
  <c r="X25" i="1"/>
  <c r="Z25" i="1"/>
  <c r="W47" i="1"/>
  <c r="X47" i="1"/>
  <c r="Z47" i="1"/>
  <c r="W50" i="1"/>
  <c r="X50" i="1"/>
  <c r="Z50" i="1"/>
  <c r="W93" i="1"/>
  <c r="X93" i="1"/>
  <c r="Z93" i="1"/>
  <c r="W131" i="1"/>
  <c r="X131" i="1"/>
  <c r="Z131" i="1"/>
  <c r="W137" i="1"/>
  <c r="X137" i="1"/>
  <c r="Z137" i="1"/>
  <c r="W73" i="1"/>
  <c r="X73" i="1"/>
  <c r="Z73" i="1"/>
  <c r="Z125" i="1"/>
  <c r="W68" i="1"/>
  <c r="X68" i="1"/>
  <c r="Z68" i="1"/>
  <c r="W8" i="1"/>
  <c r="X8" i="1"/>
  <c r="Z8" i="1"/>
  <c r="W90" i="1"/>
  <c r="Z90" i="1"/>
  <c r="W95" i="1"/>
  <c r="X95" i="1"/>
  <c r="Z95" i="1"/>
  <c r="W84" i="1"/>
  <c r="X84" i="1"/>
  <c r="Z84" i="1"/>
  <c r="W58" i="1"/>
  <c r="X58" i="1"/>
  <c r="Z58" i="1"/>
  <c r="W92" i="1"/>
  <c r="X92" i="1"/>
  <c r="Z92" i="1"/>
  <c r="W62" i="1"/>
  <c r="X62" i="1"/>
  <c r="Z62" i="1"/>
  <c r="W52" i="1"/>
  <c r="X52" i="1"/>
  <c r="Z52" i="1"/>
  <c r="W30" i="1"/>
  <c r="X30" i="1"/>
  <c r="Z30" i="1"/>
  <c r="W48" i="1"/>
  <c r="X48" i="1"/>
  <c r="Z48" i="1"/>
  <c r="W136" i="1"/>
  <c r="X136" i="1"/>
  <c r="Z136" i="1"/>
  <c r="W36" i="1"/>
  <c r="X36" i="1"/>
  <c r="Z36" i="1"/>
  <c r="W45" i="1"/>
  <c r="X45" i="1"/>
  <c r="Z45" i="1"/>
  <c r="Z108" i="1"/>
  <c r="W64" i="1"/>
  <c r="X64" i="1"/>
  <c r="Z64" i="1"/>
  <c r="Z104" i="1"/>
  <c r="W61" i="1"/>
  <c r="X61" i="1"/>
  <c r="Z61" i="1"/>
  <c r="W71" i="1"/>
  <c r="X71" i="1"/>
  <c r="Z71" i="1"/>
  <c r="W69" i="1"/>
  <c r="X69" i="1"/>
  <c r="Z69" i="1"/>
  <c r="W60" i="1"/>
  <c r="X60" i="1"/>
  <c r="Z60" i="1"/>
  <c r="W115" i="1"/>
  <c r="X115" i="1"/>
  <c r="Z115" i="1"/>
  <c r="W91" i="1"/>
  <c r="X91" i="1"/>
  <c r="Z91" i="1"/>
  <c r="W110" i="1"/>
  <c r="X110" i="1"/>
  <c r="Z110" i="1"/>
  <c r="W74" i="1"/>
  <c r="X74" i="1"/>
  <c r="Z74" i="1"/>
  <c r="W98" i="1"/>
  <c r="X98" i="1"/>
  <c r="Z98" i="1"/>
  <c r="W3" i="1"/>
  <c r="X3" i="1"/>
  <c r="Z3" i="1"/>
  <c r="W33" i="1"/>
  <c r="X33" i="1"/>
  <c r="Z33" i="1"/>
  <c r="W99" i="1"/>
  <c r="X99" i="1"/>
  <c r="Z99" i="1"/>
  <c r="W43" i="1"/>
  <c r="X43" i="1"/>
  <c r="Z43" i="1"/>
  <c r="W76" i="1"/>
  <c r="X76" i="1"/>
  <c r="Z76" i="1"/>
  <c r="W9" i="1"/>
  <c r="X9" i="1"/>
  <c r="Z9" i="1"/>
  <c r="W79" i="1"/>
  <c r="X79" i="1"/>
  <c r="Z79" i="1"/>
  <c r="W37" i="1"/>
  <c r="X37" i="1"/>
  <c r="Z37" i="1"/>
  <c r="Z106" i="1"/>
  <c r="T102" i="1"/>
  <c r="T53" i="1"/>
  <c r="T114" i="1"/>
  <c r="T46" i="1"/>
  <c r="T66" i="1"/>
  <c r="T86" i="1"/>
  <c r="T89" i="1"/>
  <c r="T57" i="1"/>
  <c r="T133" i="1"/>
  <c r="T85" i="1"/>
  <c r="T113" i="1"/>
  <c r="T51" i="1"/>
  <c r="T54" i="1"/>
  <c r="T111" i="1"/>
  <c r="T134" i="1"/>
  <c r="T27" i="1"/>
  <c r="T101" i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T60" i="1"/>
  <c r="T115" i="1"/>
  <c r="T91" i="1"/>
  <c r="T110" i="1"/>
  <c r="T74" i="1"/>
  <c r="T98" i="1"/>
  <c r="T3" i="1"/>
  <c r="K6" i="1"/>
  <c r="L6" i="1"/>
  <c r="M6" i="1"/>
  <c r="N6" i="1" s="1"/>
  <c r="K3" i="1"/>
  <c r="L3" i="1"/>
  <c r="M3" i="1"/>
  <c r="K5" i="1"/>
  <c r="L5" i="1"/>
  <c r="M5" i="1"/>
  <c r="N5" i="1" s="1"/>
  <c r="Y103" i="1" l="1"/>
  <c r="Y127" i="1"/>
  <c r="Y81" i="1"/>
  <c r="Y88" i="1"/>
  <c r="U88" i="1" s="1"/>
  <c r="Y59" i="1"/>
  <c r="Y83" i="1"/>
  <c r="Y92" i="1"/>
  <c r="Y100" i="1"/>
  <c r="Y27" i="1"/>
  <c r="U27" i="1" s="1"/>
  <c r="Y116" i="1"/>
  <c r="Y98" i="1"/>
  <c r="U98" i="1" s="1"/>
  <c r="Y140" i="1"/>
  <c r="Y7" i="1"/>
  <c r="Y120" i="1"/>
  <c r="Y76" i="1"/>
  <c r="Y68" i="1"/>
  <c r="Y99" i="1"/>
  <c r="Y136" i="1"/>
  <c r="Y84" i="1"/>
  <c r="Y47" i="1"/>
  <c r="Y33" i="1"/>
  <c r="Y25" i="1"/>
  <c r="Y49" i="1"/>
  <c r="Y46" i="1"/>
  <c r="U46" i="1" s="1"/>
  <c r="Y66" i="1"/>
  <c r="U66" i="1" s="1"/>
  <c r="Y29" i="1"/>
  <c r="U29" i="1" s="1"/>
  <c r="Y73" i="1"/>
  <c r="Y48" i="1"/>
  <c r="Y133" i="1"/>
  <c r="U133" i="1" s="1"/>
  <c r="Y91" i="1"/>
  <c r="U91" i="1" s="1"/>
  <c r="Y75" i="1"/>
  <c r="Y53" i="1"/>
  <c r="U53" i="1" s="1"/>
  <c r="Y55" i="1"/>
  <c r="Y15" i="1"/>
  <c r="Y42" i="1"/>
  <c r="Y58" i="1"/>
  <c r="Y13" i="1"/>
  <c r="Y74" i="1"/>
  <c r="U74" i="1" s="1"/>
  <c r="Y30" i="1"/>
  <c r="Y28" i="1"/>
  <c r="Y111" i="1"/>
  <c r="U111" i="1" s="1"/>
  <c r="Y115" i="1"/>
  <c r="U115" i="1" s="1"/>
  <c r="Y60" i="1"/>
  <c r="U60" i="1" s="1"/>
  <c r="Y86" i="1"/>
  <c r="U86" i="1" s="1"/>
  <c r="Y85" i="1"/>
  <c r="U85" i="1" s="1"/>
  <c r="Y134" i="1"/>
  <c r="U134" i="1" s="1"/>
  <c r="Y57" i="1"/>
  <c r="U57" i="1" s="1"/>
  <c r="Y79" i="1"/>
  <c r="Y80" i="1"/>
  <c r="Y132" i="1"/>
  <c r="Y131" i="1"/>
  <c r="Y12" i="1"/>
  <c r="Y137" i="1"/>
  <c r="Y16" i="1"/>
  <c r="Y54" i="1"/>
  <c r="U54" i="1" s="1"/>
  <c r="Y114" i="1"/>
  <c r="U114" i="1" s="1"/>
  <c r="Y52" i="1"/>
  <c r="Y10" i="1"/>
  <c r="Y70" i="1"/>
  <c r="Y40" i="1"/>
  <c r="Y9" i="1"/>
  <c r="Y69" i="1"/>
  <c r="Y112" i="1"/>
  <c r="Y56" i="1"/>
  <c r="Y71" i="1"/>
  <c r="Y144" i="1"/>
  <c r="Y11" i="1"/>
  <c r="Y67" i="1"/>
  <c r="Y8" i="1"/>
  <c r="Y31" i="1"/>
  <c r="Y93" i="1"/>
  <c r="Y117" i="1"/>
  <c r="Y82" i="1"/>
  <c r="Y94" i="1"/>
  <c r="Y51" i="1"/>
  <c r="U51" i="1" s="1"/>
  <c r="Y110" i="1"/>
  <c r="U110" i="1" s="1"/>
  <c r="Y50" i="1"/>
  <c r="Y130" i="1"/>
  <c r="Y101" i="1"/>
  <c r="U101" i="1" s="1"/>
  <c r="Y113" i="1"/>
  <c r="U113" i="1" s="1"/>
  <c r="Y61" i="1"/>
  <c r="Y95" i="1"/>
  <c r="Y4" i="1"/>
  <c r="Y128" i="1"/>
  <c r="Y43" i="1"/>
  <c r="Y87" i="1"/>
  <c r="Y129" i="1"/>
  <c r="Y72" i="1"/>
  <c r="Y90" i="1"/>
  <c r="Y139" i="1"/>
  <c r="Y5" i="1"/>
  <c r="Y37" i="1"/>
  <c r="Y45" i="1"/>
  <c r="Y62" i="1"/>
  <c r="Y65" i="1"/>
  <c r="Y77" i="1"/>
  <c r="Y3" i="1"/>
  <c r="U3" i="1" s="1"/>
  <c r="Y64" i="1"/>
  <c r="Y36" i="1"/>
  <c r="Y135" i="1"/>
  <c r="Y89" i="1"/>
  <c r="U89" i="1" s="1"/>
  <c r="Y102" i="1"/>
  <c r="U102" i="1" s="1"/>
  <c r="L75" i="1"/>
  <c r="L82" i="1"/>
  <c r="L138" i="1"/>
  <c r="L139" i="1"/>
  <c r="K75" i="1"/>
  <c r="K82" i="1"/>
  <c r="K138" i="1"/>
  <c r="K139" i="1"/>
  <c r="M82" i="1"/>
  <c r="N82" i="1" s="1"/>
  <c r="M138" i="1"/>
  <c r="N138" i="1" s="1"/>
  <c r="M139" i="1"/>
  <c r="P139" i="1" s="1"/>
  <c r="M75" i="1"/>
  <c r="N75" i="1" s="1"/>
  <c r="AA106" i="1"/>
  <c r="AA38" i="1"/>
  <c r="AA102" i="1"/>
  <c r="AA121" i="1"/>
  <c r="AA57" i="1"/>
  <c r="AA105" i="1"/>
  <c r="L9" i="3"/>
  <c r="L21" i="3"/>
  <c r="L31" i="3"/>
  <c r="L5" i="3"/>
  <c r="T116" i="1"/>
  <c r="AA116" i="1"/>
  <c r="T65" i="1"/>
  <c r="AA65" i="1"/>
  <c r="T76" i="1"/>
  <c r="AA76" i="1"/>
  <c r="T139" i="1"/>
  <c r="AA139" i="1"/>
  <c r="T43" i="1"/>
  <c r="AA43" i="1"/>
  <c r="T94" i="1"/>
  <c r="AA94" i="1"/>
  <c r="T67" i="1"/>
  <c r="AA67" i="1"/>
  <c r="T7" i="1"/>
  <c r="AA7" i="1"/>
  <c r="AA39" i="1"/>
  <c r="AA32" i="1"/>
  <c r="T135" i="1"/>
  <c r="AA135" i="1"/>
  <c r="AA124" i="1"/>
  <c r="T40" i="1"/>
  <c r="AA40" i="1"/>
  <c r="AA86" i="1"/>
  <c r="AA88" i="1"/>
  <c r="AA29" i="1"/>
  <c r="T144" i="1"/>
  <c r="AA144" i="1"/>
  <c r="T37" i="1"/>
  <c r="AA37" i="1"/>
  <c r="T112" i="1"/>
  <c r="AA112" i="1"/>
  <c r="T75" i="1"/>
  <c r="AA75" i="1"/>
  <c r="T120" i="1"/>
  <c r="AA120" i="1"/>
  <c r="T128" i="1"/>
  <c r="AA128" i="1"/>
  <c r="T72" i="1"/>
  <c r="AA72" i="1"/>
  <c r="T82" i="1"/>
  <c r="AA82" i="1"/>
  <c r="T42" i="1"/>
  <c r="AA42" i="1"/>
  <c r="T83" i="1"/>
  <c r="AA83" i="1"/>
  <c r="AA3" i="1"/>
  <c r="T4" i="1"/>
  <c r="AA4" i="1"/>
  <c r="T129" i="1"/>
  <c r="AA129" i="1"/>
  <c r="T70" i="1"/>
  <c r="AA70" i="1"/>
  <c r="AA109" i="1"/>
  <c r="T12" i="1"/>
  <c r="AA12" i="1"/>
  <c r="T15" i="1"/>
  <c r="P25" i="3" s="1"/>
  <c r="AA15" i="1"/>
  <c r="T81" i="1"/>
  <c r="AA81" i="1"/>
  <c r="T87" i="1"/>
  <c r="AA87" i="1"/>
  <c r="AA97" i="1"/>
  <c r="T117" i="1"/>
  <c r="AA117" i="1"/>
  <c r="T132" i="1"/>
  <c r="AA132" i="1"/>
  <c r="AA26" i="1"/>
  <c r="T49" i="1"/>
  <c r="AA49" i="1"/>
  <c r="T55" i="1"/>
  <c r="AA55" i="1"/>
  <c r="T127" i="1"/>
  <c r="AA127" i="1"/>
  <c r="T140" i="1"/>
  <c r="AA140" i="1"/>
  <c r="T10" i="1"/>
  <c r="AA10" i="1"/>
  <c r="AA89" i="1"/>
  <c r="AA6" i="1"/>
  <c r="T77" i="1"/>
  <c r="AA77" i="1"/>
  <c r="AA110" i="1"/>
  <c r="T13" i="1"/>
  <c r="AA13" i="1"/>
  <c r="T28" i="1"/>
  <c r="AA28" i="1"/>
  <c r="T103" i="1"/>
  <c r="AA103" i="1"/>
  <c r="T130" i="1"/>
  <c r="AA130" i="1"/>
  <c r="T79" i="1"/>
  <c r="AA79" i="1"/>
  <c r="AA119" i="1"/>
  <c r="AA143" i="1"/>
  <c r="T80" i="1"/>
  <c r="AA80" i="1"/>
  <c r="AA35" i="1"/>
  <c r="T25" i="1"/>
  <c r="AA25" i="1"/>
  <c r="T47" i="1"/>
  <c r="AA47" i="1"/>
  <c r="T50" i="1"/>
  <c r="AA50" i="1"/>
  <c r="T93" i="1"/>
  <c r="AA93" i="1"/>
  <c r="T131" i="1"/>
  <c r="AA131" i="1"/>
  <c r="T137" i="1"/>
  <c r="AA137" i="1"/>
  <c r="T73" i="1"/>
  <c r="AA73" i="1"/>
  <c r="T138" i="1"/>
  <c r="W138" i="1"/>
  <c r="X138" i="1"/>
  <c r="Z138" i="1"/>
  <c r="AA138" i="1"/>
  <c r="AA125" i="1"/>
  <c r="T68" i="1"/>
  <c r="AA68" i="1"/>
  <c r="T9" i="1"/>
  <c r="AA9" i="1"/>
  <c r="T8" i="1"/>
  <c r="AA8" i="1"/>
  <c r="T90" i="1"/>
  <c r="AA90" i="1"/>
  <c r="AA123" i="1"/>
  <c r="T95" i="1"/>
  <c r="AA95" i="1"/>
  <c r="T84" i="1"/>
  <c r="AA84" i="1"/>
  <c r="T58" i="1"/>
  <c r="AA58" i="1"/>
  <c r="T92" i="1"/>
  <c r="AA92" i="1"/>
  <c r="T62" i="1"/>
  <c r="AA62" i="1"/>
  <c r="AA41" i="1"/>
  <c r="T52" i="1"/>
  <c r="AA52" i="1"/>
  <c r="T30" i="1"/>
  <c r="AA30" i="1"/>
  <c r="T48" i="1"/>
  <c r="AA48" i="1"/>
  <c r="T136" i="1"/>
  <c r="AA136" i="1"/>
  <c r="T36" i="1"/>
  <c r="AA36" i="1"/>
  <c r="T45" i="1"/>
  <c r="AA45" i="1"/>
  <c r="AA98" i="1"/>
  <c r="T33" i="1"/>
  <c r="AA33" i="1"/>
  <c r="AA118" i="1"/>
  <c r="AA108" i="1"/>
  <c r="T64" i="1"/>
  <c r="AA64" i="1"/>
  <c r="AA104" i="1"/>
  <c r="T61" i="1"/>
  <c r="AA61" i="1"/>
  <c r="T71" i="1"/>
  <c r="AA71" i="1"/>
  <c r="T69" i="1"/>
  <c r="AA69" i="1"/>
  <c r="T99" i="1"/>
  <c r="AA99" i="1"/>
  <c r="P26" i="3" l="1"/>
  <c r="P29" i="3"/>
  <c r="P27" i="3"/>
  <c r="U99" i="1"/>
  <c r="U36" i="1"/>
  <c r="U93" i="1"/>
  <c r="U62" i="1"/>
  <c r="U45" i="1"/>
  <c r="U116" i="1"/>
  <c r="U43" i="1"/>
  <c r="U37" i="1"/>
  <c r="U30" i="1"/>
  <c r="U61" i="1"/>
  <c r="U80" i="1"/>
  <c r="Y138" i="1"/>
  <c r="U138" i="1" s="1"/>
  <c r="U33" i="1"/>
  <c r="U131" i="1"/>
  <c r="U95" i="1"/>
  <c r="U9" i="1"/>
  <c r="U25" i="1"/>
  <c r="U77" i="1"/>
  <c r="U82" i="1"/>
  <c r="U52" i="1"/>
  <c r="U137" i="1"/>
  <c r="U70" i="1"/>
  <c r="U83" i="1"/>
  <c r="U71" i="1"/>
  <c r="U15" i="1"/>
  <c r="U84" i="1"/>
  <c r="U92" i="1"/>
  <c r="U10" i="1"/>
  <c r="U7" i="1"/>
  <c r="U90" i="1"/>
  <c r="U135" i="1"/>
  <c r="U64" i="1"/>
  <c r="U13" i="1"/>
  <c r="U50" i="1"/>
  <c r="U47" i="1"/>
  <c r="U48" i="1"/>
  <c r="U4" i="1"/>
  <c r="U81" i="1"/>
  <c r="U79" i="1"/>
  <c r="U127" i="1"/>
  <c r="U94" i="1"/>
  <c r="U65" i="1"/>
  <c r="U112" i="1"/>
  <c r="U129" i="1"/>
  <c r="U42" i="1"/>
  <c r="U140" i="1"/>
  <c r="U128" i="1"/>
  <c r="U117" i="1"/>
  <c r="U28" i="1"/>
  <c r="U144" i="1"/>
  <c r="U139" i="1"/>
  <c r="U55" i="1"/>
  <c r="U69" i="1"/>
  <c r="U58" i="1"/>
  <c r="U40" i="1"/>
  <c r="U68" i="1"/>
  <c r="U67" i="1"/>
  <c r="U120" i="1"/>
  <c r="U130" i="1"/>
  <c r="U49" i="1"/>
  <c r="U136" i="1"/>
  <c r="U73" i="1"/>
  <c r="U12" i="1"/>
  <c r="U76" i="1"/>
  <c r="U103" i="1"/>
  <c r="U87" i="1"/>
  <c r="U75" i="1"/>
  <c r="U8" i="1"/>
  <c r="U132" i="1"/>
  <c r="U72" i="1"/>
  <c r="M33" i="1"/>
  <c r="N33" i="1" s="1"/>
  <c r="M34" i="1"/>
  <c r="N34" i="1" s="1"/>
  <c r="K33" i="1"/>
  <c r="K34" i="1"/>
  <c r="L33" i="1"/>
  <c r="L34" i="1"/>
  <c r="L32" i="3"/>
  <c r="Q4" i="3"/>
  <c r="Q5" i="3"/>
  <c r="Q6" i="3"/>
  <c r="L6" i="3"/>
  <c r="Q7" i="3"/>
  <c r="L30" i="3"/>
  <c r="Q8" i="3"/>
  <c r="L26" i="3"/>
  <c r="Q9" i="3"/>
  <c r="Q10" i="3"/>
  <c r="L8" i="3"/>
  <c r="Q11" i="3"/>
  <c r="L27" i="3"/>
  <c r="Q12" i="3"/>
  <c r="L20" i="3"/>
  <c r="Q13" i="3"/>
  <c r="Q14" i="3"/>
  <c r="Q15" i="3"/>
  <c r="L17" i="3"/>
  <c r="Q16" i="3"/>
  <c r="L13" i="3"/>
  <c r="Q17" i="3"/>
  <c r="L3" i="3"/>
  <c r="Q18" i="3"/>
  <c r="T31" i="1" l="1"/>
  <c r="T11" i="1"/>
  <c r="U31" i="1"/>
  <c r="K15" i="1"/>
  <c r="L15" i="1"/>
  <c r="M15" i="1"/>
  <c r="N15" i="1" s="1"/>
  <c r="K16" i="1"/>
  <c r="L16" i="1"/>
  <c r="M16" i="1"/>
  <c r="N16" i="1" s="1"/>
  <c r="L15" i="3"/>
  <c r="L10" i="3"/>
  <c r="L22" i="3"/>
  <c r="L36" i="3"/>
  <c r="L28" i="3"/>
  <c r="L4" i="3"/>
  <c r="L16" i="3"/>
  <c r="L39" i="3"/>
  <c r="L7" i="3"/>
  <c r="P7" i="3"/>
  <c r="K74" i="1"/>
  <c r="L74" i="1"/>
  <c r="M74" i="1"/>
  <c r="N74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P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K91" i="1"/>
  <c r="L91" i="1"/>
  <c r="M91" i="1"/>
  <c r="P91" i="1" s="1"/>
  <c r="K93" i="1"/>
  <c r="L93" i="1"/>
  <c r="M93" i="1"/>
  <c r="N93" i="1" s="1"/>
  <c r="U11" i="1" l="1"/>
  <c r="P9" i="3"/>
  <c r="P8" i="3"/>
  <c r="K100" i="1" l="1"/>
  <c r="L100" i="1"/>
  <c r="M100" i="1"/>
  <c r="N100" i="1" s="1"/>
  <c r="K7" i="1"/>
  <c r="L7" i="1"/>
  <c r="M7" i="1"/>
  <c r="N7" i="1" s="1"/>
  <c r="L24" i="3"/>
  <c r="L40" i="3"/>
  <c r="L14" i="3"/>
  <c r="L34" i="3"/>
  <c r="L18" i="3"/>
  <c r="L25" i="3"/>
  <c r="L37" i="3"/>
  <c r="AA85" i="1"/>
  <c r="K8" i="1"/>
  <c r="L8" i="1"/>
  <c r="M8" i="1"/>
  <c r="N8" i="1" s="1"/>
  <c r="AA113" i="1"/>
  <c r="K9" i="1"/>
  <c r="L9" i="1"/>
  <c r="M9" i="1"/>
  <c r="N9" i="1" s="1"/>
  <c r="K11" i="1"/>
  <c r="L11" i="1"/>
  <c r="M11" i="1"/>
  <c r="N11" i="1" s="1"/>
  <c r="AA54" i="1"/>
  <c r="K10" i="1"/>
  <c r="L10" i="1"/>
  <c r="M10" i="1"/>
  <c r="N10" i="1" s="1"/>
  <c r="AA134" i="1"/>
  <c r="K12" i="1"/>
  <c r="L12" i="1"/>
  <c r="M12" i="1"/>
  <c r="N12" i="1" s="1"/>
  <c r="P4" i="3"/>
  <c r="AA27" i="1"/>
  <c r="K14" i="1"/>
  <c r="L14" i="1"/>
  <c r="M14" i="1"/>
  <c r="N14" i="1" s="1"/>
  <c r="K13" i="1"/>
  <c r="L13" i="1"/>
  <c r="M13" i="1"/>
  <c r="N13" i="1" s="1"/>
  <c r="AA101" i="1"/>
  <c r="AA11" i="1"/>
  <c r="T56" i="1"/>
  <c r="AA56" i="1"/>
  <c r="K26" i="1"/>
  <c r="L26" i="1"/>
  <c r="M26" i="1"/>
  <c r="N26" i="1" s="1"/>
  <c r="T100" i="1"/>
  <c r="AA100" i="1"/>
  <c r="K27" i="1"/>
  <c r="L27" i="1"/>
  <c r="M27" i="1"/>
  <c r="N27" i="1" s="1"/>
  <c r="T59" i="1"/>
  <c r="P11" i="3" s="1"/>
  <c r="AA59" i="1"/>
  <c r="AA126" i="1"/>
  <c r="T5" i="1"/>
  <c r="AA5" i="1"/>
  <c r="AA142" i="1"/>
  <c r="K32" i="1"/>
  <c r="L32" i="1"/>
  <c r="M32" i="1"/>
  <c r="N32" i="1" s="1"/>
  <c r="T16" i="1"/>
  <c r="P28" i="3" s="1"/>
  <c r="AA16" i="1"/>
  <c r="K35" i="1"/>
  <c r="L35" i="1"/>
  <c r="M35" i="1"/>
  <c r="N35" i="1" s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3" i="1"/>
  <c r="L43" i="1"/>
  <c r="M43" i="1"/>
  <c r="N43" i="1" s="1"/>
  <c r="K42" i="1"/>
  <c r="L42" i="1"/>
  <c r="M42" i="1"/>
  <c r="N42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7" i="1"/>
  <c r="L57" i="1"/>
  <c r="M57" i="1"/>
  <c r="N57" i="1" s="1"/>
  <c r="K56" i="1"/>
  <c r="L56" i="1"/>
  <c r="M56" i="1"/>
  <c r="N56" i="1" s="1"/>
  <c r="K58" i="1"/>
  <c r="L58" i="1"/>
  <c r="M58" i="1"/>
  <c r="N58" i="1" s="1"/>
  <c r="K60" i="1"/>
  <c r="L60" i="1"/>
  <c r="M60" i="1"/>
  <c r="N60" i="1" s="1"/>
  <c r="K59" i="1"/>
  <c r="L59" i="1"/>
  <c r="M59" i="1"/>
  <c r="N59" i="1" s="1"/>
  <c r="K61" i="1"/>
  <c r="L61" i="1"/>
  <c r="M61" i="1"/>
  <c r="N61" i="1" s="1"/>
  <c r="K62" i="1"/>
  <c r="L62" i="1"/>
  <c r="M62" i="1"/>
  <c r="P62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P68" i="1" s="1"/>
  <c r="K69" i="1"/>
  <c r="L69" i="1"/>
  <c r="M69" i="1"/>
  <c r="P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94" i="1"/>
  <c r="L94" i="1"/>
  <c r="M94" i="1"/>
  <c r="N94" i="1" s="1"/>
  <c r="K95" i="1"/>
  <c r="L95" i="1"/>
  <c r="M95" i="1"/>
  <c r="N95" i="1" s="1"/>
  <c r="K99" i="1"/>
  <c r="L99" i="1"/>
  <c r="M99" i="1"/>
  <c r="N99" i="1" s="1"/>
  <c r="K98" i="1"/>
  <c r="L98" i="1"/>
  <c r="M98" i="1"/>
  <c r="N98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K105" i="1"/>
  <c r="L105" i="1"/>
  <c r="M105" i="1"/>
  <c r="P105" i="1" s="1"/>
  <c r="K108" i="1"/>
  <c r="L108" i="1"/>
  <c r="M108" i="1"/>
  <c r="K109" i="1"/>
  <c r="L109" i="1"/>
  <c r="M109" i="1"/>
  <c r="N109" i="1" s="1"/>
  <c r="P10" i="3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P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4" i="1"/>
  <c r="L124" i="1"/>
  <c r="M124" i="1"/>
  <c r="N124" i="1" s="1"/>
  <c r="K123" i="1"/>
  <c r="L123" i="1"/>
  <c r="M123" i="1"/>
  <c r="N123" i="1" s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1" i="1"/>
  <c r="L131" i="1"/>
  <c r="M131" i="1"/>
  <c r="K130" i="1"/>
  <c r="L130" i="1"/>
  <c r="M130" i="1"/>
  <c r="P130" i="1" s="1"/>
  <c r="P12" i="3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P136" i="1" s="1"/>
  <c r="K137" i="1"/>
  <c r="L137" i="1"/>
  <c r="M137" i="1"/>
  <c r="N137" i="1" s="1"/>
  <c r="K140" i="1"/>
  <c r="L140" i="1"/>
  <c r="M140" i="1"/>
  <c r="N140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P13" i="3" l="1"/>
  <c r="P17" i="3"/>
  <c r="P6" i="3"/>
  <c r="P5" i="3"/>
  <c r="P14" i="3"/>
  <c r="P15" i="3"/>
  <c r="P16" i="3"/>
  <c r="P18" i="3"/>
  <c r="U5" i="1"/>
  <c r="U16" i="1"/>
  <c r="U59" i="1"/>
  <c r="U56" i="1"/>
  <c r="U100" i="1"/>
  <c r="Q32" i="3"/>
  <c r="Q33" i="3"/>
  <c r="Q34" i="3"/>
  <c r="Q35" i="3"/>
  <c r="Q36" i="3"/>
  <c r="Q37" i="3"/>
  <c r="L33" i="3"/>
  <c r="Q38" i="3"/>
  <c r="Q39" i="3"/>
  <c r="Q40" i="3"/>
  <c r="Q41" i="3"/>
  <c r="L35" i="3"/>
  <c r="L38" i="3"/>
  <c r="P35" i="3"/>
  <c r="P36" i="3"/>
  <c r="P38" i="3"/>
  <c r="P40" i="3"/>
  <c r="P32" i="3"/>
  <c r="P33" i="3"/>
  <c r="P34" i="3"/>
  <c r="P39" i="3" l="1"/>
  <c r="P41" i="3"/>
  <c r="P37" i="3"/>
  <c r="K4" i="1" l="1"/>
  <c r="L41" i="3" l="1"/>
  <c r="J151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29" i="3" l="1"/>
  <c r="L11" i="3"/>
  <c r="L12" i="3"/>
  <c r="L19" i="3"/>
  <c r="P22" i="3" l="1"/>
  <c r="P24" i="3"/>
  <c r="P30" i="3"/>
  <c r="P3" i="3"/>
  <c r="P21" i="3"/>
  <c r="P31" i="3"/>
  <c r="P20" i="3"/>
  <c r="P19" i="3"/>
  <c r="L4" i="1" l="1"/>
  <c r="M4" i="1"/>
  <c r="P3" i="1" s="1"/>
  <c r="J149" i="1" s="1"/>
  <c r="N153" i="1" l="1"/>
  <c r="J153" i="1"/>
  <c r="J152" i="1"/>
  <c r="L23" i="3"/>
  <c r="J154" i="1" l="1"/>
  <c r="J150" i="1"/>
  <c r="A1" i="6"/>
  <c r="M43" i="3"/>
  <c r="M44" i="3" s="1"/>
  <c r="A1" i="3"/>
  <c r="O151" i="1"/>
  <c r="N151" i="1"/>
  <c r="M151" i="1"/>
  <c r="AA133" i="1"/>
  <c r="P23" i="3" l="1"/>
  <c r="O153" i="1"/>
  <c r="O150" i="1"/>
  <c r="M153" i="1"/>
  <c r="N150" i="1"/>
  <c r="M150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<sst xmlns="http://schemas.openxmlformats.org/spreadsheetml/2006/main" count="1811" uniqueCount="550">
  <si>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</si>
  <si>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</si>
  <si>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</si>
  <si>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</si>
  <si>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</si>
  <si>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</si>
  <si>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</si>
  <si>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</si>
  <si>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</si>
  <si>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</si>
  <si>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</si>
  <si>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</si>
  <si>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</si>
  <si>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</si>
  <si>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</si>
  <si>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</si>
  <si>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</si>
  <si>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</si>
  <si>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</si>
  <si>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</si>
  <si>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</si>
  <si>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</si>
  <si>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</si>
  <si>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</si>
  <si>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</si>
  <si>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</si>
  <si>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</si>
  <si>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</si>
  <si>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</si>
  <si>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</si>
  <si>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</si>
  <si>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</si>
  <si>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</si>
  <si>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</si>
  <si>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</si>
  <si>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</si>
  <si>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</si>
  <si>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</si>
  <si>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</si>
  <si>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</si>
  <si>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</si>
  <si>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</si>
  <si>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</si>
  <si>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</si>
  <si>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</si>
  <si>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</si>
  <si>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</si>
  <si>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</si>
  <si>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</si>
  <si>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</si>
  <si>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</si>
  <si>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</si>
  <si>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</si>
  <si>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</si>
  <si>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</si>
  <si>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</si>
  <si>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</si>
  <si>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</si>
  <si>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</si>
  <si>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</si>
  <si>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</si>
  <si>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</si>
  <si>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</si>
  <si>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</si>
  <si>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</si>
  <si>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</si>
  <si>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</si>
  <si>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</si>
  <si>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</si>
  <si>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</si>
  <si>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</si>
  <si>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</si>
  <si>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</si>
  <si>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</si>
  <si>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</si>
  <si>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</si>
  <si>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</si>
  <si>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</si>
  <si>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</si>
  <si>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</si>
  <si>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</si>
  <si>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</si>
  <si>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</si>
  <si>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</si>
  <si>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</si>
  <si>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</si>
  <si>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</si>
  <si>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</si>
  <si>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</si>
  <si>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</si>
  <si>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</si>
  <si>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</si>
  <si>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</si>
  <si>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</si>
  <si>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</si>
  <si>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</si>
  <si>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</si>
  <si>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</si>
  <si>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</si>
  <si>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</si>
  <si>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</si>
  <si>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</si>
  <si>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204:233311</t>
  </si>
  <si>
    <t>204:469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</si>
  <si>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</si>
  <si>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</si>
  <si>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</si>
  <si>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</si>
  <si>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</si>
  <si>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</si>
  <si>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</si>
  <si>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</si>
  <si>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</si>
  <si>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</si>
  <si>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204:232998</t>
  </si>
  <si>
    <t>204:233298</t>
  </si>
  <si>
    <t>204:233303</t>
  </si>
  <si>
    <t>204:232980</t>
  </si>
  <si>
    <t>rtdc.l.rtdc.4009:itc</t>
  </si>
  <si>
    <t>RIVERA</t>
  </si>
  <si>
    <t>204:233300</t>
  </si>
  <si>
    <t>204:132</t>
  </si>
  <si>
    <t>204:232976</t>
  </si>
  <si>
    <t>204:475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</si>
  <si>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</si>
  <si>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</si>
  <si>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</si>
  <si>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</si>
  <si>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</si>
  <si>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</si>
  <si>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</si>
  <si>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204:233280</t>
  </si>
  <si>
    <t>204:442</t>
  </si>
  <si>
    <t>204:232967</t>
  </si>
  <si>
    <t>204:232982</t>
  </si>
  <si>
    <t>204:163</t>
  </si>
  <si>
    <t>COOLAHAN</t>
  </si>
  <si>
    <t>LOZA</t>
  </si>
  <si>
    <t>204:233315</t>
  </si>
  <si>
    <t>204:233323</t>
  </si>
  <si>
    <t>204:233286</t>
  </si>
  <si>
    <t>204:232975</t>
  </si>
  <si>
    <t>204:464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</si>
  <si>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</si>
  <si>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</si>
  <si>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</si>
  <si>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</si>
  <si>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</si>
  <si>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</si>
  <si>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</si>
  <si>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</si>
  <si>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</si>
  <si>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</si>
  <si>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</si>
  <si>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</si>
  <si>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</si>
  <si>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</si>
  <si>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</si>
  <si>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</si>
  <si>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</si>
  <si>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</si>
  <si>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</si>
  <si>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</si>
  <si>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</si>
  <si>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</si>
  <si>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</si>
  <si>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</si>
  <si>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</si>
  <si>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</si>
  <si>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</si>
  <si>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</si>
  <si>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</si>
  <si>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</si>
  <si>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</si>
  <si>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</si>
  <si>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</si>
  <si>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</si>
  <si>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</si>
  <si>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</si>
  <si>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</si>
  <si>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</si>
  <si>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</si>
  <si>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</si>
  <si>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</si>
  <si>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</si>
  <si>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</si>
  <si>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</si>
  <si>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</si>
  <si>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</si>
  <si>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</si>
  <si>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</si>
  <si>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</si>
  <si>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</si>
  <si>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</si>
  <si>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</si>
  <si>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</si>
  <si>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</si>
  <si>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</si>
  <si>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</si>
  <si>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</si>
  <si>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</si>
  <si>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</si>
  <si>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</si>
  <si>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</si>
  <si>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</si>
  <si>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</si>
  <si>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</si>
  <si>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</si>
  <si>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</si>
  <si>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</si>
  <si>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</si>
  <si>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</si>
  <si>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</si>
  <si>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</si>
  <si>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</si>
  <si>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</si>
  <si>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</si>
  <si>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</si>
  <si>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</si>
  <si>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</si>
  <si>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</si>
  <si>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</si>
  <si>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</si>
  <si>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</si>
  <si>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</si>
  <si>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</si>
  <si>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</si>
  <si>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</si>
  <si>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</si>
  <si>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</si>
  <si>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</si>
  <si>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</si>
  <si>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</si>
  <si>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</si>
  <si>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</si>
  <si>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</si>
  <si>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</si>
  <si>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</si>
  <si>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</si>
  <si>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</si>
  <si>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</si>
  <si>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</si>
  <si>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</si>
  <si>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</si>
  <si>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</si>
  <si>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</si>
  <si>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</si>
  <si>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</si>
  <si>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</si>
  <si>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</si>
  <si>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</si>
  <si>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</si>
  <si>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</si>
  <si>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</si>
  <si>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</si>
  <si>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</si>
  <si>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</si>
  <si>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</si>
  <si>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</si>
  <si>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</si>
  <si>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</si>
  <si>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</si>
  <si>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</si>
  <si>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</si>
  <si>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</si>
  <si>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</si>
  <si>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</si>
  <si>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</si>
  <si>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</si>
  <si>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</si>
  <si>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</si>
  <si>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</si>
  <si>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</si>
  <si>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</si>
  <si>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204:233019</t>
  </si>
  <si>
    <t>204:471</t>
  </si>
  <si>
    <t>204:127860</t>
  </si>
  <si>
    <t>204:161</t>
  </si>
  <si>
    <t>204:482</t>
  </si>
  <si>
    <t>204:473</t>
  </si>
  <si>
    <t>204:232971</t>
  </si>
  <si>
    <t>204:233306</t>
  </si>
  <si>
    <t>204:232985</t>
  </si>
  <si>
    <t>204:233284</t>
  </si>
  <si>
    <t>204:233021</t>
  </si>
  <si>
    <t>204:233010</t>
  </si>
  <si>
    <t>204:427</t>
  </si>
  <si>
    <t>204:232981</t>
  </si>
  <si>
    <t>204:233291</t>
  </si>
  <si>
    <t>204:232979</t>
  </si>
  <si>
    <t>204:232970</t>
  </si>
  <si>
    <t>204:233297</t>
  </si>
  <si>
    <t>204:467</t>
  </si>
  <si>
    <t>204:232969</t>
  </si>
  <si>
    <t>204:232984</t>
  </si>
  <si>
    <t>Possible Explanation</t>
  </si>
  <si>
    <t>Recorded Operator</t>
  </si>
  <si>
    <t>Trip ID</t>
  </si>
  <si>
    <t># Of Times Offered</t>
  </si>
  <si>
    <t>Loco</t>
  </si>
  <si>
    <t>111-12</t>
  </si>
  <si>
    <t>119-12</t>
  </si>
  <si>
    <t>112-12</t>
  </si>
  <si>
    <t>rtdc.l.rtdc.4012:itc</t>
  </si>
  <si>
    <t>114-12</t>
  </si>
  <si>
    <t>122-12</t>
  </si>
  <si>
    <t>rtdc.l.rtdc.4015:itc</t>
  </si>
  <si>
    <t>124-12</t>
  </si>
  <si>
    <t>128-12</t>
  </si>
  <si>
    <t>rtdc.l.rtdc.4011:itc</t>
  </si>
  <si>
    <t>141-12</t>
  </si>
  <si>
    <t>134-12</t>
  </si>
  <si>
    <t>140-12</t>
  </si>
  <si>
    <t>rtdc.l.rtdc.4016:itc</t>
  </si>
  <si>
    <t>151-12</t>
  </si>
  <si>
    <t>148-12</t>
  </si>
  <si>
    <t>157-12</t>
  </si>
  <si>
    <t>163-12</t>
  </si>
  <si>
    <t>rtdc.l.rtdc.4010:itc</t>
  </si>
  <si>
    <t>158-12</t>
  </si>
  <si>
    <t>165-12</t>
  </si>
  <si>
    <t>167-12</t>
  </si>
  <si>
    <t>173-12</t>
  </si>
  <si>
    <t>166-12</t>
  </si>
  <si>
    <t>181-12</t>
  </si>
  <si>
    <t>187-12</t>
  </si>
  <si>
    <t>182-12</t>
  </si>
  <si>
    <t>186-12</t>
  </si>
  <si>
    <t>192-12</t>
  </si>
  <si>
    <t>199-12</t>
  </si>
  <si>
    <t>202-12</t>
  </si>
  <si>
    <t>206-12</t>
  </si>
  <si>
    <t>EQUIPMENT RESTRICTION</t>
  </si>
  <si>
    <t>204-12</t>
  </si>
  <si>
    <t>216-12</t>
  </si>
  <si>
    <t>218-12</t>
  </si>
  <si>
    <t>220-12</t>
  </si>
  <si>
    <t>239-12</t>
  </si>
  <si>
    <t>234-12</t>
  </si>
  <si>
    <t>102-12</t>
  </si>
  <si>
    <t>CANFIELD</t>
  </si>
  <si>
    <t>131-12</t>
  </si>
  <si>
    <t>STURGEON</t>
  </si>
  <si>
    <t>136-12</t>
  </si>
  <si>
    <t>142-12</t>
  </si>
  <si>
    <t>183-12</t>
  </si>
  <si>
    <t>ACKERMAN</t>
  </si>
  <si>
    <t>104-12</t>
  </si>
  <si>
    <t>191-12</t>
  </si>
  <si>
    <t>215-12</t>
  </si>
  <si>
    <t>209-12</t>
  </si>
  <si>
    <t>BRUDER</t>
  </si>
  <si>
    <t>208-12</t>
  </si>
  <si>
    <t>LOCKLEAR</t>
  </si>
  <si>
    <t>101-12</t>
  </si>
  <si>
    <t>219-12</t>
  </si>
  <si>
    <t>146-12</t>
  </si>
  <si>
    <t>198-12</t>
  </si>
  <si>
    <t>169-12</t>
  </si>
  <si>
    <t>110-12</t>
  </si>
  <si>
    <t>230-12</t>
  </si>
  <si>
    <t>242-12</t>
  </si>
  <si>
    <t>DE LA ROSA</t>
  </si>
  <si>
    <t>WEBSTER</t>
  </si>
  <si>
    <t>155-12</t>
  </si>
  <si>
    <t>240-12</t>
  </si>
  <si>
    <t>105-12</t>
  </si>
  <si>
    <t>YORK</t>
  </si>
  <si>
    <t>197-12</t>
  </si>
  <si>
    <t>188-12</t>
  </si>
  <si>
    <t>168-12</t>
  </si>
  <si>
    <t>164-12</t>
  </si>
  <si>
    <t>160-12</t>
  </si>
  <si>
    <t>193-12</t>
  </si>
  <si>
    <t>150-12</t>
  </si>
  <si>
    <t>106-12</t>
  </si>
  <si>
    <t>232-12</t>
  </si>
  <si>
    <t>132-12</t>
  </si>
  <si>
    <t>143-12</t>
  </si>
  <si>
    <t>190-12</t>
  </si>
  <si>
    <t>195-12</t>
  </si>
  <si>
    <t>REBOLETTI</t>
  </si>
  <si>
    <t>235-12</t>
  </si>
  <si>
    <t>228-12</t>
  </si>
  <si>
    <t>189-12</t>
  </si>
  <si>
    <t>236-12</t>
  </si>
  <si>
    <t>200-12</t>
  </si>
  <si>
    <t>117-12</t>
  </si>
  <si>
    <t>156-12</t>
  </si>
  <si>
    <t>221-12</t>
  </si>
  <si>
    <t>178-12</t>
  </si>
  <si>
    <t>196-12</t>
  </si>
  <si>
    <t>161-12</t>
  </si>
  <si>
    <t>115-12</t>
  </si>
  <si>
    <t>152-12</t>
  </si>
  <si>
    <t>133-12</t>
  </si>
  <si>
    <t>126-12</t>
  </si>
  <si>
    <t>118-12</t>
  </si>
  <si>
    <t>171-12</t>
  </si>
  <si>
    <t>170-12</t>
  </si>
  <si>
    <t>177-12</t>
  </si>
  <si>
    <t>212-12</t>
  </si>
  <si>
    <t>147-12</t>
  </si>
  <si>
    <t>237-12</t>
  </si>
  <si>
    <t>127-12</t>
  </si>
  <si>
    <t>244-12</t>
  </si>
  <si>
    <t>116-12</t>
  </si>
  <si>
    <t>176-12</t>
  </si>
  <si>
    <t>227-12</t>
  </si>
  <si>
    <t>233-12</t>
  </si>
  <si>
    <t>135-12</t>
  </si>
  <si>
    <t>210-12</t>
  </si>
  <si>
    <t>120-12</t>
  </si>
  <si>
    <t>103-12</t>
  </si>
  <si>
    <t>113-12</t>
  </si>
  <si>
    <t>139-12</t>
  </si>
  <si>
    <t>138-12</t>
  </si>
  <si>
    <t>153-12</t>
  </si>
  <si>
    <t>231-12</t>
  </si>
  <si>
    <t>222-12</t>
  </si>
  <si>
    <t>172-12</t>
  </si>
  <si>
    <t>238-12</t>
  </si>
  <si>
    <t>226-12</t>
  </si>
  <si>
    <t>224-12</t>
  </si>
  <si>
    <t>243-12</t>
  </si>
  <si>
    <t>179-12</t>
  </si>
  <si>
    <t>211-12</t>
  </si>
  <si>
    <t>201-12</t>
  </si>
  <si>
    <t>213-12</t>
  </si>
  <si>
    <t>241-12</t>
  </si>
  <si>
    <t>184-12</t>
  </si>
  <si>
    <t>107-12</t>
  </si>
  <si>
    <t>121-12</t>
  </si>
  <si>
    <t>185-12</t>
  </si>
  <si>
    <t>174-12</t>
  </si>
  <si>
    <t>149-12</t>
  </si>
  <si>
    <t>159-12</t>
  </si>
  <si>
    <t>162-12</t>
  </si>
  <si>
    <t>207-12</t>
  </si>
  <si>
    <t>214-12</t>
  </si>
  <si>
    <t>154-12</t>
  </si>
  <si>
    <t>129-12</t>
  </si>
  <si>
    <t>145-12</t>
  </si>
  <si>
    <t>144-12</t>
  </si>
  <si>
    <t>229-12</t>
  </si>
  <si>
    <t>137-12</t>
  </si>
  <si>
    <t>130-12</t>
  </si>
  <si>
    <t>125-12</t>
  </si>
  <si>
    <t>223-12</t>
  </si>
  <si>
    <t>123-12</t>
  </si>
  <si>
    <t>108-12</t>
  </si>
  <si>
    <t>109-12</t>
  </si>
  <si>
    <t>180-12</t>
  </si>
  <si>
    <t>204:64771</t>
  </si>
  <si>
    <t>204:67531</t>
  </si>
  <si>
    <t>204:779</t>
  </si>
  <si>
    <t>204:62070</t>
  </si>
  <si>
    <t>204:232666</t>
  </si>
  <si>
    <t>204:732</t>
  </si>
  <si>
    <t>204:232660</t>
  </si>
  <si>
    <t>204:783</t>
  </si>
  <si>
    <t>204:233288</t>
  </si>
  <si>
    <t>204:232987</t>
  </si>
  <si>
    <t>204:713</t>
  </si>
  <si>
    <t>204:136</t>
  </si>
  <si>
    <t>204:169</t>
  </si>
  <si>
    <t>204:752</t>
  </si>
  <si>
    <t>204:232957</t>
  </si>
  <si>
    <t>204:734</t>
  </si>
  <si>
    <t>204:127196</t>
  </si>
  <si>
    <t>204:1941</t>
  </si>
  <si>
    <t>204:233322</t>
  </si>
  <si>
    <t>204:233312</t>
  </si>
  <si>
    <t>204:232961</t>
  </si>
  <si>
    <t>204:233320</t>
  </si>
  <si>
    <t>204:233005</t>
  </si>
  <si>
    <t>204:233317</t>
  </si>
  <si>
    <t>204:233000</t>
  </si>
  <si>
    <t>204:233295</t>
  </si>
  <si>
    <t>204:233310</t>
  </si>
  <si>
    <t>204:1192</t>
  </si>
  <si>
    <t>204:491</t>
  </si>
  <si>
    <t>204:233004</t>
  </si>
  <si>
    <t>204:447</t>
  </si>
  <si>
    <t>204:232990</t>
  </si>
  <si>
    <t>204:431</t>
  </si>
  <si>
    <t>204:233289</t>
  </si>
  <si>
    <t>204:62324</t>
  </si>
  <si>
    <t>204:19117</t>
  </si>
  <si>
    <t>204:64174</t>
  </si>
  <si>
    <t>204:233453</t>
  </si>
  <si>
    <t>204:233140</t>
  </si>
  <si>
    <t>204:233241</t>
  </si>
  <si>
    <t>204:232927</t>
  </si>
  <si>
    <t>204:223692</t>
  </si>
  <si>
    <t>204:438</t>
  </si>
  <si>
    <t>204:232974</t>
  </si>
  <si>
    <t>204:19125</t>
  </si>
  <si>
    <t>204:233345</t>
  </si>
  <si>
    <t>204:67</t>
  </si>
  <si>
    <t>204:233434</t>
  </si>
  <si>
    <t>204:1186</t>
  </si>
  <si>
    <t>204:172</t>
  </si>
  <si>
    <t>204:19133</t>
  </si>
  <si>
    <t>204:233301</t>
  </si>
  <si>
    <t>204:446</t>
  </si>
  <si>
    <t>204:233319</t>
  </si>
  <si>
    <t>204:424</t>
  </si>
  <si>
    <t>204:309</t>
  </si>
  <si>
    <t>204:325</t>
  </si>
  <si>
    <t>204:127863</t>
  </si>
  <si>
    <t>204:233128</t>
  </si>
  <si>
    <t>204:19148</t>
  </si>
  <si>
    <t>204:631</t>
  </si>
  <si>
    <t>204:338</t>
  </si>
  <si>
    <t>204:233028</t>
  </si>
  <si>
    <t>204:174</t>
  </si>
  <si>
    <t>204:233329</t>
  </si>
  <si>
    <t>204:233108</t>
  </si>
  <si>
    <t>204:233263</t>
  </si>
  <si>
    <t>204:232936</t>
  </si>
  <si>
    <t>204:37779</t>
  </si>
  <si>
    <t>204:1253</t>
  </si>
  <si>
    <t>204:233342</t>
  </si>
  <si>
    <t>204:495</t>
  </si>
  <si>
    <t>204:515</t>
  </si>
  <si>
    <t>204:233077</t>
  </si>
  <si>
    <t>204:233274</t>
  </si>
  <si>
    <t>DE.1.0.6.1</t>
  </si>
  <si>
    <t>175-12</t>
  </si>
  <si>
    <t>194-12</t>
  </si>
  <si>
    <t>203-12</t>
  </si>
  <si>
    <t>205-12</t>
  </si>
  <si>
    <t>217-12</t>
  </si>
  <si>
    <t>225-12</t>
  </si>
  <si>
    <t>Onboard in-route failure</t>
  </si>
  <si>
    <t>Dispatcher Error</t>
  </si>
  <si>
    <t>4019/20</t>
  </si>
  <si>
    <t>4017/18</t>
  </si>
  <si>
    <t>4029/30</t>
  </si>
  <si>
    <t>Crew Cutout stopped signal 4S 40th</t>
  </si>
  <si>
    <t>Comms</t>
  </si>
  <si>
    <t>Form C</t>
  </si>
  <si>
    <t>Incorrect bulletin Execution</t>
  </si>
  <si>
    <t>Signal at stop With Warning</t>
  </si>
  <si>
    <t>Incorrect bulletin Execution indicated presence of 1 flagger</t>
  </si>
  <si>
    <t>False enforcement -- Onboard in-route failure</t>
  </si>
  <si>
    <t>Routing</t>
  </si>
  <si>
    <t>Init - Active in restricting zone</t>
  </si>
  <si>
    <t>Loco Changed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</si>
</sst>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topLeftCell="A118" zoomScale="85" zoomScaleNormal="85" workbookViewId="0">
      <selection activeCell="M150" sqref="M150:O150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2" t="str">
        <f>"Eagle P3 System Performance - "&amp;TEXT(Variables!A2,"yyyy-mm-dd")</f>
        <v>Eagle P3 System Performance - 2016-06-12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354</v>
      </c>
      <c r="B3" s="60">
        <v>4044</v>
      </c>
      <c r="C3" s="60" t="s">
        <v>62</v>
      </c>
      <c r="D3" s="60" t="s">
        <v>455</v>
      </c>
      <c r="E3" s="30">
        <v>42533.134687500002</v>
      </c>
      <c r="F3" s="30">
        <v>42533.135787037034</v>
      </c>
      <c r="G3" s="38">
        <v>1</v>
      </c>
      <c r="H3" s="30" t="s">
        <v>456</v>
      </c>
      <c r="I3" s="30">
        <v>42533.152002314811</v>
      </c>
      <c r="J3" s="60">
        <v>0</v>
      </c>
      <c r="K3" s="60" t="str">
        <f t="shared" ref="K3:K34" si="0">IF(ISEVEN(B3),(B3-1)&amp;"/"&amp;B3,B3&amp;"/"&amp;(B3+1))</f>
        <v>4043/4044</v>
      </c>
      <c r="L3" s="60" t="str">
        <f>VLOOKUP(A3,'Trips&amp;Operators'!$C$1:$E$9999,3,FALSE)</f>
        <v>CANFIELD</v>
      </c>
      <c r="M3" s="12">
        <f t="shared" ref="M3:M34" si="1">I3-F3</f>
        <v>1.6215277777519077E-2</v>
      </c>
      <c r="N3" s="13"/>
      <c r="O3" s="13"/>
      <c r="P3" s="13">
        <f>24*60*SUM($M3:$M4)</f>
        <v>25.133333341218531</v>
      </c>
      <c r="Q3" s="61"/>
      <c r="R3" s="61" t="s">
        <v>543</v>
      </c>
      <c r="T3" s="73" t="str">
        <f t="shared" ref="T3:T42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https://search-rtdc-monitor-bjffxe2xuh6vdkpspy63sjmuny.us-east-1.es.amazonaws.com/_plugin/kibana/#/discover/Steve-Slow-Train-Analysis-(2080s-and-2083s)?_g=(refreshInterval:(display:Off,section:0,value:0),time:(from:'2016-06-12 03:12:57-0600',mode:absolute,to:'2016-06-12 03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3" t="str">
        <f t="shared" ref="U3:U42" si="3">IF(Y3&lt;23,"Y","N")</f>
        <v>Y</v>
      </c>
      <c r="V3" s="73" t="e">
        <f t="shared" ref="V3:V68" si="4">VALUE(LEFT(A3,3))-VALUE(LEFT(A2,3))</f>
        <v>#VALUE!</v>
      </c>
      <c r="W3" s="73">
        <f t="shared" ref="W3:W42" si="5">RIGHT(D3,LEN(D3)-4)/10000</f>
        <v>7.7899999999999997E-2</v>
      </c>
      <c r="X3" s="73">
        <f t="shared" ref="X3:X42" si="6">RIGHT(H3,LEN(H3)-4)/10000</f>
        <v>6.2069999999999999</v>
      </c>
      <c r="Y3" s="73">
        <f t="shared" ref="Y3:Y42" si="7">ABS(X3-W3)</f>
        <v>6.1291000000000002</v>
      </c>
      <c r="Z3" s="74" t="e">
        <f>VLOOKUP(A3,Enforcements!$C$3:$J$41,8,0)</f>
        <v>#N/A</v>
      </c>
      <c r="AA3" s="74" t="e">
        <f>VLOOKUP(A3,Enforcements!$C$3:$J$41,3,0)</f>
        <v>#N/A</v>
      </c>
    </row>
    <row r="4" spans="1:89" s="2" customFormat="1" x14ac:dyDescent="0.25">
      <c r="A4" s="60" t="s">
        <v>354</v>
      </c>
      <c r="B4" s="60">
        <v>4044</v>
      </c>
      <c r="C4" s="60" t="s">
        <v>62</v>
      </c>
      <c r="D4" s="60" t="s">
        <v>453</v>
      </c>
      <c r="E4" s="30">
        <v>42533.153958333336</v>
      </c>
      <c r="F4" s="30">
        <v>42533.154930555553</v>
      </c>
      <c r="G4" s="38">
        <v>1</v>
      </c>
      <c r="H4" s="30" t="s">
        <v>454</v>
      </c>
      <c r="I4" s="30">
        <v>42533.156168981484</v>
      </c>
      <c r="J4" s="60">
        <v>0</v>
      </c>
      <c r="K4" s="60" t="str">
        <f t="shared" si="0"/>
        <v>4043/4044</v>
      </c>
      <c r="L4" s="60" t="str">
        <f>VLOOKUP(A4,'Trips&amp;Operators'!$C$1:$E$9999,3,FALSE)</f>
        <v>CANFIELD</v>
      </c>
      <c r="M4" s="12">
        <f t="shared" si="1"/>
        <v>1.2384259316604584E-3</v>
      </c>
      <c r="N4" s="13"/>
      <c r="O4" s="13"/>
      <c r="P4" s="13"/>
      <c r="Q4" s="61"/>
      <c r="R4" s="61"/>
      <c r="T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03:40:42-0600',mode:absolute,to:'2016-06-12 03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3" t="str">
        <f t="shared" si="3"/>
        <v>Y</v>
      </c>
      <c r="V4" s="73">
        <f t="shared" si="4"/>
        <v>0</v>
      </c>
      <c r="W4" s="73">
        <f t="shared" si="5"/>
        <v>6.4771000000000001</v>
      </c>
      <c r="X4" s="73">
        <f t="shared" si="6"/>
        <v>6.7530999999999999</v>
      </c>
      <c r="Y4" s="73">
        <f t="shared" si="7"/>
        <v>0.2759999999999998</v>
      </c>
      <c r="Z4" s="74" t="e">
        <f>VLOOKUP(A4,Enforcements!$C$3:$J$41,8,0)</f>
        <v>#N/A</v>
      </c>
      <c r="AA4" s="74" t="e">
        <f>VLOOKUP(A4,Enforcements!$C$3:$J$41,3,0)</f>
        <v>#N/A</v>
      </c>
    </row>
    <row r="5" spans="1:89" s="2" customFormat="1" x14ac:dyDescent="0.25">
      <c r="A5" s="60" t="s">
        <v>339</v>
      </c>
      <c r="B5" s="60">
        <v>4012</v>
      </c>
      <c r="C5" s="60" t="s">
        <v>62</v>
      </c>
      <c r="D5" s="60" t="s">
        <v>457</v>
      </c>
      <c r="E5" s="30">
        <v>42533.174930555557</v>
      </c>
      <c r="F5" s="30">
        <v>42533.176018518519</v>
      </c>
      <c r="G5" s="38">
        <v>1</v>
      </c>
      <c r="H5" s="30" t="s">
        <v>63</v>
      </c>
      <c r="I5" s="30">
        <v>42533.20616898148</v>
      </c>
      <c r="J5" s="60">
        <v>0</v>
      </c>
      <c r="K5" s="60" t="str">
        <f t="shared" si="0"/>
        <v>4011/4012</v>
      </c>
      <c r="L5" s="60" t="str">
        <f>VLOOKUP(A5,'Trips&amp;Operators'!$C$1:$E$9999,3,FALSE)</f>
        <v>CANFIELD</v>
      </c>
      <c r="M5" s="12">
        <f t="shared" si="1"/>
        <v>3.015046296059154E-2</v>
      </c>
      <c r="N5" s="13">
        <f t="shared" ref="N5:N21" si="8">24*60*SUM($M5:$M5)</f>
        <v>43.416666663251817</v>
      </c>
      <c r="O5" s="13"/>
      <c r="P5" s="13"/>
      <c r="Q5" s="61"/>
      <c r="R5" s="61"/>
      <c r="T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04:10:54-0600',mode:absolute,to:'2016-06-12 04:57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" s="73" t="str">
        <f t="shared" si="3"/>
        <v>N</v>
      </c>
      <c r="V5" s="73">
        <f t="shared" si="4"/>
        <v>1</v>
      </c>
      <c r="W5" s="73">
        <f t="shared" si="5"/>
        <v>23.2666</v>
      </c>
      <c r="X5" s="73">
        <f t="shared" si="6"/>
        <v>1.4500000000000001E-2</v>
      </c>
      <c r="Y5" s="73">
        <f t="shared" si="7"/>
        <v>23.252099999999999</v>
      </c>
      <c r="Z5" s="74" t="e">
        <f>VLOOKUP(A5,Enforcements!$C$3:$J$41,8,0)</f>
        <v>#N/A</v>
      </c>
      <c r="AA5" s="74" t="e">
        <f>VLOOKUP(A5,Enforcements!$C$3:$J$41,3,0)</f>
        <v>#N/A</v>
      </c>
    </row>
    <row r="6" spans="1:89" s="2" customFormat="1" x14ac:dyDescent="0.25">
      <c r="A6" s="60" t="s">
        <v>413</v>
      </c>
      <c r="B6" s="60">
        <v>4009</v>
      </c>
      <c r="C6" s="60" t="s">
        <v>62</v>
      </c>
      <c r="D6" s="60" t="s">
        <v>458</v>
      </c>
      <c r="E6" s="30">
        <v>42533.151782407411</v>
      </c>
      <c r="F6" s="30">
        <v>42533.15351851852</v>
      </c>
      <c r="G6" s="38">
        <v>2</v>
      </c>
      <c r="H6" s="30" t="s">
        <v>120</v>
      </c>
      <c r="I6" s="30">
        <v>42533.184039351851</v>
      </c>
      <c r="J6" s="60">
        <v>0</v>
      </c>
      <c r="K6" s="60" t="str">
        <f t="shared" si="0"/>
        <v>4009/4010</v>
      </c>
      <c r="L6" s="60" t="str">
        <f>VLOOKUP(A6,'Trips&amp;Operators'!$C$1:$E$9999,3,FALSE)</f>
        <v>STURGEON</v>
      </c>
      <c r="M6" s="12">
        <f t="shared" si="1"/>
        <v>3.0520833330228925E-2</v>
      </c>
      <c r="N6" s="13">
        <f t="shared" si="8"/>
        <v>43.949999995529652</v>
      </c>
      <c r="O6" s="13"/>
      <c r="P6" s="13"/>
      <c r="Q6" s="61"/>
      <c r="R6" s="61"/>
      <c r="T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03:37:34-0600',mode:absolute,to:'2016-06-12 04:26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3" t="str">
        <f t="shared" si="3"/>
        <v>N</v>
      </c>
      <c r="V6" s="73">
        <f t="shared" si="4"/>
        <v>1</v>
      </c>
      <c r="W6" s="73">
        <f t="shared" si="5"/>
        <v>7.3200000000000001E-2</v>
      </c>
      <c r="X6" s="73">
        <f t="shared" si="6"/>
        <v>23.33</v>
      </c>
      <c r="Y6" s="73">
        <f t="shared" si="7"/>
        <v>23.256799999999998</v>
      </c>
      <c r="Z6" s="74" t="e">
        <f>VLOOKUP(A6,Enforcements!$C$3:$J$41,8,0)</f>
        <v>#N/A</v>
      </c>
      <c r="AA6" s="74" t="e">
        <f>VLOOKUP(A6,Enforcements!$C$3:$J$41,3,0)</f>
        <v>#N/A</v>
      </c>
    </row>
    <row r="7" spans="1:89" s="2" customFormat="1" x14ac:dyDescent="0.25">
      <c r="A7" s="60" t="s">
        <v>347</v>
      </c>
      <c r="B7" s="60">
        <v>4030</v>
      </c>
      <c r="C7" s="60" t="s">
        <v>62</v>
      </c>
      <c r="D7" s="60" t="s">
        <v>459</v>
      </c>
      <c r="E7" s="30">
        <v>42533.192002314812</v>
      </c>
      <c r="F7" s="30">
        <v>42533.19332175926</v>
      </c>
      <c r="G7" s="38">
        <v>1</v>
      </c>
      <c r="H7" s="30" t="s">
        <v>105</v>
      </c>
      <c r="I7" s="30">
        <v>42533.226168981484</v>
      </c>
      <c r="J7" s="60">
        <v>0</v>
      </c>
      <c r="K7" s="60" t="str">
        <f t="shared" si="0"/>
        <v>4029/4030</v>
      </c>
      <c r="L7" s="60" t="str">
        <f>VLOOKUP(A7,'Trips&amp;Operators'!$C$1:$E$9999,3,FALSE)</f>
        <v>STURGEON</v>
      </c>
      <c r="M7" s="12">
        <f t="shared" si="1"/>
        <v>3.2847222224518191E-2</v>
      </c>
      <c r="N7" s="13">
        <f t="shared" si="8"/>
        <v>47.300000003306195</v>
      </c>
      <c r="O7" s="13"/>
      <c r="P7" s="13"/>
      <c r="Q7" s="61"/>
      <c r="R7" s="61"/>
      <c r="T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04:35:29-0600',mode:absolute,to:'2016-06-12 05:26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" s="73" t="str">
        <f t="shared" si="3"/>
        <v>N</v>
      </c>
      <c r="V7" s="73">
        <f t="shared" si="4"/>
        <v>1</v>
      </c>
      <c r="W7" s="73">
        <f t="shared" si="5"/>
        <v>23.265999999999998</v>
      </c>
      <c r="X7" s="73">
        <f t="shared" si="6"/>
        <v>1.54E-2</v>
      </c>
      <c r="Y7" s="73">
        <f t="shared" si="7"/>
        <v>23.250599999999999</v>
      </c>
      <c r="Z7" s="74" t="e">
        <f>VLOOKUP(A7,Enforcements!$C$3:$J$41,8,0)</f>
        <v>#N/A</v>
      </c>
      <c r="AA7" s="74" t="e">
        <f>VLOOKUP(A7,Enforcements!$C$3:$J$41,3,0)</f>
        <v>#N/A</v>
      </c>
    </row>
    <row r="8" spans="1:89" s="2" customFormat="1" x14ac:dyDescent="0.25">
      <c r="A8" s="60" t="s">
        <v>366</v>
      </c>
      <c r="B8" s="60">
        <v>4024</v>
      </c>
      <c r="C8" s="60" t="s">
        <v>62</v>
      </c>
      <c r="D8" s="60" t="s">
        <v>460</v>
      </c>
      <c r="E8" s="30">
        <v>42533.169108796297</v>
      </c>
      <c r="F8" s="30">
        <v>42533.170057870368</v>
      </c>
      <c r="G8" s="38">
        <v>1</v>
      </c>
      <c r="H8" s="30" t="s">
        <v>461</v>
      </c>
      <c r="I8" s="30">
        <v>42533.205775462964</v>
      </c>
      <c r="J8" s="60">
        <v>0</v>
      </c>
      <c r="K8" s="60" t="str">
        <f t="shared" si="0"/>
        <v>4023/4024</v>
      </c>
      <c r="L8" s="60" t="str">
        <f>VLOOKUP(A8,'Trips&amp;Operators'!$C$1:$E$9999,3,FALSE)</f>
        <v>YORK</v>
      </c>
      <c r="M8" s="12">
        <f t="shared" si="1"/>
        <v>3.5717592596483883E-2</v>
      </c>
      <c r="N8" s="13">
        <f t="shared" si="8"/>
        <v>51.433333338936791</v>
      </c>
      <c r="O8" s="13"/>
      <c r="P8" s="13"/>
      <c r="Q8" s="61"/>
      <c r="R8" s="61"/>
      <c r="T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04:02:31-0600',mode:absolute,to:'2016-06-12 04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" s="73" t="str">
        <f t="shared" si="3"/>
        <v>N</v>
      </c>
      <c r="V8" s="73">
        <f t="shared" si="4"/>
        <v>1</v>
      </c>
      <c r="W8" s="73">
        <f t="shared" si="5"/>
        <v>7.8299999999999995E-2</v>
      </c>
      <c r="X8" s="73">
        <f t="shared" si="6"/>
        <v>23.328800000000001</v>
      </c>
      <c r="Y8" s="73">
        <f t="shared" si="7"/>
        <v>23.250500000000002</v>
      </c>
      <c r="Z8" s="74" t="e">
        <f>VLOOKUP(A8,Enforcements!$C$3:$J$41,8,0)</f>
        <v>#N/A</v>
      </c>
      <c r="AA8" s="74" t="e">
        <f>VLOOKUP(A8,Enforcements!$C$3:$J$41,3,0)</f>
        <v>#N/A</v>
      </c>
    </row>
    <row r="9" spans="1:89" s="2" customFormat="1" x14ac:dyDescent="0.25">
      <c r="A9" s="60" t="s">
        <v>375</v>
      </c>
      <c r="B9" s="60">
        <v>4019</v>
      </c>
      <c r="C9" s="60" t="s">
        <v>62</v>
      </c>
      <c r="D9" s="60" t="s">
        <v>459</v>
      </c>
      <c r="E9" s="30">
        <v>42533.212581018517</v>
      </c>
      <c r="F9" s="30">
        <v>42533.213923611111</v>
      </c>
      <c r="G9" s="38">
        <v>1</v>
      </c>
      <c r="H9" s="30" t="s">
        <v>90</v>
      </c>
      <c r="I9" s="30">
        <v>42533.247141203705</v>
      </c>
      <c r="J9" s="60">
        <v>0</v>
      </c>
      <c r="K9" s="60" t="str">
        <f t="shared" si="0"/>
        <v>4019/4020</v>
      </c>
      <c r="L9" s="60" t="str">
        <f>VLOOKUP(A9,'Trips&amp;Operators'!$C$1:$E$9999,3,FALSE)</f>
        <v>YORK</v>
      </c>
      <c r="M9" s="12">
        <f t="shared" si="1"/>
        <v>3.3217592594155576E-2</v>
      </c>
      <c r="N9" s="13">
        <f t="shared" si="8"/>
        <v>47.83333333558403</v>
      </c>
      <c r="O9" s="13"/>
      <c r="P9" s="13"/>
      <c r="Q9" s="61"/>
      <c r="R9" s="61"/>
      <c r="T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05:05:07-0600',mode:absolute,to:'2016-06-12 05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3" t="str">
        <f t="shared" si="3"/>
        <v>N</v>
      </c>
      <c r="V9" s="73">
        <f t="shared" si="4"/>
        <v>1</v>
      </c>
      <c r="W9" s="73">
        <f t="shared" si="5"/>
        <v>23.265999999999998</v>
      </c>
      <c r="X9" s="73">
        <f t="shared" si="6"/>
        <v>1.3899999999999999E-2</v>
      </c>
      <c r="Y9" s="73">
        <f t="shared" si="7"/>
        <v>23.252099999999999</v>
      </c>
      <c r="Z9" s="74" t="e">
        <f>VLOOKUP(A9,Enforcements!$C$3:$J$41,8,0)</f>
        <v>#N/A</v>
      </c>
      <c r="AA9" s="74" t="e">
        <f>VLOOKUP(A9,Enforcements!$C$3:$J$41,3,0)</f>
        <v>#N/A</v>
      </c>
    </row>
    <row r="10" spans="1:89" s="2" customFormat="1" x14ac:dyDescent="0.25">
      <c r="A10" s="60" t="s">
        <v>431</v>
      </c>
      <c r="B10" s="60">
        <v>4018</v>
      </c>
      <c r="C10" s="60" t="s">
        <v>62</v>
      </c>
      <c r="D10" s="60" t="s">
        <v>99</v>
      </c>
      <c r="E10" s="30">
        <v>42533.179039351853</v>
      </c>
      <c r="F10" s="30">
        <v>42533.18</v>
      </c>
      <c r="G10" s="38">
        <v>1</v>
      </c>
      <c r="H10" s="30" t="s">
        <v>281</v>
      </c>
      <c r="I10" s="30">
        <v>42533.215451388889</v>
      </c>
      <c r="J10" s="60">
        <v>0</v>
      </c>
      <c r="K10" s="60" t="str">
        <f t="shared" si="0"/>
        <v>4017/4018</v>
      </c>
      <c r="L10" s="60" t="str">
        <f>VLOOKUP(A10,'Trips&amp;Operators'!$C$1:$E$9999,3,FALSE)</f>
        <v>SANTIZO</v>
      </c>
      <c r="M10" s="12">
        <f t="shared" si="1"/>
        <v>3.5451388888759539E-2</v>
      </c>
      <c r="N10" s="13">
        <f t="shared" si="8"/>
        <v>51.049999999813735</v>
      </c>
      <c r="O10" s="13"/>
      <c r="P10" s="13"/>
      <c r="Q10" s="61"/>
      <c r="R10" s="61"/>
      <c r="T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04:16:49-0600',mode:absolute,to:'2016-06-12 05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" s="73" t="str">
        <f t="shared" si="3"/>
        <v>N</v>
      </c>
      <c r="V10" s="73">
        <f t="shared" si="4"/>
        <v>1</v>
      </c>
      <c r="W10" s="73">
        <f t="shared" si="5"/>
        <v>4.53E-2</v>
      </c>
      <c r="X10" s="73">
        <f t="shared" si="6"/>
        <v>23.3306</v>
      </c>
      <c r="Y10" s="73">
        <f t="shared" si="7"/>
        <v>23.285299999999999</v>
      </c>
      <c r="Z10" s="74" t="e">
        <f>VLOOKUP(A10,Enforcements!$C$3:$J$41,8,0)</f>
        <v>#N/A</v>
      </c>
      <c r="AA10" s="74" t="e">
        <f>VLOOKUP(A10,Enforcements!$C$3:$J$41,3,0)</f>
        <v>#N/A</v>
      </c>
    </row>
    <row r="11" spans="1:89" s="2" customFormat="1" x14ac:dyDescent="0.25">
      <c r="A11" s="60" t="s">
        <v>450</v>
      </c>
      <c r="B11" s="60">
        <v>4017</v>
      </c>
      <c r="C11" s="60" t="s">
        <v>62</v>
      </c>
      <c r="D11" s="60" t="s">
        <v>462</v>
      </c>
      <c r="E11" s="30">
        <v>42533.222500000003</v>
      </c>
      <c r="F11" s="30">
        <v>42533.224120370367</v>
      </c>
      <c r="G11" s="38">
        <v>2</v>
      </c>
      <c r="H11" s="30" t="s">
        <v>105</v>
      </c>
      <c r="I11" s="30">
        <v>42533.256574074076</v>
      </c>
      <c r="J11" s="60">
        <v>0</v>
      </c>
      <c r="K11" s="60" t="str">
        <f t="shared" si="0"/>
        <v>4017/4018</v>
      </c>
      <c r="L11" s="60" t="str">
        <f>VLOOKUP(A11,'Trips&amp;Operators'!$C$1:$E$9999,3,FALSE)</f>
        <v>SANTIZO</v>
      </c>
      <c r="M11" s="12">
        <f t="shared" si="1"/>
        <v>3.2453703708597459E-2</v>
      </c>
      <c r="N11" s="13">
        <f t="shared" si="8"/>
        <v>46.733333340380341</v>
      </c>
      <c r="O11" s="13"/>
      <c r="P11" s="13"/>
      <c r="Q11" s="61"/>
      <c r="R11" s="61"/>
      <c r="T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05:19:24-0600',mode:absolute,to:'2016-06-12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" s="73" t="str">
        <f t="shared" si="3"/>
        <v>N</v>
      </c>
      <c r="V11" s="73">
        <f t="shared" si="4"/>
        <v>1</v>
      </c>
      <c r="W11" s="73">
        <f t="shared" si="5"/>
        <v>23.2987</v>
      </c>
      <c r="X11" s="73">
        <f t="shared" si="6"/>
        <v>1.54E-2</v>
      </c>
      <c r="Y11" s="73">
        <f t="shared" si="7"/>
        <v>23.283300000000001</v>
      </c>
      <c r="Z11" s="74" t="e">
        <f>VLOOKUP(A11,Enforcements!$C$3:$J$41,8,0)</f>
        <v>#N/A</v>
      </c>
      <c r="AA11" s="74" t="e">
        <f>VLOOKUP(A11,Enforcements!$C$3:$J$41,3,0)</f>
        <v>#N/A</v>
      </c>
    </row>
    <row r="12" spans="1:89" s="2" customFormat="1" x14ac:dyDescent="0.25">
      <c r="A12" s="60" t="s">
        <v>451</v>
      </c>
      <c r="B12" s="60">
        <v>4016</v>
      </c>
      <c r="C12" s="60" t="s">
        <v>62</v>
      </c>
      <c r="D12" s="60" t="s">
        <v>86</v>
      </c>
      <c r="E12" s="30">
        <v>42533.197048611109</v>
      </c>
      <c r="F12" s="30">
        <v>42533.19803240741</v>
      </c>
      <c r="G12" s="38">
        <v>1</v>
      </c>
      <c r="H12" s="30" t="s">
        <v>140</v>
      </c>
      <c r="I12" s="30">
        <v>42533.226331018515</v>
      </c>
      <c r="J12" s="60">
        <v>0</v>
      </c>
      <c r="K12" s="60" t="str">
        <f t="shared" si="0"/>
        <v>4015/4016</v>
      </c>
      <c r="L12" s="60" t="str">
        <f>VLOOKUP(A12,'Trips&amp;Operators'!$C$1:$E$9999,3,FALSE)</f>
        <v>MALAVE</v>
      </c>
      <c r="M12" s="12">
        <f t="shared" si="1"/>
        <v>2.8298611105128657E-2</v>
      </c>
      <c r="N12" s="13">
        <f t="shared" si="8"/>
        <v>40.749999991385266</v>
      </c>
      <c r="O12" s="13"/>
      <c r="P12" s="13"/>
      <c r="Q12" s="61"/>
      <c r="R12" s="61"/>
      <c r="T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04:42:45-0600',mode:absolute,to:'2016-06-12 05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" s="73" t="str">
        <f t="shared" si="3"/>
        <v>N</v>
      </c>
      <c r="V12" s="73">
        <f t="shared" si="4"/>
        <v>1</v>
      </c>
      <c r="W12" s="73">
        <f t="shared" si="5"/>
        <v>4.6199999999999998E-2</v>
      </c>
      <c r="X12" s="73">
        <f t="shared" si="6"/>
        <v>23.328600000000002</v>
      </c>
      <c r="Y12" s="73">
        <f t="shared" si="7"/>
        <v>23.282400000000003</v>
      </c>
      <c r="Z12" s="74" t="e">
        <f>VLOOKUP(A12,Enforcements!$C$3:$J$41,8,0)</f>
        <v>#N/A</v>
      </c>
      <c r="AA12" s="74" t="e">
        <f>VLOOKUP(A12,Enforcements!$C$3:$J$41,3,0)</f>
        <v>#N/A</v>
      </c>
    </row>
    <row r="13" spans="1:89" s="2" customFormat="1" x14ac:dyDescent="0.25">
      <c r="A13" s="60" t="s">
        <v>359</v>
      </c>
      <c r="B13" s="60">
        <v>4015</v>
      </c>
      <c r="C13" s="60" t="s">
        <v>62</v>
      </c>
      <c r="D13" s="60" t="s">
        <v>293</v>
      </c>
      <c r="E13" s="30">
        <v>42533.236041666663</v>
      </c>
      <c r="F13" s="30">
        <v>42533.237060185187</v>
      </c>
      <c r="G13" s="38">
        <v>1</v>
      </c>
      <c r="H13" s="30" t="s">
        <v>66</v>
      </c>
      <c r="I13" s="30">
        <v>42533.26761574074</v>
      </c>
      <c r="J13" s="60">
        <v>0</v>
      </c>
      <c r="K13" s="60" t="str">
        <f t="shared" si="0"/>
        <v>4015/4016</v>
      </c>
      <c r="L13" s="60" t="str">
        <f>VLOOKUP(A13,'Trips&amp;Operators'!$C$1:$E$9999,3,FALSE)</f>
        <v>MALAVE</v>
      </c>
      <c r="M13" s="12">
        <f t="shared" si="1"/>
        <v>3.0555555553291924E-2</v>
      </c>
      <c r="N13" s="13">
        <f t="shared" si="8"/>
        <v>43.999999996740371</v>
      </c>
      <c r="O13" s="13"/>
      <c r="P13" s="13"/>
      <c r="Q13" s="61"/>
      <c r="R13" s="61"/>
      <c r="T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05:38:54-0600',mode:absolute,to:'2016-06-12 06:26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" s="73" t="str">
        <f t="shared" si="3"/>
        <v>N</v>
      </c>
      <c r="V13" s="73">
        <f t="shared" si="4"/>
        <v>1</v>
      </c>
      <c r="W13" s="73">
        <f t="shared" si="5"/>
        <v>23.296900000000001</v>
      </c>
      <c r="X13" s="73">
        <f t="shared" si="6"/>
        <v>1.52E-2</v>
      </c>
      <c r="Y13" s="73">
        <f t="shared" si="7"/>
        <v>23.281700000000001</v>
      </c>
      <c r="Z13" s="74" t="e">
        <f>VLOOKUP(A13,Enforcements!$C$3:$J$41,8,0)</f>
        <v>#N/A</v>
      </c>
      <c r="AA13" s="74" t="e">
        <f>VLOOKUP(A13,Enforcements!$C$3:$J$41,3,0)</f>
        <v>#N/A</v>
      </c>
    </row>
    <row r="14" spans="1:89" s="2" customFormat="1" x14ac:dyDescent="0.25">
      <c r="A14" s="60" t="s">
        <v>300</v>
      </c>
      <c r="B14" s="60">
        <v>4044</v>
      </c>
      <c r="C14" s="60" t="s">
        <v>62</v>
      </c>
      <c r="D14" s="60" t="s">
        <v>463</v>
      </c>
      <c r="E14" s="30">
        <v>42533.208622685182</v>
      </c>
      <c r="F14" s="30">
        <v>42533.209918981483</v>
      </c>
      <c r="G14" s="38">
        <v>1</v>
      </c>
      <c r="H14" s="30" t="s">
        <v>288</v>
      </c>
      <c r="I14" s="30">
        <v>42533.240358796298</v>
      </c>
      <c r="J14" s="60">
        <v>1</v>
      </c>
      <c r="K14" s="60" t="str">
        <f t="shared" si="0"/>
        <v>4043/4044</v>
      </c>
      <c r="L14" s="60" t="str">
        <f>VLOOKUP(A14,'Trips&amp;Operators'!$C$1:$E$9999,3,FALSE)</f>
        <v>GEBRETEKLE</v>
      </c>
      <c r="M14" s="12">
        <f t="shared" si="1"/>
        <v>3.0439814814599231E-2</v>
      </c>
      <c r="N14" s="13">
        <f t="shared" si="8"/>
        <v>43.833333333022892</v>
      </c>
      <c r="O14" s="13"/>
      <c r="P14" s="13"/>
      <c r="Q14" s="61"/>
      <c r="R14" s="61"/>
      <c r="T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04:59:25-0600',mode:absolute,to:'2016-06-12 05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" s="73" t="str">
        <f t="shared" si="3"/>
        <v>N</v>
      </c>
      <c r="V14" s="73">
        <f t="shared" si="4"/>
        <v>1</v>
      </c>
      <c r="W14" s="73">
        <f t="shared" si="5"/>
        <v>7.1300000000000002E-2</v>
      </c>
      <c r="X14" s="73">
        <f t="shared" si="6"/>
        <v>23.3291</v>
      </c>
      <c r="Y14" s="73">
        <f t="shared" si="7"/>
        <v>23.2578</v>
      </c>
      <c r="Z14" s="74">
        <f>VLOOKUP(A14,Enforcements!$C$3:$J$41,8,0)</f>
        <v>190834</v>
      </c>
      <c r="AA14" s="74"/>
    </row>
    <row r="15" spans="1:89" s="2" customFormat="1" x14ac:dyDescent="0.25">
      <c r="A15" s="60" t="s">
        <v>302</v>
      </c>
      <c r="B15" s="60">
        <v>4043</v>
      </c>
      <c r="C15" s="60" t="s">
        <v>62</v>
      </c>
      <c r="D15" s="60" t="s">
        <v>290</v>
      </c>
      <c r="E15" s="30">
        <v>42533.242731481485</v>
      </c>
      <c r="F15" s="30">
        <v>42533.244155092594</v>
      </c>
      <c r="G15" s="38">
        <v>2</v>
      </c>
      <c r="H15" s="30" t="s">
        <v>464</v>
      </c>
      <c r="I15" s="30">
        <v>42533.275520833333</v>
      </c>
      <c r="J15" s="60">
        <v>1</v>
      </c>
      <c r="K15" s="60" t="str">
        <f t="shared" si="0"/>
        <v>4043/4044</v>
      </c>
      <c r="L15" s="60" t="str">
        <f>VLOOKUP(A15,'Trips&amp;Operators'!$C$1:$E$9999,3,FALSE)</f>
        <v>GEBRETEKLE</v>
      </c>
      <c r="M15" s="12">
        <f t="shared" si="1"/>
        <v>3.1365740738692693E-2</v>
      </c>
      <c r="N15" s="13">
        <f t="shared" si="8"/>
        <v>45.166666663717479</v>
      </c>
      <c r="O15" s="13"/>
      <c r="P15" s="13"/>
      <c r="Q15" s="61"/>
      <c r="R15" s="61"/>
      <c r="T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05:48:32-0600',mode:absolute,to:'2016-06-12 06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" s="73" t="str">
        <f t="shared" si="3"/>
        <v>N</v>
      </c>
      <c r="V15" s="73">
        <f t="shared" si="4"/>
        <v>1</v>
      </c>
      <c r="W15" s="73">
        <f t="shared" si="5"/>
        <v>23.297000000000001</v>
      </c>
      <c r="X15" s="73">
        <f t="shared" si="6"/>
        <v>1.3599999999999999E-2</v>
      </c>
      <c r="Y15" s="73">
        <f t="shared" si="7"/>
        <v>23.2834</v>
      </c>
      <c r="Z15" s="74">
        <f>VLOOKUP(A15,Enforcements!$C$3:$J$41,8,0)</f>
        <v>1</v>
      </c>
      <c r="AA15" s="74" t="str">
        <f>VLOOKUP(A15,Enforcements!$C$3:$J$41,3,0)</f>
        <v>TRACK WARRANT AUTHORITY</v>
      </c>
    </row>
    <row r="16" spans="1:89" s="2" customFormat="1" x14ac:dyDescent="0.25">
      <c r="A16" s="60" t="s">
        <v>414</v>
      </c>
      <c r="B16" s="60">
        <v>4011</v>
      </c>
      <c r="C16" s="60" t="s">
        <v>62</v>
      </c>
      <c r="D16" s="60" t="s">
        <v>112</v>
      </c>
      <c r="E16" s="30">
        <v>42533.212800925925</v>
      </c>
      <c r="F16" s="30">
        <v>42533.214560185188</v>
      </c>
      <c r="G16" s="38">
        <v>2</v>
      </c>
      <c r="H16" s="30" t="s">
        <v>291</v>
      </c>
      <c r="I16" s="30">
        <v>42533.248159722221</v>
      </c>
      <c r="J16" s="60">
        <v>0</v>
      </c>
      <c r="K16" s="60" t="str">
        <f t="shared" si="0"/>
        <v>4011/4012</v>
      </c>
      <c r="L16" s="60" t="str">
        <f>VLOOKUP(A16,'Trips&amp;Operators'!$C$1:$E$9999,3,FALSE)</f>
        <v>CANFIELD</v>
      </c>
      <c r="M16" s="12">
        <f t="shared" si="1"/>
        <v>3.3599537033296656E-2</v>
      </c>
      <c r="N16" s="13">
        <f t="shared" si="8"/>
        <v>48.383333327947184</v>
      </c>
      <c r="O16" s="13"/>
      <c r="P16" s="13"/>
      <c r="Q16" s="61"/>
      <c r="R16" s="61"/>
      <c r="T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05:05:26-0600',mode:absolute,to:'2016-06-12 05:58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6" s="73" t="str">
        <f t="shared" si="3"/>
        <v>N</v>
      </c>
      <c r="V16" s="73">
        <f t="shared" si="4"/>
        <v>1</v>
      </c>
      <c r="W16" s="73">
        <f t="shared" si="5"/>
        <v>4.58E-2</v>
      </c>
      <c r="X16" s="73">
        <f t="shared" si="6"/>
        <v>23.329699999999999</v>
      </c>
      <c r="Y16" s="73">
        <f t="shared" si="7"/>
        <v>23.283899999999999</v>
      </c>
      <c r="Z16" s="74" t="e">
        <f>VLOOKUP(A16,Enforcements!$C$3:$J$41,8,0)</f>
        <v>#N/A</v>
      </c>
      <c r="AA16" s="74" t="e">
        <f>VLOOKUP(A16,Enforcements!$C$3:$J$41,3,0)</f>
        <v>#N/A</v>
      </c>
    </row>
    <row r="17" spans="1:27" s="2" customFormat="1" x14ac:dyDescent="0.25">
      <c r="A17" s="60" t="s">
        <v>304</v>
      </c>
      <c r="B17" s="60">
        <v>4012</v>
      </c>
      <c r="C17" s="60" t="s">
        <v>62</v>
      </c>
      <c r="D17" s="60" t="s">
        <v>101</v>
      </c>
      <c r="E17" s="30">
        <v>42533.252199074072</v>
      </c>
      <c r="F17" s="30">
        <v>42533.252974537034</v>
      </c>
      <c r="G17" s="38">
        <v>1</v>
      </c>
      <c r="H17" s="30" t="s">
        <v>465</v>
      </c>
      <c r="I17" s="30">
        <v>42533.287199074075</v>
      </c>
      <c r="J17" s="60">
        <v>1</v>
      </c>
      <c r="K17" s="60" t="str">
        <f t="shared" si="0"/>
        <v>4011/4012</v>
      </c>
      <c r="L17" s="60" t="str">
        <f>VLOOKUP(A17,'Trips&amp;Operators'!$C$1:$E$9999,3,FALSE)</f>
        <v>CANFIELD</v>
      </c>
      <c r="M17" s="12">
        <f t="shared" si="1"/>
        <v>3.422453704115469E-2</v>
      </c>
      <c r="N17" s="13">
        <f t="shared" si="8"/>
        <v>49.283333339262754</v>
      </c>
      <c r="O17" s="13"/>
      <c r="P17" s="13"/>
      <c r="Q17" s="61"/>
      <c r="R17" s="61"/>
      <c r="T17" s="73" t="str">
        <f t="shared" ref="T17:T24" si="9"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https://search-rtdc-monitor-bjffxe2xuh6vdkpspy63sjmuny.us-east-1.es.amazonaws.com/_plugin/kibana/#/discover/Steve-Slow-Train-Analysis-(2080s-and-2083s)?_g=(refreshInterval:(display:Off,section:0,value:0),time:(from:'2016-06-12 06:02:10-0600',mode:absolute,to:'2016-06-12 06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7" s="73" t="str">
        <f t="shared" ref="U17:U24" si="10">IF(Y17&lt;23,"Y","N")</f>
        <v>N</v>
      </c>
      <c r="V17" s="73">
        <f t="shared" si="4"/>
        <v>1</v>
      </c>
      <c r="W17" s="73">
        <f t="shared" ref="W17:W24" si="11">RIGHT(D17,LEN(D17)-4)/10000</f>
        <v>23.297799999999999</v>
      </c>
      <c r="X17" s="73">
        <f t="shared" ref="X17:X24" si="12">RIGHT(H17,LEN(H17)-4)/10000</f>
        <v>1.6899999999999998E-2</v>
      </c>
      <c r="Y17" s="73">
        <f t="shared" ref="Y17:Y24" si="13">ABS(X17-W17)</f>
        <v>23.280899999999999</v>
      </c>
      <c r="Z17" s="74">
        <f>VLOOKUP(A17,Enforcements!$C$3:$J$41,8,0)</f>
        <v>1</v>
      </c>
      <c r="AA17" s="74" t="str">
        <f>VLOOKUP(A17,Enforcements!$C$3:$J$41,3,0)</f>
        <v>TRACK WARRANT AUTHORITY</v>
      </c>
    </row>
    <row r="18" spans="1:27" s="2" customFormat="1" x14ac:dyDescent="0.25">
      <c r="A18" s="60" t="s">
        <v>393</v>
      </c>
      <c r="B18" s="60">
        <v>4009</v>
      </c>
      <c r="C18" s="60" t="s">
        <v>62</v>
      </c>
      <c r="D18" s="60" t="s">
        <v>466</v>
      </c>
      <c r="E18" s="30">
        <v>42533.227013888885</v>
      </c>
      <c r="F18" s="30">
        <v>42533.228113425925</v>
      </c>
      <c r="G18" s="38">
        <v>1</v>
      </c>
      <c r="H18" s="30" t="s">
        <v>138</v>
      </c>
      <c r="I18" s="30">
        <v>42533.255335648151</v>
      </c>
      <c r="J18" s="60">
        <v>0</v>
      </c>
      <c r="K18" s="60" t="str">
        <f t="shared" si="0"/>
        <v>4009/4010</v>
      </c>
      <c r="L18" s="60" t="str">
        <f>VLOOKUP(A18,'Trips&amp;Operators'!$C$1:$E$9999,3,FALSE)</f>
        <v>YANAI</v>
      </c>
      <c r="M18" s="12">
        <f t="shared" si="1"/>
        <v>2.7222222226555459E-2</v>
      </c>
      <c r="N18" s="13">
        <f t="shared" si="8"/>
        <v>39.200000006239861</v>
      </c>
      <c r="O18" s="13"/>
      <c r="P18" s="13"/>
      <c r="Q18" s="61"/>
      <c r="R18" s="61"/>
      <c r="T1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05:25:54-0600',mode:absolute,to:'2016-06-12 06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8" s="73" t="str">
        <f t="shared" si="10"/>
        <v>N</v>
      </c>
      <c r="V18" s="73">
        <f t="shared" si="4"/>
        <v>1</v>
      </c>
      <c r="W18" s="73">
        <f t="shared" si="11"/>
        <v>7.5200000000000003E-2</v>
      </c>
      <c r="X18" s="73">
        <f t="shared" si="12"/>
        <v>23.331499999999998</v>
      </c>
      <c r="Y18" s="73">
        <f t="shared" si="13"/>
        <v>23.2563</v>
      </c>
      <c r="Z18" s="74" t="e">
        <f>VLOOKUP(A18,Enforcements!$C$3:$J$41,8,0)</f>
        <v>#N/A</v>
      </c>
      <c r="AA18" s="74" t="e">
        <f>VLOOKUP(A18,Enforcements!$C$3:$J$41,3,0)</f>
        <v>#N/A</v>
      </c>
    </row>
    <row r="19" spans="1:27" s="2" customFormat="1" x14ac:dyDescent="0.25">
      <c r="A19" s="60" t="s">
        <v>406</v>
      </c>
      <c r="B19" s="60">
        <v>4010</v>
      </c>
      <c r="C19" s="60" t="s">
        <v>62</v>
      </c>
      <c r="D19" s="60" t="s">
        <v>289</v>
      </c>
      <c r="E19" s="30">
        <v>42533.266331018516</v>
      </c>
      <c r="F19" s="30">
        <v>42533.267245370371</v>
      </c>
      <c r="G19" s="38">
        <v>1</v>
      </c>
      <c r="H19" s="30" t="s">
        <v>85</v>
      </c>
      <c r="I19" s="30">
        <v>42533.298020833332</v>
      </c>
      <c r="J19" s="60">
        <v>0</v>
      </c>
      <c r="K19" s="60" t="str">
        <f t="shared" si="0"/>
        <v>4009/4010</v>
      </c>
      <c r="L19" s="60" t="str">
        <f>VLOOKUP(A19,'Trips&amp;Operators'!$C$1:$E$9999,3,FALSE)</f>
        <v>YANAI</v>
      </c>
      <c r="M19" s="12">
        <f t="shared" si="1"/>
        <v>3.0775462961173616E-2</v>
      </c>
      <c r="N19" s="13">
        <f t="shared" si="8"/>
        <v>44.316666664090008</v>
      </c>
      <c r="O19" s="13"/>
      <c r="P19" s="13"/>
      <c r="Q19" s="61"/>
      <c r="R19" s="61"/>
      <c r="T1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06:22:31-0600',mode:absolute,to:'2016-06-12 07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9" s="73" t="str">
        <f t="shared" si="10"/>
        <v>N</v>
      </c>
      <c r="V19" s="73">
        <f t="shared" si="4"/>
        <v>1</v>
      </c>
      <c r="W19" s="73">
        <f t="shared" si="11"/>
        <v>23.297899999999998</v>
      </c>
      <c r="X19" s="73">
        <f t="shared" si="12"/>
        <v>1.43E-2</v>
      </c>
      <c r="Y19" s="73">
        <f t="shared" si="13"/>
        <v>23.2836</v>
      </c>
      <c r="Z19" s="74" t="e">
        <f>VLOOKUP(A19,Enforcements!$C$3:$J$41,8,0)</f>
        <v>#N/A</v>
      </c>
      <c r="AA19" s="74" t="e">
        <f>VLOOKUP(A19,Enforcements!$C$3:$J$41,3,0)</f>
        <v>#N/A</v>
      </c>
    </row>
    <row r="20" spans="1:27" s="2" customFormat="1" x14ac:dyDescent="0.25">
      <c r="A20" s="60" t="s">
        <v>387</v>
      </c>
      <c r="B20" s="60">
        <v>4029</v>
      </c>
      <c r="C20" s="60" t="s">
        <v>62</v>
      </c>
      <c r="D20" s="60" t="s">
        <v>88</v>
      </c>
      <c r="E20" s="30">
        <v>42533.232615740744</v>
      </c>
      <c r="F20" s="30">
        <v>42533.233414351853</v>
      </c>
      <c r="G20" s="38">
        <v>1</v>
      </c>
      <c r="H20" s="30" t="s">
        <v>283</v>
      </c>
      <c r="I20" s="30">
        <v>42533.265706018516</v>
      </c>
      <c r="J20" s="60">
        <v>0</v>
      </c>
      <c r="K20" s="60" t="str">
        <f t="shared" si="0"/>
        <v>4029/4030</v>
      </c>
      <c r="L20" s="60" t="str">
        <f>VLOOKUP(A20,'Trips&amp;Operators'!$C$1:$E$9999,3,FALSE)</f>
        <v>STURGEON</v>
      </c>
      <c r="M20" s="12">
        <f t="shared" si="1"/>
        <v>3.2291666662786156E-2</v>
      </c>
      <c r="N20" s="13">
        <f t="shared" si="8"/>
        <v>46.499999994412065</v>
      </c>
      <c r="O20" s="13"/>
      <c r="P20" s="13"/>
      <c r="Q20" s="61"/>
      <c r="R20" s="61"/>
      <c r="T2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05:33:58-0600',mode:absolute,to:'2016-06-12 06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0" s="73" t="str">
        <f t="shared" si="10"/>
        <v>N</v>
      </c>
      <c r="V20" s="73">
        <f t="shared" si="4"/>
        <v>1</v>
      </c>
      <c r="W20" s="73">
        <f t="shared" si="11"/>
        <v>4.5699999999999998E-2</v>
      </c>
      <c r="X20" s="73">
        <f t="shared" si="12"/>
        <v>23.328399999999998</v>
      </c>
      <c r="Y20" s="73">
        <f t="shared" si="13"/>
        <v>23.282699999999998</v>
      </c>
      <c r="Z20" s="74" t="e">
        <f>VLOOKUP(A20,Enforcements!$C$3:$J$41,8,0)</f>
        <v>#N/A</v>
      </c>
      <c r="AA20" s="74" t="e">
        <f>VLOOKUP(A20,Enforcements!$C$3:$J$41,3,0)</f>
        <v>#N/A</v>
      </c>
    </row>
    <row r="21" spans="1:27" s="2" customFormat="1" x14ac:dyDescent="0.25">
      <c r="A21" s="60" t="s">
        <v>397</v>
      </c>
      <c r="B21" s="60">
        <v>4030</v>
      </c>
      <c r="C21" s="60" t="s">
        <v>62</v>
      </c>
      <c r="D21" s="60" t="s">
        <v>467</v>
      </c>
      <c r="E21" s="30">
        <v>42533.274236111109</v>
      </c>
      <c r="F21" s="30">
        <v>42533.275231481479</v>
      </c>
      <c r="G21" s="38">
        <v>1</v>
      </c>
      <c r="H21" s="30" t="s">
        <v>72</v>
      </c>
      <c r="I21" s="30">
        <v>42533.307256944441</v>
      </c>
      <c r="J21" s="60">
        <v>0</v>
      </c>
      <c r="K21" s="60" t="str">
        <f t="shared" si="0"/>
        <v>4029/4030</v>
      </c>
      <c r="L21" s="60" t="str">
        <f>VLOOKUP(A21,'Trips&amp;Operators'!$C$1:$E$9999,3,FALSE)</f>
        <v>STURGEON</v>
      </c>
      <c r="M21" s="12">
        <f t="shared" si="1"/>
        <v>3.202546296233777E-2</v>
      </c>
      <c r="N21" s="13">
        <f t="shared" si="8"/>
        <v>46.116666665766388</v>
      </c>
      <c r="O21" s="13"/>
      <c r="P21" s="13"/>
      <c r="Q21" s="61"/>
      <c r="R21" s="61"/>
      <c r="T2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06:33:54-0600',mode:absolute,to:'2016-06-12 07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1" s="73" t="str">
        <f t="shared" si="10"/>
        <v>N</v>
      </c>
      <c r="V21" s="73">
        <f t="shared" si="4"/>
        <v>1</v>
      </c>
      <c r="W21" s="73">
        <f t="shared" si="11"/>
        <v>23.2957</v>
      </c>
      <c r="X21" s="73">
        <f t="shared" si="12"/>
        <v>1.4999999999999999E-2</v>
      </c>
      <c r="Y21" s="73">
        <f t="shared" si="13"/>
        <v>23.2807</v>
      </c>
      <c r="Z21" s="74" t="e">
        <f>VLOOKUP(A21,Enforcements!$C$3:$J$41,8,0)</f>
        <v>#N/A</v>
      </c>
      <c r="AA21" s="74" t="e">
        <f>VLOOKUP(A21,Enforcements!$C$3:$J$41,3,0)</f>
        <v>#N/A</v>
      </c>
    </row>
    <row r="22" spans="1:27" s="2" customFormat="1" x14ac:dyDescent="0.25">
      <c r="A22" s="60" t="s">
        <v>301</v>
      </c>
      <c r="B22" s="60">
        <v>4024</v>
      </c>
      <c r="C22" s="60" t="s">
        <v>62</v>
      </c>
      <c r="D22" s="60" t="s">
        <v>468</v>
      </c>
      <c r="E22" s="30">
        <v>42533.249085648145</v>
      </c>
      <c r="F22" s="30">
        <v>42533.249780092592</v>
      </c>
      <c r="G22" s="38">
        <v>1</v>
      </c>
      <c r="H22" s="30" t="s">
        <v>469</v>
      </c>
      <c r="I22" s="30">
        <v>42533.267905092594</v>
      </c>
      <c r="J22" s="60">
        <v>1</v>
      </c>
      <c r="K22" s="60" t="str">
        <f t="shared" si="0"/>
        <v>4023/4024</v>
      </c>
      <c r="L22" s="60" t="str">
        <f>VLOOKUP(A22,'Trips&amp;Operators'!$C$1:$E$9999,3,FALSE)</f>
        <v>YORK</v>
      </c>
      <c r="M22" s="12">
        <f t="shared" si="1"/>
        <v>1.8125000002328306E-2</v>
      </c>
      <c r="N22" s="13"/>
      <c r="O22" s="13"/>
      <c r="P22" s="13">
        <f>24*60*SUM($M22:$M22)</f>
        <v>26.100000003352761</v>
      </c>
      <c r="Q22" s="61"/>
      <c r="R22" s="61" t="s">
        <v>541</v>
      </c>
      <c r="T2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05:57:41-0600',mode:absolute,to:'2016-06-12 06:26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2" s="73" t="str">
        <f t="shared" si="10"/>
        <v>Y</v>
      </c>
      <c r="V22" s="73">
        <f t="shared" si="4"/>
        <v>1</v>
      </c>
      <c r="W22" s="73">
        <f t="shared" si="11"/>
        <v>7.3400000000000007E-2</v>
      </c>
      <c r="X22" s="73">
        <f t="shared" si="12"/>
        <v>12.7196</v>
      </c>
      <c r="Y22" s="73">
        <f t="shared" si="13"/>
        <v>12.6462</v>
      </c>
      <c r="Z22" s="74">
        <f>VLOOKUP(A22,Enforcements!$C$3:$J$41,8,0)</f>
        <v>126678</v>
      </c>
      <c r="AA22" s="74" t="str">
        <f>VLOOKUP(A22,Enforcements!$C$3:$J$41,3,0)</f>
        <v>SWITCH UNKNOWN</v>
      </c>
    </row>
    <row r="23" spans="1:27" s="2" customFormat="1" x14ac:dyDescent="0.25">
      <c r="A23" s="60" t="s">
        <v>412</v>
      </c>
      <c r="B23" s="60">
        <v>4023</v>
      </c>
      <c r="C23" s="60" t="s">
        <v>62</v>
      </c>
      <c r="D23" s="60" t="s">
        <v>113</v>
      </c>
      <c r="E23" s="30">
        <v>42533.284490740742</v>
      </c>
      <c r="F23" s="30">
        <v>42533.285405092596</v>
      </c>
      <c r="G23" s="38">
        <v>1</v>
      </c>
      <c r="H23" s="30" t="s">
        <v>470</v>
      </c>
      <c r="I23" s="30">
        <v>42533.317141203705</v>
      </c>
      <c r="J23" s="60">
        <v>0</v>
      </c>
      <c r="K23" s="60" t="str">
        <f t="shared" si="0"/>
        <v>4023/4024</v>
      </c>
      <c r="L23" s="60" t="str">
        <f>VLOOKUP(A23,'Trips&amp;Operators'!$C$1:$E$9999,3,FALSE)</f>
        <v>YORK</v>
      </c>
      <c r="M23" s="12">
        <f t="shared" si="1"/>
        <v>3.1736111108330078E-2</v>
      </c>
      <c r="N23" s="13">
        <f t="shared" ref="N23:P44" si="14">24*60*SUM($M23:$M23)</f>
        <v>45.699999995995313</v>
      </c>
      <c r="O23" s="13"/>
      <c r="P23" s="13"/>
      <c r="Q23" s="61"/>
      <c r="R23" s="61"/>
      <c r="T2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06:48:40-0600',mode:absolute,to:'2016-06-12 07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3" s="73" t="str">
        <f t="shared" si="10"/>
        <v>N</v>
      </c>
      <c r="V23" s="73">
        <f t="shared" si="4"/>
        <v>1</v>
      </c>
      <c r="W23" s="73">
        <f t="shared" si="11"/>
        <v>23.298300000000001</v>
      </c>
      <c r="X23" s="73">
        <f t="shared" si="12"/>
        <v>0.19409999999999999</v>
      </c>
      <c r="Y23" s="73">
        <f t="shared" si="13"/>
        <v>23.104200000000002</v>
      </c>
      <c r="Z23" s="74" t="e">
        <f>VLOOKUP(A23,Enforcements!$C$3:$J$41,8,0)</f>
        <v>#N/A</v>
      </c>
      <c r="AA23" s="74" t="e">
        <f>VLOOKUP(A23,Enforcements!$C$3:$J$41,3,0)</f>
        <v>#N/A</v>
      </c>
    </row>
    <row r="24" spans="1:27" s="2" customFormat="1" x14ac:dyDescent="0.25">
      <c r="A24" s="60" t="s">
        <v>432</v>
      </c>
      <c r="B24" s="60">
        <v>4018</v>
      </c>
      <c r="C24" s="60" t="s">
        <v>62</v>
      </c>
      <c r="D24" s="60" t="s">
        <v>88</v>
      </c>
      <c r="E24" s="30">
        <v>42533.259085648147</v>
      </c>
      <c r="F24" s="30">
        <v>42533.260115740741</v>
      </c>
      <c r="G24" s="38">
        <v>1</v>
      </c>
      <c r="H24" s="30" t="s">
        <v>471</v>
      </c>
      <c r="I24" s="30">
        <v>42533.28701388889</v>
      </c>
      <c r="J24" s="60">
        <v>0</v>
      </c>
      <c r="K24" s="60" t="str">
        <f t="shared" si="0"/>
        <v>4017/4018</v>
      </c>
      <c r="L24" s="60" t="str">
        <f>VLOOKUP(A24,'Trips&amp;Operators'!$C$1:$E$9999,3,FALSE)</f>
        <v>SANTIZO</v>
      </c>
      <c r="M24" s="12">
        <f t="shared" si="1"/>
        <v>2.6898148149484769E-2</v>
      </c>
      <c r="N24" s="13">
        <f t="shared" si="14"/>
        <v>38.733333335258067</v>
      </c>
      <c r="O24" s="13"/>
      <c r="P24" s="13"/>
      <c r="Q24" s="61"/>
      <c r="R24" s="61"/>
      <c r="T2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https://search-rtdc-monitor-bjffxe2xuh6vdkpspy63sjmuny.us-east-1.es.amazonaws.com/_plugin/kibana/#/discover/Steve-Slow-Train-Analysis-(2080s-and-2083s)?_g=(refreshInterval:(display:Off,section:0,value:0),time:(from:'2016-06-12 06:12:05-0600',mode:absolute,to:'2016-06-12 06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4" s="73" t="str">
        <f t="shared" si="10"/>
        <v>N</v>
      </c>
      <c r="V24" s="73">
        <f t="shared" si="4"/>
        <v>1</v>
      </c>
      <c r="W24" s="73">
        <f t="shared" si="11"/>
        <v>4.5699999999999998E-2</v>
      </c>
      <c r="X24" s="73">
        <f t="shared" si="12"/>
        <v>23.3322</v>
      </c>
      <c r="Y24" s="73">
        <f t="shared" si="13"/>
        <v>23.2865</v>
      </c>
      <c r="Z24" s="74" t="e">
        <f>VLOOKUP(A24,Enforcements!$C$3:$J$41,8,0)</f>
        <v>#N/A</v>
      </c>
      <c r="AA24" s="74" t="e">
        <f>VLOOKUP(A24,Enforcements!$C$3:$J$41,3,0)</f>
        <v>#N/A</v>
      </c>
    </row>
    <row r="25" spans="1:27" s="2" customFormat="1" x14ac:dyDescent="0.25">
      <c r="A25" s="60" t="s">
        <v>305</v>
      </c>
      <c r="B25" s="60">
        <v>4017</v>
      </c>
      <c r="C25" s="60" t="s">
        <v>62</v>
      </c>
      <c r="D25" s="60" t="s">
        <v>67</v>
      </c>
      <c r="E25" s="30">
        <v>42533.294120370374</v>
      </c>
      <c r="F25" s="30">
        <v>42533.295300925929</v>
      </c>
      <c r="G25" s="38">
        <v>1</v>
      </c>
      <c r="H25" s="30" t="s">
        <v>105</v>
      </c>
      <c r="I25" s="30">
        <v>42533.330023148148</v>
      </c>
      <c r="J25" s="60">
        <v>1</v>
      </c>
      <c r="K25" s="60" t="str">
        <f t="shared" si="0"/>
        <v>4017/4018</v>
      </c>
      <c r="L25" s="60" t="str">
        <f>VLOOKUP(A25,'Trips&amp;Operators'!$C$1:$E$9999,3,FALSE)</f>
        <v>SANTIZO</v>
      </c>
      <c r="M25" s="12">
        <f t="shared" si="1"/>
        <v>3.4722222218988463E-2</v>
      </c>
      <c r="N25" s="13">
        <f t="shared" si="14"/>
        <v>49.999999995343387</v>
      </c>
      <c r="O25" s="13"/>
      <c r="P25" s="13"/>
      <c r="Q25" s="61"/>
      <c r="R25" s="61"/>
      <c r="T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07:02:32-0600',mode:absolute,to:'2016-06-12 07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5" s="73" t="str">
        <f t="shared" si="3"/>
        <v>N</v>
      </c>
      <c r="V25" s="73">
        <f t="shared" si="4"/>
        <v>1</v>
      </c>
      <c r="W25" s="73">
        <f t="shared" si="5"/>
        <v>23.299399999999999</v>
      </c>
      <c r="X25" s="73">
        <f t="shared" si="6"/>
        <v>1.54E-2</v>
      </c>
      <c r="Y25" s="73">
        <f t="shared" si="7"/>
        <v>23.283999999999999</v>
      </c>
      <c r="Z25" s="74">
        <f>VLOOKUP(A25,Enforcements!$C$3:$J$41,8,0)</f>
        <v>1</v>
      </c>
      <c r="AA25" s="74" t="str">
        <f>VLOOKUP(A25,Enforcements!$C$3:$J$41,3,0)</f>
        <v>TRACK WARRANT AUTHORITY</v>
      </c>
    </row>
    <row r="26" spans="1:27" s="2" customFormat="1" x14ac:dyDescent="0.25">
      <c r="A26" s="60" t="s">
        <v>449</v>
      </c>
      <c r="B26" s="60">
        <v>4016</v>
      </c>
      <c r="C26" s="60" t="s">
        <v>62</v>
      </c>
      <c r="D26" s="60" t="s">
        <v>275</v>
      </c>
      <c r="E26" s="30">
        <v>42533.269456018519</v>
      </c>
      <c r="F26" s="30">
        <v>42533.270636574074</v>
      </c>
      <c r="G26" s="38">
        <v>1</v>
      </c>
      <c r="H26" s="30" t="s">
        <v>472</v>
      </c>
      <c r="I26" s="30">
        <v>42533.297326388885</v>
      </c>
      <c r="J26" s="60">
        <v>0</v>
      </c>
      <c r="K26" s="60" t="str">
        <f t="shared" si="0"/>
        <v>4015/4016</v>
      </c>
      <c r="L26" s="60" t="str">
        <f>VLOOKUP(A26,'Trips&amp;Operators'!$C$1:$E$9999,3,FALSE)</f>
        <v>MALAVE</v>
      </c>
      <c r="M26" s="12">
        <f t="shared" si="1"/>
        <v>2.6689814811106771E-2</v>
      </c>
      <c r="N26" s="13">
        <f t="shared" si="14"/>
        <v>38.433333327993751</v>
      </c>
      <c r="O26" s="13"/>
      <c r="P26" s="13"/>
      <c r="Q26" s="61"/>
      <c r="R26" s="61"/>
      <c r="T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06:27:01-0600',mode:absolute,to:'2016-06-12 07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6" s="73" t="str">
        <f t="shared" si="3"/>
        <v>N</v>
      </c>
      <c r="V26" s="73">
        <f t="shared" si="4"/>
        <v>1</v>
      </c>
      <c r="W26" s="73">
        <f t="shared" si="5"/>
        <v>4.7100000000000003E-2</v>
      </c>
      <c r="X26" s="73">
        <f t="shared" si="6"/>
        <v>23.331199999999999</v>
      </c>
      <c r="Y26" s="73">
        <f t="shared" si="7"/>
        <v>23.284099999999999</v>
      </c>
      <c r="Z26" s="74" t="e">
        <f>VLOOKUP(A26,Enforcements!$C$3:$J$41,8,0)</f>
        <v>#N/A</v>
      </c>
      <c r="AA26" s="74" t="e">
        <f>VLOOKUP(A26,Enforcements!$C$3:$J$41,3,0)</f>
        <v>#N/A</v>
      </c>
    </row>
    <row r="27" spans="1:27" s="2" customFormat="1" x14ac:dyDescent="0.25">
      <c r="A27" s="60" t="s">
        <v>307</v>
      </c>
      <c r="B27" s="60">
        <v>4015</v>
      </c>
      <c r="C27" s="60" t="s">
        <v>62</v>
      </c>
      <c r="D27" s="60" t="s">
        <v>285</v>
      </c>
      <c r="E27" s="30">
        <v>42533.308113425926</v>
      </c>
      <c r="F27" s="30">
        <v>42533.308969907404</v>
      </c>
      <c r="G27" s="38">
        <v>1</v>
      </c>
      <c r="H27" s="30" t="s">
        <v>91</v>
      </c>
      <c r="I27" s="30">
        <v>42533.339456018519</v>
      </c>
      <c r="J27" s="60">
        <v>1</v>
      </c>
      <c r="K27" s="60" t="str">
        <f t="shared" si="0"/>
        <v>4015/4016</v>
      </c>
      <c r="L27" s="60" t="str">
        <f>VLOOKUP(A27,'Trips&amp;Operators'!$C$1:$E$9999,3,FALSE)</f>
        <v>MALAVE</v>
      </c>
      <c r="M27" s="12">
        <f t="shared" si="1"/>
        <v>3.0486111114441883E-2</v>
      </c>
      <c r="N27" s="13">
        <f t="shared" si="14"/>
        <v>43.900000004796311</v>
      </c>
      <c r="O27" s="13"/>
      <c r="P27" s="13"/>
      <c r="Q27" s="61"/>
      <c r="R27" s="61"/>
      <c r="T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07:22:41-0600',mode:absolute,to:'2016-06-12 08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7" s="73" t="str">
        <f t="shared" si="3"/>
        <v>N</v>
      </c>
      <c r="V27" s="73">
        <f t="shared" si="4"/>
        <v>1</v>
      </c>
      <c r="W27" s="73">
        <f t="shared" si="5"/>
        <v>23.300999999999998</v>
      </c>
      <c r="X27" s="73">
        <f t="shared" si="6"/>
        <v>1.41E-2</v>
      </c>
      <c r="Y27" s="73">
        <f t="shared" si="7"/>
        <v>23.286899999999999</v>
      </c>
      <c r="Z27" s="74">
        <f>VLOOKUP(A27,Enforcements!$C$3:$J$41,8,0)</f>
        <v>10694</v>
      </c>
      <c r="AA27" s="74" t="str">
        <f>VLOOKUP(A27,Enforcements!$C$3:$J$41,3,0)</f>
        <v>PERMANENT SPEED RESTRICTION</v>
      </c>
    </row>
    <row r="28" spans="1:27" s="2" customFormat="1" x14ac:dyDescent="0.25">
      <c r="A28" s="60" t="s">
        <v>447</v>
      </c>
      <c r="B28" s="60">
        <v>4044</v>
      </c>
      <c r="C28" s="60" t="s">
        <v>62</v>
      </c>
      <c r="D28" s="60" t="s">
        <v>99</v>
      </c>
      <c r="E28" s="30">
        <v>42533.279097222221</v>
      </c>
      <c r="F28" s="30">
        <v>42533.281493055554</v>
      </c>
      <c r="G28" s="38">
        <v>3</v>
      </c>
      <c r="H28" s="30" t="s">
        <v>461</v>
      </c>
      <c r="I28" s="30">
        <v>42533.309363425928</v>
      </c>
      <c r="J28" s="60">
        <v>0</v>
      </c>
      <c r="K28" s="60" t="str">
        <f t="shared" si="0"/>
        <v>4043/4044</v>
      </c>
      <c r="L28" s="60" t="str">
        <f>VLOOKUP(A28,'Trips&amp;Operators'!$C$1:$E$9999,3,FALSE)</f>
        <v>GEBRETEKLE</v>
      </c>
      <c r="M28" s="12">
        <f t="shared" si="1"/>
        <v>2.7870370373420883E-2</v>
      </c>
      <c r="N28" s="13">
        <f t="shared" si="14"/>
        <v>40.133333337726071</v>
      </c>
      <c r="O28" s="13"/>
      <c r="P28" s="13"/>
      <c r="Q28" s="61"/>
      <c r="R28" s="61"/>
      <c r="T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06:40:54-0600',mode:absolute,to:'2016-06-12 07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8" s="73" t="str">
        <f t="shared" si="3"/>
        <v>N</v>
      </c>
      <c r="V28" s="73">
        <f t="shared" si="4"/>
        <v>1</v>
      </c>
      <c r="W28" s="73">
        <f t="shared" si="5"/>
        <v>4.53E-2</v>
      </c>
      <c r="X28" s="73">
        <f t="shared" si="6"/>
        <v>23.328800000000001</v>
      </c>
      <c r="Y28" s="73">
        <f t="shared" si="7"/>
        <v>23.2835</v>
      </c>
      <c r="Z28" s="74" t="e">
        <f>VLOOKUP(A28,Enforcements!$C$3:$J$41,8,0)</f>
        <v>#N/A</v>
      </c>
      <c r="AA28" s="74" t="e">
        <f>VLOOKUP(A28,Enforcements!$C$3:$J$41,3,0)</f>
        <v>#N/A</v>
      </c>
    </row>
    <row r="29" spans="1:27" s="2" customFormat="1" x14ac:dyDescent="0.25">
      <c r="A29" s="60" t="s">
        <v>396</v>
      </c>
      <c r="B29" s="60">
        <v>4043</v>
      </c>
      <c r="C29" s="60" t="s">
        <v>62</v>
      </c>
      <c r="D29" s="60" t="s">
        <v>473</v>
      </c>
      <c r="E29" s="30">
        <v>42533.31621527778</v>
      </c>
      <c r="F29" s="30">
        <v>42533.317013888889</v>
      </c>
      <c r="G29" s="38">
        <v>1</v>
      </c>
      <c r="H29" s="30" t="s">
        <v>93</v>
      </c>
      <c r="I29" s="30">
        <v>42533.349050925928</v>
      </c>
      <c r="J29" s="60">
        <v>0</v>
      </c>
      <c r="K29" s="60" t="str">
        <f t="shared" si="0"/>
        <v>4043/4044</v>
      </c>
      <c r="L29" s="60" t="str">
        <f>VLOOKUP(A29,'Trips&amp;Operators'!$C$1:$E$9999,3,FALSE)</f>
        <v>GEBRETEKLE</v>
      </c>
      <c r="M29" s="12">
        <f t="shared" si="1"/>
        <v>3.2037037039117422E-2</v>
      </c>
      <c r="N29" s="13">
        <f t="shared" si="14"/>
        <v>46.133333336329088</v>
      </c>
      <c r="O29" s="13"/>
      <c r="P29" s="13"/>
      <c r="Q29" s="61"/>
      <c r="R29" s="61"/>
      <c r="T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07:34:21-0600',mode:absolute,to:'2016-06-12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9" s="73" t="str">
        <f t="shared" si="3"/>
        <v>N</v>
      </c>
      <c r="V29" s="73">
        <f t="shared" si="4"/>
        <v>1</v>
      </c>
      <c r="W29" s="73">
        <f t="shared" si="5"/>
        <v>23.296099999999999</v>
      </c>
      <c r="X29" s="73">
        <f t="shared" si="6"/>
        <v>1.49E-2</v>
      </c>
      <c r="Y29" s="73">
        <f t="shared" si="7"/>
        <v>23.281199999999998</v>
      </c>
      <c r="Z29" s="74" t="e">
        <f>VLOOKUP(A29,Enforcements!$C$3:$J$41,8,0)</f>
        <v>#N/A</v>
      </c>
      <c r="AA29" s="74" t="e">
        <f>VLOOKUP(A29,Enforcements!$C$3:$J$41,3,0)</f>
        <v>#N/A</v>
      </c>
    </row>
    <row r="30" spans="1:27" s="2" customFormat="1" x14ac:dyDescent="0.25">
      <c r="A30" s="60" t="s">
        <v>404</v>
      </c>
      <c r="B30" s="60">
        <v>4011</v>
      </c>
      <c r="C30" s="60" t="s">
        <v>62</v>
      </c>
      <c r="D30" s="60" t="s">
        <v>86</v>
      </c>
      <c r="E30" s="30">
        <v>42533.289548611108</v>
      </c>
      <c r="F30" s="30">
        <v>42533.291921296295</v>
      </c>
      <c r="G30" s="38">
        <v>3</v>
      </c>
      <c r="H30" s="30" t="s">
        <v>139</v>
      </c>
      <c r="I30" s="30">
        <v>42533.324525462966</v>
      </c>
      <c r="J30" s="60">
        <v>0</v>
      </c>
      <c r="K30" s="60" t="str">
        <f t="shared" si="0"/>
        <v>4011/4012</v>
      </c>
      <c r="L30" s="60" t="str">
        <f>VLOOKUP(A30,'Trips&amp;Operators'!$C$1:$E$9999,3,FALSE)</f>
        <v>CANFIELD</v>
      </c>
      <c r="M30" s="12">
        <f t="shared" si="1"/>
        <v>3.2604166670353152E-2</v>
      </c>
      <c r="N30" s="13">
        <f t="shared" si="14"/>
        <v>46.950000005308539</v>
      </c>
      <c r="O30" s="13"/>
      <c r="P30" s="13"/>
      <c r="Q30" s="61"/>
      <c r="R30" s="61"/>
      <c r="T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06:55:57-0600',mode:absolute,to:'2016-06-12 07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0" s="73" t="str">
        <f t="shared" si="3"/>
        <v>N</v>
      </c>
      <c r="V30" s="73">
        <f t="shared" si="4"/>
        <v>1</v>
      </c>
      <c r="W30" s="73">
        <f t="shared" si="5"/>
        <v>4.6199999999999998E-2</v>
      </c>
      <c r="X30" s="73">
        <f t="shared" si="6"/>
        <v>23.3323</v>
      </c>
      <c r="Y30" s="73">
        <f t="shared" si="7"/>
        <v>23.286100000000001</v>
      </c>
      <c r="Z30" s="74" t="e">
        <f>VLOOKUP(A30,Enforcements!$C$3:$J$41,8,0)</f>
        <v>#N/A</v>
      </c>
      <c r="AA30" s="74" t="e">
        <f>VLOOKUP(A30,Enforcements!$C$3:$J$41,3,0)</f>
        <v>#N/A</v>
      </c>
    </row>
    <row r="31" spans="1:27" s="2" customFormat="1" x14ac:dyDescent="0.25">
      <c r="A31" s="60" t="s">
        <v>308</v>
      </c>
      <c r="B31" s="60">
        <v>4012</v>
      </c>
      <c r="C31" s="60" t="s">
        <v>62</v>
      </c>
      <c r="D31" s="60" t="s">
        <v>76</v>
      </c>
      <c r="E31" s="30">
        <v>42533.325995370367</v>
      </c>
      <c r="F31" s="30">
        <v>42533.327256944445</v>
      </c>
      <c r="G31" s="38">
        <v>1</v>
      </c>
      <c r="H31" s="30" t="s">
        <v>74</v>
      </c>
      <c r="I31" s="30">
        <v>42533.360694444447</v>
      </c>
      <c r="J31" s="60">
        <v>1</v>
      </c>
      <c r="K31" s="60" t="str">
        <f t="shared" si="0"/>
        <v>4011/4012</v>
      </c>
      <c r="L31" s="60" t="str">
        <f>VLOOKUP(A31,'Trips&amp;Operators'!$C$1:$E$9999,3,FALSE)</f>
        <v>CANFIELD</v>
      </c>
      <c r="M31" s="12">
        <f t="shared" si="1"/>
        <v>3.3437500002037268E-2</v>
      </c>
      <c r="N31" s="13">
        <f t="shared" si="14"/>
        <v>48.150000002933666</v>
      </c>
      <c r="O31" s="13"/>
      <c r="P31" s="13"/>
      <c r="Q31" s="61"/>
      <c r="R31" s="61"/>
      <c r="T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07:48:26-0600',mode:absolute,to:'2016-06-12 08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1" s="73" t="str">
        <f t="shared" si="3"/>
        <v>N</v>
      </c>
      <c r="V31" s="73">
        <f t="shared" si="4"/>
        <v>1</v>
      </c>
      <c r="W31" s="73">
        <f t="shared" si="5"/>
        <v>23.299600000000002</v>
      </c>
      <c r="X31" s="73">
        <f t="shared" si="6"/>
        <v>1.47E-2</v>
      </c>
      <c r="Y31" s="73">
        <f t="shared" si="7"/>
        <v>23.2849</v>
      </c>
      <c r="Z31" s="74">
        <f>VLOOKUP(A31,Enforcements!$C$3:$J$41,8,0)</f>
        <v>127587</v>
      </c>
      <c r="AA31" s="74"/>
    </row>
    <row r="32" spans="1:27" s="2" customFormat="1" x14ac:dyDescent="0.25">
      <c r="A32" s="60" t="s">
        <v>441</v>
      </c>
      <c r="B32" s="60">
        <v>4009</v>
      </c>
      <c r="C32" s="60" t="s">
        <v>62</v>
      </c>
      <c r="D32" s="60" t="s">
        <v>64</v>
      </c>
      <c r="E32" s="30">
        <v>42533.299745370372</v>
      </c>
      <c r="F32" s="30">
        <v>42533.30060185185</v>
      </c>
      <c r="G32" s="38">
        <v>1</v>
      </c>
      <c r="H32" s="30" t="s">
        <v>474</v>
      </c>
      <c r="I32" s="30">
        <v>42533.329131944447</v>
      </c>
      <c r="J32" s="60">
        <v>0</v>
      </c>
      <c r="K32" s="60" t="str">
        <f t="shared" si="0"/>
        <v>4009/4010</v>
      </c>
      <c r="L32" s="60" t="str">
        <f>VLOOKUP(A32,'Trips&amp;Operators'!$C$1:$E$9999,3,FALSE)</f>
        <v>YANAI</v>
      </c>
      <c r="M32" s="12">
        <f t="shared" si="1"/>
        <v>2.8530092597065959E-2</v>
      </c>
      <c r="N32" s="13">
        <f t="shared" si="14"/>
        <v>41.083333339774981</v>
      </c>
      <c r="O32" s="13"/>
      <c r="P32" s="13"/>
      <c r="Q32" s="61"/>
      <c r="R32" s="61"/>
      <c r="T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07:10:38-0600',mode:absolute,to:'2016-06-12 07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2" s="73" t="str">
        <f t="shared" si="3"/>
        <v>N</v>
      </c>
      <c r="V32" s="73">
        <f t="shared" si="4"/>
        <v>1</v>
      </c>
      <c r="W32" s="73">
        <f t="shared" si="5"/>
        <v>4.5499999999999999E-2</v>
      </c>
      <c r="X32" s="73">
        <f t="shared" si="6"/>
        <v>23.332000000000001</v>
      </c>
      <c r="Y32" s="73">
        <f t="shared" si="7"/>
        <v>23.2865</v>
      </c>
      <c r="Z32" s="74" t="e">
        <f>VLOOKUP(A32,Enforcements!$C$3:$J$41,8,0)</f>
        <v>#N/A</v>
      </c>
      <c r="AA32" s="74" t="e">
        <f>VLOOKUP(A32,Enforcements!$C$3:$J$41,3,0)</f>
        <v>#N/A</v>
      </c>
    </row>
    <row r="33" spans="1:27" s="2" customFormat="1" x14ac:dyDescent="0.25">
      <c r="A33" s="60" t="s">
        <v>446</v>
      </c>
      <c r="B33" s="60">
        <v>4010</v>
      </c>
      <c r="C33" s="60" t="s">
        <v>62</v>
      </c>
      <c r="D33" s="60" t="s">
        <v>475</v>
      </c>
      <c r="E33" s="30">
        <v>42533.337511574071</v>
      </c>
      <c r="F33" s="30">
        <v>42533.338472222225</v>
      </c>
      <c r="G33" s="38">
        <v>1</v>
      </c>
      <c r="H33" s="30" t="s">
        <v>77</v>
      </c>
      <c r="I33" s="30">
        <v>42533.37060185185</v>
      </c>
      <c r="J33" s="60">
        <v>0</v>
      </c>
      <c r="K33" s="60" t="str">
        <f t="shared" si="0"/>
        <v>4009/4010</v>
      </c>
      <c r="L33" s="60" t="str">
        <f>VLOOKUP(A33,'Trips&amp;Operators'!$C$1:$E$9999,3,FALSE)</f>
        <v>YANAI</v>
      </c>
      <c r="M33" s="12">
        <f t="shared" si="1"/>
        <v>3.2129629624250811E-2</v>
      </c>
      <c r="N33" s="13">
        <f t="shared" si="14"/>
        <v>46.266666658921167</v>
      </c>
      <c r="O33" s="13"/>
      <c r="P33" s="13"/>
      <c r="Q33" s="61"/>
      <c r="R33" s="61"/>
      <c r="T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08:05:01-0600',mode:absolute,to:'2016-06-12 08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3" s="73" t="str">
        <f t="shared" si="3"/>
        <v>N</v>
      </c>
      <c r="V33" s="73">
        <f t="shared" si="4"/>
        <v>1</v>
      </c>
      <c r="W33" s="73">
        <f t="shared" si="5"/>
        <v>23.3005</v>
      </c>
      <c r="X33" s="73">
        <f t="shared" si="6"/>
        <v>1.6E-2</v>
      </c>
      <c r="Y33" s="73">
        <f t="shared" si="7"/>
        <v>23.284500000000001</v>
      </c>
      <c r="Z33" s="74" t="e">
        <f>VLOOKUP(A33,Enforcements!$C$3:$J$41,8,0)</f>
        <v>#N/A</v>
      </c>
      <c r="AA33" s="74" t="e">
        <f>VLOOKUP(A33,Enforcements!$C$3:$J$41,3,0)</f>
        <v>#N/A</v>
      </c>
    </row>
    <row r="34" spans="1:27" s="2" customFormat="1" x14ac:dyDescent="0.25">
      <c r="A34" s="60" t="s">
        <v>341</v>
      </c>
      <c r="B34" s="60">
        <v>4029</v>
      </c>
      <c r="C34" s="60" t="s">
        <v>62</v>
      </c>
      <c r="D34" s="60" t="s">
        <v>78</v>
      </c>
      <c r="E34" s="30">
        <v>42533.308622685188</v>
      </c>
      <c r="F34" s="30">
        <v>42533.309664351851</v>
      </c>
      <c r="G34" s="38">
        <v>1</v>
      </c>
      <c r="H34" s="30" t="s">
        <v>476</v>
      </c>
      <c r="I34" s="30">
        <v>42533.338865740741</v>
      </c>
      <c r="J34" s="60">
        <v>0</v>
      </c>
      <c r="K34" s="60" t="str">
        <f t="shared" si="0"/>
        <v>4029/4030</v>
      </c>
      <c r="L34" s="60" t="str">
        <f>VLOOKUP(A34,'Trips&amp;Operators'!$C$1:$E$9999,3,FALSE)</f>
        <v>STURGEON</v>
      </c>
      <c r="M34" s="12">
        <f t="shared" si="1"/>
        <v>2.920138889021473E-2</v>
      </c>
      <c r="N34" s="13">
        <f t="shared" si="14"/>
        <v>42.050000001909211</v>
      </c>
      <c r="O34" s="13"/>
      <c r="P34" s="13"/>
      <c r="Q34" s="61"/>
      <c r="R34" s="61"/>
      <c r="T3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07:23:25-0600',mode:absolute,to:'2016-06-12 08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4" s="73" t="str">
        <f t="shared" si="3"/>
        <v>N</v>
      </c>
      <c r="V34" s="73">
        <f t="shared" si="4"/>
        <v>1</v>
      </c>
      <c r="W34" s="73">
        <f t="shared" si="5"/>
        <v>4.5999999999999999E-2</v>
      </c>
      <c r="X34" s="73">
        <f t="shared" si="6"/>
        <v>23.331700000000001</v>
      </c>
      <c r="Y34" s="73">
        <f t="shared" si="7"/>
        <v>23.285700000000002</v>
      </c>
      <c r="Z34" s="74" t="e">
        <f>VLOOKUP(A34,Enforcements!$C$3:$J$41,8,0)</f>
        <v>#N/A</v>
      </c>
      <c r="AA34" s="74"/>
    </row>
    <row r="35" spans="1:27" s="2" customFormat="1" x14ac:dyDescent="0.25">
      <c r="A35" s="60" t="s">
        <v>377</v>
      </c>
      <c r="B35" s="60">
        <v>4030</v>
      </c>
      <c r="C35" s="60" t="s">
        <v>62</v>
      </c>
      <c r="D35" s="60" t="s">
        <v>477</v>
      </c>
      <c r="E35" s="30">
        <v>42533.348761574074</v>
      </c>
      <c r="F35" s="30">
        <v>42533.349594907406</v>
      </c>
      <c r="G35" s="38">
        <v>1</v>
      </c>
      <c r="H35" s="30" t="s">
        <v>74</v>
      </c>
      <c r="I35" s="30">
        <v>42533.382106481484</v>
      </c>
      <c r="J35" s="60">
        <v>0</v>
      </c>
      <c r="K35" s="60" t="str">
        <f t="shared" ref="K35:K66" si="15">IF(ISEVEN(B35),(B35-1)&amp;"/"&amp;B35,B35&amp;"/"&amp;(B35+1))</f>
        <v>4029/4030</v>
      </c>
      <c r="L35" s="60" t="str">
        <f>VLOOKUP(A35,'Trips&amp;Operators'!$C$1:$E$9999,3,FALSE)</f>
        <v>STURGEON</v>
      </c>
      <c r="M35" s="12">
        <f t="shared" ref="M35:M66" si="16">I35-F35</f>
        <v>3.2511574077943806E-2</v>
      </c>
      <c r="N35" s="13">
        <f t="shared" si="14"/>
        <v>46.81666667223908</v>
      </c>
      <c r="O35" s="13"/>
      <c r="P35" s="13"/>
      <c r="Q35" s="61"/>
      <c r="R35" s="61"/>
      <c r="T3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08:21:13-0600',mode:absolute,to:'2016-06-12 09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5" s="73" t="str">
        <f t="shared" si="3"/>
        <v>N</v>
      </c>
      <c r="V35" s="73">
        <f t="shared" si="4"/>
        <v>1</v>
      </c>
      <c r="W35" s="73">
        <f t="shared" si="5"/>
        <v>23.3</v>
      </c>
      <c r="X35" s="73">
        <f t="shared" si="6"/>
        <v>1.47E-2</v>
      </c>
      <c r="Y35" s="73">
        <f t="shared" si="7"/>
        <v>23.285299999999999</v>
      </c>
      <c r="Z35" s="74" t="e">
        <f>VLOOKUP(A35,Enforcements!$C$3:$J$41,8,0)</f>
        <v>#N/A</v>
      </c>
      <c r="AA35" s="74" t="e">
        <f>VLOOKUP(A35,Enforcements!$C$3:$J$41,3,0)</f>
        <v>#N/A</v>
      </c>
    </row>
    <row r="36" spans="1:27" s="2" customFormat="1" x14ac:dyDescent="0.25">
      <c r="A36" s="60" t="s">
        <v>395</v>
      </c>
      <c r="B36" s="60">
        <v>4020</v>
      </c>
      <c r="C36" s="60" t="s">
        <v>62</v>
      </c>
      <c r="D36" s="60" t="s">
        <v>99</v>
      </c>
      <c r="E36" s="30">
        <v>42533.322812500002</v>
      </c>
      <c r="F36" s="30">
        <v>42533.323437500003</v>
      </c>
      <c r="G36" s="38">
        <v>0</v>
      </c>
      <c r="H36" s="30" t="s">
        <v>478</v>
      </c>
      <c r="I36" s="30">
        <v>42533.350034722222</v>
      </c>
      <c r="J36" s="60">
        <v>0</v>
      </c>
      <c r="K36" s="60" t="str">
        <f t="shared" si="15"/>
        <v>4019/4020</v>
      </c>
      <c r="L36" s="60" t="str">
        <f>VLOOKUP(A36,'Trips&amp;Operators'!$C$1:$E$9999,3,FALSE)</f>
        <v>YORK</v>
      </c>
      <c r="M36" s="12">
        <f t="shared" si="16"/>
        <v>2.6597222218697425E-2</v>
      </c>
      <c r="N36" s="13">
        <f t="shared" si="14"/>
        <v>38.299999994924292</v>
      </c>
      <c r="O36" s="13"/>
      <c r="P36" s="13"/>
      <c r="Q36" s="61"/>
      <c r="R36" s="61"/>
      <c r="T3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07:43:51-0600',mode:absolute,to:'2016-06-12 08:25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3" t="str">
        <f t="shared" si="3"/>
        <v>N</v>
      </c>
      <c r="V36" s="73">
        <f t="shared" si="4"/>
        <v>1</v>
      </c>
      <c r="W36" s="73">
        <f t="shared" si="5"/>
        <v>4.53E-2</v>
      </c>
      <c r="X36" s="73">
        <f t="shared" si="6"/>
        <v>23.329499999999999</v>
      </c>
      <c r="Y36" s="73">
        <f t="shared" si="7"/>
        <v>23.284199999999998</v>
      </c>
      <c r="Z36" s="74" t="e">
        <f>VLOOKUP(A36,Enforcements!$C$3:$J$41,8,0)</f>
        <v>#N/A</v>
      </c>
      <c r="AA36" s="74" t="e">
        <f>VLOOKUP(A36,Enforcements!$C$3:$J$41,3,0)</f>
        <v>#N/A</v>
      </c>
    </row>
    <row r="37" spans="1:27" s="2" customFormat="1" ht="16.5" customHeight="1" x14ac:dyDescent="0.25">
      <c r="A37" s="60" t="s">
        <v>311</v>
      </c>
      <c r="B37" s="60">
        <v>4019</v>
      </c>
      <c r="C37" s="60" t="s">
        <v>62</v>
      </c>
      <c r="D37" s="60" t="s">
        <v>293</v>
      </c>
      <c r="E37" s="30">
        <v>42533.360138888886</v>
      </c>
      <c r="F37" s="30">
        <v>42533.360972222225</v>
      </c>
      <c r="G37" s="38">
        <v>1</v>
      </c>
      <c r="H37" s="30" t="s">
        <v>90</v>
      </c>
      <c r="I37" s="30">
        <v>42533.389236111114</v>
      </c>
      <c r="J37" s="60">
        <v>1</v>
      </c>
      <c r="K37" s="60" t="str">
        <f t="shared" si="15"/>
        <v>4019/4020</v>
      </c>
      <c r="L37" s="60" t="str">
        <f>VLOOKUP(A37,'Trips&amp;Operators'!$C$1:$E$9999,3,FALSE)</f>
        <v>YORK</v>
      </c>
      <c r="M37" s="12">
        <f t="shared" si="16"/>
        <v>2.8263888889341615E-2</v>
      </c>
      <c r="N37" s="13">
        <f t="shared" si="14"/>
        <v>40.700000000651926</v>
      </c>
      <c r="O37" s="13"/>
      <c r="P37" s="13"/>
      <c r="Q37" s="61"/>
      <c r="R37" s="61"/>
      <c r="T3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08:37:36-0600',mode:absolute,to:'2016-06-12 09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3" t="str">
        <f t="shared" si="3"/>
        <v>N</v>
      </c>
      <c r="V37" s="73">
        <f t="shared" si="4"/>
        <v>1</v>
      </c>
      <c r="W37" s="73">
        <f t="shared" si="5"/>
        <v>23.296900000000001</v>
      </c>
      <c r="X37" s="73">
        <f t="shared" si="6"/>
        <v>1.3899999999999999E-2</v>
      </c>
      <c r="Y37" s="73">
        <f t="shared" si="7"/>
        <v>23.283000000000001</v>
      </c>
      <c r="Z37" s="74">
        <f>VLOOKUP(A37,Enforcements!$C$3:$J$41,8,0)</f>
        <v>1</v>
      </c>
      <c r="AA37" s="74" t="str">
        <f>VLOOKUP(A37,Enforcements!$C$3:$J$41,3,0)</f>
        <v>TRACK WARRANT AUTHORITY</v>
      </c>
    </row>
    <row r="38" spans="1:27" s="2" customFormat="1" ht="16.5" customHeight="1" x14ac:dyDescent="0.25">
      <c r="A38" s="60" t="s">
        <v>410</v>
      </c>
      <c r="B38" s="60">
        <v>4018</v>
      </c>
      <c r="C38" s="60" t="s">
        <v>62</v>
      </c>
      <c r="D38" s="60" t="s">
        <v>275</v>
      </c>
      <c r="E38" s="30">
        <v>42533.332326388889</v>
      </c>
      <c r="F38" s="30">
        <v>42533.333611111113</v>
      </c>
      <c r="G38" s="38">
        <v>1</v>
      </c>
      <c r="H38" s="30" t="s">
        <v>479</v>
      </c>
      <c r="I38" s="30">
        <v>42533.360636574071</v>
      </c>
      <c r="J38" s="60">
        <v>0</v>
      </c>
      <c r="K38" s="60" t="str">
        <f t="shared" si="15"/>
        <v>4017/4018</v>
      </c>
      <c r="L38" s="60" t="str">
        <f>VLOOKUP(A38,'Trips&amp;Operators'!$C$1:$E$9999,3,FALSE)</f>
        <v>SANTIZO</v>
      </c>
      <c r="M38" s="12">
        <f t="shared" si="16"/>
        <v>2.7025462957681157E-2</v>
      </c>
      <c r="N38" s="13">
        <f t="shared" si="14"/>
        <v>38.916666659060866</v>
      </c>
      <c r="O38" s="13"/>
      <c r="P38" s="13"/>
      <c r="Q38" s="61"/>
      <c r="R38" s="61"/>
      <c r="T3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07:57:33-0600',mode:absolute,to:'2016-06-12 08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8" s="73" t="str">
        <f t="shared" si="3"/>
        <v>N</v>
      </c>
      <c r="V38" s="73">
        <f t="shared" si="4"/>
        <v>1</v>
      </c>
      <c r="W38" s="73">
        <f t="shared" si="5"/>
        <v>4.7100000000000003E-2</v>
      </c>
      <c r="X38" s="73">
        <f t="shared" si="6"/>
        <v>23.331</v>
      </c>
      <c r="Y38" s="73">
        <f t="shared" si="7"/>
        <v>23.283899999999999</v>
      </c>
      <c r="Z38" s="74" t="e">
        <f>VLOOKUP(A38,Enforcements!$C$3:$J$41,8,0)</f>
        <v>#N/A</v>
      </c>
      <c r="AA38" s="74" t="e">
        <f>VLOOKUP(A38,Enforcements!$C$3:$J$41,3,0)</f>
        <v>#N/A</v>
      </c>
    </row>
    <row r="39" spans="1:27" s="2" customFormat="1" x14ac:dyDescent="0.25">
      <c r="A39" s="60" t="s">
        <v>343</v>
      </c>
      <c r="B39" s="60">
        <v>4017</v>
      </c>
      <c r="C39" s="60" t="s">
        <v>62</v>
      </c>
      <c r="D39" s="60" t="s">
        <v>89</v>
      </c>
      <c r="E39" s="30">
        <v>42533.369421296295</v>
      </c>
      <c r="F39" s="30">
        <v>42533.37027777778</v>
      </c>
      <c r="G39" s="38">
        <v>1</v>
      </c>
      <c r="H39" s="30" t="s">
        <v>74</v>
      </c>
      <c r="I39" s="30">
        <v>42533.400219907409</v>
      </c>
      <c r="J39" s="60">
        <v>0</v>
      </c>
      <c r="K39" s="60" t="str">
        <f t="shared" si="15"/>
        <v>4017/4018</v>
      </c>
      <c r="L39" s="60" t="str">
        <f>VLOOKUP(A39,'Trips&amp;Operators'!$C$1:$E$9999,3,FALSE)</f>
        <v>SANTIZO</v>
      </c>
      <c r="M39" s="12">
        <f t="shared" si="16"/>
        <v>2.99421296294895E-2</v>
      </c>
      <c r="N39" s="13">
        <f t="shared" si="14"/>
        <v>43.11666666646488</v>
      </c>
      <c r="O39" s="13"/>
      <c r="P39" s="13"/>
      <c r="Q39" s="61"/>
      <c r="R39" s="61"/>
      <c r="T3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08:50:58-0600',mode:absolute,to:'2016-06-12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9" s="73" t="str">
        <f t="shared" si="3"/>
        <v>N</v>
      </c>
      <c r="V39" s="73">
        <f t="shared" si="4"/>
        <v>1</v>
      </c>
      <c r="W39" s="73">
        <f t="shared" si="5"/>
        <v>23.299099999999999</v>
      </c>
      <c r="X39" s="73">
        <f t="shared" si="6"/>
        <v>1.47E-2</v>
      </c>
      <c r="Y39" s="73">
        <f t="shared" si="7"/>
        <v>23.284399999999998</v>
      </c>
      <c r="Z39" s="74" t="e">
        <f>VLOOKUP(A39,Enforcements!$C$3:$J$41,8,0)</f>
        <v>#N/A</v>
      </c>
      <c r="AA39" s="74" t="e">
        <f>VLOOKUP(A39,Enforcements!$C$3:$J$41,3,0)</f>
        <v>#N/A</v>
      </c>
    </row>
    <row r="40" spans="1:27" s="2" customFormat="1" x14ac:dyDescent="0.25">
      <c r="A40" s="60" t="s">
        <v>445</v>
      </c>
      <c r="B40" s="60">
        <v>4016</v>
      </c>
      <c r="C40" s="60" t="s">
        <v>62</v>
      </c>
      <c r="D40" s="60" t="s">
        <v>132</v>
      </c>
      <c r="E40" s="30">
        <v>42533.342476851853</v>
      </c>
      <c r="F40" s="30">
        <v>42533.343344907407</v>
      </c>
      <c r="G40" s="38">
        <v>1</v>
      </c>
      <c r="H40" s="30" t="s">
        <v>131</v>
      </c>
      <c r="I40" s="30">
        <v>42533.370428240742</v>
      </c>
      <c r="J40" s="60">
        <v>0</v>
      </c>
      <c r="K40" s="60" t="str">
        <f t="shared" si="15"/>
        <v>4015/4016</v>
      </c>
      <c r="L40" s="60" t="str">
        <f>VLOOKUP(A40,'Trips&amp;Operators'!$C$1:$E$9999,3,FALSE)</f>
        <v>MALAVE</v>
      </c>
      <c r="M40" s="12">
        <f t="shared" si="16"/>
        <v>2.7083333334303461E-2</v>
      </c>
      <c r="N40" s="13">
        <f t="shared" si="14"/>
        <v>39.000000001396984</v>
      </c>
      <c r="O40" s="13"/>
      <c r="P40" s="13"/>
      <c r="Q40" s="61"/>
      <c r="R40" s="61"/>
      <c r="T4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08:12:10-0600',mode:absolute,to:'2016-06-12 08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0" s="73" t="str">
        <f t="shared" si="3"/>
        <v>N</v>
      </c>
      <c r="V40" s="73">
        <f t="shared" si="4"/>
        <v>1</v>
      </c>
      <c r="W40" s="73">
        <f t="shared" si="5"/>
        <v>4.4200000000000003E-2</v>
      </c>
      <c r="X40" s="73">
        <f t="shared" si="6"/>
        <v>23.327999999999999</v>
      </c>
      <c r="Y40" s="73">
        <f t="shared" si="7"/>
        <v>23.283799999999999</v>
      </c>
      <c r="Z40" s="74" t="e">
        <f>VLOOKUP(A40,Enforcements!$C$3:$J$41,8,0)</f>
        <v>#N/A</v>
      </c>
      <c r="AA40" s="74" t="e">
        <f>VLOOKUP(A40,Enforcements!$C$3:$J$41,3,0)</f>
        <v>#N/A</v>
      </c>
    </row>
    <row r="41" spans="1:27" s="2" customFormat="1" x14ac:dyDescent="0.25">
      <c r="A41" s="60" t="s">
        <v>416</v>
      </c>
      <c r="B41" s="60">
        <v>4015</v>
      </c>
      <c r="C41" s="60" t="s">
        <v>62</v>
      </c>
      <c r="D41" s="60" t="s">
        <v>473</v>
      </c>
      <c r="E41" s="30">
        <v>42533.380983796298</v>
      </c>
      <c r="F41" s="30">
        <v>42533.382002314815</v>
      </c>
      <c r="G41" s="38">
        <v>1</v>
      </c>
      <c r="H41" s="30" t="s">
        <v>92</v>
      </c>
      <c r="I41" s="30">
        <v>42533.411412037036</v>
      </c>
      <c r="J41" s="60">
        <v>0</v>
      </c>
      <c r="K41" s="60" t="str">
        <f t="shared" si="15"/>
        <v>4015/4016</v>
      </c>
      <c r="L41" s="60" t="str">
        <f>VLOOKUP(A41,'Trips&amp;Operators'!$C$1:$E$9999,3,FALSE)</f>
        <v>MALAVE</v>
      </c>
      <c r="M41" s="12">
        <f t="shared" si="16"/>
        <v>2.940972222131677E-2</v>
      </c>
      <c r="N41" s="13">
        <f t="shared" si="14"/>
        <v>42.349999998696148</v>
      </c>
      <c r="O41" s="13"/>
      <c r="P41" s="13"/>
      <c r="Q41" s="61"/>
      <c r="R41" s="61"/>
      <c r="T4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09:07:37-0600',mode:absolute,to:'2016-06-12 09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1" s="73" t="str">
        <f t="shared" si="3"/>
        <v>N</v>
      </c>
      <c r="V41" s="73">
        <f t="shared" si="4"/>
        <v>1</v>
      </c>
      <c r="W41" s="73">
        <f t="shared" si="5"/>
        <v>23.296099999999999</v>
      </c>
      <c r="X41" s="73">
        <f t="shared" si="6"/>
        <v>1.5599999999999999E-2</v>
      </c>
      <c r="Y41" s="73">
        <f t="shared" si="7"/>
        <v>23.2805</v>
      </c>
      <c r="Z41" s="74" t="e">
        <f>VLOOKUP(A41,Enforcements!$C$3:$J$41,8,0)</f>
        <v>#N/A</v>
      </c>
      <c r="AA41" s="74" t="e">
        <f>VLOOKUP(A41,Enforcements!$C$3:$J$41,3,0)</f>
        <v>#N/A</v>
      </c>
    </row>
    <row r="42" spans="1:27" s="2" customFormat="1" x14ac:dyDescent="0.25">
      <c r="A42" s="60" t="s">
        <v>415</v>
      </c>
      <c r="B42" s="60">
        <v>4044</v>
      </c>
      <c r="C42" s="60" t="s">
        <v>62</v>
      </c>
      <c r="D42" s="60" t="s">
        <v>64</v>
      </c>
      <c r="E42" s="30">
        <v>42533.351168981484</v>
      </c>
      <c r="F42" s="30">
        <v>42533.352268518516</v>
      </c>
      <c r="G42" s="38">
        <v>1</v>
      </c>
      <c r="H42" s="30" t="s">
        <v>131</v>
      </c>
      <c r="I42" s="30">
        <v>42533.380439814813</v>
      </c>
      <c r="J42" s="60">
        <v>0</v>
      </c>
      <c r="K42" s="60" t="str">
        <f t="shared" si="15"/>
        <v>4043/4044</v>
      </c>
      <c r="L42" s="60" t="str">
        <f>VLOOKUP(A42,'Trips&amp;Operators'!$C$1:$E$9999,3,FALSE)</f>
        <v>GEBRETEKLE</v>
      </c>
      <c r="M42" s="12">
        <f t="shared" si="16"/>
        <v>2.8171296296932269E-2</v>
      </c>
      <c r="N42" s="13">
        <f t="shared" si="14"/>
        <v>40.566666667582467</v>
      </c>
      <c r="O42" s="13"/>
      <c r="P42" s="13"/>
      <c r="Q42" s="61"/>
      <c r="R42" s="61"/>
      <c r="T4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https://search-rtdc-monitor-bjffxe2xuh6vdkpspy63sjmuny.us-east-1.es.amazonaws.com/_plugin/kibana/#/discover/Steve-Slow-Train-Analysis-(2080s-and-2083s)?_g=(refreshInterval:(display:Off,section:0,value:0),time:(from:'2016-06-12 08:24:41-0600',mode:absolute,to:'2016-06-12 09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2" s="73" t="str">
        <f t="shared" si="3"/>
        <v>N</v>
      </c>
      <c r="V42" s="73">
        <f t="shared" si="4"/>
        <v>1</v>
      </c>
      <c r="W42" s="73">
        <f t="shared" si="5"/>
        <v>4.5499999999999999E-2</v>
      </c>
      <c r="X42" s="73">
        <f t="shared" si="6"/>
        <v>23.327999999999999</v>
      </c>
      <c r="Y42" s="73">
        <f t="shared" si="7"/>
        <v>23.282499999999999</v>
      </c>
      <c r="Z42" s="74" t="e">
        <f>VLOOKUP(A42,Enforcements!$C$3:$J$41,8,0)</f>
        <v>#N/A</v>
      </c>
      <c r="AA42" s="74" t="e">
        <f>VLOOKUP(A42,Enforcements!$C$3:$J$41,3,0)</f>
        <v>#N/A</v>
      </c>
    </row>
    <row r="43" spans="1:27" s="2" customFormat="1" x14ac:dyDescent="0.25">
      <c r="A43" s="60" t="s">
        <v>312</v>
      </c>
      <c r="B43" s="60">
        <v>4043</v>
      </c>
      <c r="C43" s="60" t="s">
        <v>62</v>
      </c>
      <c r="D43" s="60" t="s">
        <v>83</v>
      </c>
      <c r="E43" s="30">
        <v>42533.388715277775</v>
      </c>
      <c r="F43" s="30">
        <v>42533.389780092592</v>
      </c>
      <c r="G43" s="38">
        <v>1</v>
      </c>
      <c r="H43" s="30" t="s">
        <v>66</v>
      </c>
      <c r="I43" s="30">
        <v>42533.421238425923</v>
      </c>
      <c r="J43" s="60">
        <v>0</v>
      </c>
      <c r="K43" s="60" t="str">
        <f t="shared" si="15"/>
        <v>4043/4044</v>
      </c>
      <c r="L43" s="60" t="str">
        <f>VLOOKUP(A43,'Trips&amp;Operators'!$C$1:$E$9999,3,FALSE)</f>
        <v>GEBRETEKLE</v>
      </c>
      <c r="M43" s="12">
        <f t="shared" si="16"/>
        <v>3.145833333110204E-2</v>
      </c>
      <c r="N43" s="13">
        <f t="shared" si="14"/>
        <v>45.299999996786937</v>
      </c>
      <c r="O43" s="13"/>
      <c r="P43" s="13"/>
      <c r="Q43" s="61"/>
      <c r="R43" s="61"/>
      <c r="T43" s="73" t="str">
        <f t="shared" ref="T43:T76" si="17"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10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3" s="73" t="str">
        <f t="shared" ref="U43:U76" si="18">IF(Y43&lt;23,"Y","N")</f>
        <v>N</v>
      </c>
      <c r="V43" s="73">
        <f t="shared" si="4"/>
        <v>1</v>
      </c>
      <c r="W43" s="73">
        <f t="shared" ref="W43:W76" si="19">RIGHT(D43,LEN(D43)-4)/10000</f>
        <v>23.297699999999999</v>
      </c>
      <c r="X43" s="73">
        <f t="shared" ref="X43:X76" si="20">RIGHT(H43,LEN(H43)-4)/10000</f>
        <v>1.52E-2</v>
      </c>
      <c r="Y43" s="73">
        <f t="shared" ref="Y43:Y76" si="21">ABS(X43-W43)</f>
        <v>23.282499999999999</v>
      </c>
      <c r="Z43" s="74">
        <f>VLOOKUP(A43,Enforcements!$C$3:$J$41,8,0)</f>
        <v>1</v>
      </c>
      <c r="AA43" s="74" t="str">
        <f>VLOOKUP(A43,Enforcements!$C$3:$J$41,3,0)</f>
        <v>TRACK WARRANT AUTHORITY</v>
      </c>
    </row>
    <row r="44" spans="1:27" s="94" customFormat="1" x14ac:dyDescent="0.25">
      <c r="A44" s="60" t="s">
        <v>310</v>
      </c>
      <c r="B44" s="60">
        <v>4011</v>
      </c>
      <c r="C44" s="60" t="s">
        <v>528</v>
      </c>
      <c r="D44" s="60" t="s">
        <v>101</v>
      </c>
      <c r="E44" s="30">
        <v>42533.388715277775</v>
      </c>
      <c r="F44" s="30">
        <v>42533.362858796296</v>
      </c>
      <c r="G44" s="38"/>
      <c r="H44" s="30"/>
      <c r="I44" s="30">
        <v>42533.376307870371</v>
      </c>
      <c r="J44" s="60"/>
      <c r="K44" s="60" t="str">
        <f t="shared" si="15"/>
        <v>4011/4012</v>
      </c>
      <c r="L44" s="60" t="str">
        <f>VLOOKUP(A44,'Trips&amp;Operators'!$C$1:$E$9999,3,FALSE)</f>
        <v>CANFIELD</v>
      </c>
      <c r="M44" s="12">
        <f t="shared" si="16"/>
        <v>1.3449074074742384E-2</v>
      </c>
      <c r="N44" s="13"/>
      <c r="O44" s="13"/>
      <c r="P44" s="13">
        <f t="shared" si="14"/>
        <v>19.366666667629033</v>
      </c>
      <c r="Q44" s="61"/>
      <c r="R44" s="61" t="s">
        <v>535</v>
      </c>
      <c r="S44" s="2"/>
      <c r="T44" s="73" t="str">
        <f t="shared" ref="T44" si="22"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09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4" s="73" t="str">
        <f t="shared" ref="U44" si="23">IF(Y44&lt;23,"Y","N")</f>
        <v>Y</v>
      </c>
      <c r="V44" s="73">
        <f t="shared" si="4"/>
        <v>1</v>
      </c>
      <c r="W44" s="73">
        <f t="shared" ref="W44" si="24">RIGHT(D44,LEN(D44)-4)/10000</f>
        <v>23.297799999999999</v>
      </c>
      <c r="X44" s="73">
        <v>23.327999999999999</v>
      </c>
      <c r="Y44" s="73">
        <f t="shared" ref="Y44" si="25">ABS(X44-W44)</f>
        <v>3.0200000000000671E-2</v>
      </c>
      <c r="Z44" s="74">
        <f>VLOOKUP(A44,Enforcements!$C$3:$J$41,8,0)</f>
        <v>63068</v>
      </c>
      <c r="AA44" s="74" t="str">
        <f>VLOOKUP(A44,Enforcements!$C$3:$J$41,3,0)</f>
        <v>GRADE CROSSING</v>
      </c>
    </row>
    <row r="45" spans="1:27" s="2" customFormat="1" x14ac:dyDescent="0.25">
      <c r="A45" s="60" t="s">
        <v>344</v>
      </c>
      <c r="B45" s="60">
        <v>4012</v>
      </c>
      <c r="C45" s="60" t="s">
        <v>62</v>
      </c>
      <c r="D45" s="60" t="s">
        <v>134</v>
      </c>
      <c r="E45" s="30">
        <v>42533.400856481479</v>
      </c>
      <c r="F45" s="30">
        <v>42533.402245370373</v>
      </c>
      <c r="G45" s="38">
        <v>2</v>
      </c>
      <c r="H45" s="30" t="s">
        <v>480</v>
      </c>
      <c r="I45" s="30">
        <v>42533.431643518517</v>
      </c>
      <c r="J45" s="60">
        <v>0</v>
      </c>
      <c r="K45" s="60" t="str">
        <f t="shared" si="15"/>
        <v>4011/4012</v>
      </c>
      <c r="L45" s="60" t="str">
        <f>VLOOKUP(A45,'Trips&amp;Operators'!$C$1:$E$9999,3,FALSE)</f>
        <v>CANFIELD</v>
      </c>
      <c r="M45" s="12">
        <f t="shared" si="16"/>
        <v>2.9398148144537117E-2</v>
      </c>
      <c r="N45" s="13">
        <f t="shared" ref="N45:N61" si="26">24*60*SUM($M45:$M45)</f>
        <v>42.333333328133449</v>
      </c>
      <c r="O45" s="13"/>
      <c r="P45" s="13"/>
      <c r="Q45" s="61"/>
      <c r="R45" s="61"/>
      <c r="T45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09:36:14-0600',mode:absolute,to:'2016-06-12 10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5" s="73" t="str">
        <f t="shared" si="18"/>
        <v>N</v>
      </c>
      <c r="V45" s="73">
        <f t="shared" si="4"/>
        <v>1</v>
      </c>
      <c r="W45" s="73">
        <f t="shared" si="19"/>
        <v>23.298200000000001</v>
      </c>
      <c r="X45" s="73">
        <f t="shared" si="20"/>
        <v>0.1192</v>
      </c>
      <c r="Y45" s="73">
        <f t="shared" si="21"/>
        <v>23.179000000000002</v>
      </c>
      <c r="Z45" s="74" t="e">
        <f>VLOOKUP(A45,Enforcements!$C$3:$J$41,8,0)</f>
        <v>#N/A</v>
      </c>
      <c r="AA45" s="74" t="e">
        <f>VLOOKUP(A45,Enforcements!$C$3:$J$41,3,0)</f>
        <v>#N/A</v>
      </c>
    </row>
    <row r="46" spans="1:27" s="2" customFormat="1" ht="14.25" customHeight="1" x14ac:dyDescent="0.25">
      <c r="A46" s="60" t="s">
        <v>378</v>
      </c>
      <c r="B46" s="60">
        <v>4009</v>
      </c>
      <c r="C46" s="60" t="s">
        <v>62</v>
      </c>
      <c r="D46" s="60" t="s">
        <v>481</v>
      </c>
      <c r="E46" s="30">
        <v>42533.372199074074</v>
      </c>
      <c r="F46" s="30">
        <v>42533.375439814816</v>
      </c>
      <c r="G46" s="38">
        <v>4</v>
      </c>
      <c r="H46" s="30" t="s">
        <v>138</v>
      </c>
      <c r="I46" s="30">
        <v>42533.402349537035</v>
      </c>
      <c r="J46" s="60">
        <v>0</v>
      </c>
      <c r="K46" s="60" t="str">
        <f t="shared" si="15"/>
        <v>4009/4010</v>
      </c>
      <c r="L46" s="60" t="str">
        <f>VLOOKUP(A46,'Trips&amp;Operators'!$C$1:$E$9999,3,FALSE)</f>
        <v>YANAI</v>
      </c>
      <c r="M46" s="12">
        <f t="shared" si="16"/>
        <v>2.6909722218988463E-2</v>
      </c>
      <c r="N46" s="13">
        <f t="shared" si="26"/>
        <v>38.749999995343387</v>
      </c>
      <c r="O46" s="13"/>
      <c r="P46" s="13"/>
      <c r="Q46" s="61"/>
      <c r="R46" s="61"/>
      <c r="T46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08:54:58-0600',mode:absolute,to:'2016-06-12 09:40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6" s="73" t="str">
        <f t="shared" si="18"/>
        <v>N</v>
      </c>
      <c r="V46" s="73">
        <f t="shared" si="4"/>
        <v>1</v>
      </c>
      <c r="W46" s="73">
        <f t="shared" si="19"/>
        <v>4.9099999999999998E-2</v>
      </c>
      <c r="X46" s="73">
        <f t="shared" si="20"/>
        <v>23.331499999999998</v>
      </c>
      <c r="Y46" s="73">
        <f t="shared" si="21"/>
        <v>23.282399999999999</v>
      </c>
      <c r="Z46" s="74" t="e">
        <f>VLOOKUP(A46,Enforcements!$C$3:$J$41,8,0)</f>
        <v>#N/A</v>
      </c>
      <c r="AA46" s="74"/>
    </row>
    <row r="47" spans="1:27" s="2" customFormat="1" x14ac:dyDescent="0.25">
      <c r="A47" s="60" t="s">
        <v>443</v>
      </c>
      <c r="B47" s="60">
        <v>4010</v>
      </c>
      <c r="C47" s="60" t="s">
        <v>62</v>
      </c>
      <c r="D47" s="60" t="s">
        <v>482</v>
      </c>
      <c r="E47" s="30">
        <v>42533.412268518521</v>
      </c>
      <c r="F47" s="30">
        <v>42533.414074074077</v>
      </c>
      <c r="G47" s="38">
        <v>2</v>
      </c>
      <c r="H47" s="30" t="s">
        <v>90</v>
      </c>
      <c r="I47" s="30">
        <v>42533.440393518518</v>
      </c>
      <c r="J47" s="60">
        <v>0</v>
      </c>
      <c r="K47" s="60" t="str">
        <f t="shared" si="15"/>
        <v>4009/4010</v>
      </c>
      <c r="L47" s="60" t="str">
        <f>VLOOKUP(A47,'Trips&amp;Operators'!$C$1:$E$9999,3,FALSE)</f>
        <v>YANAI</v>
      </c>
      <c r="M47" s="12">
        <f t="shared" si="16"/>
        <v>2.6319444441469386E-2</v>
      </c>
      <c r="N47" s="13">
        <f t="shared" si="26"/>
        <v>37.899999995715916</v>
      </c>
      <c r="O47" s="13"/>
      <c r="P47" s="13"/>
      <c r="Q47" s="61"/>
      <c r="R47" s="61"/>
      <c r="T47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09:52:40-0600',mode:absolute,to:'2016-06-12 10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7" s="73" t="str">
        <f t="shared" si="18"/>
        <v>N</v>
      </c>
      <c r="V47" s="73">
        <f t="shared" si="4"/>
        <v>1</v>
      </c>
      <c r="W47" s="73">
        <f t="shared" si="19"/>
        <v>23.3004</v>
      </c>
      <c r="X47" s="73">
        <f t="shared" si="20"/>
        <v>1.3899999999999999E-2</v>
      </c>
      <c r="Y47" s="73">
        <f t="shared" si="21"/>
        <v>23.2865</v>
      </c>
      <c r="Z47" s="74" t="e">
        <f>VLOOKUP(A47,Enforcements!$C$3:$J$41,8,0)</f>
        <v>#N/A</v>
      </c>
      <c r="AA47" s="74" t="e">
        <f>VLOOKUP(A47,Enforcements!$C$3:$J$41,3,0)</f>
        <v>#N/A</v>
      </c>
    </row>
    <row r="48" spans="1:27" s="2" customFormat="1" x14ac:dyDescent="0.25">
      <c r="A48" s="60" t="s">
        <v>442</v>
      </c>
      <c r="B48" s="60">
        <v>4029</v>
      </c>
      <c r="C48" s="60" t="s">
        <v>62</v>
      </c>
      <c r="D48" s="60" t="s">
        <v>483</v>
      </c>
      <c r="E48" s="30">
        <v>42533.383414351854</v>
      </c>
      <c r="F48" s="30">
        <v>42533.384814814817</v>
      </c>
      <c r="G48" s="38">
        <v>2</v>
      </c>
      <c r="H48" s="30" t="s">
        <v>109</v>
      </c>
      <c r="I48" s="30">
        <v>42533.411030092589</v>
      </c>
      <c r="J48" s="60">
        <v>0</v>
      </c>
      <c r="K48" s="60" t="str">
        <f t="shared" si="15"/>
        <v>4029/4030</v>
      </c>
      <c r="L48" s="60" t="str">
        <f>VLOOKUP(A48,'Trips&amp;Operators'!$C$1:$E$9999,3,FALSE)</f>
        <v>STURGEON</v>
      </c>
      <c r="M48" s="12">
        <f t="shared" si="16"/>
        <v>2.6215277772280388E-2</v>
      </c>
      <c r="N48" s="13">
        <f t="shared" si="26"/>
        <v>37.749999992083758</v>
      </c>
      <c r="O48" s="13"/>
      <c r="P48" s="13"/>
      <c r="Q48" s="61"/>
      <c r="R48" s="61"/>
      <c r="T48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09:11:07-0600',mode:absolute,to:'2016-06-12 09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8" s="73" t="str">
        <f t="shared" si="18"/>
        <v>N</v>
      </c>
      <c r="V48" s="73">
        <f t="shared" si="4"/>
        <v>1</v>
      </c>
      <c r="W48" s="73">
        <f t="shared" si="19"/>
        <v>4.4699999999999997E-2</v>
      </c>
      <c r="X48" s="73">
        <f t="shared" si="20"/>
        <v>23.329899999999999</v>
      </c>
      <c r="Y48" s="73">
        <f t="shared" si="21"/>
        <v>23.2852</v>
      </c>
      <c r="Z48" s="74" t="e">
        <f>VLOOKUP(A48,Enforcements!$C$3:$J$41,8,0)</f>
        <v>#N/A</v>
      </c>
      <c r="AA48" s="74" t="e">
        <f>VLOOKUP(A48,Enforcements!$C$3:$J$41,3,0)</f>
        <v>#N/A</v>
      </c>
    </row>
    <row r="49" spans="1:27" s="2" customFormat="1" x14ac:dyDescent="0.25">
      <c r="A49" s="60" t="s">
        <v>356</v>
      </c>
      <c r="B49" s="60">
        <v>4030</v>
      </c>
      <c r="C49" s="60" t="s">
        <v>62</v>
      </c>
      <c r="D49" s="60" t="s">
        <v>141</v>
      </c>
      <c r="E49" s="30">
        <v>42533.418275462966</v>
      </c>
      <c r="F49" s="30">
        <v>42533.419270833336</v>
      </c>
      <c r="G49" s="38">
        <v>1</v>
      </c>
      <c r="H49" s="30" t="s">
        <v>135</v>
      </c>
      <c r="I49" s="30">
        <v>42533.454699074071</v>
      </c>
      <c r="J49" s="60">
        <v>0</v>
      </c>
      <c r="K49" s="60" t="str">
        <f t="shared" si="15"/>
        <v>4029/4030</v>
      </c>
      <c r="L49" s="60" t="str">
        <f>VLOOKUP(A49,'Trips&amp;Operators'!$C$1:$E$9999,3,FALSE)</f>
        <v>STURGEON</v>
      </c>
      <c r="M49" s="12">
        <f t="shared" si="16"/>
        <v>3.5428240735200234E-2</v>
      </c>
      <c r="N49" s="13">
        <f t="shared" si="26"/>
        <v>51.016666658688337</v>
      </c>
      <c r="O49" s="13"/>
      <c r="P49" s="13"/>
      <c r="Q49" s="61"/>
      <c r="R49" s="61"/>
      <c r="T49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10:01:19-0600',mode:absolute,to:'2016-06-12 10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9" s="73" t="str">
        <f t="shared" si="18"/>
        <v>N</v>
      </c>
      <c r="V49" s="73">
        <f t="shared" si="4"/>
        <v>1</v>
      </c>
      <c r="W49" s="73">
        <f t="shared" si="19"/>
        <v>23.297499999999999</v>
      </c>
      <c r="X49" s="73">
        <f t="shared" si="20"/>
        <v>1.6299999999999999E-2</v>
      </c>
      <c r="Y49" s="73">
        <f t="shared" si="21"/>
        <v>23.281199999999998</v>
      </c>
      <c r="Z49" s="74" t="e">
        <f>VLOOKUP(A49,Enforcements!$C$3:$J$41,8,0)</f>
        <v>#N/A</v>
      </c>
      <c r="AA49" s="74" t="e">
        <f>VLOOKUP(A49,Enforcements!$C$3:$J$41,3,0)</f>
        <v>#N/A</v>
      </c>
    </row>
    <row r="50" spans="1:27" s="2" customFormat="1" x14ac:dyDescent="0.25">
      <c r="A50" s="60" t="s">
        <v>402</v>
      </c>
      <c r="B50" s="60">
        <v>4020</v>
      </c>
      <c r="C50" s="60" t="s">
        <v>62</v>
      </c>
      <c r="D50" s="60" t="s">
        <v>65</v>
      </c>
      <c r="E50" s="30">
        <v>42533.392916666664</v>
      </c>
      <c r="F50" s="30">
        <v>42533.394456018519</v>
      </c>
      <c r="G50" s="38">
        <v>2</v>
      </c>
      <c r="H50" s="30" t="s">
        <v>291</v>
      </c>
      <c r="I50" s="30">
        <v>42533.421111111114</v>
      </c>
      <c r="J50" s="60">
        <v>0</v>
      </c>
      <c r="K50" s="60" t="str">
        <f t="shared" si="15"/>
        <v>4019/4020</v>
      </c>
      <c r="L50" s="60" t="str">
        <f>VLOOKUP(A50,'Trips&amp;Operators'!$C$1:$E$9999,3,FALSE)</f>
        <v>YORK</v>
      </c>
      <c r="M50" s="12">
        <f t="shared" si="16"/>
        <v>2.6655092595319729E-2</v>
      </c>
      <c r="N50" s="13">
        <f t="shared" si="26"/>
        <v>38.38333333726041</v>
      </c>
      <c r="O50" s="13"/>
      <c r="P50" s="13"/>
      <c r="Q50" s="61"/>
      <c r="R50" s="61"/>
      <c r="T50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09:24:48-0600',mode:absolute,to:'2016-06-12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3" t="str">
        <f t="shared" si="18"/>
        <v>N</v>
      </c>
      <c r="V50" s="73">
        <f t="shared" si="4"/>
        <v>1</v>
      </c>
      <c r="W50" s="73">
        <f t="shared" si="19"/>
        <v>4.5100000000000001E-2</v>
      </c>
      <c r="X50" s="73">
        <f t="shared" si="20"/>
        <v>23.329699999999999</v>
      </c>
      <c r="Y50" s="73">
        <f t="shared" si="21"/>
        <v>23.284599999999998</v>
      </c>
      <c r="Z50" s="74" t="e">
        <f>VLOOKUP(A50,Enforcements!$C$3:$J$41,8,0)</f>
        <v>#N/A</v>
      </c>
      <c r="AA50" s="74" t="e">
        <f>VLOOKUP(A50,Enforcements!$C$3:$J$41,3,0)</f>
        <v>#N/A</v>
      </c>
    </row>
    <row r="51" spans="1:27" s="2" customFormat="1" x14ac:dyDescent="0.25">
      <c r="A51" s="60" t="s">
        <v>315</v>
      </c>
      <c r="B51" s="60">
        <v>4019</v>
      </c>
      <c r="C51" s="60" t="s">
        <v>62</v>
      </c>
      <c r="D51" s="60" t="s">
        <v>113</v>
      </c>
      <c r="E51" s="30">
        <v>42533.429837962962</v>
      </c>
      <c r="F51" s="30">
        <v>42533.430590277778</v>
      </c>
      <c r="G51" s="38">
        <v>1</v>
      </c>
      <c r="H51" s="30" t="s">
        <v>74</v>
      </c>
      <c r="I51" s="30">
        <v>42533.463460648149</v>
      </c>
      <c r="J51" s="60">
        <v>1</v>
      </c>
      <c r="K51" s="60" t="str">
        <f t="shared" si="15"/>
        <v>4019/4020</v>
      </c>
      <c r="L51" s="60" t="str">
        <f>VLOOKUP(A51,'Trips&amp;Operators'!$C$1:$E$9999,3,FALSE)</f>
        <v>YORK</v>
      </c>
      <c r="M51" s="12">
        <f t="shared" si="16"/>
        <v>3.2870370370801538E-2</v>
      </c>
      <c r="N51" s="13">
        <f t="shared" si="26"/>
        <v>47.333333333954215</v>
      </c>
      <c r="O51" s="13"/>
      <c r="P51" s="13"/>
      <c r="Q51" s="61"/>
      <c r="R51" s="61"/>
      <c r="T51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10:17:58-0600',mode:absolute,to:'2016-06-12 11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3" t="str">
        <f t="shared" si="18"/>
        <v>N</v>
      </c>
      <c r="V51" s="73">
        <f t="shared" si="4"/>
        <v>1</v>
      </c>
      <c r="W51" s="73">
        <f t="shared" si="19"/>
        <v>23.298300000000001</v>
      </c>
      <c r="X51" s="73">
        <f t="shared" si="20"/>
        <v>1.47E-2</v>
      </c>
      <c r="Y51" s="73">
        <f t="shared" si="21"/>
        <v>23.2836</v>
      </c>
      <c r="Z51" s="74">
        <f>VLOOKUP(A51,Enforcements!$C$3:$J$41,8,0)</f>
        <v>191108</v>
      </c>
      <c r="AA51" s="74"/>
    </row>
    <row r="52" spans="1:27" s="2" customFormat="1" x14ac:dyDescent="0.25">
      <c r="A52" s="60" t="s">
        <v>435</v>
      </c>
      <c r="B52" s="60">
        <v>4018</v>
      </c>
      <c r="C52" s="60" t="s">
        <v>62</v>
      </c>
      <c r="D52" s="60" t="s">
        <v>65</v>
      </c>
      <c r="E52" s="30">
        <v>42533.403564814813</v>
      </c>
      <c r="F52" s="30">
        <v>42533.404502314814</v>
      </c>
      <c r="G52" s="38">
        <v>1</v>
      </c>
      <c r="H52" s="30" t="s">
        <v>102</v>
      </c>
      <c r="I52" s="30">
        <v>42533.43167824074</v>
      </c>
      <c r="J52" s="60">
        <v>0</v>
      </c>
      <c r="K52" s="60" t="str">
        <f t="shared" si="15"/>
        <v>4017/4018</v>
      </c>
      <c r="L52" s="60" t="str">
        <f>VLOOKUP(A52,'Trips&amp;Operators'!$C$1:$E$9999,3,FALSE)</f>
        <v>SANTIZO</v>
      </c>
      <c r="M52" s="12">
        <f t="shared" si="16"/>
        <v>2.7175925926712807E-2</v>
      </c>
      <c r="N52" s="13">
        <f t="shared" si="26"/>
        <v>39.133333334466442</v>
      </c>
      <c r="O52" s="13"/>
      <c r="P52" s="13"/>
      <c r="Q52" s="61"/>
      <c r="R52" s="61"/>
      <c r="T52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09:40:08-0600',mode:absolute,to:'2016-06-12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2" s="73" t="str">
        <f t="shared" si="18"/>
        <v>N</v>
      </c>
      <c r="V52" s="73">
        <f t="shared" si="4"/>
        <v>1</v>
      </c>
      <c r="W52" s="73">
        <f t="shared" si="19"/>
        <v>4.5100000000000001E-2</v>
      </c>
      <c r="X52" s="73">
        <f t="shared" si="20"/>
        <v>23.331099999999999</v>
      </c>
      <c r="Y52" s="73">
        <f t="shared" si="21"/>
        <v>23.285999999999998</v>
      </c>
      <c r="Z52" s="74" t="e">
        <f>VLOOKUP(A52,Enforcements!$C$3:$J$41,8,0)</f>
        <v>#N/A</v>
      </c>
      <c r="AA52" s="74" t="e">
        <f>VLOOKUP(A52,Enforcements!$C$3:$J$41,3,0)</f>
        <v>#N/A</v>
      </c>
    </row>
    <row r="53" spans="1:27" s="2" customFormat="1" x14ac:dyDescent="0.25">
      <c r="A53" s="60" t="s">
        <v>374</v>
      </c>
      <c r="B53" s="60">
        <v>4017</v>
      </c>
      <c r="C53" s="60" t="s">
        <v>62</v>
      </c>
      <c r="D53" s="60" t="s">
        <v>117</v>
      </c>
      <c r="E53" s="30">
        <v>42533.440428240741</v>
      </c>
      <c r="F53" s="30">
        <v>42533.441562499997</v>
      </c>
      <c r="G53" s="38">
        <v>1</v>
      </c>
      <c r="H53" s="30" t="s">
        <v>66</v>
      </c>
      <c r="I53" s="30">
        <v>42533.472627314812</v>
      </c>
      <c r="J53" s="60">
        <v>0</v>
      </c>
      <c r="K53" s="60" t="str">
        <f t="shared" si="15"/>
        <v>4017/4018</v>
      </c>
      <c r="L53" s="60" t="str">
        <f>VLOOKUP(A53,'Trips&amp;Operators'!$C$1:$E$9999,3,FALSE)</f>
        <v>SANTIZO</v>
      </c>
      <c r="M53" s="12">
        <f t="shared" si="16"/>
        <v>3.1064814815181307E-2</v>
      </c>
      <c r="N53" s="13">
        <f t="shared" si="26"/>
        <v>44.733333333861083</v>
      </c>
      <c r="O53" s="13"/>
      <c r="P53" s="13"/>
      <c r="Q53" s="61"/>
      <c r="R53" s="61"/>
      <c r="T53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10:33:13-0600',mode:absolute,to:'2016-06-12 11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3" s="73" t="str">
        <f t="shared" si="18"/>
        <v>N</v>
      </c>
      <c r="V53" s="73">
        <f t="shared" si="4"/>
        <v>1</v>
      </c>
      <c r="W53" s="73">
        <f t="shared" si="19"/>
        <v>23.297999999999998</v>
      </c>
      <c r="X53" s="73">
        <f t="shared" si="20"/>
        <v>1.52E-2</v>
      </c>
      <c r="Y53" s="73">
        <f t="shared" si="21"/>
        <v>23.282799999999998</v>
      </c>
      <c r="Z53" s="74" t="e">
        <f>VLOOKUP(A53,Enforcements!$C$3:$J$41,8,0)</f>
        <v>#N/A</v>
      </c>
      <c r="AA53" s="74"/>
    </row>
    <row r="54" spans="1:27" s="2" customFormat="1" x14ac:dyDescent="0.25">
      <c r="A54" s="60" t="s">
        <v>314</v>
      </c>
      <c r="B54" s="60">
        <v>4016</v>
      </c>
      <c r="C54" s="60" t="s">
        <v>62</v>
      </c>
      <c r="D54" s="60" t="s">
        <v>112</v>
      </c>
      <c r="E54" s="30">
        <v>42533.415370370371</v>
      </c>
      <c r="F54" s="30">
        <v>42533.416250000002</v>
      </c>
      <c r="G54" s="38">
        <v>1</v>
      </c>
      <c r="H54" s="30" t="s">
        <v>106</v>
      </c>
      <c r="I54" s="30">
        <v>42533.444826388892</v>
      </c>
      <c r="J54" s="60">
        <v>1</v>
      </c>
      <c r="K54" s="60" t="str">
        <f t="shared" si="15"/>
        <v>4015/4016</v>
      </c>
      <c r="L54" s="60" t="str">
        <f>VLOOKUP(A54,'Trips&amp;Operators'!$C$1:$E$9999,3,FALSE)</f>
        <v>MALAVE</v>
      </c>
      <c r="M54" s="12">
        <f t="shared" si="16"/>
        <v>2.8576388889632653E-2</v>
      </c>
      <c r="N54" s="13">
        <f t="shared" si="26"/>
        <v>41.150000001071021</v>
      </c>
      <c r="O54" s="13"/>
      <c r="P54" s="13"/>
      <c r="Q54" s="61"/>
      <c r="R54" s="61"/>
      <c r="T54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09:57:08-0600',mode:absolute,to:'2016-06-12 10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4" s="73" t="str">
        <f t="shared" si="18"/>
        <v>N</v>
      </c>
      <c r="V54" s="73">
        <f t="shared" si="4"/>
        <v>1</v>
      </c>
      <c r="W54" s="73">
        <f t="shared" si="19"/>
        <v>4.58E-2</v>
      </c>
      <c r="X54" s="73">
        <f t="shared" si="20"/>
        <v>23.330400000000001</v>
      </c>
      <c r="Y54" s="73">
        <f t="shared" si="21"/>
        <v>23.284600000000001</v>
      </c>
      <c r="Z54" s="74">
        <f>VLOOKUP(A54,Enforcements!$C$3:$J$41,8,0)</f>
        <v>63068</v>
      </c>
      <c r="AA54" s="74" t="str">
        <f>VLOOKUP(A54,Enforcements!$C$3:$J$41,3,0)</f>
        <v>GRADE CROSSING</v>
      </c>
    </row>
    <row r="55" spans="1:27" s="2" customFormat="1" x14ac:dyDescent="0.25">
      <c r="A55" s="60" t="s">
        <v>394</v>
      </c>
      <c r="B55" s="60">
        <v>4015</v>
      </c>
      <c r="C55" s="60" t="s">
        <v>62</v>
      </c>
      <c r="D55" s="60" t="s">
        <v>462</v>
      </c>
      <c r="E55" s="30">
        <v>42533.454050925924</v>
      </c>
      <c r="F55" s="30">
        <v>42533.45584490741</v>
      </c>
      <c r="G55" s="38">
        <v>0</v>
      </c>
      <c r="H55" s="30" t="s">
        <v>277</v>
      </c>
      <c r="I55" s="30">
        <v>42533.499143518522</v>
      </c>
      <c r="J55" s="60">
        <v>0</v>
      </c>
      <c r="K55" s="60" t="str">
        <f t="shared" si="15"/>
        <v>4015/4016</v>
      </c>
      <c r="L55" s="60" t="str">
        <f>VLOOKUP(A55,'Trips&amp;Operators'!$C$1:$E$9999,3,FALSE)</f>
        <v>MALAVE</v>
      </c>
      <c r="M55" s="12">
        <f t="shared" si="16"/>
        <v>4.3298611111822538E-2</v>
      </c>
      <c r="N55" s="13">
        <f t="shared" si="26"/>
        <v>62.350000001024455</v>
      </c>
      <c r="O55" s="13"/>
      <c r="P55" s="13"/>
      <c r="Q55" s="61"/>
      <c r="R55" s="61"/>
      <c r="T55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10:52:50-0600',mode:absolute,to:'2016-06-12 11:59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5" s="73" t="str">
        <f t="shared" si="18"/>
        <v>N</v>
      </c>
      <c r="V55" s="73">
        <f t="shared" si="4"/>
        <v>1</v>
      </c>
      <c r="W55" s="73">
        <f t="shared" si="19"/>
        <v>23.2987</v>
      </c>
      <c r="X55" s="73">
        <f t="shared" si="20"/>
        <v>1.61E-2</v>
      </c>
      <c r="Y55" s="73">
        <f t="shared" si="21"/>
        <v>23.282599999999999</v>
      </c>
      <c r="Z55" s="74" t="e">
        <f>VLOOKUP(A55,Enforcements!$C$3:$J$41,8,0)</f>
        <v>#N/A</v>
      </c>
      <c r="AA55" s="74" t="e">
        <f>VLOOKUP(A55,Enforcements!$C$3:$J$41,3,0)</f>
        <v>#N/A</v>
      </c>
    </row>
    <row r="56" spans="1:27" s="2" customFormat="1" x14ac:dyDescent="0.25">
      <c r="A56" s="60" t="s">
        <v>417</v>
      </c>
      <c r="B56" s="60">
        <v>4044</v>
      </c>
      <c r="C56" s="60" t="s">
        <v>62</v>
      </c>
      <c r="D56" s="60" t="s">
        <v>483</v>
      </c>
      <c r="E56" s="30">
        <v>42533.423946759256</v>
      </c>
      <c r="F56" s="30">
        <v>42533.425370370373</v>
      </c>
      <c r="G56" s="38">
        <v>2</v>
      </c>
      <c r="H56" s="30" t="s">
        <v>109</v>
      </c>
      <c r="I56" s="30">
        <v>42533.45416666667</v>
      </c>
      <c r="J56" s="60">
        <v>0</v>
      </c>
      <c r="K56" s="60" t="str">
        <f t="shared" si="15"/>
        <v>4043/4044</v>
      </c>
      <c r="L56" s="60" t="str">
        <f>VLOOKUP(A56,'Trips&amp;Operators'!$C$1:$E$9999,3,FALSE)</f>
        <v>ACKERMAN</v>
      </c>
      <c r="M56" s="12">
        <f t="shared" si="16"/>
        <v>2.8796296297514345E-2</v>
      </c>
      <c r="N56" s="13">
        <f t="shared" si="26"/>
        <v>41.466666668420658</v>
      </c>
      <c r="O56" s="13"/>
      <c r="P56" s="13"/>
      <c r="Q56" s="61"/>
      <c r="R56" s="61"/>
      <c r="T56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10:09:29-0600',mode:absolute,to:'2016-06-12 10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6" s="73" t="str">
        <f t="shared" si="18"/>
        <v>N</v>
      </c>
      <c r="V56" s="73">
        <f t="shared" si="4"/>
        <v>1</v>
      </c>
      <c r="W56" s="73">
        <f t="shared" si="19"/>
        <v>4.4699999999999997E-2</v>
      </c>
      <c r="X56" s="73">
        <f t="shared" si="20"/>
        <v>23.329899999999999</v>
      </c>
      <c r="Y56" s="73">
        <f t="shared" si="21"/>
        <v>23.2852</v>
      </c>
      <c r="Z56" s="74" t="e">
        <f>VLOOKUP(A56,Enforcements!$C$3:$J$41,8,0)</f>
        <v>#N/A</v>
      </c>
      <c r="AA56" s="74" t="e">
        <f>VLOOKUP(A56,Enforcements!$C$3:$J$41,3,0)</f>
        <v>#N/A</v>
      </c>
    </row>
    <row r="57" spans="1:27" s="2" customFormat="1" x14ac:dyDescent="0.25">
      <c r="A57" s="60" t="s">
        <v>440</v>
      </c>
      <c r="B57" s="60">
        <v>4043</v>
      </c>
      <c r="C57" s="60" t="s">
        <v>62</v>
      </c>
      <c r="D57" s="60" t="s">
        <v>484</v>
      </c>
      <c r="E57" s="30">
        <v>42533.459050925929</v>
      </c>
      <c r="F57" s="30">
        <v>42533.466192129628</v>
      </c>
      <c r="G57" s="38">
        <v>1</v>
      </c>
      <c r="H57" s="30" t="s">
        <v>90</v>
      </c>
      <c r="I57" s="30">
        <v>42533.503321759257</v>
      </c>
      <c r="J57" s="60">
        <v>0</v>
      </c>
      <c r="K57" s="60" t="str">
        <f t="shared" si="15"/>
        <v>4043/4044</v>
      </c>
      <c r="L57" s="60" t="str">
        <f>VLOOKUP(A57,'Trips&amp;Operators'!$C$1:$E$9999,3,FALSE)</f>
        <v>ACKERMAN</v>
      </c>
      <c r="M57" s="12">
        <f t="shared" si="16"/>
        <v>3.7129629628907423E-2</v>
      </c>
      <c r="N57" s="13">
        <f t="shared" si="26"/>
        <v>53.46666666562669</v>
      </c>
      <c r="O57" s="13"/>
      <c r="P57" s="13"/>
      <c r="Q57" s="61"/>
      <c r="R57" s="61"/>
      <c r="T57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11:00:02-0600',mode:absolute,to:'2016-06-12 12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7" s="73" t="str">
        <f t="shared" si="18"/>
        <v>N</v>
      </c>
      <c r="V57" s="73">
        <f t="shared" si="4"/>
        <v>1</v>
      </c>
      <c r="W57" s="73">
        <f t="shared" si="19"/>
        <v>23.298999999999999</v>
      </c>
      <c r="X57" s="73">
        <f t="shared" si="20"/>
        <v>1.3899999999999999E-2</v>
      </c>
      <c r="Y57" s="73">
        <f t="shared" si="21"/>
        <v>23.2851</v>
      </c>
      <c r="Z57" s="74" t="e">
        <f>VLOOKUP(A57,Enforcements!$C$3:$J$41,8,0)</f>
        <v>#N/A</v>
      </c>
      <c r="AA57" s="74" t="e">
        <f>VLOOKUP(A57,Enforcements!$C$3:$J$41,3,0)</f>
        <v>#N/A</v>
      </c>
    </row>
    <row r="58" spans="1:27" s="2" customFormat="1" x14ac:dyDescent="0.25">
      <c r="A58" s="60" t="s">
        <v>364</v>
      </c>
      <c r="B58" s="60">
        <v>4024</v>
      </c>
      <c r="C58" s="60" t="s">
        <v>62</v>
      </c>
      <c r="D58" s="60" t="s">
        <v>485</v>
      </c>
      <c r="E58" s="30">
        <v>42533.432939814818</v>
      </c>
      <c r="F58" s="30">
        <v>42533.43440972222</v>
      </c>
      <c r="G58" s="38">
        <v>2</v>
      </c>
      <c r="H58" s="30" t="s">
        <v>478</v>
      </c>
      <c r="I58" s="30">
        <v>42533.464039351849</v>
      </c>
      <c r="J58" s="60">
        <v>0</v>
      </c>
      <c r="K58" s="60" t="str">
        <f t="shared" si="15"/>
        <v>4023/4024</v>
      </c>
      <c r="L58" s="60" t="str">
        <f>VLOOKUP(A58,'Trips&amp;Operators'!$C$1:$E$9999,3,FALSE)</f>
        <v>GEBRETEKLE</v>
      </c>
      <c r="M58" s="12">
        <f t="shared" si="16"/>
        <v>2.9629629629198462E-2</v>
      </c>
      <c r="N58" s="13">
        <f t="shared" si="26"/>
        <v>42.666666666045785</v>
      </c>
      <c r="O58" s="13"/>
      <c r="P58" s="13"/>
      <c r="Q58" s="61"/>
      <c r="R58" s="61"/>
      <c r="T58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10:22:26-0600',mode:absolute,to:'2016-06-12 11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18"/>
        <v>N</v>
      </c>
      <c r="V58" s="73">
        <f t="shared" si="4"/>
        <v>1</v>
      </c>
      <c r="W58" s="73">
        <f t="shared" si="19"/>
        <v>4.3099999999999999E-2</v>
      </c>
      <c r="X58" s="73">
        <f t="shared" si="20"/>
        <v>23.329499999999999</v>
      </c>
      <c r="Y58" s="73">
        <f t="shared" si="21"/>
        <v>23.2864</v>
      </c>
      <c r="Z58" s="74" t="e">
        <f>VLOOKUP(A58,Enforcements!$C$3:$J$41,8,0)</f>
        <v>#N/A</v>
      </c>
      <c r="AA58" s="74" t="e">
        <f>VLOOKUP(A58,Enforcements!$C$3:$J$41,3,0)</f>
        <v>#N/A</v>
      </c>
    </row>
    <row r="59" spans="1:27" s="2" customFormat="1" x14ac:dyDescent="0.25">
      <c r="A59" s="60" t="s">
        <v>388</v>
      </c>
      <c r="B59" s="60">
        <v>4023</v>
      </c>
      <c r="C59" s="60" t="s">
        <v>62</v>
      </c>
      <c r="D59" s="60" t="s">
        <v>282</v>
      </c>
      <c r="E59" s="30">
        <v>42533.47351851852</v>
      </c>
      <c r="F59" s="30">
        <v>42533.474872685183</v>
      </c>
      <c r="G59" s="38">
        <v>1</v>
      </c>
      <c r="H59" s="30" t="s">
        <v>75</v>
      </c>
      <c r="I59" s="30">
        <v>42533.51085648148</v>
      </c>
      <c r="J59" s="60">
        <v>0</v>
      </c>
      <c r="K59" s="60" t="str">
        <f t="shared" si="15"/>
        <v>4023/4024</v>
      </c>
      <c r="L59" s="60" t="str">
        <f>VLOOKUP(A59,'Trips&amp;Operators'!$C$1:$E$9999,3,FALSE)</f>
        <v>GEBRETEKLE</v>
      </c>
      <c r="M59" s="12">
        <f t="shared" si="16"/>
        <v>3.5983796296932269E-2</v>
      </c>
      <c r="N59" s="13">
        <f t="shared" si="26"/>
        <v>51.816666667582467</v>
      </c>
      <c r="O59" s="13"/>
      <c r="P59" s="13"/>
      <c r="Q59" s="61"/>
      <c r="R59" s="61"/>
      <c r="T59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11:20:52-0600',mode:absolute,to:'2016-06-12 12:16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18"/>
        <v>N</v>
      </c>
      <c r="V59" s="73">
        <f t="shared" si="4"/>
        <v>1</v>
      </c>
      <c r="W59" s="73">
        <f t="shared" si="19"/>
        <v>23.298500000000001</v>
      </c>
      <c r="X59" s="73">
        <f t="shared" si="20"/>
        <v>1.5800000000000002E-2</v>
      </c>
      <c r="Y59" s="73">
        <f t="shared" si="21"/>
        <v>23.282700000000002</v>
      </c>
      <c r="Z59" s="74" t="e">
        <f>VLOOKUP(A59,Enforcements!$C$3:$J$41,8,0)</f>
        <v>#N/A</v>
      </c>
      <c r="AA59" s="74" t="e">
        <f>VLOOKUP(A59,Enforcements!$C$3:$J$41,3,0)</f>
        <v>#N/A</v>
      </c>
    </row>
    <row r="60" spans="1:27" s="2" customFormat="1" x14ac:dyDescent="0.25">
      <c r="A60" s="60" t="s">
        <v>316</v>
      </c>
      <c r="B60" s="60">
        <v>4009</v>
      </c>
      <c r="C60" s="60" t="s">
        <v>62</v>
      </c>
      <c r="D60" s="60" t="s">
        <v>485</v>
      </c>
      <c r="E60" s="30">
        <v>42533.442673611113</v>
      </c>
      <c r="F60" s="30">
        <v>42533.447569444441</v>
      </c>
      <c r="G60" s="38">
        <v>7</v>
      </c>
      <c r="H60" s="30" t="s">
        <v>486</v>
      </c>
      <c r="I60" s="30">
        <v>42533.474756944444</v>
      </c>
      <c r="J60" s="60">
        <v>2</v>
      </c>
      <c r="K60" s="60" t="str">
        <f t="shared" si="15"/>
        <v>4009/4010</v>
      </c>
      <c r="L60" s="60" t="str">
        <f>VLOOKUP(A60,'Trips&amp;Operators'!$C$1:$E$9999,3,FALSE)</f>
        <v>MAYBERRY</v>
      </c>
      <c r="M60" s="12">
        <f t="shared" si="16"/>
        <v>2.718750000349246E-2</v>
      </c>
      <c r="N60" s="13">
        <f t="shared" si="26"/>
        <v>39.150000005029142</v>
      </c>
      <c r="O60" s="13"/>
      <c r="P60" s="13"/>
      <c r="Q60" s="61"/>
      <c r="R60" s="61"/>
      <c r="T60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10:36:27-0600',mode:absolute,to:'2016-06-12 11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0" s="73" t="str">
        <f t="shared" si="18"/>
        <v>N</v>
      </c>
      <c r="V60" s="73">
        <f t="shared" si="4"/>
        <v>1</v>
      </c>
      <c r="W60" s="73">
        <f t="shared" si="19"/>
        <v>4.3099999999999999E-2</v>
      </c>
      <c r="X60" s="73">
        <f t="shared" si="20"/>
        <v>23.328900000000001</v>
      </c>
      <c r="Y60" s="73">
        <f t="shared" si="21"/>
        <v>23.285800000000002</v>
      </c>
      <c r="Z60" s="74">
        <f>VLOOKUP(A60,Enforcements!$C$3:$J$41,8,0)</f>
        <v>5439</v>
      </c>
      <c r="AA60" s="74"/>
    </row>
    <row r="61" spans="1:27" s="2" customFormat="1" x14ac:dyDescent="0.25">
      <c r="A61" s="60" t="s">
        <v>319</v>
      </c>
      <c r="B61" s="60">
        <v>4010</v>
      </c>
      <c r="C61" s="60" t="s">
        <v>62</v>
      </c>
      <c r="D61" s="60" t="s">
        <v>97</v>
      </c>
      <c r="E61" s="30">
        <v>42533.484594907408</v>
      </c>
      <c r="F61" s="30">
        <v>42533.485821759263</v>
      </c>
      <c r="G61" s="38">
        <v>1</v>
      </c>
      <c r="H61" s="30" t="s">
        <v>277</v>
      </c>
      <c r="I61" s="30">
        <v>42533.518865740742</v>
      </c>
      <c r="J61" s="60">
        <v>1</v>
      </c>
      <c r="K61" s="60" t="str">
        <f t="shared" si="15"/>
        <v>4009/4010</v>
      </c>
      <c r="L61" s="60" t="str">
        <f>VLOOKUP(A61,'Trips&amp;Operators'!$C$1:$E$9999,3,FALSE)</f>
        <v>MAYBERRY</v>
      </c>
      <c r="M61" s="12">
        <f t="shared" si="16"/>
        <v>3.3043981478840578E-2</v>
      </c>
      <c r="N61" s="13">
        <f t="shared" si="26"/>
        <v>47.583333329530433</v>
      </c>
      <c r="O61" s="13"/>
      <c r="P61" s="13"/>
      <c r="Q61" s="61"/>
      <c r="R61" s="61"/>
      <c r="T61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11:36:49-0600',mode:absolute,to:'2016-06-12 12:28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1" s="73" t="str">
        <f t="shared" si="18"/>
        <v>N</v>
      </c>
      <c r="V61" s="73">
        <f t="shared" si="4"/>
        <v>1</v>
      </c>
      <c r="W61" s="73">
        <f t="shared" si="19"/>
        <v>23.2973</v>
      </c>
      <c r="X61" s="73">
        <f t="shared" si="20"/>
        <v>1.61E-2</v>
      </c>
      <c r="Y61" s="73">
        <f t="shared" si="21"/>
        <v>23.281199999999998</v>
      </c>
      <c r="Z61" s="74">
        <f>VLOOKUP(A61,Enforcements!$C$3:$J$41,8,0)</f>
        <v>1</v>
      </c>
      <c r="AA61" s="74" t="str">
        <f>VLOOKUP(A61,Enforcements!$C$3:$J$41,3,0)</f>
        <v>TRACK WARRANT AUTHORITY</v>
      </c>
    </row>
    <row r="62" spans="1:27" s="2" customFormat="1" x14ac:dyDescent="0.25">
      <c r="A62" s="60" t="s">
        <v>436</v>
      </c>
      <c r="B62" s="60">
        <v>4029</v>
      </c>
      <c r="C62" s="60" t="s">
        <v>62</v>
      </c>
      <c r="D62" s="60" t="s">
        <v>86</v>
      </c>
      <c r="E62" s="30">
        <v>42533.456296296295</v>
      </c>
      <c r="F62" s="30">
        <v>42533.457766203705</v>
      </c>
      <c r="G62" s="38">
        <v>2</v>
      </c>
      <c r="H62" s="30" t="s">
        <v>487</v>
      </c>
      <c r="I62" s="30">
        <v>42533.468900462962</v>
      </c>
      <c r="J62" s="60">
        <v>0</v>
      </c>
      <c r="K62" s="60" t="str">
        <f t="shared" si="15"/>
        <v>4029/4030</v>
      </c>
      <c r="L62" s="60" t="str">
        <f>VLOOKUP(A62,'Trips&amp;Operators'!$C$1:$E$9999,3,FALSE)</f>
        <v>YANAI</v>
      </c>
      <c r="M62" s="12">
        <f t="shared" si="16"/>
        <v>1.113425925723277E-2</v>
      </c>
      <c r="N62" s="13"/>
      <c r="O62" s="13"/>
      <c r="P62" s="13">
        <f>24*60*SUM($M62:$M62)</f>
        <v>16.033333330415189</v>
      </c>
      <c r="Q62" s="61"/>
      <c r="R62" s="61" t="s">
        <v>535</v>
      </c>
      <c r="T62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10:56:04-0600',mode:absolute,to:'2016-06-12 11:16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2" s="73" t="str">
        <f t="shared" si="18"/>
        <v>Y</v>
      </c>
      <c r="V62" s="73">
        <f t="shared" si="4"/>
        <v>1</v>
      </c>
      <c r="W62" s="73">
        <f t="shared" si="19"/>
        <v>4.6199999999999998E-2</v>
      </c>
      <c r="X62" s="73">
        <f t="shared" si="20"/>
        <v>6.2324000000000002</v>
      </c>
      <c r="Y62" s="73">
        <f t="shared" si="21"/>
        <v>6.1862000000000004</v>
      </c>
      <c r="Z62" s="74" t="e">
        <f>VLOOKUP(A62,Enforcements!$C$3:$J$41,8,0)</f>
        <v>#N/A</v>
      </c>
      <c r="AA62" s="74" t="e">
        <f>VLOOKUP(A62,Enforcements!$C$3:$J$41,3,0)</f>
        <v>#N/A</v>
      </c>
    </row>
    <row r="63" spans="1:27" s="2" customFormat="1" x14ac:dyDescent="0.25">
      <c r="A63" s="60" t="s">
        <v>372</v>
      </c>
      <c r="B63" s="60">
        <v>4030</v>
      </c>
      <c r="C63" s="60"/>
      <c r="D63" s="60"/>
      <c r="E63" s="30"/>
      <c r="F63" s="30">
        <v>42533.50508101852</v>
      </c>
      <c r="G63" s="38"/>
      <c r="H63" s="30"/>
      <c r="I63" s="30">
        <v>42533.505833333336</v>
      </c>
      <c r="J63" s="60"/>
      <c r="K63" s="60" t="str">
        <f t="shared" si="15"/>
        <v>4029/4030</v>
      </c>
      <c r="L63" s="60" t="str">
        <f>VLOOKUP(A63,'Trips&amp;Operators'!$C$1:$E$9999,3,FALSE)</f>
        <v>YANAI</v>
      </c>
      <c r="M63" s="12">
        <f t="shared" si="16"/>
        <v>7.5231481605442241E-4</v>
      </c>
      <c r="N63" s="13"/>
      <c r="O63" s="13"/>
      <c r="P63" s="13">
        <f>24*60*SUM($M63:$M63)</f>
        <v>1.0833333351183683</v>
      </c>
      <c r="Q63" s="61"/>
      <c r="R63" s="61" t="s">
        <v>536</v>
      </c>
      <c r="T63" s="73" t="e">
        <f t="shared" ref="T63" si="27"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#VALUE!</v>
      </c>
      <c r="U63" s="73" t="e">
        <f t="shared" ref="U63" si="28">IF(Y63&lt;23,"Y","N")</f>
        <v>#VALUE!</v>
      </c>
      <c r="V63" s="73">
        <f t="shared" si="4"/>
        <v>1</v>
      </c>
      <c r="W63" s="73" t="e">
        <f t="shared" ref="W63" si="29">RIGHT(D63,LEN(D63)-4)/10000</f>
        <v>#VALUE!</v>
      </c>
      <c r="X63" s="73" t="e">
        <f t="shared" ref="X63" si="30">RIGHT(H63,LEN(H63)-4)/10000</f>
        <v>#VALUE!</v>
      </c>
      <c r="Y63" s="73" t="e">
        <f t="shared" ref="Y63" si="31">ABS(X63-W63)</f>
        <v>#VALUE!</v>
      </c>
      <c r="Z63" s="74" t="e">
        <f>VLOOKUP(A63,Enforcements!$C$3:$J$41,8,0)</f>
        <v>#N/A</v>
      </c>
      <c r="AA63" s="74" t="e">
        <f>VLOOKUP(A63,Enforcements!$C$3:$J$41,3,0)</f>
        <v>#N/A</v>
      </c>
    </row>
    <row r="64" spans="1:27" s="2" customFormat="1" x14ac:dyDescent="0.25">
      <c r="A64" s="60" t="s">
        <v>392</v>
      </c>
      <c r="B64" s="60">
        <v>4020</v>
      </c>
      <c r="C64" s="60" t="s">
        <v>62</v>
      </c>
      <c r="D64" s="60" t="s">
        <v>65</v>
      </c>
      <c r="E64" s="30">
        <v>42533.468229166669</v>
      </c>
      <c r="F64" s="30">
        <v>42533.46912037037</v>
      </c>
      <c r="G64" s="38">
        <v>1</v>
      </c>
      <c r="H64" s="30" t="s">
        <v>461</v>
      </c>
      <c r="I64" s="30">
        <v>42533.507754629631</v>
      </c>
      <c r="J64" s="60">
        <v>0</v>
      </c>
      <c r="K64" s="60" t="str">
        <f t="shared" si="15"/>
        <v>4019/4020</v>
      </c>
      <c r="L64" s="60" t="str">
        <f>VLOOKUP(A64,'Trips&amp;Operators'!$C$1:$E$9999,3,FALSE)</f>
        <v>RIVERA</v>
      </c>
      <c r="M64" s="12">
        <f t="shared" si="16"/>
        <v>3.8634259261016268E-2</v>
      </c>
      <c r="N64" s="13">
        <f>24*60*SUM($M64:$M64)</f>
        <v>55.633333335863426</v>
      </c>
      <c r="O64" s="13"/>
      <c r="P64" s="13"/>
      <c r="Q64" s="61"/>
      <c r="R64" s="61"/>
      <c r="T64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11:13:15-0600',mode:absolute,to:'2016-06-12 12:12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3" t="str">
        <f t="shared" si="18"/>
        <v>N</v>
      </c>
      <c r="V64" s="73">
        <f t="shared" si="4"/>
        <v>1</v>
      </c>
      <c r="W64" s="73">
        <f t="shared" si="19"/>
        <v>4.5100000000000001E-2</v>
      </c>
      <c r="X64" s="73">
        <f t="shared" si="20"/>
        <v>23.328800000000001</v>
      </c>
      <c r="Y64" s="73">
        <f t="shared" si="21"/>
        <v>23.2837</v>
      </c>
      <c r="Z64" s="74" t="e">
        <f>VLOOKUP(A64,Enforcements!$C$3:$J$41,8,0)</f>
        <v>#N/A</v>
      </c>
      <c r="AA64" s="74" t="e">
        <f>VLOOKUP(A64,Enforcements!$C$3:$J$41,3,0)</f>
        <v>#N/A</v>
      </c>
    </row>
    <row r="65" spans="1:27" s="2" customFormat="1" x14ac:dyDescent="0.25">
      <c r="A65" s="60" t="s">
        <v>437</v>
      </c>
      <c r="B65" s="60">
        <v>4019</v>
      </c>
      <c r="C65" s="60" t="s">
        <v>62</v>
      </c>
      <c r="D65" s="60" t="s">
        <v>293</v>
      </c>
      <c r="E65" s="30">
        <v>42533.509236111109</v>
      </c>
      <c r="F65" s="30">
        <v>42533.510358796295</v>
      </c>
      <c r="G65" s="38">
        <v>1</v>
      </c>
      <c r="H65" s="30" t="s">
        <v>121</v>
      </c>
      <c r="I65" s="30">
        <v>42533.54005787037</v>
      </c>
      <c r="J65" s="60">
        <v>0</v>
      </c>
      <c r="K65" s="60" t="str">
        <f t="shared" si="15"/>
        <v>4019/4020</v>
      </c>
      <c r="L65" s="60" t="str">
        <f>VLOOKUP(A65,'Trips&amp;Operators'!$C$1:$E$9999,3,FALSE)</f>
        <v>RIVERA</v>
      </c>
      <c r="M65" s="12">
        <f t="shared" si="16"/>
        <v>2.9699074075324461E-2</v>
      </c>
      <c r="N65" s="13">
        <f>24*60*SUM($M65:$M65)</f>
        <v>42.766666668467224</v>
      </c>
      <c r="O65" s="13"/>
      <c r="P65" s="13"/>
      <c r="Q65" s="61"/>
      <c r="R65" s="61"/>
      <c r="T65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12:12:18-0600',mode:absolute,to:'2016-06-12 12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3" t="str">
        <f t="shared" si="18"/>
        <v>N</v>
      </c>
      <c r="V65" s="73">
        <f t="shared" si="4"/>
        <v>1</v>
      </c>
      <c r="W65" s="73">
        <f t="shared" si="19"/>
        <v>23.296900000000001</v>
      </c>
      <c r="X65" s="73">
        <f t="shared" si="20"/>
        <v>1.32E-2</v>
      </c>
      <c r="Y65" s="73">
        <f t="shared" si="21"/>
        <v>23.2837</v>
      </c>
      <c r="Z65" s="74" t="e">
        <f>VLOOKUP(A65,Enforcements!$C$3:$J$41,8,0)</f>
        <v>#N/A</v>
      </c>
      <c r="AA65" s="74" t="e">
        <f>VLOOKUP(A65,Enforcements!$C$3:$J$41,3,0)</f>
        <v>#N/A</v>
      </c>
    </row>
    <row r="66" spans="1:27" s="2" customFormat="1" x14ac:dyDescent="0.25">
      <c r="A66" s="60" t="s">
        <v>317</v>
      </c>
      <c r="B66" s="60">
        <v>4018</v>
      </c>
      <c r="C66" s="60" t="s">
        <v>62</v>
      </c>
      <c r="D66" s="60" t="s">
        <v>64</v>
      </c>
      <c r="E66" s="30">
        <v>42533.474664351852</v>
      </c>
      <c r="F66" s="30">
        <v>42533.475949074076</v>
      </c>
      <c r="G66" s="38">
        <v>1</v>
      </c>
      <c r="H66" s="30" t="s">
        <v>82</v>
      </c>
      <c r="I66" s="30">
        <v>42533.515590277777</v>
      </c>
      <c r="J66" s="60">
        <v>1</v>
      </c>
      <c r="K66" s="60" t="str">
        <f t="shared" si="15"/>
        <v>4017/4018</v>
      </c>
      <c r="L66" s="60" t="str">
        <f>VLOOKUP(A66,'Trips&amp;Operators'!$C$1:$E$9999,3,FALSE)</f>
        <v>HELVIE</v>
      </c>
      <c r="M66" s="12">
        <f t="shared" si="16"/>
        <v>3.9641203700739425E-2</v>
      </c>
      <c r="N66" s="13">
        <f>24*60*SUM($M66:$M66)</f>
        <v>57.083333329064772</v>
      </c>
      <c r="O66" s="13"/>
      <c r="P66" s="13"/>
      <c r="Q66" s="61"/>
      <c r="R66" s="61"/>
      <c r="T66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11:22:31-0600',mode:absolute,to:'2016-06-12 12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6" s="73" t="str">
        <f t="shared" si="18"/>
        <v>N</v>
      </c>
      <c r="V66" s="73">
        <f t="shared" si="4"/>
        <v>1</v>
      </c>
      <c r="W66" s="73">
        <f t="shared" si="19"/>
        <v>4.5499999999999999E-2</v>
      </c>
      <c r="X66" s="73">
        <f t="shared" si="20"/>
        <v>23.331399999999999</v>
      </c>
      <c r="Y66" s="73">
        <f t="shared" si="21"/>
        <v>23.285899999999998</v>
      </c>
      <c r="Z66" s="74">
        <f>VLOOKUP(A66,Enforcements!$C$3:$J$41,8,0)</f>
        <v>233491</v>
      </c>
      <c r="AA66" s="74"/>
    </row>
    <row r="67" spans="1:27" s="2" customFormat="1" x14ac:dyDescent="0.25">
      <c r="A67" s="60" t="s">
        <v>371</v>
      </c>
      <c r="B67" s="60">
        <v>4017</v>
      </c>
      <c r="C67" s="60" t="s">
        <v>62</v>
      </c>
      <c r="D67" s="60" t="s">
        <v>113</v>
      </c>
      <c r="E67" s="30">
        <v>42533.517407407409</v>
      </c>
      <c r="F67" s="30">
        <v>42533.518379629626</v>
      </c>
      <c r="G67" s="38">
        <v>1</v>
      </c>
      <c r="H67" s="30" t="s">
        <v>96</v>
      </c>
      <c r="I67" s="30">
        <v>42533.546979166669</v>
      </c>
      <c r="J67" s="60">
        <v>0</v>
      </c>
      <c r="K67" s="60" t="str">
        <f t="shared" ref="K67:K95" si="32">IF(ISEVEN(B67),(B67-1)&amp;"/"&amp;B67,B67&amp;"/"&amp;(B67+1))</f>
        <v>4017/4018</v>
      </c>
      <c r="L67" s="60" t="str">
        <f>VLOOKUP(A67,'Trips&amp;Operators'!$C$1:$E$9999,3,FALSE)</f>
        <v>HELVIE</v>
      </c>
      <c r="M67" s="12">
        <f t="shared" ref="M67:M95" si="33">I67-F67</f>
        <v>2.8599537043191958E-2</v>
      </c>
      <c r="N67" s="13">
        <f>24*60*SUM($M67:$M67)</f>
        <v>41.18333334219642</v>
      </c>
      <c r="O67" s="13"/>
      <c r="P67" s="13"/>
      <c r="Q67" s="61"/>
      <c r="R67" s="61"/>
      <c r="T67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12:24:04-0600',mode:absolute,to:'2016-06-12 13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7" s="73" t="str">
        <f t="shared" si="18"/>
        <v>N</v>
      </c>
      <c r="V67" s="73">
        <f t="shared" si="4"/>
        <v>1</v>
      </c>
      <c r="W67" s="73">
        <f t="shared" si="19"/>
        <v>23.298300000000001</v>
      </c>
      <c r="X67" s="73">
        <f t="shared" si="20"/>
        <v>1.38E-2</v>
      </c>
      <c r="Y67" s="73">
        <f t="shared" si="21"/>
        <v>23.284500000000001</v>
      </c>
      <c r="Z67" s="74" t="e">
        <f>VLOOKUP(A67,Enforcements!$C$3:$J$41,8,0)</f>
        <v>#N/A</v>
      </c>
      <c r="AA67" s="74" t="e">
        <f>VLOOKUP(A67,Enforcements!$C$3:$J$41,3,0)</f>
        <v>#N/A</v>
      </c>
    </row>
    <row r="68" spans="1:27" s="2" customFormat="1" x14ac:dyDescent="0.25">
      <c r="A68" s="60" t="s">
        <v>320</v>
      </c>
      <c r="B68" s="60">
        <v>4011</v>
      </c>
      <c r="C68" s="60" t="s">
        <v>62</v>
      </c>
      <c r="D68" s="60" t="s">
        <v>488</v>
      </c>
      <c r="E68" s="30">
        <v>42533.499074074076</v>
      </c>
      <c r="F68" s="30">
        <v>42533.500393518516</v>
      </c>
      <c r="G68" s="38">
        <v>1</v>
      </c>
      <c r="H68" s="30" t="s">
        <v>283</v>
      </c>
      <c r="I68" s="30">
        <v>42533.52548611111</v>
      </c>
      <c r="J68" s="60">
        <v>1</v>
      </c>
      <c r="K68" s="60" t="str">
        <f t="shared" si="32"/>
        <v>4011/4012</v>
      </c>
      <c r="L68" s="60" t="str">
        <f>VLOOKUP(A68,'Trips&amp;Operators'!$C$1:$E$9999,3,FALSE)</f>
        <v>COOLAHAN</v>
      </c>
      <c r="M68" s="12">
        <f t="shared" si="33"/>
        <v>2.5092592593864538E-2</v>
      </c>
      <c r="N68" s="13"/>
      <c r="O68" s="13"/>
      <c r="P68" s="13">
        <f>24*60*SUM($M68:$M68)</f>
        <v>36.133333335164934</v>
      </c>
      <c r="Q68" s="61"/>
      <c r="R68" s="61" t="s">
        <v>536</v>
      </c>
      <c r="T68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11:57:40-0600',mode:absolute,to:'2016-06-12 12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8" s="73" t="str">
        <f t="shared" si="18"/>
        <v>Y</v>
      </c>
      <c r="V68" s="73">
        <f t="shared" si="4"/>
        <v>1</v>
      </c>
      <c r="W68" s="73">
        <f t="shared" si="19"/>
        <v>1.9117</v>
      </c>
      <c r="X68" s="73">
        <f t="shared" si="20"/>
        <v>23.328399999999998</v>
      </c>
      <c r="Y68" s="73">
        <f t="shared" si="21"/>
        <v>21.416699999999999</v>
      </c>
      <c r="Z68" s="74">
        <f>VLOOKUP(A68,Enforcements!$C$3:$J$41,8,0)</f>
        <v>222090</v>
      </c>
      <c r="AA68" s="74" t="str">
        <f>VLOOKUP(A68,Enforcements!$C$3:$J$41,3,0)</f>
        <v>PERMANENT SPEED RESTRICTION</v>
      </c>
    </row>
    <row r="69" spans="1:27" s="2" customFormat="1" x14ac:dyDescent="0.25">
      <c r="A69" s="60" t="s">
        <v>323</v>
      </c>
      <c r="B69" s="60">
        <v>4012</v>
      </c>
      <c r="C69" s="60" t="s">
        <v>62</v>
      </c>
      <c r="D69" s="60" t="s">
        <v>293</v>
      </c>
      <c r="E69" s="30">
        <v>42533.528611111113</v>
      </c>
      <c r="F69" s="30">
        <v>42533.531921296293</v>
      </c>
      <c r="G69" s="38">
        <v>4</v>
      </c>
      <c r="H69" s="30" t="s">
        <v>489</v>
      </c>
      <c r="I69" s="30">
        <v>42533.557824074072</v>
      </c>
      <c r="J69" s="60">
        <v>1</v>
      </c>
      <c r="K69" s="60" t="str">
        <f t="shared" si="32"/>
        <v>4011/4012</v>
      </c>
      <c r="L69" s="60" t="str">
        <f>VLOOKUP(A69,'Trips&amp;Operators'!$C$1:$E$9999,3,FALSE)</f>
        <v>COOLAHAN</v>
      </c>
      <c r="M69" s="12">
        <f t="shared" si="33"/>
        <v>2.5902777779265307E-2</v>
      </c>
      <c r="N69" s="13"/>
      <c r="O69" s="13"/>
      <c r="P69" s="13">
        <f>24*60*SUM($M69:$M69)</f>
        <v>37.300000002142042</v>
      </c>
      <c r="Q69" s="61"/>
      <c r="R69" s="61" t="s">
        <v>545</v>
      </c>
      <c r="T69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12:40:12-0600',mode:absolute,to:'2016-06-12 13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9" s="73" t="str">
        <f t="shared" si="18"/>
        <v>Y</v>
      </c>
      <c r="V69" s="73">
        <f t="shared" ref="V69:V132" si="34">VALUE(LEFT(A69,3))-VALUE(LEFT(A68,3))</f>
        <v>1</v>
      </c>
      <c r="W69" s="73">
        <f t="shared" si="19"/>
        <v>23.296900000000001</v>
      </c>
      <c r="X69" s="73">
        <f t="shared" si="20"/>
        <v>6.4173999999999998</v>
      </c>
      <c r="Y69" s="73">
        <f t="shared" si="21"/>
        <v>16.8795</v>
      </c>
      <c r="Z69" s="74">
        <f>VLOOKUP(A69,Enforcements!$C$3:$J$41,8,0)</f>
        <v>127587</v>
      </c>
      <c r="AA69" s="74" t="str">
        <f>VLOOKUP(A69,Enforcements!$C$3:$J$41,3,0)</f>
        <v>SIGNAL</v>
      </c>
    </row>
    <row r="70" spans="1:27" s="2" customFormat="1" x14ac:dyDescent="0.25">
      <c r="A70" s="60" t="s">
        <v>321</v>
      </c>
      <c r="B70" s="60">
        <v>4016</v>
      </c>
      <c r="C70" s="60" t="s">
        <v>62</v>
      </c>
      <c r="D70" s="60" t="s">
        <v>278</v>
      </c>
      <c r="E70" s="30">
        <v>42533.501909722225</v>
      </c>
      <c r="F70" s="30">
        <v>42533.502685185187</v>
      </c>
      <c r="G70" s="38">
        <v>1</v>
      </c>
      <c r="H70" s="30" t="s">
        <v>490</v>
      </c>
      <c r="I70" s="30">
        <v>42533.532939814817</v>
      </c>
      <c r="J70" s="60">
        <v>0</v>
      </c>
      <c r="K70" s="60" t="str">
        <f t="shared" si="32"/>
        <v>4015/4016</v>
      </c>
      <c r="L70" s="60" t="str">
        <f>VLOOKUP(A70,'Trips&amp;Operators'!$C$1:$E$9999,3,FALSE)</f>
        <v>LOCKLEAR</v>
      </c>
      <c r="M70" s="12">
        <f t="shared" si="33"/>
        <v>3.0254629629780538E-2</v>
      </c>
      <c r="N70" s="13">
        <f t="shared" ref="N70:N76" si="35">24*60*SUM($M70:$M70)</f>
        <v>43.566666666883975</v>
      </c>
      <c r="O70" s="13"/>
      <c r="P70" s="13"/>
      <c r="Q70" s="61"/>
      <c r="R70" s="61"/>
      <c r="T70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12:01:45-0600',mode:absolute,to:'2016-06-12 12:48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3" t="str">
        <f t="shared" si="18"/>
        <v>N</v>
      </c>
      <c r="V70" s="73">
        <f t="shared" si="34"/>
        <v>1</v>
      </c>
      <c r="W70" s="73">
        <f t="shared" si="19"/>
        <v>4.82E-2</v>
      </c>
      <c r="X70" s="73">
        <f t="shared" si="20"/>
        <v>23.345300000000002</v>
      </c>
      <c r="Y70" s="73">
        <f t="shared" si="21"/>
        <v>23.2971</v>
      </c>
      <c r="Z70" s="74">
        <f>VLOOKUP(A70,Enforcements!$C$3:$J$41,8,0)</f>
        <v>233491</v>
      </c>
      <c r="AA70" s="74" t="str">
        <f>VLOOKUP(A70,Enforcements!$C$3:$J$41,3,0)</f>
        <v>TRACK WARRANT AUTHORITY</v>
      </c>
    </row>
    <row r="71" spans="1:27" s="2" customFormat="1" x14ac:dyDescent="0.25">
      <c r="A71" s="60" t="s">
        <v>370</v>
      </c>
      <c r="B71" s="60">
        <v>4015</v>
      </c>
      <c r="C71" s="60" t="s">
        <v>62</v>
      </c>
      <c r="D71" s="60" t="s">
        <v>491</v>
      </c>
      <c r="E71" s="30">
        <v>42533.536446759259</v>
      </c>
      <c r="F71" s="30">
        <v>42533.537511574075</v>
      </c>
      <c r="G71" s="38">
        <v>1</v>
      </c>
      <c r="H71" s="30" t="s">
        <v>92</v>
      </c>
      <c r="I71" s="30">
        <v>42533.575520833336</v>
      </c>
      <c r="J71" s="60">
        <v>0</v>
      </c>
      <c r="K71" s="60" t="str">
        <f t="shared" si="32"/>
        <v>4015/4016</v>
      </c>
      <c r="L71" s="60" t="str">
        <f>VLOOKUP(A71,'Trips&amp;Operators'!$C$1:$E$9999,3,FALSE)</f>
        <v>LOCKLEAR</v>
      </c>
      <c r="M71" s="12">
        <f t="shared" si="33"/>
        <v>3.8009259260434192E-2</v>
      </c>
      <c r="N71" s="13">
        <f t="shared" si="35"/>
        <v>54.733333335025236</v>
      </c>
      <c r="O71" s="13"/>
      <c r="P71" s="13"/>
      <c r="Q71" s="61"/>
      <c r="R71" s="61"/>
      <c r="T71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12:51:29-0600',mode:absolute,to:'2016-06-12 13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3" t="str">
        <f t="shared" si="18"/>
        <v>N</v>
      </c>
      <c r="V71" s="73">
        <f t="shared" si="34"/>
        <v>1</v>
      </c>
      <c r="W71" s="73">
        <f t="shared" si="19"/>
        <v>23.314</v>
      </c>
      <c r="X71" s="73">
        <f t="shared" si="20"/>
        <v>1.5599999999999999E-2</v>
      </c>
      <c r="Y71" s="73">
        <f t="shared" si="21"/>
        <v>23.298400000000001</v>
      </c>
      <c r="Z71" s="74" t="e">
        <f>VLOOKUP(A71,Enforcements!$C$3:$J$41,8,0)</f>
        <v>#N/A</v>
      </c>
      <c r="AA71" s="74" t="e">
        <f>VLOOKUP(A71,Enforcements!$C$3:$J$41,3,0)</f>
        <v>#N/A</v>
      </c>
    </row>
    <row r="72" spans="1:27" s="2" customFormat="1" x14ac:dyDescent="0.25">
      <c r="A72" s="60" t="s">
        <v>358</v>
      </c>
      <c r="B72" s="60">
        <v>4044</v>
      </c>
      <c r="C72" s="60" t="s">
        <v>62</v>
      </c>
      <c r="D72" s="60" t="s">
        <v>88</v>
      </c>
      <c r="E72" s="30">
        <v>42533.507928240739</v>
      </c>
      <c r="F72" s="30">
        <v>42533.509062500001</v>
      </c>
      <c r="G72" s="38">
        <v>1</v>
      </c>
      <c r="H72" s="30" t="s">
        <v>102</v>
      </c>
      <c r="I72" s="30">
        <v>42533.540208333332</v>
      </c>
      <c r="J72" s="60">
        <v>0</v>
      </c>
      <c r="K72" s="60" t="str">
        <f t="shared" si="32"/>
        <v>4043/4044</v>
      </c>
      <c r="L72" s="60" t="str">
        <f>VLOOKUP(A72,'Trips&amp;Operators'!$C$1:$E$9999,3,FALSE)</f>
        <v>ACKERMAN</v>
      </c>
      <c r="M72" s="12">
        <f t="shared" si="33"/>
        <v>3.1145833330811001E-2</v>
      </c>
      <c r="N72" s="13">
        <f t="shared" si="35"/>
        <v>44.849999996367842</v>
      </c>
      <c r="O72" s="13"/>
      <c r="P72" s="13"/>
      <c r="Q72" s="61"/>
      <c r="R72" s="61"/>
      <c r="T72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12:10:25-0600',mode:absolute,to:'2016-06-12 12:58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2" s="73" t="str">
        <f t="shared" si="18"/>
        <v>N</v>
      </c>
      <c r="V72" s="73">
        <f t="shared" si="34"/>
        <v>1</v>
      </c>
      <c r="W72" s="73">
        <f t="shared" si="19"/>
        <v>4.5699999999999998E-2</v>
      </c>
      <c r="X72" s="73">
        <f t="shared" si="20"/>
        <v>23.331099999999999</v>
      </c>
      <c r="Y72" s="73">
        <f t="shared" si="21"/>
        <v>23.285399999999999</v>
      </c>
      <c r="Z72" s="74" t="e">
        <f>VLOOKUP(A72,Enforcements!$C$3:$J$41,8,0)</f>
        <v>#N/A</v>
      </c>
      <c r="AA72" s="74" t="e">
        <f>VLOOKUP(A72,Enforcements!$C$3:$J$41,3,0)</f>
        <v>#N/A</v>
      </c>
    </row>
    <row r="73" spans="1:27" s="2" customFormat="1" x14ac:dyDescent="0.25">
      <c r="A73" s="60" t="s">
        <v>399</v>
      </c>
      <c r="B73" s="60">
        <v>4043</v>
      </c>
      <c r="C73" s="60" t="s">
        <v>62</v>
      </c>
      <c r="D73" s="60" t="s">
        <v>101</v>
      </c>
      <c r="E73" s="30">
        <v>42533.544918981483</v>
      </c>
      <c r="F73" s="30">
        <v>42533.545949074076</v>
      </c>
      <c r="G73" s="38">
        <v>1</v>
      </c>
      <c r="H73" s="30" t="s">
        <v>90</v>
      </c>
      <c r="I73" s="30">
        <v>42533.579513888886</v>
      </c>
      <c r="J73" s="60">
        <v>0</v>
      </c>
      <c r="K73" s="60" t="str">
        <f t="shared" si="32"/>
        <v>4043/4044</v>
      </c>
      <c r="L73" s="60" t="str">
        <f>VLOOKUP(A73,'Trips&amp;Operators'!$C$1:$E$9999,3,FALSE)</f>
        <v>ACKERMAN</v>
      </c>
      <c r="M73" s="12">
        <f t="shared" si="33"/>
        <v>3.3564814810233656E-2</v>
      </c>
      <c r="N73" s="13">
        <f t="shared" si="35"/>
        <v>48.333333326736465</v>
      </c>
      <c r="O73" s="13"/>
      <c r="P73" s="13"/>
      <c r="Q73" s="61"/>
      <c r="R73" s="61"/>
      <c r="T73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13:03:41-0600',mode:absolute,to:'2016-06-12 13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3" s="73" t="str">
        <f t="shared" si="18"/>
        <v>N</v>
      </c>
      <c r="V73" s="73">
        <f t="shared" si="34"/>
        <v>1</v>
      </c>
      <c r="W73" s="73">
        <f t="shared" si="19"/>
        <v>23.297799999999999</v>
      </c>
      <c r="X73" s="73">
        <f t="shared" si="20"/>
        <v>1.3899999999999999E-2</v>
      </c>
      <c r="Y73" s="73">
        <f t="shared" si="21"/>
        <v>23.283899999999999</v>
      </c>
      <c r="Z73" s="74" t="e">
        <f>VLOOKUP(A73,Enforcements!$C$3:$J$41,8,0)</f>
        <v>#N/A</v>
      </c>
      <c r="AA73" s="74" t="e">
        <f>VLOOKUP(A73,Enforcements!$C$3:$J$41,3,0)</f>
        <v>#N/A</v>
      </c>
    </row>
    <row r="74" spans="1:27" s="2" customFormat="1" x14ac:dyDescent="0.25">
      <c r="A74" s="60" t="s">
        <v>398</v>
      </c>
      <c r="B74" s="60">
        <v>4024</v>
      </c>
      <c r="C74" s="60" t="s">
        <v>62</v>
      </c>
      <c r="D74" s="60" t="s">
        <v>99</v>
      </c>
      <c r="E74" s="30">
        <v>42533.51771990741</v>
      </c>
      <c r="F74" s="30">
        <v>42533.518726851849</v>
      </c>
      <c r="G74" s="38">
        <v>1</v>
      </c>
      <c r="H74" s="30" t="s">
        <v>291</v>
      </c>
      <c r="I74" s="30">
        <v>42533.553356481483</v>
      </c>
      <c r="J74" s="60">
        <v>0</v>
      </c>
      <c r="K74" s="60" t="str">
        <f t="shared" si="32"/>
        <v>4023/4024</v>
      </c>
      <c r="L74" s="60" t="str">
        <f>VLOOKUP(A74,'Trips&amp;Operators'!$C$1:$E$9999,3,FALSE)</f>
        <v>STEWART</v>
      </c>
      <c r="M74" s="12">
        <f t="shared" si="33"/>
        <v>3.4629629633855075E-2</v>
      </c>
      <c r="N74" s="13">
        <f t="shared" si="35"/>
        <v>49.866666672751307</v>
      </c>
      <c r="O74" s="13"/>
      <c r="P74" s="13"/>
      <c r="Q74" s="61"/>
      <c r="R74" s="61"/>
      <c r="T74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12:24:31-0600',mode:absolute,to:'2016-06-12 13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4" s="73" t="str">
        <f t="shared" si="18"/>
        <v>N</v>
      </c>
      <c r="V74" s="73">
        <f t="shared" si="34"/>
        <v>1</v>
      </c>
      <c r="W74" s="73">
        <f t="shared" si="19"/>
        <v>4.53E-2</v>
      </c>
      <c r="X74" s="73">
        <f t="shared" si="20"/>
        <v>23.329699999999999</v>
      </c>
      <c r="Y74" s="73">
        <f t="shared" si="21"/>
        <v>23.284399999999998</v>
      </c>
      <c r="Z74" s="74" t="e">
        <f>VLOOKUP(A74,Enforcements!$C$3:$J$41,8,0)</f>
        <v>#N/A</v>
      </c>
      <c r="AA74" s="74"/>
    </row>
    <row r="75" spans="1:27" s="2" customFormat="1" x14ac:dyDescent="0.25">
      <c r="A75" s="60" t="s">
        <v>420</v>
      </c>
      <c r="B75" s="60">
        <v>4023</v>
      </c>
      <c r="C75" s="60" t="s">
        <v>62</v>
      </c>
      <c r="D75" s="60" t="s">
        <v>289</v>
      </c>
      <c r="E75" s="30">
        <v>42533.556435185186</v>
      </c>
      <c r="F75" s="30">
        <v>42533.557962962965</v>
      </c>
      <c r="G75" s="38">
        <v>2</v>
      </c>
      <c r="H75" s="30" t="s">
        <v>66</v>
      </c>
      <c r="I75" s="30">
        <v>42533.58902777778</v>
      </c>
      <c r="J75" s="60">
        <v>0</v>
      </c>
      <c r="K75" s="60" t="str">
        <f t="shared" si="32"/>
        <v>4023/4024</v>
      </c>
      <c r="L75" s="60" t="str">
        <f>VLOOKUP(A75,'Trips&amp;Operators'!$C$1:$E$9999,3,FALSE)</f>
        <v>STEWART</v>
      </c>
      <c r="M75" s="12">
        <f t="shared" si="33"/>
        <v>3.1064814815181307E-2</v>
      </c>
      <c r="N75" s="13">
        <f t="shared" si="35"/>
        <v>44.733333333861083</v>
      </c>
      <c r="O75" s="13"/>
      <c r="P75" s="13"/>
      <c r="Q75" s="61"/>
      <c r="R75" s="61"/>
      <c r="T75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13:20:16-0600',mode:absolute,to:'2016-06-12 14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5" s="73" t="str">
        <f t="shared" si="18"/>
        <v>N</v>
      </c>
      <c r="V75" s="73">
        <f t="shared" si="34"/>
        <v>1</v>
      </c>
      <c r="W75" s="73">
        <f t="shared" si="19"/>
        <v>23.297899999999998</v>
      </c>
      <c r="X75" s="73">
        <f t="shared" si="20"/>
        <v>1.52E-2</v>
      </c>
      <c r="Y75" s="73">
        <f t="shared" si="21"/>
        <v>23.282699999999998</v>
      </c>
      <c r="Z75" s="74" t="e">
        <f>VLOOKUP(A75,Enforcements!$C$3:$J$41,8,0)</f>
        <v>#N/A</v>
      </c>
      <c r="AA75" s="74" t="e">
        <f>VLOOKUP(A75,Enforcements!$C$3:$J$41,3,0)</f>
        <v>#N/A</v>
      </c>
    </row>
    <row r="76" spans="1:27" s="2" customFormat="1" x14ac:dyDescent="0.25">
      <c r="A76" s="60" t="s">
        <v>322</v>
      </c>
      <c r="B76" s="60">
        <v>4009</v>
      </c>
      <c r="C76" s="60" t="s">
        <v>62</v>
      </c>
      <c r="D76" s="60" t="s">
        <v>78</v>
      </c>
      <c r="E76" s="30">
        <v>42533.522696759261</v>
      </c>
      <c r="F76" s="30">
        <v>42533.523680555554</v>
      </c>
      <c r="G76" s="38">
        <v>1</v>
      </c>
      <c r="H76" s="30" t="s">
        <v>492</v>
      </c>
      <c r="I76" s="30">
        <v>42533.558159722219</v>
      </c>
      <c r="J76" s="60">
        <v>2</v>
      </c>
      <c r="K76" s="60" t="str">
        <f t="shared" si="32"/>
        <v>4009/4010</v>
      </c>
      <c r="L76" s="60" t="str">
        <f>VLOOKUP(A76,'Trips&amp;Operators'!$C$1:$E$9999,3,FALSE)</f>
        <v>MAYBERRY</v>
      </c>
      <c r="M76" s="12">
        <f t="shared" si="33"/>
        <v>3.4479166664823424E-2</v>
      </c>
      <c r="N76" s="13">
        <f t="shared" si="35"/>
        <v>49.649999997345731</v>
      </c>
      <c r="O76" s="13"/>
      <c r="P76" s="13"/>
      <c r="Q76" s="61"/>
      <c r="R76" s="61"/>
      <c r="T76" s="73" t="str">
        <f t="shared" si="17"/>
        <v>https://search-rtdc-monitor-bjffxe2xuh6vdkpspy63sjmuny.us-east-1.es.amazonaws.com/_plugin/kibana/#/discover/Steve-Slow-Train-Analysis-(2080s-and-2083s)?_g=(refreshInterval:(display:Off,section:0,value:0),time:(from:'2016-06-12 12:31:41-0600',mode:absolute,to:'2016-06-12 13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6" s="73" t="str">
        <f t="shared" si="18"/>
        <v>N</v>
      </c>
      <c r="V76" s="73">
        <f t="shared" si="34"/>
        <v>1</v>
      </c>
      <c r="W76" s="73">
        <f t="shared" si="19"/>
        <v>4.5999999999999999E-2</v>
      </c>
      <c r="X76" s="73">
        <f t="shared" si="20"/>
        <v>23.324100000000001</v>
      </c>
      <c r="Y76" s="73">
        <f t="shared" si="21"/>
        <v>23.278100000000002</v>
      </c>
      <c r="Z76" s="74">
        <f>VLOOKUP(A76,Enforcements!$C$3:$J$41,8,0)</f>
        <v>63068</v>
      </c>
      <c r="AA76" s="74" t="str">
        <f>VLOOKUP(A76,Enforcements!$C$3:$J$41,3,0)</f>
        <v>GRADE CROSSING</v>
      </c>
    </row>
    <row r="77" spans="1:27" s="2" customFormat="1" x14ac:dyDescent="0.25">
      <c r="A77" s="60" t="s">
        <v>434</v>
      </c>
      <c r="B77" s="60">
        <v>4010</v>
      </c>
      <c r="C77" s="60" t="s">
        <v>62</v>
      </c>
      <c r="D77" s="60" t="s">
        <v>493</v>
      </c>
      <c r="E77" s="30">
        <v>42533.566388888888</v>
      </c>
      <c r="F77" s="30">
        <v>42533.56758101852</v>
      </c>
      <c r="G77" s="38">
        <v>1</v>
      </c>
      <c r="H77" s="30" t="s">
        <v>494</v>
      </c>
      <c r="I77" s="30">
        <v>42533.599421296298</v>
      </c>
      <c r="J77" s="60">
        <v>0</v>
      </c>
      <c r="K77" s="60" t="str">
        <f t="shared" si="32"/>
        <v>4009/4010</v>
      </c>
      <c r="L77" s="60" t="str">
        <f>VLOOKUP(A77,'Trips&amp;Operators'!$C$1:$E$9999,3,FALSE)</f>
        <v>MAYBERRY</v>
      </c>
      <c r="M77" s="12">
        <f t="shared" si="33"/>
        <v>3.1840277777519077E-2</v>
      </c>
      <c r="N77" s="13">
        <f t="shared" ref="N77:N82" si="36">24*60*SUM($M77:$M77)</f>
        <v>45.849999999627471</v>
      </c>
      <c r="O77" s="13"/>
      <c r="P77" s="13"/>
      <c r="Q77" s="61"/>
      <c r="R77" s="61"/>
      <c r="T77" s="73" t="str">
        <f t="shared" ref="T77:T110" si="37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https://search-rtdc-monitor-bjffxe2xuh6vdkpspy63sjmuny.us-east-1.es.amazonaws.com/_plugin/kibana/#/discover/Steve-Slow-Train-Analysis-(2080s-and-2083s)?_g=(refreshInterval:(display:Off,section:0,value:0),time:(from:'2016-06-12 13:34:36-0600',mode:absolute,to:'2016-06-12 14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7" s="73" t="str">
        <f t="shared" ref="U77:U110" si="38">IF(Y77&lt;23,"Y","N")</f>
        <v>N</v>
      </c>
      <c r="V77" s="73">
        <f t="shared" si="34"/>
        <v>1</v>
      </c>
      <c r="W77" s="73">
        <f t="shared" ref="W77:W110" si="39">RIGHT(D77,LEN(D77)-4)/10000</f>
        <v>23.2927</v>
      </c>
      <c r="X77" s="73">
        <v>1.52E-2</v>
      </c>
      <c r="Y77" s="73">
        <f t="shared" ref="Y77:Y110" si="40">ABS(X77-W77)</f>
        <v>23.2775</v>
      </c>
      <c r="Z77" s="74" t="e">
        <f>VLOOKUP(A77,Enforcements!$C$3:$J$41,8,0)</f>
        <v>#N/A</v>
      </c>
      <c r="AA77" s="74" t="e">
        <f>VLOOKUP(A77,Enforcements!$C$3:$J$41,3,0)</f>
        <v>#N/A</v>
      </c>
    </row>
    <row r="78" spans="1:27" s="2" customFormat="1" x14ac:dyDescent="0.25">
      <c r="A78" s="60" t="s">
        <v>407</v>
      </c>
      <c r="B78" s="60">
        <v>4030</v>
      </c>
      <c r="C78" s="60" t="s">
        <v>62</v>
      </c>
      <c r="D78" s="60" t="s">
        <v>107</v>
      </c>
      <c r="E78" s="30">
        <v>42533.571898148148</v>
      </c>
      <c r="F78" s="30">
        <v>42533.572835648149</v>
      </c>
      <c r="G78" s="38">
        <v>1</v>
      </c>
      <c r="H78" s="30" t="s">
        <v>75</v>
      </c>
      <c r="I78" s="30">
        <v>42533.607511574075</v>
      </c>
      <c r="J78" s="60">
        <v>0</v>
      </c>
      <c r="K78" s="60" t="str">
        <f t="shared" si="32"/>
        <v>4029/4030</v>
      </c>
      <c r="L78" s="60" t="str">
        <f>VLOOKUP(A78,'Trips&amp;Operators'!$C$1:$E$9999,3,FALSE)</f>
        <v>WEBSTER</v>
      </c>
      <c r="M78" s="12">
        <f t="shared" si="33"/>
        <v>3.4675925926421769E-2</v>
      </c>
      <c r="N78" s="13">
        <f t="shared" si="36"/>
        <v>49.933333334047347</v>
      </c>
      <c r="O78" s="13"/>
      <c r="P78" s="13"/>
      <c r="Q78" s="61"/>
      <c r="R78" s="61"/>
      <c r="T78" s="73" t="str">
        <f t="shared" ref="T78" si="41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https://search-rtdc-monitor-bjffxe2xuh6vdkpspy63sjmuny.us-east-1.es.amazonaws.com/_plugin/kibana/#/discover/Steve-Slow-Train-Analysis-(2080s-and-2083s)?_g=(refreshInterval:(display:Off,section:0,value:0),time:(from:'2016-06-12 13:42:32-0600',mode:absolute,to:'2016-06-12 14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8" s="73" t="str">
        <f t="shared" ref="U78" si="42">IF(Y78&lt;23,"Y","N")</f>
        <v>N</v>
      </c>
      <c r="V78" s="73">
        <f t="shared" si="34"/>
        <v>2</v>
      </c>
      <c r="W78" s="73">
        <f t="shared" ref="W78" si="43">RIGHT(D78,LEN(D78)-4)/10000</f>
        <v>23.2989</v>
      </c>
      <c r="X78" s="73">
        <f t="shared" ref="X78" si="44">RIGHT(H78,LEN(H78)-4)/10000</f>
        <v>1.5800000000000002E-2</v>
      </c>
      <c r="Y78" s="73">
        <f t="shared" ref="Y78" si="45">ABS(X78-W78)</f>
        <v>23.283100000000001</v>
      </c>
      <c r="Z78" s="74" t="e">
        <f>VLOOKUP(A78,Enforcements!$C$3:$J$41,8,0)</f>
        <v>#N/A</v>
      </c>
      <c r="AA78" s="74" t="e">
        <f>VLOOKUP(A78,Enforcements!$C$3:$J$41,3,0)</f>
        <v>#N/A</v>
      </c>
    </row>
    <row r="79" spans="1:27" s="2" customFormat="1" x14ac:dyDescent="0.25">
      <c r="A79" s="60" t="s">
        <v>400</v>
      </c>
      <c r="B79" s="60">
        <v>4020</v>
      </c>
      <c r="C79" s="60" t="s">
        <v>62</v>
      </c>
      <c r="D79" s="60" t="s">
        <v>495</v>
      </c>
      <c r="E79" s="30">
        <v>42533.544374999998</v>
      </c>
      <c r="F79" s="30">
        <v>42533.545613425929</v>
      </c>
      <c r="G79" s="38">
        <v>1</v>
      </c>
      <c r="H79" s="30" t="s">
        <v>116</v>
      </c>
      <c r="I79" s="30">
        <v>42533.577673611115</v>
      </c>
      <c r="J79" s="60">
        <v>0</v>
      </c>
      <c r="K79" s="60" t="str">
        <f t="shared" si="32"/>
        <v>4019/4020</v>
      </c>
      <c r="L79" s="60" t="str">
        <f>VLOOKUP(A79,'Trips&amp;Operators'!$C$1:$E$9999,3,FALSE)</f>
        <v>RIVERA</v>
      </c>
      <c r="M79" s="12">
        <f t="shared" si="33"/>
        <v>3.2060185185400769E-2</v>
      </c>
      <c r="N79" s="13">
        <f t="shared" si="36"/>
        <v>46.166666666977108</v>
      </c>
      <c r="O79" s="13"/>
      <c r="P79" s="13"/>
      <c r="Q79" s="61"/>
      <c r="R79" s="61"/>
      <c r="T7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13:02:54-0600',mode:absolute,to:'2016-06-12 13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73" t="str">
        <f t="shared" si="38"/>
        <v>N</v>
      </c>
      <c r="V79" s="73">
        <f t="shared" si="34"/>
        <v>1</v>
      </c>
      <c r="W79" s="73">
        <f t="shared" si="39"/>
        <v>4.3799999999999999E-2</v>
      </c>
      <c r="X79" s="73">
        <f t="shared" ref="X79:X89" si="46">RIGHT(H79,LEN(H79)-4)/10000</f>
        <v>23.330300000000001</v>
      </c>
      <c r="Y79" s="73">
        <f t="shared" si="40"/>
        <v>23.2865</v>
      </c>
      <c r="Z79" s="74" t="e">
        <f>VLOOKUP(A79,Enforcements!$C$3:$J$41,8,0)</f>
        <v>#N/A</v>
      </c>
      <c r="AA79" s="74" t="e">
        <f>VLOOKUP(A79,Enforcements!$C$3:$J$41,3,0)</f>
        <v>#N/A</v>
      </c>
    </row>
    <row r="80" spans="1:27" s="2" customFormat="1" x14ac:dyDescent="0.25">
      <c r="A80" s="60" t="s">
        <v>390</v>
      </c>
      <c r="B80" s="60">
        <v>4019</v>
      </c>
      <c r="C80" s="60" t="s">
        <v>62</v>
      </c>
      <c r="D80" s="60" t="s">
        <v>83</v>
      </c>
      <c r="E80" s="30">
        <v>42533.586689814816</v>
      </c>
      <c r="F80" s="30">
        <v>42533.587442129632</v>
      </c>
      <c r="G80" s="38">
        <v>1</v>
      </c>
      <c r="H80" s="30" t="s">
        <v>63</v>
      </c>
      <c r="I80" s="30">
        <v>42533.617592592593</v>
      </c>
      <c r="J80" s="60">
        <v>0</v>
      </c>
      <c r="K80" s="60" t="str">
        <f t="shared" si="32"/>
        <v>4019/4020</v>
      </c>
      <c r="L80" s="60" t="str">
        <f>VLOOKUP(A80,'Trips&amp;Operators'!$C$1:$E$9999,3,FALSE)</f>
        <v>RIVERA</v>
      </c>
      <c r="M80" s="12">
        <f t="shared" si="33"/>
        <v>3.015046296059154E-2</v>
      </c>
      <c r="N80" s="13">
        <f t="shared" si="36"/>
        <v>43.416666663251817</v>
      </c>
      <c r="O80" s="13"/>
      <c r="P80" s="13"/>
      <c r="Q80" s="61"/>
      <c r="R80" s="61"/>
      <c r="T8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14:03:50-0600',mode:absolute,to:'2016-06-12 14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73" t="str">
        <f t="shared" si="38"/>
        <v>N</v>
      </c>
      <c r="V80" s="73">
        <f t="shared" si="34"/>
        <v>1</v>
      </c>
      <c r="W80" s="73">
        <f t="shared" si="39"/>
        <v>23.297699999999999</v>
      </c>
      <c r="X80" s="73">
        <f t="shared" si="46"/>
        <v>1.4500000000000001E-2</v>
      </c>
      <c r="Y80" s="73">
        <f t="shared" si="40"/>
        <v>23.283199999999997</v>
      </c>
      <c r="Z80" s="74" t="e">
        <f>VLOOKUP(A80,Enforcements!$C$3:$J$41,8,0)</f>
        <v>#N/A</v>
      </c>
      <c r="AA80" s="74" t="e">
        <f>VLOOKUP(A80,Enforcements!$C$3:$J$41,3,0)</f>
        <v>#N/A</v>
      </c>
    </row>
    <row r="81" spans="1:27" s="2" customFormat="1" x14ac:dyDescent="0.25">
      <c r="A81" s="60" t="s">
        <v>425</v>
      </c>
      <c r="B81" s="60">
        <v>4018</v>
      </c>
      <c r="C81" s="60" t="s">
        <v>62</v>
      </c>
      <c r="D81" s="60" t="s">
        <v>78</v>
      </c>
      <c r="E81" s="30">
        <v>42533.561562499999</v>
      </c>
      <c r="F81" s="30">
        <v>42533.562430555554</v>
      </c>
      <c r="G81" s="38">
        <v>1</v>
      </c>
      <c r="H81" s="30" t="s">
        <v>478</v>
      </c>
      <c r="I81" s="30">
        <v>42533.588449074072</v>
      </c>
      <c r="J81" s="60">
        <v>0</v>
      </c>
      <c r="K81" s="60" t="str">
        <f t="shared" si="32"/>
        <v>4017/4018</v>
      </c>
      <c r="L81" s="60" t="str">
        <f>VLOOKUP(A81,'Trips&amp;Operators'!$C$1:$E$9999,3,FALSE)</f>
        <v>HELVIE</v>
      </c>
      <c r="M81" s="12">
        <f t="shared" si="33"/>
        <v>2.6018518517958E-2</v>
      </c>
      <c r="N81" s="13">
        <f t="shared" si="36"/>
        <v>37.46666666585952</v>
      </c>
      <c r="O81" s="13"/>
      <c r="P81" s="13"/>
      <c r="Q81" s="61"/>
      <c r="R81" s="61"/>
      <c r="T8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13:27:39-0600',mode:absolute,to:'2016-06-12 14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3" t="str">
        <f t="shared" si="38"/>
        <v>N</v>
      </c>
      <c r="V81" s="73">
        <f t="shared" si="34"/>
        <v>1</v>
      </c>
      <c r="W81" s="73">
        <f t="shared" si="39"/>
        <v>4.5999999999999999E-2</v>
      </c>
      <c r="X81" s="73">
        <f t="shared" si="46"/>
        <v>23.329499999999999</v>
      </c>
      <c r="Y81" s="73">
        <f t="shared" si="40"/>
        <v>23.2835</v>
      </c>
      <c r="Z81" s="74" t="e">
        <f>VLOOKUP(A81,Enforcements!$C$3:$J$41,8,0)</f>
        <v>#N/A</v>
      </c>
      <c r="AA81" s="74" t="e">
        <f>VLOOKUP(A81,Enforcements!$C$3:$J$41,3,0)</f>
        <v>#N/A</v>
      </c>
    </row>
    <row r="82" spans="1:27" s="2" customFormat="1" x14ac:dyDescent="0.25">
      <c r="A82" s="60" t="s">
        <v>452</v>
      </c>
      <c r="B82" s="60">
        <v>4017</v>
      </c>
      <c r="C82" s="60" t="s">
        <v>62</v>
      </c>
      <c r="D82" s="60" t="s">
        <v>496</v>
      </c>
      <c r="E82" s="30">
        <v>42533.596979166665</v>
      </c>
      <c r="F82" s="30">
        <v>42533.597812499997</v>
      </c>
      <c r="G82" s="38">
        <v>1</v>
      </c>
      <c r="H82" s="30" t="s">
        <v>74</v>
      </c>
      <c r="I82" s="30">
        <v>42533.627662037034</v>
      </c>
      <c r="J82" s="60">
        <v>0</v>
      </c>
      <c r="K82" s="60" t="str">
        <f t="shared" si="32"/>
        <v>4017/4018</v>
      </c>
      <c r="L82" s="60" t="str">
        <f>VLOOKUP(A82,'Trips&amp;Operators'!$C$1:$E$9999,3,FALSE)</f>
        <v>HELVIE</v>
      </c>
      <c r="M82" s="12">
        <f t="shared" si="33"/>
        <v>2.9849537037080154E-2</v>
      </c>
      <c r="N82" s="13">
        <f t="shared" si="36"/>
        <v>42.983333333395422</v>
      </c>
      <c r="O82" s="13"/>
      <c r="P82" s="13"/>
      <c r="Q82" s="61"/>
      <c r="R82" s="61"/>
      <c r="T8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14:18:39-0600',mode:absolute,to:'2016-06-12 15:04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2" s="73" t="str">
        <f t="shared" si="38"/>
        <v>N</v>
      </c>
      <c r="V82" s="73">
        <f t="shared" si="34"/>
        <v>1</v>
      </c>
      <c r="W82" s="73">
        <f t="shared" si="39"/>
        <v>23.2974</v>
      </c>
      <c r="X82" s="73">
        <f t="shared" si="46"/>
        <v>1.47E-2</v>
      </c>
      <c r="Y82" s="73">
        <f t="shared" si="40"/>
        <v>23.282699999999998</v>
      </c>
      <c r="Z82" s="74" t="e">
        <f>VLOOKUP(A82,Enforcements!$C$3:$J$41,8,0)</f>
        <v>#N/A</v>
      </c>
      <c r="AA82" s="74" t="e">
        <f>VLOOKUP(A82,Enforcements!$C$3:$J$41,3,0)</f>
        <v>#N/A</v>
      </c>
    </row>
    <row r="83" spans="1:27" s="2" customFormat="1" x14ac:dyDescent="0.25">
      <c r="A83" s="60" t="s">
        <v>324</v>
      </c>
      <c r="B83" s="60">
        <v>4016</v>
      </c>
      <c r="C83" s="60" t="s">
        <v>62</v>
      </c>
      <c r="D83" s="60" t="s">
        <v>497</v>
      </c>
      <c r="E83" s="30">
        <v>42533.5859837963</v>
      </c>
      <c r="F83" s="30">
        <v>42533.586724537039</v>
      </c>
      <c r="G83" s="38">
        <v>1</v>
      </c>
      <c r="H83" s="30" t="s">
        <v>498</v>
      </c>
      <c r="I83" s="30">
        <v>42533.614479166667</v>
      </c>
      <c r="J83" s="60">
        <v>2</v>
      </c>
      <c r="K83" s="60" t="str">
        <f t="shared" si="32"/>
        <v>4015/4016</v>
      </c>
      <c r="L83" s="60" t="str">
        <f>VLOOKUP(A83,'Trips&amp;Operators'!$C$1:$E$9999,3,FALSE)</f>
        <v>LOCKLEAR</v>
      </c>
      <c r="M83" s="12">
        <f t="shared" si="33"/>
        <v>2.7754629627452232E-2</v>
      </c>
      <c r="N83" s="13"/>
      <c r="O83" s="13"/>
      <c r="P83" s="13">
        <f>24*60*SUM($M83:$M83)</f>
        <v>39.966666663531214</v>
      </c>
      <c r="Q83" s="61"/>
      <c r="R83" s="61" t="s">
        <v>536</v>
      </c>
      <c r="T8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14:02:49-0600',mode:absolute,to:'2016-06-12 14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3" s="73" t="str">
        <f t="shared" si="38"/>
        <v>Y</v>
      </c>
      <c r="V83" s="73">
        <f t="shared" si="34"/>
        <v>1</v>
      </c>
      <c r="W83" s="73">
        <f t="shared" si="39"/>
        <v>1.9125000000000001</v>
      </c>
      <c r="X83" s="73">
        <f t="shared" si="46"/>
        <v>23.334499999999998</v>
      </c>
      <c r="Y83" s="73">
        <f t="shared" si="40"/>
        <v>21.421999999999997</v>
      </c>
      <c r="Z83" s="74">
        <f>VLOOKUP(A83,Enforcements!$C$3:$J$41,8,0)</f>
        <v>10800</v>
      </c>
      <c r="AA83" s="74" t="str">
        <f>VLOOKUP(A83,Enforcements!$C$3:$J$41,3,0)</f>
        <v>SIGNAL</v>
      </c>
    </row>
    <row r="84" spans="1:27" s="2" customFormat="1" x14ac:dyDescent="0.25">
      <c r="A84" s="60" t="s">
        <v>326</v>
      </c>
      <c r="B84" s="60">
        <v>4015</v>
      </c>
      <c r="C84" s="60" t="s">
        <v>62</v>
      </c>
      <c r="D84" s="60" t="s">
        <v>284</v>
      </c>
      <c r="E84" s="30">
        <v>42533.616064814814</v>
      </c>
      <c r="F84" s="30">
        <v>42533.616712962961</v>
      </c>
      <c r="G84" s="38">
        <v>0</v>
      </c>
      <c r="H84" s="30" t="s">
        <v>499</v>
      </c>
      <c r="I84" s="30">
        <v>42533.64640046296</v>
      </c>
      <c r="J84" s="60">
        <v>1</v>
      </c>
      <c r="K84" s="60" t="str">
        <f t="shared" si="32"/>
        <v>4015/4016</v>
      </c>
      <c r="L84" s="60" t="str">
        <f>VLOOKUP(A84,'Trips&amp;Operators'!$C$1:$E$9999,3,FALSE)</f>
        <v>LOCKLEAR</v>
      </c>
      <c r="M84" s="12">
        <f t="shared" si="33"/>
        <v>2.9687499998544808E-2</v>
      </c>
      <c r="N84" s="13">
        <f>24*60*SUM($M84:$M84)</f>
        <v>42.749999997904524</v>
      </c>
      <c r="O84" s="13"/>
      <c r="P84" s="13"/>
      <c r="Q84" s="61"/>
      <c r="R84" s="61"/>
      <c r="T8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14:46:08-0600',mode:absolute,to:'2016-06-12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4" s="73" t="str">
        <f t="shared" si="38"/>
        <v>N</v>
      </c>
      <c r="V84" s="73">
        <f t="shared" si="34"/>
        <v>1</v>
      </c>
      <c r="W84" s="73">
        <f t="shared" si="39"/>
        <v>23.302099999999999</v>
      </c>
      <c r="X84" s="73">
        <f t="shared" si="46"/>
        <v>6.7000000000000002E-3</v>
      </c>
      <c r="Y84" s="73">
        <f t="shared" si="40"/>
        <v>23.295400000000001</v>
      </c>
      <c r="Z84" s="74">
        <f>VLOOKUP(A84,Enforcements!$C$3:$J$41,8,0)</f>
        <v>1</v>
      </c>
      <c r="AA84" s="74" t="str">
        <f>VLOOKUP(A84,Enforcements!$C$3:$J$41,3,0)</f>
        <v>TRACK WARRANT AUTHORITY</v>
      </c>
    </row>
    <row r="85" spans="1:27" s="2" customFormat="1" x14ac:dyDescent="0.25">
      <c r="A85" s="60" t="s">
        <v>345</v>
      </c>
      <c r="B85" s="60">
        <v>4044</v>
      </c>
      <c r="C85" s="60" t="s">
        <v>62</v>
      </c>
      <c r="D85" s="60" t="s">
        <v>292</v>
      </c>
      <c r="E85" s="30">
        <v>42533.588402777779</v>
      </c>
      <c r="F85" s="30">
        <v>42533.589386574073</v>
      </c>
      <c r="G85" s="38">
        <v>1</v>
      </c>
      <c r="H85" s="30" t="s">
        <v>120</v>
      </c>
      <c r="I85" s="30">
        <v>42533.616770833331</v>
      </c>
      <c r="J85" s="60">
        <v>0</v>
      </c>
      <c r="K85" s="60" t="str">
        <f t="shared" si="32"/>
        <v>4043/4044</v>
      </c>
      <c r="L85" s="60" t="str">
        <f>VLOOKUP(A85,'Trips&amp;Operators'!$C$1:$E$9999,3,FALSE)</f>
        <v>ACKERMAN</v>
      </c>
      <c r="M85" s="12">
        <f t="shared" si="33"/>
        <v>2.7384259257814847E-2</v>
      </c>
      <c r="N85" s="13">
        <f>24*60*SUM($M85:$M85)</f>
        <v>39.43333333125338</v>
      </c>
      <c r="O85" s="13"/>
      <c r="P85" s="13"/>
      <c r="Q85" s="61"/>
      <c r="R85" s="61"/>
      <c r="T8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14:06:18-0600',mode:absolute,to:'2016-06-12 14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5" s="73" t="str">
        <f t="shared" si="38"/>
        <v>N</v>
      </c>
      <c r="V85" s="73">
        <f t="shared" si="34"/>
        <v>1</v>
      </c>
      <c r="W85" s="73">
        <f t="shared" si="39"/>
        <v>4.6699999999999998E-2</v>
      </c>
      <c r="X85" s="73">
        <f t="shared" si="46"/>
        <v>23.33</v>
      </c>
      <c r="Y85" s="73">
        <f t="shared" si="40"/>
        <v>23.283299999999997</v>
      </c>
      <c r="Z85" s="74" t="e">
        <f>VLOOKUP(A85,Enforcements!$C$3:$J$41,8,0)</f>
        <v>#N/A</v>
      </c>
      <c r="AA85" s="74" t="e">
        <f>VLOOKUP(A85,Enforcements!$C$3:$J$41,3,0)</f>
        <v>#N/A</v>
      </c>
    </row>
    <row r="86" spans="1:27" s="2" customFormat="1" x14ac:dyDescent="0.25">
      <c r="A86" s="60" t="s">
        <v>430</v>
      </c>
      <c r="B86" s="60">
        <v>4043</v>
      </c>
      <c r="C86" s="60" t="s">
        <v>62</v>
      </c>
      <c r="D86" s="60" t="s">
        <v>287</v>
      </c>
      <c r="E86" s="30">
        <v>42533.623055555552</v>
      </c>
      <c r="F86" s="30">
        <v>42533.624050925922</v>
      </c>
      <c r="G86" s="38">
        <v>1</v>
      </c>
      <c r="H86" s="30" t="s">
        <v>93</v>
      </c>
      <c r="I86" s="30">
        <v>42533.652627314812</v>
      </c>
      <c r="J86" s="60">
        <v>0</v>
      </c>
      <c r="K86" s="60" t="str">
        <f t="shared" si="32"/>
        <v>4043/4044</v>
      </c>
      <c r="L86" s="60" t="str">
        <f>VLOOKUP(A86,'Trips&amp;Operators'!$C$1:$E$9999,3,FALSE)</f>
        <v>ACKERMAN</v>
      </c>
      <c r="M86" s="12">
        <f t="shared" si="33"/>
        <v>2.8576388889632653E-2</v>
      </c>
      <c r="N86" s="13">
        <f>24*60*SUM($M86:$M86)</f>
        <v>41.150000001071021</v>
      </c>
      <c r="O86" s="13"/>
      <c r="P86" s="13"/>
      <c r="Q86" s="61"/>
      <c r="R86" s="61"/>
      <c r="T8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14:56:12-0600',mode:absolute,to:'2016-06-12 15:40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6" s="73" t="str">
        <f t="shared" si="38"/>
        <v>N</v>
      </c>
      <c r="V86" s="73">
        <f t="shared" si="34"/>
        <v>1</v>
      </c>
      <c r="W86" s="73">
        <f t="shared" si="39"/>
        <v>23.298100000000002</v>
      </c>
      <c r="X86" s="73">
        <f t="shared" si="46"/>
        <v>1.49E-2</v>
      </c>
      <c r="Y86" s="73">
        <f t="shared" si="40"/>
        <v>23.283200000000001</v>
      </c>
      <c r="Z86" s="74" t="e">
        <f>VLOOKUP(A86,Enforcements!$C$3:$J$41,8,0)</f>
        <v>#N/A</v>
      </c>
      <c r="AA86" s="74" t="e">
        <f>VLOOKUP(A86,Enforcements!$C$3:$J$41,3,0)</f>
        <v>#N/A</v>
      </c>
    </row>
    <row r="87" spans="1:27" s="2" customFormat="1" x14ac:dyDescent="0.25">
      <c r="A87" s="60" t="s">
        <v>433</v>
      </c>
      <c r="B87" s="60">
        <v>4024</v>
      </c>
      <c r="C87" s="60" t="s">
        <v>62</v>
      </c>
      <c r="D87" s="60" t="s">
        <v>99</v>
      </c>
      <c r="E87" s="30">
        <v>42533.590763888889</v>
      </c>
      <c r="F87" s="30">
        <v>42533.594039351854</v>
      </c>
      <c r="G87" s="38">
        <v>4</v>
      </c>
      <c r="H87" s="30" t="s">
        <v>500</v>
      </c>
      <c r="I87" s="30">
        <v>42533.599016203705</v>
      </c>
      <c r="J87" s="60">
        <v>0</v>
      </c>
      <c r="K87" s="60" t="str">
        <f t="shared" si="32"/>
        <v>4023/4024</v>
      </c>
      <c r="L87" s="60" t="str">
        <f>VLOOKUP(A87,'Trips&amp;Operators'!$C$1:$E$9999,3,FALSE)</f>
        <v>STEWART</v>
      </c>
      <c r="M87" s="12">
        <f t="shared" si="33"/>
        <v>4.9768518510973081E-3</v>
      </c>
      <c r="N87" s="13"/>
      <c r="O87" s="13"/>
      <c r="P87" s="13">
        <f>24*60*SUM($M87:$M87)</f>
        <v>7.1666666655801237</v>
      </c>
      <c r="Q87" s="61"/>
      <c r="R87" s="61" t="s">
        <v>535</v>
      </c>
      <c r="T87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14:09:42-0600',mode:absolute,to:'2016-06-12 14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7" s="73" t="str">
        <f t="shared" si="38"/>
        <v>N</v>
      </c>
      <c r="V87" s="73">
        <f t="shared" si="34"/>
        <v>1</v>
      </c>
      <c r="W87" s="73">
        <f t="shared" si="39"/>
        <v>4.53E-2</v>
      </c>
      <c r="X87" s="73">
        <f t="shared" si="46"/>
        <v>23.343399999999999</v>
      </c>
      <c r="Y87" s="73">
        <f t="shared" si="40"/>
        <v>23.298099999999998</v>
      </c>
      <c r="Z87" s="74" t="e">
        <f>VLOOKUP(A87,Enforcements!$C$3:$J$41,8,0)</f>
        <v>#N/A</v>
      </c>
      <c r="AA87" s="74" t="e">
        <f>VLOOKUP(A87,Enforcements!$C$3:$J$41,3,0)</f>
        <v>#N/A</v>
      </c>
    </row>
    <row r="88" spans="1:27" s="2" customFormat="1" x14ac:dyDescent="0.25">
      <c r="A88" s="60" t="s">
        <v>327</v>
      </c>
      <c r="B88" s="60">
        <v>4023</v>
      </c>
      <c r="C88" s="60" t="s">
        <v>62</v>
      </c>
      <c r="D88" s="60" t="s">
        <v>101</v>
      </c>
      <c r="E88" s="30">
        <v>42533.632152777776</v>
      </c>
      <c r="F88" s="30">
        <v>42533.633310185185</v>
      </c>
      <c r="G88" s="38">
        <v>1</v>
      </c>
      <c r="H88" s="30" t="s">
        <v>501</v>
      </c>
      <c r="I88" s="30">
        <v>42533.664236111108</v>
      </c>
      <c r="J88" s="60">
        <v>1</v>
      </c>
      <c r="K88" s="60" t="str">
        <f t="shared" si="32"/>
        <v>4023/4024</v>
      </c>
      <c r="L88" s="60" t="str">
        <f>VLOOKUP(A88,'Trips&amp;Operators'!$C$1:$E$9999,3,FALSE)</f>
        <v>STEWART</v>
      </c>
      <c r="M88" s="12">
        <f t="shared" si="33"/>
        <v>3.0925925922929309E-2</v>
      </c>
      <c r="N88" s="13">
        <f>24*60*SUM($M88:$M88)</f>
        <v>44.533333329018205</v>
      </c>
      <c r="O88" s="13"/>
      <c r="P88" s="13"/>
      <c r="Q88" s="61"/>
      <c r="R88" s="61"/>
      <c r="T8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15:09:18-0600',mode:absolute,to:'2016-06-12 15:57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3" t="str">
        <f t="shared" si="38"/>
        <v>N</v>
      </c>
      <c r="V88" s="73">
        <f t="shared" si="34"/>
        <v>1</v>
      </c>
      <c r="W88" s="73">
        <f t="shared" si="39"/>
        <v>23.297799999999999</v>
      </c>
      <c r="X88" s="73">
        <f t="shared" si="46"/>
        <v>0.1186</v>
      </c>
      <c r="Y88" s="73">
        <f t="shared" si="40"/>
        <v>23.179199999999998</v>
      </c>
      <c r="Z88" s="74">
        <f>VLOOKUP(A88,Enforcements!$C$3:$J$41,8,0)</f>
        <v>839</v>
      </c>
      <c r="AA88" s="74" t="str">
        <f>VLOOKUP(A88,Enforcements!$C$3:$J$41,3,0)</f>
        <v>TRACK WARRANT AUTHORITY</v>
      </c>
    </row>
    <row r="89" spans="1:27" s="2" customFormat="1" x14ac:dyDescent="0.25">
      <c r="A89" s="60" t="s">
        <v>325</v>
      </c>
      <c r="B89" s="60">
        <v>4009</v>
      </c>
      <c r="C89" s="60" t="s">
        <v>62</v>
      </c>
      <c r="D89" s="60" t="s">
        <v>84</v>
      </c>
      <c r="E89" s="30">
        <v>42533.600960648146</v>
      </c>
      <c r="F89" s="30">
        <v>42533.602071759262</v>
      </c>
      <c r="G89" s="38">
        <v>1</v>
      </c>
      <c r="H89" s="30" t="s">
        <v>478</v>
      </c>
      <c r="I89" s="30">
        <v>42533.633680555555</v>
      </c>
      <c r="J89" s="60">
        <v>1</v>
      </c>
      <c r="K89" s="60" t="str">
        <f t="shared" si="32"/>
        <v>4009/4010</v>
      </c>
      <c r="L89" s="60" t="str">
        <f>VLOOKUP(A89,'Trips&amp;Operators'!$C$1:$E$9999,3,FALSE)</f>
        <v>MAYBERRY</v>
      </c>
      <c r="M89" s="12">
        <f t="shared" si="33"/>
        <v>3.1608796292857733E-2</v>
      </c>
      <c r="N89" s="13">
        <f>24*60*SUM($M89:$M89)</f>
        <v>45.516666661715135</v>
      </c>
      <c r="O89" s="13"/>
      <c r="P89" s="13"/>
      <c r="Q89" s="61"/>
      <c r="R89" s="61"/>
      <c r="T8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14:24:23-0600',mode:absolute,to:'2016-06-12 15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3" t="str">
        <f t="shared" si="38"/>
        <v>N</v>
      </c>
      <c r="V89" s="73">
        <f t="shared" si="34"/>
        <v>1</v>
      </c>
      <c r="W89" s="73">
        <f t="shared" si="39"/>
        <v>4.6600000000000003E-2</v>
      </c>
      <c r="X89" s="73">
        <f t="shared" si="46"/>
        <v>23.329499999999999</v>
      </c>
      <c r="Y89" s="73">
        <f t="shared" si="40"/>
        <v>23.282899999999998</v>
      </c>
      <c r="Z89" s="74">
        <f>VLOOKUP(A89,Enforcements!$C$3:$J$41,8,0)</f>
        <v>63068</v>
      </c>
      <c r="AA89" s="74" t="str">
        <f>VLOOKUP(A89,Enforcements!$C$3:$J$41,3,0)</f>
        <v>GRADE CROSSING</v>
      </c>
    </row>
    <row r="90" spans="1:27" s="2" customFormat="1" x14ac:dyDescent="0.25">
      <c r="A90" s="60" t="s">
        <v>369</v>
      </c>
      <c r="B90" s="60">
        <v>4010</v>
      </c>
      <c r="C90" s="60" t="s">
        <v>62</v>
      </c>
      <c r="D90" s="60" t="s">
        <v>122</v>
      </c>
      <c r="E90" s="30">
        <v>42533.640150462961</v>
      </c>
      <c r="F90" s="30">
        <v>42533.640983796293</v>
      </c>
      <c r="G90" s="38">
        <v>1</v>
      </c>
      <c r="H90" s="30" t="s">
        <v>502</v>
      </c>
      <c r="I90" s="30">
        <v>42533.6718287037</v>
      </c>
      <c r="J90" s="60">
        <v>0</v>
      </c>
      <c r="K90" s="60" t="str">
        <f t="shared" si="32"/>
        <v>4009/4010</v>
      </c>
      <c r="L90" s="60" t="str">
        <f>VLOOKUP(A90,'Trips&amp;Operators'!$C$1:$E$9999,3,FALSE)</f>
        <v>MAYBERRY</v>
      </c>
      <c r="M90" s="12">
        <f t="shared" si="33"/>
        <v>3.0844907407299615E-2</v>
      </c>
      <c r="N90" s="13">
        <f>24*60*SUM($M90:$M90)</f>
        <v>44.416666666511446</v>
      </c>
      <c r="O90" s="13"/>
      <c r="P90" s="13"/>
      <c r="Q90" s="61"/>
      <c r="R90" s="61"/>
      <c r="T9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15:20:49-0600',mode:absolute,to:'2016-06-12 16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3" t="str">
        <f t="shared" si="38"/>
        <v>N</v>
      </c>
      <c r="V90" s="73">
        <f t="shared" si="34"/>
        <v>1</v>
      </c>
      <c r="W90" s="73">
        <f t="shared" si="39"/>
        <v>23.297599999999999</v>
      </c>
      <c r="X90" s="73">
        <v>1.72E-2</v>
      </c>
      <c r="Y90" s="73">
        <f t="shared" si="40"/>
        <v>23.2804</v>
      </c>
      <c r="Z90" s="74" t="e">
        <f>VLOOKUP(A90,Enforcements!$C$3:$J$41,8,0)</f>
        <v>#N/A</v>
      </c>
      <c r="AA90" s="74" t="e">
        <f>VLOOKUP(A90,Enforcements!$C$3:$J$41,3,0)</f>
        <v>#N/A</v>
      </c>
    </row>
    <row r="91" spans="1:27" s="2" customFormat="1" x14ac:dyDescent="0.25">
      <c r="A91" s="60" t="s">
        <v>384</v>
      </c>
      <c r="B91" s="60">
        <v>4029</v>
      </c>
      <c r="C91" s="60" t="s">
        <v>62</v>
      </c>
      <c r="D91" s="60" t="s">
        <v>505</v>
      </c>
      <c r="E91" s="30">
        <v>42533.61241898148</v>
      </c>
      <c r="F91" s="30">
        <v>42533.613240740742</v>
      </c>
      <c r="G91" s="38">
        <v>1</v>
      </c>
      <c r="H91" s="30" t="s">
        <v>503</v>
      </c>
      <c r="I91" s="30">
        <v>42533.618425925924</v>
      </c>
      <c r="J91" s="60">
        <v>0</v>
      </c>
      <c r="K91" s="60" t="str">
        <f t="shared" si="32"/>
        <v>4029/4030</v>
      </c>
      <c r="L91" s="60" t="str">
        <f>VLOOKUP(A91,'Trips&amp;Operators'!$C$1:$E$9999,3,FALSE)</f>
        <v>WEBSTER</v>
      </c>
      <c r="M91" s="12">
        <f t="shared" si="33"/>
        <v>5.1851851821993478E-3</v>
      </c>
      <c r="N91" s="13"/>
      <c r="O91" s="13"/>
      <c r="P91" s="13">
        <f>24*60*SUM($M91:$M92)</f>
        <v>42.399999999906868</v>
      </c>
      <c r="Q91" s="61"/>
      <c r="R91" s="61" t="s">
        <v>536</v>
      </c>
      <c r="T9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14:40:53-0600',mode:absolute,to:'2016-06-12 14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1" s="73" t="str">
        <f t="shared" si="38"/>
        <v>Y</v>
      </c>
      <c r="V91" s="73">
        <f t="shared" si="34"/>
        <v>1</v>
      </c>
      <c r="W91" s="73">
        <f t="shared" si="39"/>
        <v>4.4600000000000001E-2</v>
      </c>
      <c r="X91" s="73">
        <f t="shared" ref="X91:X120" si="47">RIGHT(H91,LEN(H91)-4)/10000</f>
        <v>1.9133</v>
      </c>
      <c r="Y91" s="73">
        <f t="shared" si="40"/>
        <v>1.8687</v>
      </c>
      <c r="Z91" s="74" t="e">
        <f>VLOOKUP(A91,Enforcements!$C$3:$J$41,8,0)</f>
        <v>#N/A</v>
      </c>
      <c r="AA91" s="74"/>
    </row>
    <row r="92" spans="1:27" s="2" customFormat="1" x14ac:dyDescent="0.25">
      <c r="A92" s="60" t="s">
        <v>384</v>
      </c>
      <c r="B92" s="60">
        <v>4029</v>
      </c>
      <c r="C92" s="60" t="s">
        <v>62</v>
      </c>
      <c r="D92" s="60" t="s">
        <v>503</v>
      </c>
      <c r="E92" s="30">
        <v>42533.618622685186</v>
      </c>
      <c r="F92" s="30">
        <v>42533.619490740741</v>
      </c>
      <c r="G92" s="38">
        <v>1</v>
      </c>
      <c r="H92" s="30" t="s">
        <v>504</v>
      </c>
      <c r="I92" s="30">
        <v>42533.643750000003</v>
      </c>
      <c r="J92" s="60">
        <v>0</v>
      </c>
      <c r="K92" s="60" t="str">
        <f t="shared" si="32"/>
        <v>4029/4030</v>
      </c>
      <c r="L92" s="60" t="str">
        <f>VLOOKUP(A92,'Trips&amp;Operators'!$C$1:$E$9999,3,FALSE)</f>
        <v>WEBSTER</v>
      </c>
      <c r="M92" s="12">
        <f t="shared" si="33"/>
        <v>2.4259259262180422E-2</v>
      </c>
      <c r="N92" s="13"/>
      <c r="O92" s="13"/>
      <c r="P92" s="13"/>
      <c r="Q92" s="61"/>
      <c r="R92" s="61"/>
      <c r="T9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14:49:49-0600',mode:absolute,to:'2016-06-12 15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3" t="str">
        <f t="shared" si="38"/>
        <v>Y</v>
      </c>
      <c r="V92" s="73">
        <f t="shared" si="34"/>
        <v>0</v>
      </c>
      <c r="W92" s="73">
        <f t="shared" si="39"/>
        <v>1.9133</v>
      </c>
      <c r="X92" s="73">
        <f t="shared" si="47"/>
        <v>23.330100000000002</v>
      </c>
      <c r="Y92" s="73">
        <f t="shared" si="40"/>
        <v>21.416800000000002</v>
      </c>
      <c r="Z92" s="74" t="e">
        <f>VLOOKUP(A92,Enforcements!$C$3:$J$41,8,0)</f>
        <v>#N/A</v>
      </c>
      <c r="AA92" s="74" t="e">
        <f>VLOOKUP(A92,Enforcements!$C$3:$J$41,3,0)</f>
        <v>#N/A</v>
      </c>
    </row>
    <row r="93" spans="1:27" s="2" customFormat="1" x14ac:dyDescent="0.25">
      <c r="A93" s="60" t="s">
        <v>379</v>
      </c>
      <c r="B93" s="60">
        <v>4030</v>
      </c>
      <c r="C93" s="60" t="s">
        <v>62</v>
      </c>
      <c r="D93" s="60" t="s">
        <v>280</v>
      </c>
      <c r="E93" s="30">
        <v>42533.649722222224</v>
      </c>
      <c r="F93" s="30">
        <v>42533.650439814817</v>
      </c>
      <c r="G93" s="38">
        <v>1</v>
      </c>
      <c r="H93" s="30" t="s">
        <v>90</v>
      </c>
      <c r="I93" s="30">
        <v>42533.681377314817</v>
      </c>
      <c r="J93" s="60">
        <v>0</v>
      </c>
      <c r="K93" s="60" t="str">
        <f t="shared" si="32"/>
        <v>4029/4030</v>
      </c>
      <c r="L93" s="60" t="str">
        <f>VLOOKUP(A93,'Trips&amp;Operators'!$C$1:$E$9999,3,FALSE)</f>
        <v>WEBSTER</v>
      </c>
      <c r="M93" s="12">
        <f t="shared" si="33"/>
        <v>3.0937499999708962E-2</v>
      </c>
      <c r="N93" s="13">
        <f>24*60*SUM($M93:$M93)</f>
        <v>44.549999999580905</v>
      </c>
      <c r="O93" s="13"/>
      <c r="P93" s="13"/>
      <c r="Q93" s="61"/>
      <c r="R93" s="61"/>
      <c r="T9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15:34:36-0600',mode:absolute,to:'2016-06-12 16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3" t="str">
        <f t="shared" si="38"/>
        <v>N</v>
      </c>
      <c r="V93" s="73">
        <f t="shared" si="34"/>
        <v>1</v>
      </c>
      <c r="W93" s="73">
        <f t="shared" si="39"/>
        <v>23.2971</v>
      </c>
      <c r="X93" s="73">
        <f t="shared" si="47"/>
        <v>1.3899999999999999E-2</v>
      </c>
      <c r="Y93" s="73">
        <f t="shared" si="40"/>
        <v>23.283200000000001</v>
      </c>
      <c r="Z93" s="74" t="e">
        <f>VLOOKUP(A93,Enforcements!$C$3:$J$41,8,0)</f>
        <v>#N/A</v>
      </c>
      <c r="AA93" s="74" t="e">
        <f>VLOOKUP(A93,Enforcements!$C$3:$J$41,3,0)</f>
        <v>#N/A</v>
      </c>
    </row>
    <row r="94" spans="1:27" s="2" customFormat="1" x14ac:dyDescent="0.25">
      <c r="A94" s="60" t="s">
        <v>348</v>
      </c>
      <c r="B94" s="60">
        <v>4020</v>
      </c>
      <c r="C94" s="60" t="s">
        <v>62</v>
      </c>
      <c r="D94" s="60" t="s">
        <v>132</v>
      </c>
      <c r="E94" s="30">
        <v>42533.619513888887</v>
      </c>
      <c r="F94" s="30">
        <v>42533.620578703703</v>
      </c>
      <c r="G94" s="38">
        <v>1</v>
      </c>
      <c r="H94" s="30" t="s">
        <v>506</v>
      </c>
      <c r="I94" s="30">
        <v>42533.651307870372</v>
      </c>
      <c r="J94" s="60">
        <v>0</v>
      </c>
      <c r="K94" s="60" t="str">
        <f t="shared" si="32"/>
        <v>4019/4020</v>
      </c>
      <c r="L94" s="60" t="str">
        <f>VLOOKUP(A94,'Trips&amp;Operators'!$C$1:$E$9999,3,FALSE)</f>
        <v>RIVERA</v>
      </c>
      <c r="M94" s="12">
        <f t="shared" si="33"/>
        <v>3.0729166668606922E-2</v>
      </c>
      <c r="N94" s="13">
        <f>24*60*SUM($M94:$M94)</f>
        <v>44.250000002793968</v>
      </c>
      <c r="O94" s="13"/>
      <c r="P94" s="13"/>
      <c r="Q94" s="61"/>
      <c r="R94" s="61"/>
      <c r="T94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14:51:06-0600',mode:absolute,to:'2016-06-12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3" t="str">
        <f t="shared" si="38"/>
        <v>N</v>
      </c>
      <c r="V94" s="73">
        <f t="shared" si="34"/>
        <v>1</v>
      </c>
      <c r="W94" s="73">
        <f t="shared" si="39"/>
        <v>4.4200000000000003E-2</v>
      </c>
      <c r="X94" s="73">
        <f t="shared" si="47"/>
        <v>23.331900000000001</v>
      </c>
      <c r="Y94" s="73">
        <f t="shared" si="40"/>
        <v>23.287700000000001</v>
      </c>
      <c r="Z94" s="74" t="e">
        <f>VLOOKUP(A94,Enforcements!$C$3:$J$41,8,0)</f>
        <v>#N/A</v>
      </c>
      <c r="AA94" s="74" t="e">
        <f>VLOOKUP(A94,Enforcements!$C$3:$J$41,3,0)</f>
        <v>#N/A</v>
      </c>
    </row>
    <row r="95" spans="1:27" s="2" customFormat="1" x14ac:dyDescent="0.25">
      <c r="A95" s="60" t="s">
        <v>328</v>
      </c>
      <c r="B95" s="60">
        <v>4019</v>
      </c>
      <c r="C95" s="60" t="s">
        <v>62</v>
      </c>
      <c r="D95" s="60" t="s">
        <v>462</v>
      </c>
      <c r="E95" s="30">
        <v>42533.660069444442</v>
      </c>
      <c r="F95" s="30">
        <v>42533.660775462966</v>
      </c>
      <c r="G95" s="38">
        <v>1</v>
      </c>
      <c r="H95" s="30" t="s">
        <v>464</v>
      </c>
      <c r="I95" s="30">
        <v>42533.691689814812</v>
      </c>
      <c r="J95" s="60">
        <v>1</v>
      </c>
      <c r="K95" s="60" t="str">
        <f t="shared" si="32"/>
        <v>4019/4020</v>
      </c>
      <c r="L95" s="60" t="str">
        <f>VLOOKUP(A95,'Trips&amp;Operators'!$C$1:$E$9999,3,FALSE)</f>
        <v>RIVERA</v>
      </c>
      <c r="M95" s="12">
        <f t="shared" si="33"/>
        <v>3.0914351846149657E-2</v>
      </c>
      <c r="N95" s="13">
        <f>24*60*SUM($M95:$M95)</f>
        <v>44.516666658455506</v>
      </c>
      <c r="O95" s="13"/>
      <c r="P95" s="13"/>
      <c r="Q95" s="61"/>
      <c r="R95" s="61"/>
      <c r="T9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15:49:30-0600',mode:absolute,to:'2016-06-12 16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3" t="str">
        <f t="shared" si="38"/>
        <v>N</v>
      </c>
      <c r="V95" s="73">
        <f t="shared" si="34"/>
        <v>1</v>
      </c>
      <c r="W95" s="73">
        <f t="shared" si="39"/>
        <v>23.2987</v>
      </c>
      <c r="X95" s="73">
        <f t="shared" si="47"/>
        <v>1.3599999999999999E-2</v>
      </c>
      <c r="Y95" s="73">
        <f t="shared" si="40"/>
        <v>23.2851</v>
      </c>
      <c r="Z95" s="74">
        <f>VLOOKUP(A95,Enforcements!$C$3:$J$41,8,0)</f>
        <v>15167</v>
      </c>
      <c r="AA95" s="74" t="str">
        <f>VLOOKUP(A95,Enforcements!$C$3:$J$41,3,0)</f>
        <v>PERMANENT SPEED RESTRICTION</v>
      </c>
    </row>
    <row r="96" spans="1:27" s="2" customFormat="1" x14ac:dyDescent="0.25">
      <c r="A96" s="60" t="s">
        <v>373</v>
      </c>
      <c r="B96" s="60">
        <v>4018</v>
      </c>
      <c r="C96" s="60"/>
      <c r="D96" s="60"/>
      <c r="E96" s="30"/>
      <c r="F96" s="30">
        <v>42533.631967592592</v>
      </c>
      <c r="G96" s="38"/>
      <c r="H96" s="30"/>
      <c r="I96" s="30">
        <v>42533.635381944441</v>
      </c>
      <c r="J96" s="60"/>
      <c r="K96" s="60" t="str">
        <f t="shared" ref="K96:K97" si="48">IF(ISEVEN(B96),(B96-1)&amp;"/"&amp;B96,B96&amp;"/"&amp;(B96+1))</f>
        <v>4017/4018</v>
      </c>
      <c r="L96" s="60" t="str">
        <f>VLOOKUP(A96,'Trips&amp;Operators'!$C$1:$E$9999,3,FALSE)</f>
        <v>HELVIE</v>
      </c>
      <c r="M96" s="12">
        <f t="shared" ref="M96:M97" si="49">I96-F96</f>
        <v>3.4143518496421166E-3</v>
      </c>
      <c r="N96" s="13"/>
      <c r="O96" s="13"/>
      <c r="P96" s="13">
        <v>1</v>
      </c>
      <c r="Q96" s="61"/>
      <c r="R96" s="61" t="s">
        <v>536</v>
      </c>
      <c r="T96" s="73" t="e">
        <f t="shared" ref="T96:T97" si="50"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#VALUE!</v>
      </c>
      <c r="U96" s="73" t="e">
        <f t="shared" ref="U96:U97" si="51">IF(Y96&lt;23,"Y","N")</f>
        <v>#VALUE!</v>
      </c>
      <c r="V96" s="73">
        <f t="shared" si="34"/>
        <v>1</v>
      </c>
      <c r="W96" s="73" t="e">
        <f t="shared" ref="W96:W97" si="52">RIGHT(D96,LEN(D96)-4)/10000</f>
        <v>#VALUE!</v>
      </c>
      <c r="X96" s="73" t="e">
        <f t="shared" ref="X96:X97" si="53">RIGHT(H96,LEN(H96)-4)/10000</f>
        <v>#VALUE!</v>
      </c>
      <c r="Y96" s="73" t="e">
        <f t="shared" ref="Y96:Y97" si="54">ABS(X96-W96)</f>
        <v>#VALUE!</v>
      </c>
      <c r="Z96" s="74" t="e">
        <f>VLOOKUP(A96,Enforcements!$C$3:$J$41,8,0)</f>
        <v>#N/A</v>
      </c>
      <c r="AA96" s="74"/>
    </row>
    <row r="97" spans="1:27" s="2" customFormat="1" x14ac:dyDescent="0.25">
      <c r="A97" s="60" t="s">
        <v>380</v>
      </c>
      <c r="B97" s="60">
        <v>4011</v>
      </c>
      <c r="C97" s="60" t="s">
        <v>62</v>
      </c>
      <c r="D97" s="60" t="s">
        <v>507</v>
      </c>
      <c r="E97" s="30">
        <v>42533.642928240741</v>
      </c>
      <c r="F97" s="30">
        <v>42533.644467592596</v>
      </c>
      <c r="G97" s="38">
        <v>2</v>
      </c>
      <c r="H97" s="30" t="s">
        <v>472</v>
      </c>
      <c r="I97" s="30">
        <v>42533.671331018515</v>
      </c>
      <c r="J97" s="60">
        <v>0</v>
      </c>
      <c r="K97" s="60" t="str">
        <f t="shared" si="48"/>
        <v>4011/4012</v>
      </c>
      <c r="L97" s="60" t="str">
        <f>VLOOKUP(A97,'Trips&amp;Operators'!$C$1:$E$9999,3,FALSE)</f>
        <v>REBOLETTI</v>
      </c>
      <c r="M97" s="12">
        <f t="shared" si="49"/>
        <v>2.6863425919145811E-2</v>
      </c>
      <c r="N97" s="13">
        <f t="shared" ref="N97" si="55">24*60*SUM($M97:$M97)</f>
        <v>38.683333323569968</v>
      </c>
      <c r="O97" s="13"/>
      <c r="P97" s="13"/>
      <c r="Q97" s="61"/>
      <c r="R97" s="61"/>
      <c r="T97" s="73" t="str">
        <f t="shared" si="50"/>
        <v>https://search-rtdc-monitor-bjffxe2xuh6vdkpspy63sjmuny.us-east-1.es.amazonaws.com/_plugin/kibana/#/discover/Steve-Slow-Train-Analysis-(2080s-and-2083s)?_g=(refreshInterval:(display:Off,section:0,value:0),time:(from:'2016-06-12 15:24:49-0600',mode:absolute,to:'2016-06-12 16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7" s="73" t="str">
        <f t="shared" si="51"/>
        <v>N</v>
      </c>
      <c r="V97" s="73">
        <f t="shared" si="34"/>
        <v>2</v>
      </c>
      <c r="W97" s="73">
        <f t="shared" si="52"/>
        <v>4.24E-2</v>
      </c>
      <c r="X97" s="73">
        <f t="shared" si="53"/>
        <v>23.331199999999999</v>
      </c>
      <c r="Y97" s="73">
        <f t="shared" si="54"/>
        <v>23.288799999999998</v>
      </c>
      <c r="Z97" s="74" t="e">
        <f>VLOOKUP(A97,Enforcements!$C$3:$J$41,8,0)</f>
        <v>#N/A</v>
      </c>
      <c r="AA97" s="74" t="e">
        <f>VLOOKUP(A97,Enforcements!$C$3:$J$41,3,0)</f>
        <v>#N/A</v>
      </c>
    </row>
    <row r="98" spans="1:27" s="2" customFormat="1" x14ac:dyDescent="0.25">
      <c r="A98" s="60" t="s">
        <v>391</v>
      </c>
      <c r="B98" s="60">
        <v>4012</v>
      </c>
      <c r="C98" s="60" t="s">
        <v>62</v>
      </c>
      <c r="D98" s="60" t="s">
        <v>477</v>
      </c>
      <c r="E98" s="30">
        <v>42533.676736111112</v>
      </c>
      <c r="F98" s="30">
        <v>42533.677719907406</v>
      </c>
      <c r="G98" s="38">
        <v>1</v>
      </c>
      <c r="H98" s="30" t="s">
        <v>66</v>
      </c>
      <c r="I98" s="30">
        <v>42533.713449074072</v>
      </c>
      <c r="J98" s="60">
        <v>0</v>
      </c>
      <c r="K98" s="60" t="str">
        <f t="shared" ref="K98:K106" si="56">IF(ISEVEN(B98),(B98-1)&amp;"/"&amp;B98,B98&amp;"/"&amp;(B98+1))</f>
        <v>4011/4012</v>
      </c>
      <c r="L98" s="60" t="str">
        <f>VLOOKUP(A98,'Trips&amp;Operators'!$C$1:$E$9999,3,FALSE)</f>
        <v>REBOLETTI</v>
      </c>
      <c r="M98" s="12">
        <f t="shared" ref="M98:M106" si="57">I98-F98</f>
        <v>3.5729166665987577E-2</v>
      </c>
      <c r="N98" s="13">
        <f t="shared" ref="N98:N104" si="58">24*60*SUM($M98:$M98)</f>
        <v>51.449999999022111</v>
      </c>
      <c r="O98" s="13"/>
      <c r="P98" s="13"/>
      <c r="Q98" s="61"/>
      <c r="R98" s="61"/>
      <c r="T98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16:13:30-0600',mode:absolute,to:'2016-06-12 17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8" s="73" t="str">
        <f t="shared" si="38"/>
        <v>N</v>
      </c>
      <c r="V98" s="73">
        <f t="shared" si="34"/>
        <v>1</v>
      </c>
      <c r="W98" s="73">
        <f t="shared" si="39"/>
        <v>23.3</v>
      </c>
      <c r="X98" s="73">
        <f t="shared" si="47"/>
        <v>1.52E-2</v>
      </c>
      <c r="Y98" s="73">
        <f t="shared" si="40"/>
        <v>23.284800000000001</v>
      </c>
      <c r="Z98" s="74" t="e">
        <f>VLOOKUP(A98,Enforcements!$C$3:$J$41,8,0)</f>
        <v>#N/A</v>
      </c>
      <c r="AA98" s="74" t="e">
        <f>VLOOKUP(A98,Enforcements!$C$3:$J$41,3,0)</f>
        <v>#N/A</v>
      </c>
    </row>
    <row r="99" spans="1:27" s="2" customFormat="1" x14ac:dyDescent="0.25">
      <c r="A99" s="60" t="s">
        <v>368</v>
      </c>
      <c r="B99" s="60">
        <v>4044</v>
      </c>
      <c r="C99" s="60" t="s">
        <v>62</v>
      </c>
      <c r="D99" s="60" t="s">
        <v>483</v>
      </c>
      <c r="E99" s="30">
        <v>42533.655729166669</v>
      </c>
      <c r="F99" s="30">
        <v>42533.656747685185</v>
      </c>
      <c r="G99" s="38">
        <v>1</v>
      </c>
      <c r="H99" s="30" t="s">
        <v>486</v>
      </c>
      <c r="I99" s="30">
        <v>42533.682986111111</v>
      </c>
      <c r="J99" s="60">
        <v>0</v>
      </c>
      <c r="K99" s="60" t="str">
        <f t="shared" si="56"/>
        <v>4043/4044</v>
      </c>
      <c r="L99" s="60" t="str">
        <f>VLOOKUP(A99,'Trips&amp;Operators'!$C$1:$E$9999,3,FALSE)</f>
        <v>ACKERMAN</v>
      </c>
      <c r="M99" s="12">
        <f t="shared" si="57"/>
        <v>2.6238425925839692E-2</v>
      </c>
      <c r="N99" s="13">
        <f t="shared" si="58"/>
        <v>37.783333333209157</v>
      </c>
      <c r="O99" s="13"/>
      <c r="P99" s="13"/>
      <c r="Q99" s="61"/>
      <c r="R99" s="61"/>
      <c r="T99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15:43:15-0600',mode:absolute,to:'2016-06-12 16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9" s="73" t="str">
        <f t="shared" si="38"/>
        <v>N</v>
      </c>
      <c r="V99" s="73">
        <f t="shared" si="34"/>
        <v>1</v>
      </c>
      <c r="W99" s="73">
        <f t="shared" si="39"/>
        <v>4.4699999999999997E-2</v>
      </c>
      <c r="X99" s="73">
        <f t="shared" si="47"/>
        <v>23.328900000000001</v>
      </c>
      <c r="Y99" s="73">
        <f t="shared" si="40"/>
        <v>23.284200000000002</v>
      </c>
      <c r="Z99" s="74" t="e">
        <f>VLOOKUP(A99,Enforcements!$C$3:$J$41,8,0)</f>
        <v>#N/A</v>
      </c>
      <c r="AA99" s="74" t="e">
        <f>VLOOKUP(A99,Enforcements!$C$3:$J$41,3,0)</f>
        <v>#N/A</v>
      </c>
    </row>
    <row r="100" spans="1:27" s="2" customFormat="1" x14ac:dyDescent="0.25">
      <c r="A100" s="60" t="s">
        <v>357</v>
      </c>
      <c r="B100" s="60">
        <v>4043</v>
      </c>
      <c r="C100" s="60" t="s">
        <v>62</v>
      </c>
      <c r="D100" s="60" t="s">
        <v>83</v>
      </c>
      <c r="E100" s="30">
        <v>42533.690520833334</v>
      </c>
      <c r="F100" s="30">
        <v>42533.691527777781</v>
      </c>
      <c r="G100" s="38">
        <v>1</v>
      </c>
      <c r="H100" s="30" t="s">
        <v>66</v>
      </c>
      <c r="I100" s="30">
        <v>42533.724537037036</v>
      </c>
      <c r="J100" s="60">
        <v>0</v>
      </c>
      <c r="K100" s="60" t="str">
        <f t="shared" si="56"/>
        <v>4043/4044</v>
      </c>
      <c r="L100" s="60" t="str">
        <f>VLOOKUP(A100,'Trips&amp;Operators'!$C$1:$E$9999,3,FALSE)</f>
        <v>ACKERMAN</v>
      </c>
      <c r="M100" s="12">
        <f t="shared" si="57"/>
        <v>3.3009259255777579E-2</v>
      </c>
      <c r="N100" s="13">
        <f t="shared" si="58"/>
        <v>47.533333328319713</v>
      </c>
      <c r="O100" s="13"/>
      <c r="P100" s="13"/>
      <c r="Q100" s="61"/>
      <c r="R100" s="61"/>
      <c r="T10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16:33:21-0600',mode:absolute,to:'2016-06-12 17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0" s="73" t="str">
        <f t="shared" si="38"/>
        <v>N</v>
      </c>
      <c r="V100" s="73">
        <f t="shared" si="34"/>
        <v>1</v>
      </c>
      <c r="W100" s="73">
        <f t="shared" si="39"/>
        <v>23.297699999999999</v>
      </c>
      <c r="X100" s="73">
        <f t="shared" si="47"/>
        <v>1.52E-2</v>
      </c>
      <c r="Y100" s="73">
        <f t="shared" si="40"/>
        <v>23.282499999999999</v>
      </c>
      <c r="Z100" s="74" t="e">
        <f>VLOOKUP(A100,Enforcements!$C$3:$J$41,8,0)</f>
        <v>#N/A</v>
      </c>
      <c r="AA100" s="74" t="e">
        <f>VLOOKUP(A100,Enforcements!$C$3:$J$41,3,0)</f>
        <v>#N/A</v>
      </c>
    </row>
    <row r="101" spans="1:27" s="2" customFormat="1" x14ac:dyDescent="0.25">
      <c r="A101" s="60" t="s">
        <v>329</v>
      </c>
      <c r="B101" s="60">
        <v>4016</v>
      </c>
      <c r="C101" s="60" t="s">
        <v>62</v>
      </c>
      <c r="D101" s="60" t="s">
        <v>508</v>
      </c>
      <c r="E101" s="30">
        <v>42533.66883101852</v>
      </c>
      <c r="F101" s="30">
        <v>42533.670300925929</v>
      </c>
      <c r="G101" s="38">
        <v>2</v>
      </c>
      <c r="H101" s="30" t="s">
        <v>479</v>
      </c>
      <c r="I101" s="30">
        <v>42533.70140046296</v>
      </c>
      <c r="J101" s="60">
        <v>1</v>
      </c>
      <c r="K101" s="60" t="str">
        <f t="shared" si="56"/>
        <v>4015/4016</v>
      </c>
      <c r="L101" s="60" t="str">
        <f>VLOOKUP(A101,'Trips&amp;Operators'!$C$1:$E$9999,3,FALSE)</f>
        <v>STEWART</v>
      </c>
      <c r="M101" s="12">
        <f t="shared" si="57"/>
        <v>3.1099537030968349E-2</v>
      </c>
      <c r="N101" s="13">
        <f t="shared" si="58"/>
        <v>44.783333324594423</v>
      </c>
      <c r="O101" s="13"/>
      <c r="P101" s="13"/>
      <c r="Q101" s="61"/>
      <c r="R101" s="61"/>
      <c r="T101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16:02:07-0600',mode:absolute,to:'2016-06-12 16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1" s="73" t="str">
        <f t="shared" si="38"/>
        <v>N</v>
      </c>
      <c r="V101" s="73">
        <f t="shared" si="34"/>
        <v>1</v>
      </c>
      <c r="W101" s="73">
        <f t="shared" si="39"/>
        <v>3.09E-2</v>
      </c>
      <c r="X101" s="73">
        <f t="shared" si="47"/>
        <v>23.331</v>
      </c>
      <c r="Y101" s="73">
        <f t="shared" si="40"/>
        <v>23.3001</v>
      </c>
      <c r="Z101" s="74">
        <f>VLOOKUP(A101,Enforcements!$C$3:$J$41,8,0)</f>
        <v>116838</v>
      </c>
      <c r="AA101" s="74" t="str">
        <f>VLOOKUP(A101,Enforcements!$C$3:$J$41,3,0)</f>
        <v>PERMANENT SPEED RESTRICTION</v>
      </c>
    </row>
    <row r="102" spans="1:27" s="2" customFormat="1" x14ac:dyDescent="0.25">
      <c r="A102" s="60" t="s">
        <v>386</v>
      </c>
      <c r="B102" s="60">
        <v>4015</v>
      </c>
      <c r="C102" s="60" t="s">
        <v>62</v>
      </c>
      <c r="D102" s="60" t="s">
        <v>107</v>
      </c>
      <c r="E102" s="30">
        <v>42533.707152777781</v>
      </c>
      <c r="F102" s="30">
        <v>42533.708634259259</v>
      </c>
      <c r="G102" s="38">
        <v>2</v>
      </c>
      <c r="H102" s="30" t="s">
        <v>77</v>
      </c>
      <c r="I102" s="30">
        <v>42533.737997685188</v>
      </c>
      <c r="J102" s="60">
        <v>0</v>
      </c>
      <c r="K102" s="60" t="str">
        <f t="shared" si="56"/>
        <v>4015/4016</v>
      </c>
      <c r="L102" s="60" t="str">
        <f>VLOOKUP(A102,'Trips&amp;Operators'!$C$1:$E$9999,3,FALSE)</f>
        <v>STEWART</v>
      </c>
      <c r="M102" s="12">
        <f t="shared" si="57"/>
        <v>2.9363425928750075E-2</v>
      </c>
      <c r="N102" s="13">
        <f t="shared" si="58"/>
        <v>42.283333337400109</v>
      </c>
      <c r="O102" s="13"/>
      <c r="P102" s="13"/>
      <c r="Q102" s="61"/>
      <c r="R102" s="61"/>
      <c r="T102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16:57:18-0600',mode:absolute,to:'2016-06-12 17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2" s="73" t="str">
        <f t="shared" si="38"/>
        <v>N</v>
      </c>
      <c r="V102" s="73">
        <f t="shared" si="34"/>
        <v>1</v>
      </c>
      <c r="W102" s="73">
        <f t="shared" si="39"/>
        <v>23.2989</v>
      </c>
      <c r="X102" s="73">
        <f t="shared" si="47"/>
        <v>1.6E-2</v>
      </c>
      <c r="Y102" s="73">
        <f t="shared" si="40"/>
        <v>23.282900000000001</v>
      </c>
      <c r="Z102" s="74" t="e">
        <f>VLOOKUP(A102,Enforcements!$C$3:$J$41,8,0)</f>
        <v>#N/A</v>
      </c>
      <c r="AA102" s="74" t="e">
        <f>VLOOKUP(A102,Enforcements!$C$3:$J$41,3,0)</f>
        <v>#N/A</v>
      </c>
    </row>
    <row r="103" spans="1:27" s="2" customFormat="1" x14ac:dyDescent="0.25">
      <c r="A103" s="60" t="s">
        <v>427</v>
      </c>
      <c r="B103" s="60">
        <v>4009</v>
      </c>
      <c r="C103" s="60" t="s">
        <v>62</v>
      </c>
      <c r="D103" s="60" t="s">
        <v>112</v>
      </c>
      <c r="E103" s="30">
        <v>42533.673935185187</v>
      </c>
      <c r="F103" s="30">
        <v>42533.675486111111</v>
      </c>
      <c r="G103" s="38">
        <v>2</v>
      </c>
      <c r="H103" s="30" t="s">
        <v>81</v>
      </c>
      <c r="I103" s="30">
        <v>42533.710613425923</v>
      </c>
      <c r="J103" s="60">
        <v>0</v>
      </c>
      <c r="K103" s="60" t="str">
        <f t="shared" si="56"/>
        <v>4009/4010</v>
      </c>
      <c r="L103" s="60" t="str">
        <f>VLOOKUP(A103,'Trips&amp;Operators'!$C$1:$E$9999,3,FALSE)</f>
        <v>MAYBERRY</v>
      </c>
      <c r="M103" s="12">
        <f t="shared" si="57"/>
        <v>3.5127314811688848E-2</v>
      </c>
      <c r="N103" s="13">
        <f t="shared" si="58"/>
        <v>50.583333328831941</v>
      </c>
      <c r="O103" s="13"/>
      <c r="P103" s="13"/>
      <c r="Q103" s="61"/>
      <c r="R103" s="61"/>
      <c r="T103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16:09:28-0600',mode:absolute,to:'2016-06-12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3" s="73" t="str">
        <f t="shared" si="38"/>
        <v>N</v>
      </c>
      <c r="V103" s="73">
        <f>VALUE(LEFT(A103,3))-VALUE(LEFT(A102,3))</f>
        <v>1</v>
      </c>
      <c r="W103" s="73">
        <f t="shared" si="39"/>
        <v>4.58E-2</v>
      </c>
      <c r="X103" s="73">
        <f t="shared" si="47"/>
        <v>23.3293</v>
      </c>
      <c r="Y103" s="73">
        <f t="shared" si="40"/>
        <v>23.2835</v>
      </c>
      <c r="Z103" s="74" t="e">
        <f>VLOOKUP(A103,Enforcements!$C$3:$J$41,8,0)</f>
        <v>#N/A</v>
      </c>
      <c r="AA103" s="74" t="e">
        <f>VLOOKUP(A103,Enforcements!$C$3:$J$41,3,0)</f>
        <v>#N/A</v>
      </c>
    </row>
    <row r="104" spans="1:27" s="2" customFormat="1" x14ac:dyDescent="0.25">
      <c r="A104" s="60" t="s">
        <v>330</v>
      </c>
      <c r="B104" s="60">
        <v>4010</v>
      </c>
      <c r="C104" s="60" t="s">
        <v>62</v>
      </c>
      <c r="D104" s="60" t="s">
        <v>133</v>
      </c>
      <c r="E104" s="30">
        <v>42533.711875000001</v>
      </c>
      <c r="F104" s="30">
        <v>42533.712858796294</v>
      </c>
      <c r="G104" s="38">
        <v>1</v>
      </c>
      <c r="H104" s="30" t="s">
        <v>509</v>
      </c>
      <c r="I104" s="30">
        <v>42533.745856481481</v>
      </c>
      <c r="J104" s="60">
        <v>2</v>
      </c>
      <c r="K104" s="60" t="str">
        <f t="shared" si="56"/>
        <v>4009/4010</v>
      </c>
      <c r="L104" s="60" t="str">
        <f>VLOOKUP(A104,'Trips&amp;Operators'!$C$1:$E$9999,3,FALSE)</f>
        <v>MAYBERRY</v>
      </c>
      <c r="M104" s="12">
        <f t="shared" si="57"/>
        <v>3.2997685186273884E-2</v>
      </c>
      <c r="N104" s="13">
        <f t="shared" si="58"/>
        <v>47.516666668234393</v>
      </c>
      <c r="O104" s="13"/>
      <c r="P104" s="13"/>
      <c r="Q104" s="61"/>
      <c r="R104" s="61"/>
      <c r="T104" s="73" t="str">
        <f t="shared" ref="T104:T109" si="59"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https://search-rtdc-monitor-bjffxe2xuh6vdkpspy63sjmuny.us-east-1.es.amazonaws.com/_plugin/kibana/#/discover/Steve-Slow-Train-Analysis-(2080s-and-2083s)?_g=(refreshInterval:(display:Off,section:0,value:0),time:(from:'2016-06-12 17:04:06-0600',mode:absolute,to:'2016-06-12 17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4" s="73" t="str">
        <f t="shared" ref="U104:U109" si="60">IF(Y104&lt;23,"Y","N")</f>
        <v>N</v>
      </c>
      <c r="V104" s="73">
        <f>VALUE(LEFT(A104,3))-VALUE(LEFT(A103,3))</f>
        <v>1</v>
      </c>
      <c r="W104" s="73">
        <f t="shared" ref="W104:W109" si="61">RIGHT(D104,LEN(D104)-4)/10000</f>
        <v>23.296700000000001</v>
      </c>
      <c r="X104" s="73">
        <f t="shared" ref="X104:X109" si="62">RIGHT(H104,LEN(H104)-4)/10000</f>
        <v>3.2500000000000001E-2</v>
      </c>
      <c r="Y104" s="73">
        <f t="shared" ref="Y104:Y109" si="63">ABS(X104-W104)</f>
        <v>23.264200000000002</v>
      </c>
      <c r="Z104" s="74">
        <f>VLOOKUP(A104,Enforcements!$C$3:$J$41,8,0)</f>
        <v>127587</v>
      </c>
      <c r="AA104" s="74" t="str">
        <f>VLOOKUP(A104,Enforcements!$C$3:$J$41,3,0)</f>
        <v>SIGNAL</v>
      </c>
    </row>
    <row r="105" spans="1:27" s="2" customFormat="1" x14ac:dyDescent="0.25">
      <c r="A105" s="60" t="s">
        <v>333</v>
      </c>
      <c r="B105" s="60">
        <v>4030</v>
      </c>
      <c r="C105" s="60" t="s">
        <v>62</v>
      </c>
      <c r="D105" s="60" t="s">
        <v>67</v>
      </c>
      <c r="E105" s="30">
        <v>42533.721331018518</v>
      </c>
      <c r="F105" s="30">
        <v>42533.722349537034</v>
      </c>
      <c r="G105" s="38">
        <v>1</v>
      </c>
      <c r="H105" s="30" t="s">
        <v>276</v>
      </c>
      <c r="I105" s="30">
        <v>42533.737060185187</v>
      </c>
      <c r="J105" s="60">
        <v>0</v>
      </c>
      <c r="K105" s="60" t="str">
        <f t="shared" si="56"/>
        <v>4029/4030</v>
      </c>
      <c r="L105" s="60" t="str">
        <f>VLOOKUP(A105,'Trips&amp;Operators'!$C$1:$E$9999,3,FALSE)</f>
        <v>WEBSTER</v>
      </c>
      <c r="M105" s="12">
        <f t="shared" si="57"/>
        <v>1.471064815268619E-2</v>
      </c>
      <c r="N105" s="13"/>
      <c r="O105" s="13"/>
      <c r="P105" s="13">
        <f>24*60*SUM($M105:$M106)</f>
        <v>45.266666666138917</v>
      </c>
      <c r="Q105" s="61"/>
      <c r="R105" s="61" t="s">
        <v>540</v>
      </c>
      <c r="T105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https://search-rtdc-monitor-bjffxe2xuh6vdkpspy63sjmuny.us-east-1.es.amazonaws.com/_plugin/kibana/#/discover/Steve-Slow-Train-Analysis-(2080s-and-2083s)?_g=(refreshInterval:(display:Off,section:0,value:0),time:(from:'2016-06-12 17:17:43-0600',mode:absolute,to:'2016-06-12 17:42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5" s="73" t="str">
        <f t="shared" si="60"/>
        <v>Y</v>
      </c>
      <c r="V105" s="73">
        <f t="shared" si="34"/>
        <v>2</v>
      </c>
      <c r="W105" s="73">
        <f t="shared" si="61"/>
        <v>23.299399999999999</v>
      </c>
      <c r="X105" s="73">
        <f t="shared" si="62"/>
        <v>12.786</v>
      </c>
      <c r="Y105" s="73">
        <f t="shared" si="63"/>
        <v>10.513399999999999</v>
      </c>
      <c r="Z105" s="74">
        <f>VLOOKUP(A105,Enforcements!$C$3:$J$41,8,0)</f>
        <v>1</v>
      </c>
      <c r="AA105" s="74" t="str">
        <f>VLOOKUP(A105,Enforcements!$C$3:$J$41,3,0)</f>
        <v>TRACK WARRANT AUTHORITY</v>
      </c>
    </row>
    <row r="106" spans="1:27" s="2" customFormat="1" x14ac:dyDescent="0.25">
      <c r="A106" s="60" t="s">
        <v>333</v>
      </c>
      <c r="B106" s="60">
        <v>4030</v>
      </c>
      <c r="C106" s="60" t="s">
        <v>62</v>
      </c>
      <c r="D106" s="60" t="s">
        <v>510</v>
      </c>
      <c r="E106" s="30">
        <v>42533.737187500003</v>
      </c>
      <c r="F106" s="30">
        <v>42533.738217592596</v>
      </c>
      <c r="G106" s="38">
        <v>1</v>
      </c>
      <c r="H106" s="30" t="s">
        <v>72</v>
      </c>
      <c r="I106" s="30">
        <v>42533.754942129628</v>
      </c>
      <c r="J106" s="60">
        <v>1</v>
      </c>
      <c r="K106" s="60" t="str">
        <f t="shared" si="56"/>
        <v>4029/4030</v>
      </c>
      <c r="L106" s="60" t="str">
        <f>VLOOKUP(A106,'Trips&amp;Operators'!$C$1:$E$9999,3,FALSE)</f>
        <v>WEBSTER</v>
      </c>
      <c r="M106" s="12">
        <f t="shared" si="57"/>
        <v>1.6724537032132503E-2</v>
      </c>
      <c r="N106" s="13"/>
      <c r="O106" s="13"/>
      <c r="P106" s="13"/>
      <c r="Q106" s="61"/>
      <c r="R106" s="61"/>
      <c r="T106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https://search-rtdc-monitor-bjffxe2xuh6vdkpspy63sjmuny.us-east-1.es.amazonaws.com/_plugin/kibana/#/discover/Steve-Slow-Train-Analysis-(2080s-and-2083s)?_g=(refreshInterval:(display:Off,section:0,value:0),time:(from:'2016-06-12 17:40:33-0600',mode:absolute,to:'2016-06-12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6" s="73" t="str">
        <f t="shared" si="60"/>
        <v>Y</v>
      </c>
      <c r="V106" s="73">
        <f t="shared" si="34"/>
        <v>0</v>
      </c>
      <c r="W106" s="73">
        <f t="shared" si="61"/>
        <v>12.786300000000001</v>
      </c>
      <c r="X106" s="73">
        <f t="shared" si="62"/>
        <v>1.4999999999999999E-2</v>
      </c>
      <c r="Y106" s="73">
        <f t="shared" si="63"/>
        <v>12.7713</v>
      </c>
      <c r="Z106" s="74">
        <f>VLOOKUP(A106,Enforcements!$C$3:$J$41,8,0)</f>
        <v>1</v>
      </c>
      <c r="AA106" s="74" t="str">
        <f>VLOOKUP(A106,Enforcements!$C$3:$J$41,3,0)</f>
        <v>TRACK WARRANT AUTHORITY</v>
      </c>
    </row>
    <row r="107" spans="1:27" s="2" customFormat="1" x14ac:dyDescent="0.25">
      <c r="A107" s="60" t="s">
        <v>331</v>
      </c>
      <c r="B107" s="60">
        <v>4019</v>
      </c>
      <c r="C107" s="60"/>
      <c r="D107" s="60"/>
      <c r="E107" s="30"/>
      <c r="F107" s="30">
        <v>42533.736956018518</v>
      </c>
      <c r="G107" s="38"/>
      <c r="H107" s="30"/>
      <c r="I107" s="30">
        <v>42533.738611111112</v>
      </c>
      <c r="J107" s="60"/>
      <c r="K107" s="60" t="str">
        <f t="shared" ref="K107" si="64">IF(ISEVEN(B107),(B107-1)&amp;"/"&amp;B107,B107&amp;"/"&amp;(B107+1))</f>
        <v>4019/4020</v>
      </c>
      <c r="L107" s="60" t="str">
        <f>VLOOKUP(A107,'Trips&amp;Operators'!$C$1:$E$9999,3,FALSE)</f>
        <v>RIVERA</v>
      </c>
      <c r="M107" s="12">
        <f t="shared" ref="M107" si="65">I107-F107</f>
        <v>1.6550925938645378E-3</v>
      </c>
      <c r="N107" s="13"/>
      <c r="O107" s="13"/>
      <c r="P107" s="13">
        <f t="shared" ref="P107" si="66">24*60*SUM($M107:$M107)</f>
        <v>2.3833333351649344</v>
      </c>
      <c r="Q107" s="61"/>
      <c r="R107" s="61" t="s">
        <v>535</v>
      </c>
      <c r="T107" s="73" t="e">
        <f t="shared" si="59"/>
        <v>#VALUE!</v>
      </c>
      <c r="U107" s="73" t="e">
        <f t="shared" si="60"/>
        <v>#VALUE!</v>
      </c>
      <c r="V107" s="73">
        <f t="shared" si="34"/>
        <v>2</v>
      </c>
      <c r="W107" s="73" t="e">
        <f t="shared" si="61"/>
        <v>#VALUE!</v>
      </c>
      <c r="X107" s="73" t="e">
        <f t="shared" si="62"/>
        <v>#VALUE!</v>
      </c>
      <c r="Y107" s="73" t="e">
        <f t="shared" si="63"/>
        <v>#VALUE!</v>
      </c>
      <c r="Z107" s="74"/>
      <c r="AA107" s="74"/>
    </row>
    <row r="108" spans="1:27" s="2" customFormat="1" x14ac:dyDescent="0.25">
      <c r="A108" s="60" t="s">
        <v>438</v>
      </c>
      <c r="B108" s="60">
        <v>4024</v>
      </c>
      <c r="C108" s="60" t="s">
        <v>62</v>
      </c>
      <c r="D108" s="60" t="s">
        <v>292</v>
      </c>
      <c r="E108" s="30">
        <v>42533.700613425928</v>
      </c>
      <c r="F108" s="30">
        <v>42533.703831018516</v>
      </c>
      <c r="G108" s="38">
        <v>4</v>
      </c>
      <c r="H108" s="30" t="s">
        <v>500</v>
      </c>
      <c r="I108" s="30">
        <v>42533.735162037039</v>
      </c>
      <c r="J108" s="60">
        <v>0</v>
      </c>
      <c r="K108" s="60" t="str">
        <f t="shared" ref="K108:K124" si="67">IF(ISEVEN(B108),(B108-1)&amp;"/"&amp;B108,B108&amp;"/"&amp;(B108+1))</f>
        <v>4023/4024</v>
      </c>
      <c r="L108" s="60" t="str">
        <f>VLOOKUP(A108,'Trips&amp;Operators'!$C$1:$E$9999,3,FALSE)</f>
        <v>LOCKLEAR</v>
      </c>
      <c r="M108" s="12">
        <f t="shared" ref="M108:M124" si="68">I108-F108</f>
        <v>3.1331018522905651E-2</v>
      </c>
      <c r="N108" s="13"/>
      <c r="O108" s="13"/>
      <c r="P108" s="13"/>
      <c r="Q108" s="61"/>
      <c r="R108" s="61"/>
      <c r="T108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https://search-rtdc-monitor-bjffxe2xuh6vdkpspy63sjmuny.us-east-1.es.amazonaws.com/_plugin/kibana/#/discover/Steve-Slow-Train-Analysis-(2080s-and-2083s)?_g=(refreshInterval:(display:Off,section:0,value:0),time:(from:'2016-06-12 16:47:53-0600',mode:absolute,to:'2016-06-12 17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3" t="str">
        <f t="shared" si="60"/>
        <v>N</v>
      </c>
      <c r="V108" s="73">
        <f t="shared" si="34"/>
        <v>1</v>
      </c>
      <c r="W108" s="73">
        <f t="shared" si="61"/>
        <v>4.6699999999999998E-2</v>
      </c>
      <c r="X108" s="73">
        <f t="shared" si="62"/>
        <v>23.343399999999999</v>
      </c>
      <c r="Y108" s="73">
        <f t="shared" si="63"/>
        <v>23.296699999999998</v>
      </c>
      <c r="Z108" s="74" t="e">
        <f>VLOOKUP(A108,Enforcements!$C$3:$J$41,8,0)</f>
        <v>#N/A</v>
      </c>
      <c r="AA108" s="74" t="e">
        <f>VLOOKUP(A108,Enforcements!$C$3:$J$41,3,0)</f>
        <v>#N/A</v>
      </c>
    </row>
    <row r="109" spans="1:27" s="2" customFormat="1" x14ac:dyDescent="0.25">
      <c r="A109" s="60" t="s">
        <v>352</v>
      </c>
      <c r="B109" s="60">
        <v>4023</v>
      </c>
      <c r="C109" s="60" t="s">
        <v>62</v>
      </c>
      <c r="D109" s="60" t="s">
        <v>511</v>
      </c>
      <c r="E109" s="30">
        <v>42533.745254629626</v>
      </c>
      <c r="F109" s="30">
        <v>42533.746446759258</v>
      </c>
      <c r="G109" s="38">
        <v>1</v>
      </c>
      <c r="H109" s="30" t="s">
        <v>465</v>
      </c>
      <c r="I109" s="30">
        <v>42533.776712962965</v>
      </c>
      <c r="J109" s="60">
        <v>0</v>
      </c>
      <c r="K109" s="60" t="str">
        <f t="shared" si="67"/>
        <v>4023/4024</v>
      </c>
      <c r="L109" s="60" t="str">
        <f>VLOOKUP(A109,'Trips&amp;Operators'!$C$1:$E$9999,3,FALSE)</f>
        <v>LOCKLEAR</v>
      </c>
      <c r="M109" s="12">
        <f t="shared" si="68"/>
        <v>3.0266203706560191E-2</v>
      </c>
      <c r="N109" s="13">
        <f>24*60*SUM($M109:$M109)</f>
        <v>43.583333337446675</v>
      </c>
      <c r="O109" s="13"/>
      <c r="P109" s="13"/>
      <c r="Q109" s="61"/>
      <c r="R109" s="61"/>
      <c r="T109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https://search-rtdc-monitor-bjffxe2xuh6vdkpspy63sjmuny.us-east-1.es.amazonaws.com/_plugin/kibana/#/discover/Steve-Slow-Train-Analysis-(2080s-and-2083s)?_g=(refreshInterval:(display:Off,section:0,value:0),time:(from:'2016-06-12 17:52:10-0600',mode:absolute,to:'2016-06-12 18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3" t="str">
        <f t="shared" si="60"/>
        <v>N</v>
      </c>
      <c r="V109" s="73">
        <f t="shared" si="34"/>
        <v>1</v>
      </c>
      <c r="W109" s="73">
        <f t="shared" si="61"/>
        <v>23.312799999999999</v>
      </c>
      <c r="X109" s="73">
        <f t="shared" si="62"/>
        <v>1.6899999999999998E-2</v>
      </c>
      <c r="Y109" s="73">
        <f t="shared" si="63"/>
        <v>23.2959</v>
      </c>
      <c r="Z109" s="74" t="e">
        <f>VLOOKUP(A109,Enforcements!$C$3:$J$41,8,0)</f>
        <v>#N/A</v>
      </c>
      <c r="AA109" s="74" t="e">
        <f>VLOOKUP(A109,Enforcements!$C$3:$J$41,3,0)</f>
        <v>#N/A</v>
      </c>
    </row>
    <row r="110" spans="1:27" s="2" customFormat="1" x14ac:dyDescent="0.25">
      <c r="A110" s="60" t="s">
        <v>350</v>
      </c>
      <c r="B110" s="60">
        <v>4011</v>
      </c>
      <c r="C110" s="60" t="s">
        <v>62</v>
      </c>
      <c r="D110" s="60" t="s">
        <v>99</v>
      </c>
      <c r="E110" s="30">
        <v>42533.717314814814</v>
      </c>
      <c r="F110" s="30">
        <v>42533.718356481484</v>
      </c>
      <c r="G110" s="38">
        <v>1</v>
      </c>
      <c r="H110" s="30" t="s">
        <v>486</v>
      </c>
      <c r="I110" s="30">
        <v>42533.748344907406</v>
      </c>
      <c r="J110" s="60">
        <v>0</v>
      </c>
      <c r="K110" s="60" t="str">
        <f t="shared" si="67"/>
        <v>4011/4012</v>
      </c>
      <c r="L110" s="60" t="str">
        <f>VLOOKUP(A110,'Trips&amp;Operators'!$C$1:$E$9999,3,FALSE)</f>
        <v>BRUDER</v>
      </c>
      <c r="M110" s="12">
        <f t="shared" si="68"/>
        <v>2.9988425922056194E-2</v>
      </c>
      <c r="N110" s="13">
        <f>24*60*SUM($M110:$M110)</f>
        <v>43.18333332776092</v>
      </c>
      <c r="O110" s="13"/>
      <c r="P110" s="13"/>
      <c r="Q110" s="61"/>
      <c r="R110" s="61"/>
      <c r="T110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https://search-rtdc-monitor-bjffxe2xuh6vdkpspy63sjmuny.us-east-1.es.amazonaws.com/_plugin/kibana/#/discover/Steve-Slow-Train-Analysis-(2080s-and-2083s)?_g=(refreshInterval:(display:Off,section:0,value:0),time:(from:'2016-06-12 17:11:56-0600',mode:absolute,to:'2016-06-12 17:58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73" t="str">
        <f t="shared" si="38"/>
        <v>N</v>
      </c>
      <c r="V110" s="73">
        <f t="shared" si="34"/>
        <v>1</v>
      </c>
      <c r="W110" s="73">
        <f t="shared" si="39"/>
        <v>4.53E-2</v>
      </c>
      <c r="X110" s="73">
        <f t="shared" si="47"/>
        <v>23.328900000000001</v>
      </c>
      <c r="Y110" s="73">
        <f t="shared" si="40"/>
        <v>23.2836</v>
      </c>
      <c r="Z110" s="74" t="e">
        <f>VLOOKUP(A110,Enforcements!$C$3:$J$41,8,0)</f>
        <v>#N/A</v>
      </c>
      <c r="AA110" s="74" t="e">
        <f>VLOOKUP(A110,Enforcements!$C$3:$J$41,3,0)</f>
        <v>#N/A</v>
      </c>
    </row>
    <row r="111" spans="1:27" s="2" customFormat="1" x14ac:dyDescent="0.25">
      <c r="A111" s="60" t="s">
        <v>411</v>
      </c>
      <c r="B111" s="60">
        <v>4012</v>
      </c>
      <c r="C111" s="60" t="s">
        <v>62</v>
      </c>
      <c r="D111" s="60" t="s">
        <v>294</v>
      </c>
      <c r="E111" s="30">
        <v>42533.755868055552</v>
      </c>
      <c r="F111" s="30">
        <v>42533.757002314815</v>
      </c>
      <c r="G111" s="38">
        <v>1</v>
      </c>
      <c r="H111" s="30" t="s">
        <v>74</v>
      </c>
      <c r="I111" s="30">
        <v>42533.787928240738</v>
      </c>
      <c r="J111" s="60">
        <v>0</v>
      </c>
      <c r="K111" s="60" t="str">
        <f t="shared" si="67"/>
        <v>4011/4012</v>
      </c>
      <c r="L111" s="60" t="str">
        <f>VLOOKUP(A111,'Trips&amp;Operators'!$C$1:$E$9999,3,FALSE)</f>
        <v>BRUDER</v>
      </c>
      <c r="M111" s="12">
        <f t="shared" si="68"/>
        <v>3.0925925922929309E-2</v>
      </c>
      <c r="N111" s="13">
        <f>24*60*SUM($M111:$M111)</f>
        <v>44.533333329018205</v>
      </c>
      <c r="O111" s="13"/>
      <c r="P111" s="13"/>
      <c r="Q111" s="61"/>
      <c r="R111" s="61"/>
      <c r="T111" s="73" t="str">
        <f t="shared" ref="T111:T144" si="69"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https://search-rtdc-monitor-bjffxe2xuh6vdkpspy63sjmuny.us-east-1.es.amazonaws.com/_plugin/kibana/#/discover/Steve-Slow-Train-Analysis-(2080s-and-2083s)?_g=(refreshInterval:(display:Off,section:0,value:0),time:(from:'2016-06-12 18:07:27-0600',mode:absolute,to:'2016-06-12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3" t="str">
        <f t="shared" ref="U111:U144" si="70">IF(Y111&lt;23,"Y","N")</f>
        <v>N</v>
      </c>
      <c r="V111" s="73">
        <f t="shared" si="34"/>
        <v>1</v>
      </c>
      <c r="W111" s="73">
        <f t="shared" ref="W111:W144" si="71">RIGHT(D111,LEN(D111)-4)/10000</f>
        <v>23.298400000000001</v>
      </c>
      <c r="X111" s="73">
        <f t="shared" si="47"/>
        <v>1.47E-2</v>
      </c>
      <c r="Y111" s="73">
        <f t="shared" ref="Y111:Y144" si="72">ABS(X111-W111)</f>
        <v>23.2837</v>
      </c>
      <c r="Z111" s="74" t="e">
        <f>VLOOKUP(A111,Enforcements!$C$3:$J$41,8,0)</f>
        <v>#N/A</v>
      </c>
      <c r="AA111" s="74"/>
    </row>
    <row r="112" spans="1:27" s="2" customFormat="1" x14ac:dyDescent="0.25">
      <c r="A112" s="60" t="s">
        <v>426</v>
      </c>
      <c r="B112" s="60">
        <v>4044</v>
      </c>
      <c r="C112" s="60" t="s">
        <v>62</v>
      </c>
      <c r="D112" s="60" t="s">
        <v>112</v>
      </c>
      <c r="E112" s="30">
        <v>42533.726215277777</v>
      </c>
      <c r="F112" s="30">
        <v>42533.727858796294</v>
      </c>
      <c r="G112" s="38">
        <v>2</v>
      </c>
      <c r="H112" s="30" t="s">
        <v>115</v>
      </c>
      <c r="I112" s="30">
        <v>42533.756099537037</v>
      </c>
      <c r="J112" s="60">
        <v>0</v>
      </c>
      <c r="K112" s="60" t="str">
        <f t="shared" si="67"/>
        <v>4043/4044</v>
      </c>
      <c r="L112" s="60" t="str">
        <f>VLOOKUP(A112,'Trips&amp;Operators'!$C$1:$E$9999,3,FALSE)</f>
        <v>REBOLETTI</v>
      </c>
      <c r="M112" s="12">
        <f t="shared" si="68"/>
        <v>2.8240740743058268E-2</v>
      </c>
      <c r="N112" s="13">
        <f>24*60*SUM($M112:$M112)</f>
        <v>40.666666670003906</v>
      </c>
      <c r="O112" s="13"/>
      <c r="P112" s="13"/>
      <c r="Q112" s="61"/>
      <c r="R112" s="61"/>
      <c r="T112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17:24:45-0600',mode:absolute,to:'2016-06-12 18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2" s="73" t="str">
        <f t="shared" si="70"/>
        <v>N</v>
      </c>
      <c r="V112" s="73">
        <f t="shared" si="34"/>
        <v>1</v>
      </c>
      <c r="W112" s="73">
        <f t="shared" si="71"/>
        <v>4.58E-2</v>
      </c>
      <c r="X112" s="73">
        <f t="shared" si="47"/>
        <v>23.329799999999999</v>
      </c>
      <c r="Y112" s="73">
        <f t="shared" si="72"/>
        <v>23.283999999999999</v>
      </c>
      <c r="Z112" s="74" t="e">
        <f>VLOOKUP(A112,Enforcements!$C$3:$J$41,8,0)</f>
        <v>#N/A</v>
      </c>
      <c r="AA112" s="74" t="e">
        <f>VLOOKUP(A112,Enforcements!$C$3:$J$41,3,0)</f>
        <v>#N/A</v>
      </c>
    </row>
    <row r="113" spans="1:27" s="2" customFormat="1" x14ac:dyDescent="0.25">
      <c r="A113" s="60" t="s">
        <v>401</v>
      </c>
      <c r="B113" s="60">
        <v>4043</v>
      </c>
      <c r="C113" s="60" t="s">
        <v>62</v>
      </c>
      <c r="D113" s="60" t="s">
        <v>289</v>
      </c>
      <c r="E113" s="30">
        <v>42533.761377314811</v>
      </c>
      <c r="F113" s="30">
        <v>42533.763356481482</v>
      </c>
      <c r="G113" s="38">
        <v>2</v>
      </c>
      <c r="H113" s="30" t="s">
        <v>93</v>
      </c>
      <c r="I113" s="30">
        <v>42533.795497685183</v>
      </c>
      <c r="J113" s="60">
        <v>0</v>
      </c>
      <c r="K113" s="60" t="str">
        <f t="shared" si="67"/>
        <v>4043/4044</v>
      </c>
      <c r="L113" s="60" t="str">
        <f>VLOOKUP(A113,'Trips&amp;Operators'!$C$1:$E$9999,3,FALSE)</f>
        <v>REBOLETTI</v>
      </c>
      <c r="M113" s="12">
        <f t="shared" si="68"/>
        <v>3.2141203701030463E-2</v>
      </c>
      <c r="N113" s="13">
        <f>24*60*SUM($M113:$M113)</f>
        <v>46.283333329483867</v>
      </c>
      <c r="O113" s="13"/>
      <c r="P113" s="13"/>
      <c r="Q113" s="61"/>
      <c r="R113" s="61"/>
      <c r="T113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18:15:23-0600',mode:absolute,to:'2016-06-12 19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3" s="73" t="str">
        <f t="shared" si="70"/>
        <v>N</v>
      </c>
      <c r="V113" s="73">
        <f t="shared" si="34"/>
        <v>1</v>
      </c>
      <c r="W113" s="73">
        <f t="shared" si="71"/>
        <v>23.297899999999998</v>
      </c>
      <c r="X113" s="73">
        <f t="shared" si="47"/>
        <v>1.49E-2</v>
      </c>
      <c r="Y113" s="73">
        <f t="shared" si="72"/>
        <v>23.282999999999998</v>
      </c>
      <c r="Z113" s="74" t="e">
        <f>VLOOKUP(A113,Enforcements!$C$3:$J$41,8,0)</f>
        <v>#N/A</v>
      </c>
      <c r="AA113" s="74" t="e">
        <f>VLOOKUP(A113,Enforcements!$C$3:$J$41,3,0)</f>
        <v>#N/A</v>
      </c>
    </row>
    <row r="114" spans="1:27" s="2" customFormat="1" x14ac:dyDescent="0.25">
      <c r="A114" s="60" t="s">
        <v>428</v>
      </c>
      <c r="B114" s="60">
        <v>4016</v>
      </c>
      <c r="C114" s="60" t="s">
        <v>62</v>
      </c>
      <c r="D114" s="60" t="s">
        <v>512</v>
      </c>
      <c r="E114" s="30">
        <v>42533.749201388891</v>
      </c>
      <c r="F114" s="30">
        <v>42533.750254629631</v>
      </c>
      <c r="G114" s="38">
        <v>1</v>
      </c>
      <c r="H114" s="30" t="s">
        <v>506</v>
      </c>
      <c r="I114" s="30">
        <v>42533.782476851855</v>
      </c>
      <c r="J114" s="60">
        <v>0</v>
      </c>
      <c r="K114" s="60" t="str">
        <f t="shared" si="67"/>
        <v>4015/4016</v>
      </c>
      <c r="L114" s="60" t="str">
        <f>VLOOKUP(A114,'Trips&amp;Operators'!$C$1:$E$9999,3,FALSE)</f>
        <v>YOUNG</v>
      </c>
      <c r="M114" s="12">
        <f t="shared" si="68"/>
        <v>3.2222222223936114E-2</v>
      </c>
      <c r="N114" s="13"/>
      <c r="O114" s="13"/>
      <c r="P114" s="13">
        <f>24*60*SUM($M114:$M114)</f>
        <v>46.400000002468005</v>
      </c>
      <c r="Q114" s="61"/>
      <c r="R114" s="61" t="s">
        <v>536</v>
      </c>
      <c r="T114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17:57:51-0600',mode:absolute,to:'2016-06-12 18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3" t="str">
        <f t="shared" si="70"/>
        <v>Y</v>
      </c>
      <c r="V114" s="73">
        <f t="shared" si="34"/>
        <v>1</v>
      </c>
      <c r="W114" s="73">
        <f t="shared" si="71"/>
        <v>1.9148000000000001</v>
      </c>
      <c r="X114" s="73">
        <f t="shared" si="47"/>
        <v>23.331900000000001</v>
      </c>
      <c r="Y114" s="73">
        <f t="shared" si="72"/>
        <v>21.417100000000001</v>
      </c>
      <c r="Z114" s="74" t="e">
        <f>VLOOKUP(A114,Enforcements!$C$3:$J$41,8,0)</f>
        <v>#N/A</v>
      </c>
      <c r="AA114" s="74"/>
    </row>
    <row r="115" spans="1:27" s="2" customFormat="1" x14ac:dyDescent="0.25">
      <c r="A115" s="60" t="s">
        <v>439</v>
      </c>
      <c r="B115" s="60">
        <v>4015</v>
      </c>
      <c r="C115" s="60" t="s">
        <v>62</v>
      </c>
      <c r="D115" s="60" t="s">
        <v>114</v>
      </c>
      <c r="E115" s="30">
        <v>42533.784305555557</v>
      </c>
      <c r="F115" s="30">
        <v>42533.785439814812</v>
      </c>
      <c r="G115" s="38">
        <v>1</v>
      </c>
      <c r="H115" s="30" t="s">
        <v>465</v>
      </c>
      <c r="I115" s="30">
        <v>42533.815266203703</v>
      </c>
      <c r="J115" s="60">
        <v>0</v>
      </c>
      <c r="K115" s="60" t="str">
        <f t="shared" si="67"/>
        <v>4015/4016</v>
      </c>
      <c r="L115" s="60" t="str">
        <f>VLOOKUP(A115,'Trips&amp;Operators'!$C$1:$E$9999,3,FALSE)</f>
        <v>YOUNG</v>
      </c>
      <c r="M115" s="12">
        <f t="shared" si="68"/>
        <v>2.9826388890796807E-2</v>
      </c>
      <c r="N115" s="13">
        <f t="shared" ref="N115:N121" si="73">24*60*SUM($M115:$M115)</f>
        <v>42.950000002747402</v>
      </c>
      <c r="O115" s="13"/>
      <c r="P115" s="13"/>
      <c r="Q115" s="61"/>
      <c r="R115" s="61"/>
      <c r="T115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18:48:24-0600',mode:absolute,to:'2016-06-12 19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3" t="str">
        <f t="shared" si="70"/>
        <v>N</v>
      </c>
      <c r="V115" s="73">
        <f t="shared" si="34"/>
        <v>1</v>
      </c>
      <c r="W115" s="73">
        <f t="shared" si="71"/>
        <v>23.299800000000001</v>
      </c>
      <c r="X115" s="73">
        <f t="shared" si="47"/>
        <v>1.6899999999999998E-2</v>
      </c>
      <c r="Y115" s="73">
        <f t="shared" si="72"/>
        <v>23.282900000000001</v>
      </c>
      <c r="Z115" s="74" t="e">
        <f>VLOOKUP(A115,Enforcements!$C$3:$J$41,8,0)</f>
        <v>#N/A</v>
      </c>
      <c r="AA115" s="74"/>
    </row>
    <row r="116" spans="1:27" s="2" customFormat="1" x14ac:dyDescent="0.25">
      <c r="A116" s="60" t="s">
        <v>349</v>
      </c>
      <c r="B116" s="60">
        <v>4009</v>
      </c>
      <c r="C116" s="60" t="s">
        <v>62</v>
      </c>
      <c r="D116" s="60" t="s">
        <v>513</v>
      </c>
      <c r="E116" s="30">
        <v>42533.749189814815</v>
      </c>
      <c r="F116" s="30">
        <v>42533.751516203702</v>
      </c>
      <c r="G116" s="38">
        <v>3</v>
      </c>
      <c r="H116" s="30" t="s">
        <v>116</v>
      </c>
      <c r="I116" s="30">
        <v>42533.785312499997</v>
      </c>
      <c r="J116" s="60">
        <v>0</v>
      </c>
      <c r="K116" s="60" t="str">
        <f t="shared" si="67"/>
        <v>4009/4010</v>
      </c>
      <c r="L116" s="60" t="str">
        <f>VLOOKUP(A116,'Trips&amp;Operators'!$C$1:$E$9999,3,FALSE)</f>
        <v>STEWART</v>
      </c>
      <c r="M116" s="12">
        <f t="shared" si="68"/>
        <v>3.3796296294895001E-2</v>
      </c>
      <c r="N116" s="13">
        <f t="shared" si="73"/>
        <v>48.666666664648801</v>
      </c>
      <c r="O116" s="13"/>
      <c r="P116" s="13"/>
      <c r="Q116" s="61"/>
      <c r="R116" s="61"/>
      <c r="T116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17:57:50-0600',mode:absolute,to:'2016-06-12 18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3" t="str">
        <f t="shared" si="70"/>
        <v>N</v>
      </c>
      <c r="V116" s="73">
        <f t="shared" si="34"/>
        <v>1</v>
      </c>
      <c r="W116" s="73">
        <f t="shared" si="71"/>
        <v>6.3100000000000003E-2</v>
      </c>
      <c r="X116" s="73">
        <f t="shared" si="47"/>
        <v>23.330300000000001</v>
      </c>
      <c r="Y116" s="73">
        <f t="shared" si="72"/>
        <v>23.267200000000003</v>
      </c>
      <c r="Z116" s="74" t="e">
        <f>VLOOKUP(A116,Enforcements!$C$3:$J$41,8,0)</f>
        <v>#N/A</v>
      </c>
      <c r="AA116" s="74" t="e">
        <f>VLOOKUP(A116,Enforcements!$C$3:$J$41,3,0)</f>
        <v>#N/A</v>
      </c>
    </row>
    <row r="117" spans="1:27" s="2" customFormat="1" x14ac:dyDescent="0.25">
      <c r="A117" s="60" t="s">
        <v>334</v>
      </c>
      <c r="B117" s="60">
        <v>4010</v>
      </c>
      <c r="C117" s="60" t="s">
        <v>62</v>
      </c>
      <c r="D117" s="60" t="s">
        <v>117</v>
      </c>
      <c r="E117" s="30">
        <v>42533.787268518521</v>
      </c>
      <c r="F117" s="30">
        <v>42533.789189814815</v>
      </c>
      <c r="G117" s="38">
        <v>2</v>
      </c>
      <c r="H117" s="30" t="s">
        <v>514</v>
      </c>
      <c r="I117" s="30">
        <v>42533.823900462965</v>
      </c>
      <c r="J117" s="60">
        <v>3</v>
      </c>
      <c r="K117" s="60" t="str">
        <f t="shared" si="67"/>
        <v>4009/4010</v>
      </c>
      <c r="L117" s="60" t="str">
        <f>VLOOKUP(A117,'Trips&amp;Operators'!$C$1:$E$9999,3,FALSE)</f>
        <v>STEWART</v>
      </c>
      <c r="M117" s="12">
        <f t="shared" si="68"/>
        <v>3.4710648149484769E-2</v>
      </c>
      <c r="N117" s="13">
        <f t="shared" si="73"/>
        <v>49.983333335258067</v>
      </c>
      <c r="O117" s="13"/>
      <c r="P117" s="13"/>
      <c r="Q117" s="61"/>
      <c r="R117" s="61"/>
      <c r="T117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18:52:40-0600',mode:absolute,to:'2016-06-12 19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3" t="str">
        <f t="shared" si="70"/>
        <v>N</v>
      </c>
      <c r="V117" s="73">
        <f t="shared" si="34"/>
        <v>1</v>
      </c>
      <c r="W117" s="73">
        <f t="shared" si="71"/>
        <v>23.297999999999998</v>
      </c>
      <c r="X117" s="73">
        <f t="shared" si="47"/>
        <v>3.3799999999999997E-2</v>
      </c>
      <c r="Y117" s="73">
        <f t="shared" si="72"/>
        <v>23.264199999999999</v>
      </c>
      <c r="Z117" s="74">
        <f>VLOOKUP(A117,Enforcements!$C$3:$J$41,8,0)</f>
        <v>229055</v>
      </c>
      <c r="AA117" s="74" t="str">
        <f>VLOOKUP(A117,Enforcements!$C$3:$J$41,3,0)</f>
        <v>PERMANENT SPEED RESTRICTION</v>
      </c>
    </row>
    <row r="118" spans="1:27" s="2" customFormat="1" x14ac:dyDescent="0.25">
      <c r="A118" s="60" t="s">
        <v>335</v>
      </c>
      <c r="B118" s="60">
        <v>4030</v>
      </c>
      <c r="C118" s="60" t="s">
        <v>62</v>
      </c>
      <c r="D118" s="60" t="s">
        <v>515</v>
      </c>
      <c r="E118" s="30">
        <v>42533.797442129631</v>
      </c>
      <c r="F118" s="30">
        <v>42533.798761574071</v>
      </c>
      <c r="G118" s="38">
        <v>1</v>
      </c>
      <c r="H118" s="30" t="s">
        <v>277</v>
      </c>
      <c r="I118" s="30">
        <v>42533.82671296296</v>
      </c>
      <c r="J118" s="60">
        <v>1</v>
      </c>
      <c r="K118" s="60" t="str">
        <f t="shared" si="67"/>
        <v>4029/4030</v>
      </c>
      <c r="L118" s="60" t="str">
        <f>VLOOKUP(A118,'Trips&amp;Operators'!$C$1:$E$9999,3,FALSE)</f>
        <v>DE LA ROSA</v>
      </c>
      <c r="M118" s="12">
        <f t="shared" si="68"/>
        <v>2.7951388889050577E-2</v>
      </c>
      <c r="N118" s="13">
        <f t="shared" si="73"/>
        <v>40.250000000232831</v>
      </c>
      <c r="O118" s="13"/>
      <c r="P118" s="13"/>
      <c r="Q118" s="61"/>
      <c r="R118" s="61"/>
      <c r="T118" s="73" t="str">
        <f t="shared" ref="T118:T119" si="74"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https://search-rtdc-monitor-bjffxe2xuh6vdkpspy63sjmuny.us-east-1.es.amazonaws.com/_plugin/kibana/#/discover/Steve-Slow-Train-Analysis-(2080s-and-2083s)?_g=(refreshInterval:(display:Off,section:0,value:0),time:(from:'2016-06-12 19:07:19-0600',mode:absolute,to:'2016-06-12 19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8" s="73" t="str">
        <f t="shared" ref="U118:U119" si="75">IF(Y118&lt;23,"Y","N")</f>
        <v>N</v>
      </c>
      <c r="V118" s="73">
        <f t="shared" si="34"/>
        <v>2</v>
      </c>
      <c r="W118" s="73">
        <f t="shared" ref="W118:W119" si="76">RIGHT(D118,LEN(D118)-4)/10000</f>
        <v>23.302800000000001</v>
      </c>
      <c r="X118" s="73">
        <f t="shared" ref="X118:X119" si="77">RIGHT(H118,LEN(H118)-4)/10000</f>
        <v>1.61E-2</v>
      </c>
      <c r="Y118" s="73">
        <f t="shared" ref="Y118:Y119" si="78">ABS(X118-W118)</f>
        <v>23.2867</v>
      </c>
      <c r="Z118" s="74">
        <f>VLOOKUP(A118,Enforcements!$C$3:$J$41,8,0)</f>
        <v>1</v>
      </c>
      <c r="AA118" s="74" t="str">
        <f>VLOOKUP(A118,Enforcements!$C$3:$J$41,3,0)</f>
        <v>TRACK WARRANT AUTHORITY</v>
      </c>
    </row>
    <row r="119" spans="1:27" s="2" customFormat="1" x14ac:dyDescent="0.25">
      <c r="A119" s="60" t="s">
        <v>355</v>
      </c>
      <c r="B119" s="60">
        <v>4018</v>
      </c>
      <c r="C119" s="60" t="s">
        <v>62</v>
      </c>
      <c r="D119" s="60" t="s">
        <v>103</v>
      </c>
      <c r="E119" s="30">
        <v>42533.76840277778</v>
      </c>
      <c r="F119" s="30">
        <v>42533.770057870373</v>
      </c>
      <c r="G119" s="38">
        <v>2</v>
      </c>
      <c r="H119" s="30" t="s">
        <v>81</v>
      </c>
      <c r="I119" s="30">
        <v>42533.800173611111</v>
      </c>
      <c r="J119" s="60">
        <v>0</v>
      </c>
      <c r="K119" s="60" t="str">
        <f t="shared" si="67"/>
        <v>4017/4018</v>
      </c>
      <c r="L119" s="60" t="str">
        <f>VLOOKUP(A119,'Trips&amp;Operators'!$C$1:$E$9999,3,FALSE)</f>
        <v>BARTLETT</v>
      </c>
      <c r="M119" s="12">
        <f t="shared" si="68"/>
        <v>3.011574073752854E-2</v>
      </c>
      <c r="N119" s="13">
        <f t="shared" si="73"/>
        <v>43.366666662041098</v>
      </c>
      <c r="O119" s="13"/>
      <c r="P119" s="13"/>
      <c r="Q119" s="61"/>
      <c r="R119" s="61"/>
      <c r="T119" s="73" t="str">
        <f t="shared" si="74"/>
        <v>https://search-rtdc-monitor-bjffxe2xuh6vdkpspy63sjmuny.us-east-1.es.amazonaws.com/_plugin/kibana/#/discover/Steve-Slow-Train-Analysis-(2080s-and-2083s)?_g=(refreshInterval:(display:Off,section:0,value:0),time:(from:'2016-06-12 18:25:30-0600',mode:absolute,to:'2016-06-12 19:13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9" s="73" t="str">
        <f t="shared" si="75"/>
        <v>N</v>
      </c>
      <c r="V119" s="73">
        <f t="shared" si="34"/>
        <v>1</v>
      </c>
      <c r="W119" s="73">
        <f t="shared" si="76"/>
        <v>4.6899999999999997E-2</v>
      </c>
      <c r="X119" s="73">
        <f t="shared" si="77"/>
        <v>23.3293</v>
      </c>
      <c r="Y119" s="73">
        <f t="shared" si="78"/>
        <v>23.282399999999999</v>
      </c>
      <c r="Z119" s="74" t="e">
        <f>VLOOKUP(A119,Enforcements!$C$3:$J$41,8,0)</f>
        <v>#N/A</v>
      </c>
      <c r="AA119" s="74" t="e">
        <f>VLOOKUP(A119,Enforcements!$C$3:$J$41,3,0)</f>
        <v>#N/A</v>
      </c>
    </row>
    <row r="120" spans="1:27" s="2" customFormat="1" x14ac:dyDescent="0.25">
      <c r="A120" s="60" t="s">
        <v>336</v>
      </c>
      <c r="B120" s="60">
        <v>4017</v>
      </c>
      <c r="C120" s="60" t="s">
        <v>62</v>
      </c>
      <c r="D120" s="60" t="s">
        <v>134</v>
      </c>
      <c r="E120" s="30">
        <v>42533.805810185186</v>
      </c>
      <c r="F120" s="30">
        <v>42533.807060185187</v>
      </c>
      <c r="G120" s="38">
        <v>1</v>
      </c>
      <c r="H120" s="30" t="s">
        <v>516</v>
      </c>
      <c r="I120" s="30">
        <v>42533.84070601852</v>
      </c>
      <c r="J120" s="60">
        <v>1</v>
      </c>
      <c r="K120" s="60" t="str">
        <f t="shared" si="67"/>
        <v>4017/4018</v>
      </c>
      <c r="L120" s="60" t="str">
        <f>VLOOKUP(A120,'Trips&amp;Operators'!$C$1:$E$9999,3,FALSE)</f>
        <v>BARTLETT</v>
      </c>
      <c r="M120" s="12">
        <f t="shared" si="68"/>
        <v>3.3645833333139308E-2</v>
      </c>
      <c r="N120" s="13">
        <f t="shared" si="73"/>
        <v>48.449999999720603</v>
      </c>
      <c r="O120" s="13"/>
      <c r="P120" s="13"/>
      <c r="Q120" s="61"/>
      <c r="R120" s="61"/>
      <c r="T120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19:19:22-0600',mode:absolute,to:'2016-06-12 20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0" s="73" t="str">
        <f t="shared" si="70"/>
        <v>N</v>
      </c>
      <c r="V120" s="73">
        <f t="shared" si="34"/>
        <v>1</v>
      </c>
      <c r="W120" s="73">
        <f t="shared" si="71"/>
        <v>23.298200000000001</v>
      </c>
      <c r="X120" s="73">
        <f t="shared" si="47"/>
        <v>1.7399999999999999E-2</v>
      </c>
      <c r="Y120" s="73">
        <f t="shared" si="72"/>
        <v>23.280800000000003</v>
      </c>
      <c r="Z120" s="74">
        <f>VLOOKUP(A120,Enforcements!$C$3:$J$41,8,0)</f>
        <v>4677</v>
      </c>
      <c r="AA120" s="74" t="str">
        <f>VLOOKUP(A120,Enforcements!$C$3:$J$41,3,0)</f>
        <v>PERMANENT SPEED RESTRICTION</v>
      </c>
    </row>
    <row r="121" spans="1:27" s="2" customFormat="1" ht="16.5" customHeight="1" x14ac:dyDescent="0.25">
      <c r="A121" s="60" t="s">
        <v>389</v>
      </c>
      <c r="B121" s="60">
        <v>4011</v>
      </c>
      <c r="C121" s="60" t="s">
        <v>62</v>
      </c>
      <c r="D121" s="60" t="s">
        <v>88</v>
      </c>
      <c r="E121" s="30">
        <v>42533.78979166667</v>
      </c>
      <c r="F121" s="30">
        <v>42533.791446759256</v>
      </c>
      <c r="G121" s="38">
        <v>2</v>
      </c>
      <c r="H121" s="30" t="s">
        <v>120</v>
      </c>
      <c r="I121" s="30">
        <v>42533.819282407407</v>
      </c>
      <c r="J121" s="60">
        <v>0</v>
      </c>
      <c r="K121" s="60" t="str">
        <f t="shared" si="67"/>
        <v>4011/4012</v>
      </c>
      <c r="L121" s="60" t="str">
        <f>VLOOKUP(A121,'Trips&amp;Operators'!$C$1:$E$9999,3,FALSE)</f>
        <v>BRUDER</v>
      </c>
      <c r="M121" s="12">
        <f t="shared" si="68"/>
        <v>2.7835648150357883E-2</v>
      </c>
      <c r="N121" s="13">
        <f t="shared" si="73"/>
        <v>40.083333336515352</v>
      </c>
      <c r="O121" s="13"/>
      <c r="P121" s="13"/>
      <c r="Q121" s="61"/>
      <c r="R121" s="61"/>
      <c r="T121" s="73" t="str">
        <f t="shared" ref="T121:T123" si="79"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https://search-rtdc-monitor-bjffxe2xuh6vdkpspy63sjmuny.us-east-1.es.amazonaws.com/_plugin/kibana/#/discover/Steve-Slow-Train-Analysis-(2080s-and-2083s)?_g=(refreshInterval:(display:Off,section:0,value:0),time:(from:'2016-06-12 18:56:18-0600',mode:absolute,to:'2016-06-12 19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1" s="73" t="str">
        <f t="shared" ref="U121:U123" si="80">IF(Y121&lt;23,"Y","N")</f>
        <v>N</v>
      </c>
      <c r="V121" s="73">
        <f t="shared" si="34"/>
        <v>1</v>
      </c>
      <c r="W121" s="73">
        <f t="shared" ref="W121:W123" si="81">RIGHT(D121,LEN(D121)-4)/10000</f>
        <v>4.5699999999999998E-2</v>
      </c>
      <c r="X121" s="73">
        <f t="shared" ref="X121:X123" si="82">RIGHT(H121,LEN(H121)-4)/10000</f>
        <v>23.33</v>
      </c>
      <c r="Y121" s="73">
        <f t="shared" ref="Y121:Y123" si="83">ABS(X121-W121)</f>
        <v>23.284299999999998</v>
      </c>
      <c r="Z121" s="74" t="e">
        <f>VLOOKUP(A121,Enforcements!$C$3:$J$41,8,0)</f>
        <v>#N/A</v>
      </c>
      <c r="AA121" s="74" t="e">
        <f>VLOOKUP(A121,Enforcements!$C$3:$J$41,3,0)</f>
        <v>#N/A</v>
      </c>
    </row>
    <row r="122" spans="1:27" s="2" customFormat="1" ht="16.5" customHeight="1" x14ac:dyDescent="0.25">
      <c r="A122" s="60" t="s">
        <v>419</v>
      </c>
      <c r="B122" s="60">
        <v>4012</v>
      </c>
      <c r="C122" s="60"/>
      <c r="D122" s="60"/>
      <c r="E122" s="30"/>
      <c r="F122" s="30">
        <v>42533.824537037035</v>
      </c>
      <c r="G122" s="38"/>
      <c r="H122" s="30"/>
      <c r="I122" s="30">
        <v>42533.826203703706</v>
      </c>
      <c r="J122" s="60"/>
      <c r="K122" s="60" t="str">
        <f t="shared" si="67"/>
        <v>4011/4012</v>
      </c>
      <c r="L122" s="60" t="str">
        <f>VLOOKUP(A122,'Trips&amp;Operators'!$C$1:$E$9999,3,FALSE)</f>
        <v>BRUDER</v>
      </c>
      <c r="M122" s="12">
        <f t="shared" si="68"/>
        <v>1.6666666706441902E-3</v>
      </c>
      <c r="N122" s="13"/>
      <c r="O122" s="13"/>
      <c r="P122" s="13">
        <f t="shared" ref="P122" si="84">24*60*SUM($M122:$M122)</f>
        <v>2.4000000057276338</v>
      </c>
      <c r="Q122" s="61"/>
      <c r="R122" s="61" t="s">
        <v>535</v>
      </c>
      <c r="T122" s="73" t="e">
        <f t="shared" si="79"/>
        <v>#VALUE!</v>
      </c>
      <c r="U122" s="73" t="e">
        <f t="shared" si="80"/>
        <v>#VALUE!</v>
      </c>
      <c r="V122" s="73">
        <f t="shared" si="34"/>
        <v>1</v>
      </c>
      <c r="W122" s="73" t="e">
        <f t="shared" si="81"/>
        <v>#VALUE!</v>
      </c>
      <c r="X122" s="73" t="e">
        <f t="shared" si="82"/>
        <v>#VALUE!</v>
      </c>
      <c r="Y122" s="73" t="e">
        <f t="shared" si="83"/>
        <v>#VALUE!</v>
      </c>
      <c r="Z122" s="74" t="e">
        <f>VLOOKUP(A122,Enforcements!$C$3:$J$41,8,0)</f>
        <v>#N/A</v>
      </c>
      <c r="AA122" s="74"/>
    </row>
    <row r="123" spans="1:27" s="2" customFormat="1" x14ac:dyDescent="0.25">
      <c r="A123" s="60" t="s">
        <v>448</v>
      </c>
      <c r="B123" s="60">
        <v>4016</v>
      </c>
      <c r="C123" s="60" t="s">
        <v>62</v>
      </c>
      <c r="D123" s="60" t="s">
        <v>286</v>
      </c>
      <c r="E123" s="30">
        <v>42533.816446759258</v>
      </c>
      <c r="F123" s="30">
        <v>42533.817789351851</v>
      </c>
      <c r="G123" s="38">
        <v>1</v>
      </c>
      <c r="H123" s="30" t="s">
        <v>517</v>
      </c>
      <c r="I123" s="30">
        <v>42533.847245370373</v>
      </c>
      <c r="J123" s="60">
        <v>0</v>
      </c>
      <c r="K123" s="60" t="str">
        <f t="shared" si="67"/>
        <v>4015/4016</v>
      </c>
      <c r="L123" s="60" t="str">
        <f>VLOOKUP(A123,'Trips&amp;Operators'!$C$1:$E$9999,3,FALSE)</f>
        <v>YOUNG</v>
      </c>
      <c r="M123" s="12">
        <f t="shared" si="68"/>
        <v>2.9456018521159422E-2</v>
      </c>
      <c r="N123" s="13">
        <f t="shared" ref="N123:N129" si="85">24*60*SUM($M123:$M123)</f>
        <v>42.416666670469567</v>
      </c>
      <c r="O123" s="13"/>
      <c r="P123" s="13"/>
      <c r="Q123" s="61"/>
      <c r="R123" s="61"/>
      <c r="T123" s="73" t="str">
        <f t="shared" si="79"/>
        <v>https://search-rtdc-monitor-bjffxe2xuh6vdkpspy63sjmuny.us-east-1.es.amazonaws.com/_plugin/kibana/#/discover/Steve-Slow-Train-Analysis-(2080s-and-2083s)?_g=(refreshInterval:(display:Off,section:0,value:0),time:(from:'2016-06-12 19:34:41-0600',mode:absolute,to:'2016-06-12 20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3" s="73" t="str">
        <f t="shared" si="80"/>
        <v>N</v>
      </c>
      <c r="V123" s="73">
        <f t="shared" si="34"/>
        <v>1</v>
      </c>
      <c r="W123" s="73">
        <f t="shared" si="81"/>
        <v>4.2700000000000002E-2</v>
      </c>
      <c r="X123" s="73">
        <f t="shared" si="82"/>
        <v>23.332899999999999</v>
      </c>
      <c r="Y123" s="73">
        <f t="shared" si="83"/>
        <v>23.290199999999999</v>
      </c>
      <c r="Z123" s="74" t="e">
        <f>VLOOKUP(A123,Enforcements!$C$3:$J$41,8,0)</f>
        <v>#N/A</v>
      </c>
      <c r="AA123" s="74" t="e">
        <f>VLOOKUP(A123,Enforcements!$C$3:$J$41,3,0)</f>
        <v>#N/A</v>
      </c>
    </row>
    <row r="124" spans="1:27" s="2" customFormat="1" x14ac:dyDescent="0.25">
      <c r="A124" s="60" t="s">
        <v>423</v>
      </c>
      <c r="B124" s="60">
        <v>4015</v>
      </c>
      <c r="C124" s="60" t="s">
        <v>62</v>
      </c>
      <c r="D124" s="60" t="s">
        <v>477</v>
      </c>
      <c r="E124" s="30">
        <v>42533.849062499998</v>
      </c>
      <c r="F124" s="30">
        <v>42533.849768518521</v>
      </c>
      <c r="G124" s="38">
        <v>1</v>
      </c>
      <c r="H124" s="30" t="s">
        <v>105</v>
      </c>
      <c r="I124" s="30">
        <v>42533.881018518521</v>
      </c>
      <c r="J124" s="60">
        <v>0</v>
      </c>
      <c r="K124" s="60" t="str">
        <f t="shared" si="67"/>
        <v>4015/4016</v>
      </c>
      <c r="L124" s="60" t="str">
        <f>VLOOKUP(A124,'Trips&amp;Operators'!$C$1:$E$9999,3,FALSE)</f>
        <v>YOUNG</v>
      </c>
      <c r="M124" s="12">
        <f t="shared" si="68"/>
        <v>3.125E-2</v>
      </c>
      <c r="N124" s="13">
        <f t="shared" si="85"/>
        <v>45</v>
      </c>
      <c r="O124" s="13"/>
      <c r="P124" s="13"/>
      <c r="Q124" s="61"/>
      <c r="R124" s="61"/>
      <c r="T124" s="73" t="str">
        <f t="shared" ref="T124:T126" si="86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https://search-rtdc-monitor-bjffxe2xuh6vdkpspy63sjmuny.us-east-1.es.amazonaws.com/_plugin/kibana/#/discover/Steve-Slow-Train-Analysis-(2080s-and-2083s)?_g=(refreshInterval:(display:Off,section:0,value:0),time:(from:'2016-06-12 20:21:39-0600',mode:absolute,to:'2016-06-12 21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4" s="73" t="str">
        <f t="shared" ref="U124:U126" si="87">IF(Y124&lt;23,"Y","N")</f>
        <v>N</v>
      </c>
      <c r="V124" s="73">
        <f t="shared" si="34"/>
        <v>1</v>
      </c>
      <c r="W124" s="73">
        <f t="shared" ref="W124:W126" si="88">RIGHT(D124,LEN(D124)-4)/10000</f>
        <v>23.3</v>
      </c>
      <c r="X124" s="73">
        <f t="shared" ref="X124:X126" si="89">RIGHT(H124,LEN(H124)-4)/10000</f>
        <v>1.54E-2</v>
      </c>
      <c r="Y124" s="73">
        <f t="shared" ref="Y124:Y126" si="90">ABS(X124-W124)</f>
        <v>23.284600000000001</v>
      </c>
      <c r="Z124" s="74" t="e">
        <f>VLOOKUP(A124,Enforcements!$C$3:$J$41,8,0)</f>
        <v>#N/A</v>
      </c>
      <c r="AA124" s="74" t="e">
        <f>VLOOKUP(A124,Enforcements!$C$3:$J$41,3,0)</f>
        <v>#N/A</v>
      </c>
    </row>
    <row r="125" spans="1:27" s="2" customFormat="1" x14ac:dyDescent="0.25">
      <c r="A125" s="60" t="s">
        <v>422</v>
      </c>
      <c r="B125" s="60">
        <v>4030</v>
      </c>
      <c r="C125" s="60" t="s">
        <v>62</v>
      </c>
      <c r="D125" s="60" t="s">
        <v>518</v>
      </c>
      <c r="E125" s="30">
        <v>42533.869629629633</v>
      </c>
      <c r="F125" s="30">
        <v>42533.871134259258</v>
      </c>
      <c r="G125" s="38">
        <v>2</v>
      </c>
      <c r="H125" s="30" t="s">
        <v>74</v>
      </c>
      <c r="I125" s="30">
        <v>42533.899467592593</v>
      </c>
      <c r="J125" s="60">
        <v>0</v>
      </c>
      <c r="K125" s="60" t="str">
        <f t="shared" ref="K125" si="91">IF(ISEVEN(B125),(B125-1)&amp;"/"&amp;B125,B125&amp;"/"&amp;(B125+1))</f>
        <v>4029/4030</v>
      </c>
      <c r="L125" s="60" t="str">
        <f>VLOOKUP(A125,'Trips&amp;Operators'!$C$1:$E$9999,3,FALSE)</f>
        <v>DE LA ROSA</v>
      </c>
      <c r="M125" s="12">
        <f t="shared" ref="M125" si="92">I125-F125</f>
        <v>2.8333333335467614E-2</v>
      </c>
      <c r="N125" s="13">
        <f t="shared" si="85"/>
        <v>40.800000003073364</v>
      </c>
      <c r="O125" s="13"/>
      <c r="P125" s="13"/>
      <c r="Q125" s="61"/>
      <c r="R125" s="61"/>
      <c r="T125" s="73" t="str">
        <f t="shared" si="86"/>
        <v>https://search-rtdc-monitor-bjffxe2xuh6vdkpspy63sjmuny.us-east-1.es.amazonaws.com/_plugin/kibana/#/discover/Steve-Slow-Train-Analysis-(2080s-and-2083s)?_g=(refreshInterval:(display:Off,section:0,value:0),time:(from:'2016-06-12 20:51:16-0600',mode:absolute,to:'2016-06-12 21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3" t="str">
        <f t="shared" si="87"/>
        <v>N</v>
      </c>
      <c r="V125" s="73">
        <f t="shared" si="34"/>
        <v>2</v>
      </c>
      <c r="W125" s="73">
        <f t="shared" si="88"/>
        <v>23.3108</v>
      </c>
      <c r="X125" s="73">
        <f t="shared" si="89"/>
        <v>1.47E-2</v>
      </c>
      <c r="Y125" s="73">
        <f t="shared" si="90"/>
        <v>23.296099999999999</v>
      </c>
      <c r="Z125" s="74" t="e">
        <f>VLOOKUP(A125,Enforcements!$C$3:$J$41,8,0)</f>
        <v>#N/A</v>
      </c>
      <c r="AA125" s="74" t="e">
        <f>VLOOKUP(A125,Enforcements!$C$3:$J$41,3,0)</f>
        <v>#N/A</v>
      </c>
    </row>
    <row r="126" spans="1:27" s="2" customFormat="1" x14ac:dyDescent="0.25">
      <c r="A126" s="60" t="s">
        <v>408</v>
      </c>
      <c r="B126" s="60">
        <v>4018</v>
      </c>
      <c r="C126" s="60" t="s">
        <v>62</v>
      </c>
      <c r="D126" s="60" t="s">
        <v>279</v>
      </c>
      <c r="E126" s="30">
        <v>42533.84648148148</v>
      </c>
      <c r="F126" s="30">
        <v>42533.847870370373</v>
      </c>
      <c r="G126" s="38">
        <v>1</v>
      </c>
      <c r="H126" s="30" t="s">
        <v>519</v>
      </c>
      <c r="I126" s="30">
        <v>42533.88082175926</v>
      </c>
      <c r="J126" s="60">
        <v>0</v>
      </c>
      <c r="K126" s="60" t="str">
        <f t="shared" ref="K126:K144" si="93">IF(ISEVEN(B126),(B126-1)&amp;"/"&amp;B126,B126&amp;"/"&amp;(B126+1))</f>
        <v>4017/4018</v>
      </c>
      <c r="L126" s="60" t="str">
        <f>VLOOKUP(A126,'Trips&amp;Operators'!$C$1:$E$9999,3,FALSE)</f>
        <v>BARTLETT</v>
      </c>
      <c r="M126" s="12">
        <f t="shared" ref="M126:M144" si="94">I126-F126</f>
        <v>3.2951388886431232E-2</v>
      </c>
      <c r="N126" s="13">
        <f t="shared" si="85"/>
        <v>47.449999996460974</v>
      </c>
      <c r="O126" s="13"/>
      <c r="P126" s="13"/>
      <c r="Q126" s="61"/>
      <c r="R126" s="61"/>
      <c r="T126" s="73" t="str">
        <f t="shared" si="86"/>
        <v>https://search-rtdc-monitor-bjffxe2xuh6vdkpspy63sjmuny.us-east-1.es.amazonaws.com/_plugin/kibana/#/discover/Steve-Slow-Train-Analysis-(2080s-and-2083s)?_g=(refreshInterval:(display:Off,section:0,value:0),time:(from:'2016-06-12 20:17:56-0600',mode:absolute,to:'2016-06-12 21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6" s="73" t="str">
        <f t="shared" si="87"/>
        <v>N</v>
      </c>
      <c r="V126" s="73">
        <f t="shared" si="34"/>
        <v>1</v>
      </c>
      <c r="W126" s="73">
        <f t="shared" si="88"/>
        <v>4.7300000000000002E-2</v>
      </c>
      <c r="X126" s="73">
        <f t="shared" si="89"/>
        <v>23.3263</v>
      </c>
      <c r="Y126" s="73">
        <f t="shared" si="90"/>
        <v>23.279</v>
      </c>
      <c r="Z126" s="74" t="e">
        <f>VLOOKUP(A126,Enforcements!$C$3:$J$41,8,0)</f>
        <v>#N/A</v>
      </c>
      <c r="AA126" s="74" t="e">
        <f>VLOOKUP(A126,Enforcements!$C$3:$J$41,3,0)</f>
        <v>#N/A</v>
      </c>
    </row>
    <row r="127" spans="1:27" s="2" customFormat="1" x14ac:dyDescent="0.25">
      <c r="A127" s="60" t="s">
        <v>383</v>
      </c>
      <c r="B127" s="60">
        <v>4017</v>
      </c>
      <c r="C127" s="60" t="s">
        <v>62</v>
      </c>
      <c r="D127" s="60" t="s">
        <v>520</v>
      </c>
      <c r="E127" s="30">
        <v>42533.889872685184</v>
      </c>
      <c r="F127" s="30">
        <v>42533.890682870369</v>
      </c>
      <c r="G127" s="38">
        <v>1</v>
      </c>
      <c r="H127" s="30" t="s">
        <v>77</v>
      </c>
      <c r="I127" s="30">
        <v>42533.923657407409</v>
      </c>
      <c r="J127" s="60">
        <v>0</v>
      </c>
      <c r="K127" s="60" t="str">
        <f t="shared" si="93"/>
        <v>4017/4018</v>
      </c>
      <c r="L127" s="60" t="str">
        <f>VLOOKUP(A127,'Trips&amp;Operators'!$C$1:$E$9999,3,FALSE)</f>
        <v>BARTLETT</v>
      </c>
      <c r="M127" s="12">
        <f t="shared" si="94"/>
        <v>3.2974537039990537E-2</v>
      </c>
      <c r="N127" s="13">
        <f t="shared" si="85"/>
        <v>47.483333337586373</v>
      </c>
      <c r="O127" s="13"/>
      <c r="P127" s="13"/>
      <c r="Q127" s="61"/>
      <c r="R127" s="61"/>
      <c r="T127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21:20:25-0600',mode:absolute,to:'2016-06-12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7" s="73" t="str">
        <f t="shared" si="70"/>
        <v>N</v>
      </c>
      <c r="V127" s="73">
        <f t="shared" si="34"/>
        <v>1</v>
      </c>
      <c r="W127" s="73">
        <f t="shared" si="71"/>
        <v>23.293600000000001</v>
      </c>
      <c r="X127" s="73">
        <f t="shared" ref="X127:X144" si="95">RIGHT(H127,LEN(H127)-4)/10000</f>
        <v>1.6E-2</v>
      </c>
      <c r="Y127" s="73">
        <f t="shared" si="72"/>
        <v>23.277600000000003</v>
      </c>
      <c r="Z127" s="74" t="e">
        <f>VLOOKUP(A127,Enforcements!$C$3:$J$41,8,0)</f>
        <v>#N/A</v>
      </c>
      <c r="AA127" s="74" t="e">
        <f>VLOOKUP(A127,Enforcements!$C$3:$J$41,3,0)</f>
        <v>#N/A</v>
      </c>
    </row>
    <row r="128" spans="1:27" s="2" customFormat="1" x14ac:dyDescent="0.25">
      <c r="A128" s="60" t="s">
        <v>444</v>
      </c>
      <c r="B128" s="60">
        <v>4007</v>
      </c>
      <c r="C128" s="60" t="s">
        <v>62</v>
      </c>
      <c r="D128" s="60" t="s">
        <v>123</v>
      </c>
      <c r="E128" s="30">
        <v>42533.867245370369</v>
      </c>
      <c r="F128" s="30">
        <v>42533.86891203704</v>
      </c>
      <c r="G128" s="38">
        <v>2</v>
      </c>
      <c r="H128" s="30" t="s">
        <v>115</v>
      </c>
      <c r="I128" s="30">
        <v>42533.90247685185</v>
      </c>
      <c r="J128" s="60">
        <v>0</v>
      </c>
      <c r="K128" s="60" t="str">
        <f t="shared" si="93"/>
        <v>4007/4008</v>
      </c>
      <c r="L128" s="60" t="str">
        <f>VLOOKUP(A128,'Trips&amp;Operators'!$C$1:$E$9999,3,FALSE)</f>
        <v>BRUDER</v>
      </c>
      <c r="M128" s="12">
        <f t="shared" si="94"/>
        <v>3.3564814810233656E-2</v>
      </c>
      <c r="N128" s="13">
        <f t="shared" si="85"/>
        <v>48.333333326736465</v>
      </c>
      <c r="O128" s="13"/>
      <c r="P128" s="13"/>
      <c r="Q128" s="61"/>
      <c r="R128" s="61"/>
      <c r="T128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20:47:50-0600',mode:absolute,to:'2016-06-12 21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8" s="73" t="str">
        <f t="shared" si="70"/>
        <v>N</v>
      </c>
      <c r="V128" s="73">
        <f t="shared" si="34"/>
        <v>1</v>
      </c>
      <c r="W128" s="73">
        <f t="shared" si="71"/>
        <v>4.7500000000000001E-2</v>
      </c>
      <c r="X128" s="73">
        <f t="shared" si="95"/>
        <v>23.329799999999999</v>
      </c>
      <c r="Y128" s="73">
        <f t="shared" si="72"/>
        <v>23.282299999999999</v>
      </c>
      <c r="Z128" s="74" t="e">
        <f>VLOOKUP(A128,Enforcements!$C$3:$J$41,8,0)</f>
        <v>#N/A</v>
      </c>
      <c r="AA128" s="74" t="e">
        <f>VLOOKUP(A128,Enforcements!$C$3:$J$41,3,0)</f>
        <v>#N/A</v>
      </c>
    </row>
    <row r="129" spans="1:27" s="2" customFormat="1" x14ac:dyDescent="0.25">
      <c r="A129" s="60" t="s">
        <v>360</v>
      </c>
      <c r="B129" s="60">
        <v>4008</v>
      </c>
      <c r="C129" s="60" t="s">
        <v>62</v>
      </c>
      <c r="D129" s="60" t="s">
        <v>76</v>
      </c>
      <c r="E129" s="30">
        <v>42533.908125000002</v>
      </c>
      <c r="F129" s="30">
        <v>42533.909479166665</v>
      </c>
      <c r="G129" s="38">
        <v>1</v>
      </c>
      <c r="H129" s="30" t="s">
        <v>96</v>
      </c>
      <c r="I129" s="30">
        <v>42533.941423611112</v>
      </c>
      <c r="J129" s="60">
        <v>0</v>
      </c>
      <c r="K129" s="60" t="str">
        <f t="shared" si="93"/>
        <v>4007/4008</v>
      </c>
      <c r="L129" s="60" t="str">
        <f>VLOOKUP(A129,'Trips&amp;Operators'!$C$1:$E$9999,3,FALSE)</f>
        <v>BRUDER</v>
      </c>
      <c r="M129" s="12">
        <f t="shared" si="94"/>
        <v>3.1944444446708076E-2</v>
      </c>
      <c r="N129" s="13">
        <f t="shared" si="85"/>
        <v>46.000000003259629</v>
      </c>
      <c r="O129" s="13"/>
      <c r="P129" s="13"/>
      <c r="Q129" s="61"/>
      <c r="R129" s="61"/>
      <c r="T129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21:46:42-0600',mode:absolute,to:'2016-06-12 22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9" s="73" t="str">
        <f t="shared" si="70"/>
        <v>N</v>
      </c>
      <c r="V129" s="73">
        <f t="shared" si="34"/>
        <v>1</v>
      </c>
      <c r="W129" s="73">
        <f t="shared" si="71"/>
        <v>23.299600000000002</v>
      </c>
      <c r="X129" s="73">
        <f t="shared" si="95"/>
        <v>1.38E-2</v>
      </c>
      <c r="Y129" s="73">
        <f t="shared" si="72"/>
        <v>23.285800000000002</v>
      </c>
      <c r="Z129" s="74" t="e">
        <f>VLOOKUP(A129,Enforcements!$C$3:$J$41,8,0)</f>
        <v>#N/A</v>
      </c>
      <c r="AA129" s="74" t="e">
        <f>VLOOKUP(A129,Enforcements!$C$3:$J$41,3,0)</f>
        <v>#N/A</v>
      </c>
    </row>
    <row r="130" spans="1:27" s="2" customFormat="1" x14ac:dyDescent="0.25">
      <c r="A130" s="60" t="s">
        <v>418</v>
      </c>
      <c r="B130" s="60">
        <v>4016</v>
      </c>
      <c r="C130" s="60" t="s">
        <v>62</v>
      </c>
      <c r="D130" s="60" t="s">
        <v>84</v>
      </c>
      <c r="E130" s="30">
        <v>42533.88417824074</v>
      </c>
      <c r="F130" s="30">
        <v>42533.885324074072</v>
      </c>
      <c r="G130" s="38">
        <v>1</v>
      </c>
      <c r="H130" s="30" t="s">
        <v>522</v>
      </c>
      <c r="I130" s="30">
        <v>42533.897152777776</v>
      </c>
      <c r="J130" s="60">
        <v>0</v>
      </c>
      <c r="K130" s="60" t="str">
        <f t="shared" si="93"/>
        <v>4015/4016</v>
      </c>
      <c r="L130" s="60" t="str">
        <f>VLOOKUP(A130,'Trips&amp;Operators'!$C$1:$E$9999,3,FALSE)</f>
        <v>YOUNG</v>
      </c>
      <c r="M130" s="12">
        <f t="shared" si="94"/>
        <v>1.1828703703940846E-2</v>
      </c>
      <c r="N130" s="13"/>
      <c r="O130" s="13"/>
      <c r="P130" s="13">
        <f>24*60*SUM($M130:$M131)</f>
        <v>50.516666667535901</v>
      </c>
      <c r="Q130" s="61"/>
      <c r="R130" s="61" t="s">
        <v>541</v>
      </c>
      <c r="T130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21:12:13-0600',mode:absolute,to:'2016-06-12 21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0" s="73" t="str">
        <f t="shared" si="70"/>
        <v>Y</v>
      </c>
      <c r="V130" s="73">
        <f t="shared" si="34"/>
        <v>1</v>
      </c>
      <c r="W130" s="73">
        <f t="shared" si="71"/>
        <v>4.6600000000000003E-2</v>
      </c>
      <c r="X130" s="73">
        <f t="shared" si="95"/>
        <v>0.12529999999999999</v>
      </c>
      <c r="Y130" s="73">
        <f t="shared" si="72"/>
        <v>7.8699999999999992E-2</v>
      </c>
      <c r="Z130" s="74" t="e">
        <f>VLOOKUP(A130,Enforcements!$C$3:$J$41,8,0)</f>
        <v>#N/A</v>
      </c>
      <c r="AA130" s="74" t="e">
        <f>VLOOKUP(A130,Enforcements!$C$3:$J$41,3,0)</f>
        <v>#N/A</v>
      </c>
    </row>
    <row r="131" spans="1:27" s="2" customFormat="1" x14ac:dyDescent="0.25">
      <c r="A131" s="60" t="s">
        <v>418</v>
      </c>
      <c r="B131" s="60">
        <v>4016</v>
      </c>
      <c r="C131" s="60" t="s">
        <v>62</v>
      </c>
      <c r="D131" s="60" t="s">
        <v>521</v>
      </c>
      <c r="E131" s="30">
        <v>42533.903796296298</v>
      </c>
      <c r="F131" s="30">
        <v>42533.90488425926</v>
      </c>
      <c r="G131" s="38">
        <v>1</v>
      </c>
      <c r="H131" s="30" t="s">
        <v>82</v>
      </c>
      <c r="I131" s="30">
        <v>42533.928136574075</v>
      </c>
      <c r="J131" s="60">
        <v>0</v>
      </c>
      <c r="K131" s="60" t="str">
        <f t="shared" si="93"/>
        <v>4015/4016</v>
      </c>
      <c r="L131" s="60" t="str">
        <f>VLOOKUP(A131,'Trips&amp;Operators'!$C$1:$E$9999,3,FALSE)</f>
        <v>YOUNG</v>
      </c>
      <c r="M131" s="12">
        <f t="shared" si="94"/>
        <v>2.3252314815181307E-2</v>
      </c>
      <c r="N131" s="13"/>
      <c r="O131" s="13"/>
      <c r="P131" s="13"/>
      <c r="Q131" s="61"/>
      <c r="R131" s="61"/>
      <c r="T131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21:40:28-0600',mode:absolute,to:'2016-06-12 22:17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1" s="73" t="str">
        <f t="shared" si="70"/>
        <v>Y</v>
      </c>
      <c r="V131" s="73">
        <f t="shared" si="34"/>
        <v>0</v>
      </c>
      <c r="W131" s="73">
        <f t="shared" si="71"/>
        <v>3.7778999999999998</v>
      </c>
      <c r="X131" s="73">
        <f t="shared" si="95"/>
        <v>23.331399999999999</v>
      </c>
      <c r="Y131" s="73">
        <f t="shared" si="72"/>
        <v>19.5535</v>
      </c>
      <c r="Z131" s="74" t="e">
        <f>VLOOKUP(A131,Enforcements!$C$3:$J$41,8,0)</f>
        <v>#N/A</v>
      </c>
      <c r="AA131" s="74" t="e">
        <f>VLOOKUP(A131,Enforcements!$C$3:$J$41,3,0)</f>
        <v>#N/A</v>
      </c>
    </row>
    <row r="132" spans="1:27" s="2" customFormat="1" x14ac:dyDescent="0.25">
      <c r="A132" s="60" t="s">
        <v>376</v>
      </c>
      <c r="B132" s="60">
        <v>4015</v>
      </c>
      <c r="C132" s="60" t="s">
        <v>62</v>
      </c>
      <c r="D132" s="60" t="s">
        <v>89</v>
      </c>
      <c r="E132" s="30">
        <v>42533.932337962964</v>
      </c>
      <c r="F132" s="30">
        <v>42533.933333333334</v>
      </c>
      <c r="G132" s="38">
        <v>1</v>
      </c>
      <c r="H132" s="30" t="s">
        <v>105</v>
      </c>
      <c r="I132" s="30">
        <v>42533.965405092589</v>
      </c>
      <c r="J132" s="60">
        <v>0</v>
      </c>
      <c r="K132" s="60" t="str">
        <f t="shared" si="93"/>
        <v>4015/4016</v>
      </c>
      <c r="L132" s="60" t="str">
        <f>VLOOKUP(A132,'Trips&amp;Operators'!$C$1:$E$9999,3,FALSE)</f>
        <v>YOUNG</v>
      </c>
      <c r="M132" s="12">
        <f t="shared" si="94"/>
        <v>3.2071759254904464E-2</v>
      </c>
      <c r="N132" s="13">
        <f>24*60*SUM($M132:$M132)</f>
        <v>46.183333327062428</v>
      </c>
      <c r="O132" s="13"/>
      <c r="P132" s="13"/>
      <c r="Q132" s="61"/>
      <c r="R132" s="61"/>
      <c r="T132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22:21:34-0600',mode:absolute,to:'2016-06-12 23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2" s="73" t="str">
        <f t="shared" si="70"/>
        <v>N</v>
      </c>
      <c r="V132" s="73">
        <f t="shared" si="34"/>
        <v>1</v>
      </c>
      <c r="W132" s="73">
        <f t="shared" si="71"/>
        <v>23.299099999999999</v>
      </c>
      <c r="X132" s="73">
        <f t="shared" si="95"/>
        <v>1.54E-2</v>
      </c>
      <c r="Y132" s="73">
        <f t="shared" si="72"/>
        <v>23.2837</v>
      </c>
      <c r="Z132" s="74" t="e">
        <f>VLOOKUP(A132,Enforcements!$C$3:$J$41,8,0)</f>
        <v>#N/A</v>
      </c>
      <c r="AA132" s="74" t="e">
        <f>VLOOKUP(A132,Enforcements!$C$3:$J$41,3,0)</f>
        <v>#N/A</v>
      </c>
    </row>
    <row r="133" spans="1:27" s="2" customFormat="1" x14ac:dyDescent="0.25">
      <c r="A133" s="60" t="s">
        <v>409</v>
      </c>
      <c r="B133" s="60">
        <v>4029</v>
      </c>
      <c r="C133" s="60" t="s">
        <v>62</v>
      </c>
      <c r="D133" s="60" t="s">
        <v>142</v>
      </c>
      <c r="E133" s="30">
        <v>42533.915601851855</v>
      </c>
      <c r="F133" s="30">
        <v>42533.917800925927</v>
      </c>
      <c r="G133" s="38">
        <v>3</v>
      </c>
      <c r="H133" s="30" t="s">
        <v>523</v>
      </c>
      <c r="I133" s="30">
        <v>42533.948738425926</v>
      </c>
      <c r="J133" s="60">
        <v>0</v>
      </c>
      <c r="K133" s="60" t="str">
        <f t="shared" si="93"/>
        <v>4029/4030</v>
      </c>
      <c r="L133" s="60" t="str">
        <f>VLOOKUP(A133,'Trips&amp;Operators'!$C$1:$E$9999,3,FALSE)</f>
        <v>DE LA ROSA</v>
      </c>
      <c r="M133" s="12">
        <f t="shared" si="94"/>
        <v>3.0937499999708962E-2</v>
      </c>
      <c r="N133" s="13">
        <f>24*60*SUM($M133:$M133)</f>
        <v>44.549999999580905</v>
      </c>
      <c r="O133" s="13"/>
      <c r="P133" s="13"/>
      <c r="Q133" s="61"/>
      <c r="R133" s="61"/>
      <c r="T133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21:57:28-0600',mode:absolute,to:'2016-06-12 22:47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3" s="73" t="str">
        <f t="shared" si="70"/>
        <v>N</v>
      </c>
      <c r="V133" s="73">
        <f t="shared" ref="V133:V144" si="96">VALUE(LEFT(A133,3))-VALUE(LEFT(A132,3))</f>
        <v>1</v>
      </c>
      <c r="W133" s="73">
        <f t="shared" si="71"/>
        <v>4.6399999999999997E-2</v>
      </c>
      <c r="X133" s="73">
        <f t="shared" si="95"/>
        <v>23.334199999999999</v>
      </c>
      <c r="Y133" s="73">
        <f t="shared" si="72"/>
        <v>23.287800000000001</v>
      </c>
      <c r="Z133" s="74" t="e">
        <f>VLOOKUP(A133,Enforcements!$C$3:$J$41,8,0)</f>
        <v>#N/A</v>
      </c>
      <c r="AA133" s="74" t="e">
        <f>VLOOKUP(A133,Enforcements!$C$3:$J$41,3,0)</f>
        <v>#N/A</v>
      </c>
    </row>
    <row r="134" spans="1:27" s="2" customFormat="1" x14ac:dyDescent="0.25">
      <c r="A134" s="60" t="s">
        <v>338</v>
      </c>
      <c r="B134" s="60">
        <v>4030</v>
      </c>
      <c r="C134" s="60" t="s">
        <v>62</v>
      </c>
      <c r="D134" s="60" t="s">
        <v>274</v>
      </c>
      <c r="E134" s="30">
        <v>42533.951724537037</v>
      </c>
      <c r="F134" s="30">
        <v>42533.953275462962</v>
      </c>
      <c r="G134" s="38">
        <v>2</v>
      </c>
      <c r="H134" s="30" t="s">
        <v>63</v>
      </c>
      <c r="I134" s="30">
        <v>42533.983888888892</v>
      </c>
      <c r="J134" s="60">
        <v>1</v>
      </c>
      <c r="K134" s="60" t="str">
        <f t="shared" si="93"/>
        <v>4029/4030</v>
      </c>
      <c r="L134" s="60" t="str">
        <f>VLOOKUP(A134,'Trips&amp;Operators'!$C$1:$E$9999,3,FALSE)</f>
        <v>DE LA ROSA</v>
      </c>
      <c r="M134" s="12">
        <f t="shared" si="94"/>
        <v>3.0613425929914229E-2</v>
      </c>
      <c r="N134" s="13">
        <f>24*60*SUM($M134:$M134)</f>
        <v>44.083333339076489</v>
      </c>
      <c r="O134" s="13"/>
      <c r="P134" s="13"/>
      <c r="Q134" s="61"/>
      <c r="R134" s="61"/>
      <c r="T134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22:49:29-0600',mode:absolute,to:'2016-06-12 23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3" t="str">
        <f t="shared" si="70"/>
        <v>N</v>
      </c>
      <c r="V134" s="73">
        <f t="shared" si="96"/>
        <v>1</v>
      </c>
      <c r="W134" s="73">
        <f t="shared" si="71"/>
        <v>23.3019</v>
      </c>
      <c r="X134" s="73">
        <f t="shared" si="95"/>
        <v>1.4500000000000001E-2</v>
      </c>
      <c r="Y134" s="73">
        <f t="shared" si="72"/>
        <v>23.287399999999998</v>
      </c>
      <c r="Z134" s="74">
        <f>VLOOKUP(A134,Enforcements!$C$3:$J$41,8,0)</f>
        <v>1</v>
      </c>
      <c r="AA134" s="74" t="str">
        <f>VLOOKUP(A134,Enforcements!$C$3:$J$41,3,0)</f>
        <v>TRACK WARRANT AUTHORITY</v>
      </c>
    </row>
    <row r="135" spans="1:27" s="2" customFormat="1" x14ac:dyDescent="0.25">
      <c r="A135" s="60" t="s">
        <v>382</v>
      </c>
      <c r="B135" s="60">
        <v>4018</v>
      </c>
      <c r="C135" s="60" t="s">
        <v>62</v>
      </c>
      <c r="D135" s="60" t="s">
        <v>86</v>
      </c>
      <c r="E135" s="30">
        <v>42533.930960648147</v>
      </c>
      <c r="F135" s="30">
        <v>42533.933182870373</v>
      </c>
      <c r="G135" s="38">
        <v>3</v>
      </c>
      <c r="H135" s="30" t="s">
        <v>288</v>
      </c>
      <c r="I135" s="30">
        <v>42533.96435185185</v>
      </c>
      <c r="J135" s="60">
        <v>0</v>
      </c>
      <c r="K135" s="60" t="str">
        <f t="shared" si="93"/>
        <v>4017/4018</v>
      </c>
      <c r="L135" s="60" t="str">
        <f>VLOOKUP(A135,'Trips&amp;Operators'!$C$1:$E$9999,3,FALSE)</f>
        <v>BARTLETT</v>
      </c>
      <c r="M135" s="12">
        <f t="shared" si="94"/>
        <v>3.1168981477094349E-2</v>
      </c>
      <c r="N135" s="13">
        <f>24*60*SUM($M135:$M135)</f>
        <v>44.883333327015862</v>
      </c>
      <c r="O135" s="13"/>
      <c r="P135" s="13"/>
      <c r="Q135" s="61"/>
      <c r="R135" s="61"/>
      <c r="T135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22:19:35-0600',mode:absolute,to:'2016-06-12 23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5" s="73" t="str">
        <f t="shared" si="70"/>
        <v>N</v>
      </c>
      <c r="V135" s="73">
        <f t="shared" si="96"/>
        <v>1</v>
      </c>
      <c r="W135" s="73">
        <f t="shared" si="71"/>
        <v>4.6199999999999998E-2</v>
      </c>
      <c r="X135" s="73">
        <f t="shared" si="95"/>
        <v>23.3291</v>
      </c>
      <c r="Y135" s="73">
        <f t="shared" si="72"/>
        <v>23.282900000000001</v>
      </c>
      <c r="Z135" s="74" t="e">
        <f>VLOOKUP(A135,Enforcements!$C$3:$J$41,8,0)</f>
        <v>#N/A</v>
      </c>
      <c r="AA135" s="74" t="e">
        <f>VLOOKUP(A135,Enforcements!$C$3:$J$41,3,0)</f>
        <v>#N/A</v>
      </c>
    </row>
    <row r="136" spans="1:27" s="2" customFormat="1" x14ac:dyDescent="0.25">
      <c r="A136" s="60" t="s">
        <v>385</v>
      </c>
      <c r="B136" s="60">
        <v>4017</v>
      </c>
      <c r="C136" s="60" t="s">
        <v>62</v>
      </c>
      <c r="D136" s="60" t="s">
        <v>477</v>
      </c>
      <c r="E136" s="30">
        <v>42533.974236111113</v>
      </c>
      <c r="F136" s="30">
        <v>42533.975358796299</v>
      </c>
      <c r="G136" s="38">
        <v>1</v>
      </c>
      <c r="H136" s="30" t="s">
        <v>135</v>
      </c>
      <c r="I136" s="30">
        <v>42533.976446759261</v>
      </c>
      <c r="J136" s="60">
        <v>0</v>
      </c>
      <c r="K136" s="60" t="str">
        <f t="shared" si="93"/>
        <v>4017/4018</v>
      </c>
      <c r="L136" s="60" t="str">
        <f>VLOOKUP(A136,'Trips&amp;Operators'!$C$1:$E$9999,3,FALSE)</f>
        <v>BARTLETT</v>
      </c>
      <c r="M136" s="12">
        <f t="shared" si="94"/>
        <v>1.0879629626288079E-3</v>
      </c>
      <c r="N136" s="13"/>
      <c r="O136" s="13"/>
      <c r="P136" s="13">
        <f>24*60*SUM($M136:$M136)</f>
        <v>1.5666666661854833</v>
      </c>
      <c r="Q136" s="61"/>
      <c r="R136" s="61" t="s">
        <v>535</v>
      </c>
      <c r="T136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23:21:54-0600',mode:absolute,to:'2016-06-12 23:27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6" s="73" t="str">
        <f t="shared" si="70"/>
        <v>N</v>
      </c>
      <c r="V136" s="73">
        <f t="shared" si="96"/>
        <v>1</v>
      </c>
      <c r="W136" s="73">
        <f t="shared" si="71"/>
        <v>23.3</v>
      </c>
      <c r="X136" s="73">
        <f t="shared" si="95"/>
        <v>1.6299999999999999E-2</v>
      </c>
      <c r="Y136" s="73">
        <f t="shared" si="72"/>
        <v>23.2837</v>
      </c>
      <c r="Z136" s="74" t="e">
        <f>VLOOKUP(A136,Enforcements!$C$3:$J$41,8,0)</f>
        <v>#N/A</v>
      </c>
      <c r="AA136" s="74" t="e">
        <f>VLOOKUP(A136,Enforcements!$C$3:$J$41,3,0)</f>
        <v>#N/A</v>
      </c>
    </row>
    <row r="137" spans="1:27" s="2" customFormat="1" x14ac:dyDescent="0.25">
      <c r="A137" s="60" t="s">
        <v>403</v>
      </c>
      <c r="B137" s="60">
        <v>4007</v>
      </c>
      <c r="C137" s="60" t="s">
        <v>62</v>
      </c>
      <c r="D137" s="60" t="s">
        <v>483</v>
      </c>
      <c r="E137" s="30">
        <v>42533.950046296297</v>
      </c>
      <c r="F137" s="30">
        <v>42533.951099537036</v>
      </c>
      <c r="G137" s="38">
        <v>1</v>
      </c>
      <c r="H137" s="30" t="s">
        <v>281</v>
      </c>
      <c r="I137" s="30">
        <v>42533.984131944446</v>
      </c>
      <c r="J137" s="60">
        <v>0</v>
      </c>
      <c r="K137" s="60" t="str">
        <f t="shared" si="93"/>
        <v>4007/4008</v>
      </c>
      <c r="L137" s="60" t="str">
        <f>VLOOKUP(A137,'Trips&amp;Operators'!$C$1:$E$9999,3,FALSE)</f>
        <v>BRUDER</v>
      </c>
      <c r="M137" s="12">
        <f t="shared" si="94"/>
        <v>3.3032407409336884E-2</v>
      </c>
      <c r="N137" s="13">
        <f>24*60*SUM($M137:$M137)</f>
        <v>47.566666669445112</v>
      </c>
      <c r="O137" s="13"/>
      <c r="P137" s="13"/>
      <c r="Q137" s="61"/>
      <c r="R137" s="61"/>
      <c r="T137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22:47:04-0600',mode:absolute,to:'2016-06-12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7" s="73" t="str">
        <f t="shared" si="70"/>
        <v>N</v>
      </c>
      <c r="V137" s="73">
        <f t="shared" si="96"/>
        <v>1</v>
      </c>
      <c r="W137" s="73">
        <f t="shared" si="71"/>
        <v>4.4699999999999997E-2</v>
      </c>
      <c r="X137" s="73">
        <f t="shared" si="95"/>
        <v>23.3306</v>
      </c>
      <c r="Y137" s="73">
        <f t="shared" si="72"/>
        <v>23.285900000000002</v>
      </c>
      <c r="Z137" s="74" t="e">
        <f>VLOOKUP(A137,Enforcements!$C$3:$J$41,8,0)</f>
        <v>#N/A</v>
      </c>
      <c r="AA137" s="74" t="e">
        <f>VLOOKUP(A137,Enforcements!$C$3:$J$41,3,0)</f>
        <v>#N/A</v>
      </c>
    </row>
    <row r="138" spans="1:27" s="2" customFormat="1" x14ac:dyDescent="0.25">
      <c r="A138" s="60" t="s">
        <v>421</v>
      </c>
      <c r="B138" s="60">
        <v>4008</v>
      </c>
      <c r="C138" s="60" t="s">
        <v>62</v>
      </c>
      <c r="D138" s="60" t="s">
        <v>107</v>
      </c>
      <c r="E138" s="30">
        <v>42533.992569444446</v>
      </c>
      <c r="F138" s="30">
        <v>42533.993402777778</v>
      </c>
      <c r="G138" s="38">
        <v>1</v>
      </c>
      <c r="H138" s="30" t="s">
        <v>90</v>
      </c>
      <c r="I138" s="30">
        <v>42534.028032407405</v>
      </c>
      <c r="J138" s="60">
        <v>0</v>
      </c>
      <c r="K138" s="60" t="str">
        <f t="shared" si="93"/>
        <v>4007/4008</v>
      </c>
      <c r="L138" s="60" t="str">
        <f>VLOOKUP(A138,'Trips&amp;Operators'!$C$1:$E$9999,3,FALSE)</f>
        <v>BRUDER</v>
      </c>
      <c r="M138" s="12">
        <f t="shared" si="94"/>
        <v>3.4629629626579117E-2</v>
      </c>
      <c r="N138" s="13">
        <f>24*60*SUM($M138:$M138)</f>
        <v>49.866666662273929</v>
      </c>
      <c r="O138" s="13"/>
      <c r="P138" s="13"/>
      <c r="Q138" s="61"/>
      <c r="R138" s="61"/>
      <c r="T138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23:48:18-0600',mode:absolute,to:'2016-06-13 00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8" s="73" t="str">
        <f t="shared" si="70"/>
        <v>N</v>
      </c>
      <c r="V138" s="73">
        <f t="shared" si="96"/>
        <v>1</v>
      </c>
      <c r="W138" s="73">
        <f t="shared" si="71"/>
        <v>23.2989</v>
      </c>
      <c r="X138" s="73">
        <f t="shared" si="95"/>
        <v>1.3899999999999999E-2</v>
      </c>
      <c r="Y138" s="73">
        <f t="shared" si="72"/>
        <v>23.285</v>
      </c>
      <c r="Z138" s="74" t="e">
        <f>VLOOKUP(A138,Enforcements!$C$3:$J$41,8,0)</f>
        <v>#N/A</v>
      </c>
      <c r="AA138" s="74" t="e">
        <f>VLOOKUP(A138,Enforcements!$C$3:$J$41,3,0)</f>
        <v>#N/A</v>
      </c>
    </row>
    <row r="139" spans="1:27" s="2" customFormat="1" x14ac:dyDescent="0.25">
      <c r="A139" s="60" t="s">
        <v>337</v>
      </c>
      <c r="B139" s="60">
        <v>4016</v>
      </c>
      <c r="C139" s="60" t="s">
        <v>62</v>
      </c>
      <c r="D139" s="60" t="s">
        <v>524</v>
      </c>
      <c r="E139" s="30">
        <v>42533.967523148145</v>
      </c>
      <c r="F139" s="30">
        <v>42533.969166666669</v>
      </c>
      <c r="G139" s="38">
        <v>2</v>
      </c>
      <c r="H139" s="30" t="s">
        <v>525</v>
      </c>
      <c r="I139" s="30">
        <v>42533.970393518517</v>
      </c>
      <c r="J139" s="60">
        <v>0</v>
      </c>
      <c r="K139" s="60" t="str">
        <f t="shared" si="93"/>
        <v>4015/4016</v>
      </c>
      <c r="L139" s="60" t="str">
        <f>VLOOKUP(A139,'Trips&amp;Operators'!$C$1:$E$9999,3,FALSE)</f>
        <v>YOUNG</v>
      </c>
      <c r="M139" s="12">
        <f t="shared" si="94"/>
        <v>1.2268518476048484E-3</v>
      </c>
      <c r="N139" s="13"/>
      <c r="O139" s="13"/>
      <c r="P139" s="13">
        <f>24*60*SUM($M139:$M139)</f>
        <v>1.7666666605509818</v>
      </c>
      <c r="Q139" s="61"/>
      <c r="R139" s="61" t="s">
        <v>535</v>
      </c>
      <c r="T139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https://search-rtdc-monitor-bjffxe2xuh6vdkpspy63sjmuny.us-east-1.es.amazonaws.com/_plugin/kibana/#/discover/Steve-Slow-Train-Analysis-(2080s-and-2083s)?_g=(refreshInterval:(display:Off,section:0,value:0),time:(from:'2016-06-12 23:12:14-0600',mode:absolute,to:'2016-06-12 23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9" s="73" t="str">
        <f t="shared" si="70"/>
        <v>Y</v>
      </c>
      <c r="V139" s="73">
        <f t="shared" si="96"/>
        <v>1</v>
      </c>
      <c r="W139" s="73">
        <f t="shared" si="71"/>
        <v>4.9500000000000002E-2</v>
      </c>
      <c r="X139" s="73">
        <f t="shared" si="95"/>
        <v>5.1499999999999997E-2</v>
      </c>
      <c r="Y139" s="73">
        <f t="shared" si="72"/>
        <v>1.9999999999999948E-3</v>
      </c>
      <c r="Z139" s="74">
        <f>VLOOKUP(A139,Enforcements!$C$3:$J$41,8,0)</f>
        <v>110617</v>
      </c>
      <c r="AA139" s="74" t="str">
        <f>VLOOKUP(A139,Enforcements!$C$3:$J$41,3,0)</f>
        <v>EQUIPMENT RESTRICTION</v>
      </c>
    </row>
    <row r="140" spans="1:27" s="2" customFormat="1" x14ac:dyDescent="0.25">
      <c r="A140" s="60" t="s">
        <v>365</v>
      </c>
      <c r="B140" s="60">
        <v>4015</v>
      </c>
      <c r="C140" s="60" t="s">
        <v>62</v>
      </c>
      <c r="D140" s="60" t="s">
        <v>477</v>
      </c>
      <c r="E140" s="30">
        <v>42534.010277777779</v>
      </c>
      <c r="F140" s="30">
        <v>42534.011087962965</v>
      </c>
      <c r="G140" s="38">
        <v>1</v>
      </c>
      <c r="H140" s="30" t="s">
        <v>72</v>
      </c>
      <c r="I140" s="30">
        <v>42534.049386574072</v>
      </c>
      <c r="J140" s="60">
        <v>0</v>
      </c>
      <c r="K140" s="60" t="str">
        <f t="shared" si="93"/>
        <v>4015/4016</v>
      </c>
      <c r="L140" s="60" t="str">
        <f>VLOOKUP(A140,'Trips&amp;Operators'!$C$1:$E$9999,3,FALSE)</f>
        <v>YOUNG</v>
      </c>
      <c r="M140" s="12">
        <f t="shared" si="94"/>
        <v>3.8298611107165925E-2</v>
      </c>
      <c r="N140" s="13">
        <f>24*60*SUM($M140:$M140)</f>
        <v>55.149999994318932</v>
      </c>
      <c r="O140" s="13"/>
      <c r="P140" s="13"/>
      <c r="Q140" s="61"/>
      <c r="R140" s="61"/>
      <c r="T140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https://search-rtdc-monitor-bjffxe2xuh6vdkpspy63sjmuny.us-east-1.es.amazonaws.com/_plugin/kibana/#/discover/Steve-Slow-Train-Analysis-(2080s-and-2083s)?_g=(refreshInterval:(display:Off,section:0,value:0),time:(from:'2016-06-13 00:13:48-0600',mode:absolute,to:'2016-06-13 01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0" s="73" t="str">
        <f t="shared" si="70"/>
        <v>N</v>
      </c>
      <c r="V140" s="73">
        <f t="shared" si="96"/>
        <v>1</v>
      </c>
      <c r="W140" s="73">
        <f t="shared" si="71"/>
        <v>23.3</v>
      </c>
      <c r="X140" s="73">
        <f t="shared" si="95"/>
        <v>1.4999999999999999E-2</v>
      </c>
      <c r="Y140" s="73">
        <f t="shared" si="72"/>
        <v>23.285</v>
      </c>
      <c r="Z140" s="74" t="e">
        <f>VLOOKUP(A140,Enforcements!$C$3:$J$41,8,0)</f>
        <v>#N/A</v>
      </c>
      <c r="AA140" s="74" t="e">
        <f>VLOOKUP(A140,Enforcements!$C$3:$J$41,3,0)</f>
        <v>#N/A</v>
      </c>
    </row>
    <row r="141" spans="1:27" s="2" customFormat="1" x14ac:dyDescent="0.25">
      <c r="A141" s="60" t="s">
        <v>429</v>
      </c>
      <c r="B141" s="60">
        <v>4029</v>
      </c>
      <c r="C141" s="60"/>
      <c r="D141" s="60"/>
      <c r="E141" s="30"/>
      <c r="F141" s="30">
        <v>42533.994074074071</v>
      </c>
      <c r="G141" s="38"/>
      <c r="H141" s="30"/>
      <c r="I141" s="30">
        <v>42533.995740740742</v>
      </c>
      <c r="J141" s="60"/>
      <c r="K141" s="60" t="str">
        <f t="shared" si="93"/>
        <v>4029/4030</v>
      </c>
      <c r="L141" s="60" t="str">
        <f>VLOOKUP(A141,'Trips&amp;Operators'!$C$1:$E$9999,3,FALSE)</f>
        <v>DE LA ROSA</v>
      </c>
      <c r="M141" s="12">
        <f t="shared" si="94"/>
        <v>1.6666666706441902E-3</v>
      </c>
      <c r="N141" s="13"/>
      <c r="O141" s="13"/>
      <c r="P141" s="13">
        <f t="shared" ref="P141" si="97">24*60*SUM($M141:$M141)</f>
        <v>2.4000000057276338</v>
      </c>
      <c r="Q141" s="61"/>
      <c r="R141" s="61" t="s">
        <v>535</v>
      </c>
      <c r="T141" s="73" t="e">
        <f t="shared" ref="T141:T143" si="98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#VALUE!</v>
      </c>
      <c r="U141" s="73" t="e">
        <f t="shared" ref="U141:U143" si="99">IF(Y141&lt;23,"Y","N")</f>
        <v>#VALUE!</v>
      </c>
      <c r="V141" s="73">
        <f t="shared" si="96"/>
        <v>1</v>
      </c>
      <c r="W141" s="73" t="e">
        <f t="shared" ref="W141:W143" si="100">RIGHT(D141,LEN(D141)-4)/10000</f>
        <v>#VALUE!</v>
      </c>
      <c r="X141" s="73" t="e">
        <f t="shared" ref="X141:X143" si="101">RIGHT(H141,LEN(H141)-4)/10000</f>
        <v>#VALUE!</v>
      </c>
      <c r="Y141" s="73" t="e">
        <f t="shared" ref="Y141:Y143" si="102">ABS(X141-W141)</f>
        <v>#VALUE!</v>
      </c>
      <c r="Z141" s="74" t="e">
        <f>VLOOKUP(A141,Enforcements!$C$3:$J$41,8,0)</f>
        <v>#N/A</v>
      </c>
      <c r="AA141" s="74"/>
    </row>
    <row r="142" spans="1:27" s="2" customFormat="1" x14ac:dyDescent="0.25">
      <c r="A142" s="60" t="s">
        <v>361</v>
      </c>
      <c r="B142" s="60">
        <v>4030</v>
      </c>
      <c r="C142" s="60" t="s">
        <v>62</v>
      </c>
      <c r="D142" s="60" t="s">
        <v>526</v>
      </c>
      <c r="E142" s="30">
        <v>42534.035162037035</v>
      </c>
      <c r="F142" s="30">
        <v>42534.036354166667</v>
      </c>
      <c r="G142" s="38">
        <v>1</v>
      </c>
      <c r="H142" s="30" t="s">
        <v>74</v>
      </c>
      <c r="I142" s="30">
        <v>42534.066076388888</v>
      </c>
      <c r="J142" s="60">
        <v>0</v>
      </c>
      <c r="K142" s="60" t="str">
        <f t="shared" si="93"/>
        <v>4029/4030</v>
      </c>
      <c r="L142" s="60" t="str">
        <f>VLOOKUP(A142,'Trips&amp;Operators'!$C$1:$E$9999,3,FALSE)</f>
        <v>DE LA ROSA</v>
      </c>
      <c r="M142" s="12">
        <f t="shared" si="94"/>
        <v>2.9722222221607808E-2</v>
      </c>
      <c r="N142" s="13">
        <f>24*60*SUM($M142:$M142)</f>
        <v>42.799999999115244</v>
      </c>
      <c r="O142" s="13"/>
      <c r="P142" s="13"/>
      <c r="Q142" s="61"/>
      <c r="R142" s="61"/>
      <c r="T142" s="73" t="str">
        <f t="shared" si="98"/>
        <v>https://search-rtdc-monitor-bjffxe2xuh6vdkpspy63sjmuny.us-east-1.es.amazonaws.com/_plugin/kibana/#/discover/Steve-Slow-Train-Analysis-(2080s-and-2083s)?_g=(refreshInterval:(display:Off,section:0,value:0),time:(from:'2016-06-13 00:49:38-0600',mode:absolute,to:'2016-06-13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3" t="str">
        <f t="shared" si="99"/>
        <v>N</v>
      </c>
      <c r="V142" s="73">
        <f t="shared" si="96"/>
        <v>1</v>
      </c>
      <c r="W142" s="73">
        <f t="shared" si="100"/>
        <v>23.307700000000001</v>
      </c>
      <c r="X142" s="73">
        <f t="shared" si="101"/>
        <v>1.47E-2</v>
      </c>
      <c r="Y142" s="73">
        <f t="shared" si="102"/>
        <v>23.292999999999999</v>
      </c>
      <c r="Z142" s="74" t="e">
        <f>VLOOKUP(A142,Enforcements!$C$3:$J$41,8,0)</f>
        <v>#N/A</v>
      </c>
      <c r="AA142" s="74" t="e">
        <f>VLOOKUP(A142,Enforcements!$C$3:$J$41,3,0)</f>
        <v>#N/A</v>
      </c>
    </row>
    <row r="143" spans="1:27" s="2" customFormat="1" x14ac:dyDescent="0.25">
      <c r="A143" s="60" t="s">
        <v>424</v>
      </c>
      <c r="B143" s="60">
        <v>4018</v>
      </c>
      <c r="C143" s="60" t="s">
        <v>62</v>
      </c>
      <c r="D143" s="60" t="s">
        <v>103</v>
      </c>
      <c r="E143" s="30">
        <v>42534.014074074075</v>
      </c>
      <c r="F143" s="30">
        <v>42534.015949074077</v>
      </c>
      <c r="G143" s="38">
        <v>2</v>
      </c>
      <c r="H143" s="30" t="s">
        <v>527</v>
      </c>
      <c r="I143" s="30">
        <v>42534.047303240739</v>
      </c>
      <c r="J143" s="60">
        <v>0</v>
      </c>
      <c r="K143" s="60" t="str">
        <f t="shared" si="93"/>
        <v>4017/4018</v>
      </c>
      <c r="L143" s="60" t="str">
        <f>VLOOKUP(A143,'Trips&amp;Operators'!$C$1:$E$9999,3,FALSE)</f>
        <v>BARTLETT</v>
      </c>
      <c r="M143" s="12">
        <f t="shared" si="94"/>
        <v>3.1354166661913041E-2</v>
      </c>
      <c r="N143" s="13">
        <f>24*60*SUM($M143:$M143)</f>
        <v>45.149999993154779</v>
      </c>
      <c r="O143" s="13"/>
      <c r="P143" s="13"/>
      <c r="Q143" s="61"/>
      <c r="R143" s="61"/>
      <c r="T143" s="73" t="str">
        <f t="shared" si="98"/>
        <v>https://search-rtdc-monitor-bjffxe2xuh6vdkpspy63sjmuny.us-east-1.es.amazonaws.com/_plugin/kibana/#/discover/Steve-Slow-Train-Analysis-(2080s-and-2083s)?_g=(refreshInterval:(display:Off,section:0,value:0),time:(from:'2016-06-13 00:19:16-0600',mode:absolute,to:'2016-06-13 01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3" s="73" t="str">
        <f t="shared" si="99"/>
        <v>N</v>
      </c>
      <c r="V143" s="73">
        <f t="shared" si="96"/>
        <v>1</v>
      </c>
      <c r="W143" s="73">
        <f t="shared" si="100"/>
        <v>4.6899999999999997E-2</v>
      </c>
      <c r="X143" s="73">
        <f t="shared" si="101"/>
        <v>23.327400000000001</v>
      </c>
      <c r="Y143" s="73">
        <f t="shared" si="102"/>
        <v>23.2805</v>
      </c>
      <c r="Z143" s="74" t="e">
        <f>VLOOKUP(A143,Enforcements!$C$3:$J$41,8,0)</f>
        <v>#N/A</v>
      </c>
      <c r="AA143" s="74" t="e">
        <f>VLOOKUP(A143,Enforcements!$C$3:$J$41,3,0)</f>
        <v>#N/A</v>
      </c>
    </row>
    <row r="144" spans="1:27" s="2" customFormat="1" x14ac:dyDescent="0.25">
      <c r="A144" s="60" t="s">
        <v>405</v>
      </c>
      <c r="B144" s="60">
        <v>4017</v>
      </c>
      <c r="C144" s="60" t="s">
        <v>62</v>
      </c>
      <c r="D144" s="60" t="s">
        <v>133</v>
      </c>
      <c r="E144" s="30">
        <v>42534.055428240739</v>
      </c>
      <c r="F144" s="30">
        <v>42534.056493055556</v>
      </c>
      <c r="G144" s="38">
        <v>1</v>
      </c>
      <c r="H144" s="30" t="s">
        <v>135</v>
      </c>
      <c r="I144" s="30">
        <v>42534.087314814817</v>
      </c>
      <c r="J144" s="60">
        <v>0</v>
      </c>
      <c r="K144" s="60" t="str">
        <f t="shared" si="93"/>
        <v>4017/4018</v>
      </c>
      <c r="L144" s="60" t="str">
        <f>VLOOKUP(A144,'Trips&amp;Operators'!$C$1:$E$9999,3,FALSE)</f>
        <v>BARTLETT</v>
      </c>
      <c r="M144" s="12">
        <f t="shared" si="94"/>
        <v>3.0821759261016268E-2</v>
      </c>
      <c r="N144" s="13">
        <f>24*60*SUM($M144:$M144)</f>
        <v>44.383333335863426</v>
      </c>
      <c r="O144" s="13"/>
      <c r="P144" s="13"/>
      <c r="Q144" s="61"/>
      <c r="R144" s="61"/>
      <c r="T144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https://search-rtdc-monitor-bjffxe2xuh6vdkpspy63sjmuny.us-east-1.es.amazonaws.com/_plugin/kibana/#/discover/Steve-Slow-Train-Analysis-(2080s-and-2083s)?_g=(refreshInterval:(display:Off,section:0,value:0),time:(from:'2016-06-13 01:18:49-0600',mode:absolute,to:'2016-06-13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4" s="73" t="str">
        <f t="shared" si="70"/>
        <v>N</v>
      </c>
      <c r="V144" s="73">
        <f t="shared" si="96"/>
        <v>1</v>
      </c>
      <c r="W144" s="73">
        <f t="shared" si="71"/>
        <v>23.296700000000001</v>
      </c>
      <c r="X144" s="73">
        <f t="shared" si="95"/>
        <v>1.6299999999999999E-2</v>
      </c>
      <c r="Y144" s="73">
        <f t="shared" si="72"/>
        <v>23.2804</v>
      </c>
      <c r="Z144" s="74" t="e">
        <f>VLOOKUP(A144,Enforcements!$C$3:$J$41,8,0)</f>
        <v>#N/A</v>
      </c>
      <c r="AA144" s="74" t="e">
        <f>VLOOKUP(A144,Enforcements!$C$3:$J$41,3,0)</f>
        <v>#N/A</v>
      </c>
    </row>
    <row r="145" spans="1:27" s="2" customFormat="1" x14ac:dyDescent="0.25">
      <c r="A145" s="62"/>
      <c r="B145" s="62"/>
      <c r="C145" s="62"/>
      <c r="D145" s="62"/>
      <c r="E145" s="63"/>
      <c r="F145" s="63"/>
      <c r="G145" s="64"/>
      <c r="H145" s="63"/>
      <c r="I145" s="63"/>
      <c r="J145" s="62"/>
      <c r="K145" s="62"/>
      <c r="L145" s="62"/>
      <c r="M145" s="65"/>
      <c r="N145" s="66"/>
      <c r="O145" s="66"/>
      <c r="P145" s="66"/>
      <c r="Q145" s="67"/>
      <c r="R145" s="67"/>
      <c r="T145" s="73"/>
      <c r="U145" s="73"/>
      <c r="V145" s="73"/>
      <c r="W145" s="73"/>
      <c r="X145" s="73"/>
      <c r="Y145" s="73"/>
      <c r="Z145" s="74"/>
      <c r="AA145" s="74"/>
    </row>
    <row r="146" spans="1:27" s="2" customFormat="1" ht="15.75" thickBot="1" x14ac:dyDescent="0.3">
      <c r="A146" s="62"/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T146" s="68"/>
      <c r="U146" s="68"/>
      <c r="V146" s="68"/>
      <c r="W146" s="68"/>
      <c r="X146" s="68"/>
      <c r="Y146" s="68"/>
      <c r="Z146" s="69"/>
      <c r="AA146" s="69"/>
    </row>
    <row r="147" spans="1:27" s="2" customFormat="1" ht="15.75" thickBot="1" x14ac:dyDescent="0.3">
      <c r="E147" s="31"/>
      <c r="F147" s="31"/>
      <c r="G147" s="39"/>
      <c r="H147" s="31"/>
      <c r="I147" s="95">
        <f>Variables!A2</f>
        <v>42533</v>
      </c>
      <c r="J147" s="96"/>
      <c r="K147" s="75"/>
      <c r="L147" s="75"/>
      <c r="M147" s="97" t="s">
        <v>8</v>
      </c>
      <c r="N147" s="98"/>
      <c r="O147" s="99"/>
      <c r="P147" s="5"/>
      <c r="T147" s="56"/>
      <c r="U147" s="56"/>
      <c r="V147" s="56"/>
      <c r="W147" s="56"/>
      <c r="X147" s="56"/>
      <c r="Y147" s="56"/>
      <c r="Z147" s="57"/>
      <c r="AA147" s="57"/>
    </row>
    <row r="148" spans="1:27" s="2" customFormat="1" ht="15.75" thickBot="1" x14ac:dyDescent="0.3">
      <c r="E148" s="31"/>
      <c r="F148" s="31"/>
      <c r="G148" s="39"/>
      <c r="H148" s="31"/>
      <c r="I148" s="100" t="s">
        <v>10</v>
      </c>
      <c r="J148" s="101"/>
      <c r="K148" s="35"/>
      <c r="L148" s="58"/>
      <c r="M148" s="9" t="s">
        <v>11</v>
      </c>
      <c r="N148" s="6" t="s">
        <v>12</v>
      </c>
      <c r="O148" s="7" t="s">
        <v>13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COUNT(N3:P144)</f>
        <v>137</v>
      </c>
      <c r="K149" s="3"/>
      <c r="L149" s="3"/>
      <c r="M149" s="70" t="s">
        <v>15</v>
      </c>
      <c r="N149" s="6" t="s">
        <v>15</v>
      </c>
      <c r="O149" s="7" t="s">
        <v>15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COUNT(N3:N144)</f>
        <v>118</v>
      </c>
      <c r="K150" s="3"/>
      <c r="L150" s="3"/>
      <c r="M150" s="70">
        <f>AVERAGE(N3:N144)</f>
        <v>44.93983050772794</v>
      </c>
      <c r="N150" s="6">
        <f>MIN(N3:N144)</f>
        <v>37.46666666585952</v>
      </c>
      <c r="O150" s="7">
        <f>MAX(N3:N144)</f>
        <v>62.350000001024455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B151" s="59"/>
      <c r="C151" s="59"/>
      <c r="D151" s="59"/>
      <c r="E151" s="14"/>
      <c r="F151" s="14"/>
      <c r="G151" s="40"/>
      <c r="H151" s="14"/>
      <c r="I151" s="33" t="s">
        <v>45</v>
      </c>
      <c r="J151" s="3">
        <f>COUNT(O3:O144)</f>
        <v>0</v>
      </c>
      <c r="K151" s="3"/>
      <c r="L151" s="3"/>
      <c r="M151" s="70">
        <f>IFERROR(AVERAGE(O3:O144),0)</f>
        <v>0</v>
      </c>
      <c r="N151" s="6">
        <f>MIN(O3:O144)</f>
        <v>0</v>
      </c>
      <c r="O151" s="7">
        <f>MAX(O3:O144)</f>
        <v>0</v>
      </c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1:27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4" t="s">
        <v>9</v>
      </c>
      <c r="J152" s="3">
        <f>COUNT(P3:P144)</f>
        <v>19</v>
      </c>
      <c r="K152" s="3"/>
      <c r="L152" s="3"/>
      <c r="M152" s="70" t="s">
        <v>15</v>
      </c>
      <c r="N152" s="6" t="s">
        <v>15</v>
      </c>
      <c r="O152" s="7" t="s">
        <v>15</v>
      </c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COUNT(N3:O144)</f>
        <v>118</v>
      </c>
      <c r="K153" s="3"/>
      <c r="L153" s="3"/>
      <c r="M153" s="70">
        <f>AVERAGE(N3:P144)</f>
        <v>41.659002432594562</v>
      </c>
      <c r="N153" s="6">
        <f>MIN(N3:O144)</f>
        <v>37.46666666585952</v>
      </c>
      <c r="O153" s="7">
        <f>MAX(N3:O144)</f>
        <v>62.350000001024455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30.75" thickBot="1" x14ac:dyDescent="0.3">
      <c r="B154" s="59"/>
      <c r="C154" s="59"/>
      <c r="D154" s="59"/>
      <c r="E154" s="14"/>
      <c r="F154" s="14"/>
      <c r="G154" s="40"/>
      <c r="H154" s="14"/>
      <c r="I154" s="32" t="s">
        <v>19</v>
      </c>
      <c r="J154" s="8">
        <f>J153/J149</f>
        <v>0.86131386861313863</v>
      </c>
      <c r="K154" s="8"/>
      <c r="L154" s="8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x14ac:dyDescent="0.25">
      <c r="B155" s="59"/>
      <c r="C155" s="59"/>
      <c r="D155" s="59"/>
      <c r="E155" s="14"/>
      <c r="F155" s="14"/>
      <c r="G155" s="40"/>
      <c r="H155" s="14"/>
      <c r="I155" s="14"/>
      <c r="J155" s="59"/>
      <c r="K155"/>
      <c r="L155" s="59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</sheetData>
  <autoFilter ref="A2:AA144">
    <sortState ref="A3:AA136">
      <sortCondition ref="F2:F136"/>
    </sortState>
  </autoFilter>
  <sortState ref="A3:R139">
    <sortCondition ref="A3:A139"/>
    <sortCondition ref="E3:E139"/>
  </sortState>
  <mergeCells count="4">
    <mergeCell ref="I147:J147"/>
    <mergeCell ref="M147:O147"/>
    <mergeCell ref="I148:J148"/>
    <mergeCell ref="A1:P1"/>
  </mergeCells>
  <conditionalFormatting sqref="U1:U2 U3:V1048576">
    <cfRule type="cellIs" dxfId="43" priority="27" operator="equal">
      <formula>"Y"</formula>
    </cfRule>
  </conditionalFormatting>
  <conditionalFormatting sqref="V3:V1048576">
    <cfRule type="cellIs" dxfId="42" priority="10" operator="greaterThan">
      <formula>1</formula>
    </cfRule>
  </conditionalFormatting>
  <conditionalFormatting sqref="V2:V1048576">
    <cfRule type="cellIs" dxfId="41" priority="7" operator="equal">
      <formula>0</formula>
    </cfRule>
  </conditionalFormatting>
  <conditionalFormatting sqref="A3:R145">
    <cfRule type="expression" dxfId="40" priority="2">
      <formula>$P3&gt;0</formula>
    </cfRule>
    <cfRule type="expression" dxfId="3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zoomScale="85" zoomScaleNormal="85" workbookViewId="0">
      <selection activeCell="J21" sqref="J2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87</v>
      </c>
    </row>
    <row r="3" spans="1:17" s="19" customFormat="1" x14ac:dyDescent="0.25">
      <c r="A3" s="23">
        <v>42533.738611111112</v>
      </c>
      <c r="B3" s="22" t="s">
        <v>110</v>
      </c>
      <c r="C3" s="22" t="s">
        <v>331</v>
      </c>
      <c r="D3" s="22" t="s">
        <v>52</v>
      </c>
      <c r="E3" s="22" t="s">
        <v>332</v>
      </c>
      <c r="F3" s="22">
        <v>790</v>
      </c>
      <c r="G3" s="22">
        <v>401</v>
      </c>
      <c r="H3" s="22">
        <v>119769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RIVERA</v>
      </c>
      <c r="M3" s="20" t="s">
        <v>80</v>
      </c>
      <c r="N3" s="21" t="s">
        <v>546</v>
      </c>
      <c r="P3" s="79" t="e">
        <f>VLOOKUP(C3,'Train Runs'!$A$3:$T$254,20,0)</f>
        <v>#VALUE!</v>
      </c>
      <c r="Q3" s="19" t="str">
        <f t="shared" ref="Q3:Q31" si="0">MID(B3,13,4)</f>
        <v>4019</v>
      </c>
    </row>
    <row r="4" spans="1:17" s="19" customFormat="1" x14ac:dyDescent="0.25">
      <c r="A4" s="23">
        <v>42533.971226851849</v>
      </c>
      <c r="B4" s="22" t="s">
        <v>313</v>
      </c>
      <c r="C4" s="22" t="s">
        <v>337</v>
      </c>
      <c r="D4" s="22" t="s">
        <v>52</v>
      </c>
      <c r="E4" s="22" t="s">
        <v>332</v>
      </c>
      <c r="F4" s="22">
        <v>790</v>
      </c>
      <c r="G4" s="22">
        <v>786</v>
      </c>
      <c r="H4" s="22">
        <v>146338</v>
      </c>
      <c r="I4" s="22" t="s">
        <v>61</v>
      </c>
      <c r="J4" s="22">
        <v>110617</v>
      </c>
      <c r="K4" s="21" t="s">
        <v>55</v>
      </c>
      <c r="L4" s="21" t="str">
        <f>VLOOKUP(C4,'Trips&amp;Operators'!$C$1:$E$9999,3,FALSE)</f>
        <v>YOUNG</v>
      </c>
      <c r="M4" s="20" t="s">
        <v>80</v>
      </c>
      <c r="N4" s="21" t="s">
        <v>546</v>
      </c>
      <c r="P4" s="79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https://search-rtdc-monitor-bjffxe2xuh6vdkpspy63sjmuny.us-east-1.es.amazonaws.com/_plugin/kibana/#/discover/Steve-Slow-Train-Analysis-(2080s-and-2083s)?_g=(refreshInterval:(display:Off,section:0,value:0),time:(from:'2016-06-12 23:12:14-0600',mode:absolute,to:'2016-06-12 23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" s="19" t="str">
        <f t="shared" ref="Q4:Q18" si="1">MID(B4,13,4)</f>
        <v>4016</v>
      </c>
    </row>
    <row r="5" spans="1:17" s="19" customFormat="1" x14ac:dyDescent="0.25">
      <c r="A5" s="23">
        <v>42533.376307870371</v>
      </c>
      <c r="B5" s="22" t="s">
        <v>309</v>
      </c>
      <c r="C5" s="22" t="s">
        <v>310</v>
      </c>
      <c r="D5" s="22" t="s">
        <v>52</v>
      </c>
      <c r="E5" s="22" t="s">
        <v>94</v>
      </c>
      <c r="F5" s="22">
        <v>0</v>
      </c>
      <c r="G5" s="22">
        <v>47</v>
      </c>
      <c r="H5" s="22">
        <v>62927</v>
      </c>
      <c r="I5" s="22" t="s">
        <v>95</v>
      </c>
      <c r="J5" s="22">
        <v>63068</v>
      </c>
      <c r="K5" s="21" t="s">
        <v>55</v>
      </c>
      <c r="L5" s="21" t="str">
        <f>VLOOKUP(C5,'Trips&amp;Operators'!$C$1:$E$9999,3,FALSE)</f>
        <v>CANFIELD</v>
      </c>
      <c r="M5" s="20" t="s">
        <v>68</v>
      </c>
      <c r="N5" s="21" t="s">
        <v>542</v>
      </c>
      <c r="P5" s="79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09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" s="19" t="str">
        <f t="shared" si="1"/>
        <v>4011</v>
      </c>
    </row>
    <row r="6" spans="1:17" s="19" customFormat="1" x14ac:dyDescent="0.25">
      <c r="A6" s="23">
        <v>42533.428113425929</v>
      </c>
      <c r="B6" s="22" t="s">
        <v>313</v>
      </c>
      <c r="C6" s="22" t="s">
        <v>314</v>
      </c>
      <c r="D6" s="22" t="s">
        <v>52</v>
      </c>
      <c r="E6" s="22" t="s">
        <v>94</v>
      </c>
      <c r="F6" s="22">
        <v>0</v>
      </c>
      <c r="G6" s="22">
        <v>215</v>
      </c>
      <c r="H6" s="22">
        <v>62168</v>
      </c>
      <c r="I6" s="22" t="s">
        <v>95</v>
      </c>
      <c r="J6" s="22">
        <v>63068</v>
      </c>
      <c r="K6" s="21" t="s">
        <v>55</v>
      </c>
      <c r="L6" s="21" t="str">
        <f>VLOOKUP(C6,'Trips&amp;Operators'!$C$1:$E$9999,3,FALSE)</f>
        <v>MALAVE</v>
      </c>
      <c r="M6" s="20" t="s">
        <v>68</v>
      </c>
      <c r="N6" s="21" t="s">
        <v>542</v>
      </c>
      <c r="P6" s="79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https://search-rtdc-monitor-bjffxe2xuh6vdkpspy63sjmuny.us-east-1.es.amazonaws.com/_plugin/kibana/#/discover/Steve-Slow-Train-Analysis-(2080s-and-2083s)?_g=(refreshInterval:(display:Off,section:0,value:0),time:(from:'2016-06-12 09:57:08-0600',mode:absolute,to:'2016-06-12 10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6" s="19" t="str">
        <f t="shared" si="1"/>
        <v>4016</v>
      </c>
    </row>
    <row r="7" spans="1:17" s="19" customFormat="1" x14ac:dyDescent="0.25">
      <c r="A7" s="23">
        <v>42533.540601851855</v>
      </c>
      <c r="B7" s="22" t="s">
        <v>118</v>
      </c>
      <c r="C7" s="22" t="s">
        <v>322</v>
      </c>
      <c r="D7" s="22" t="s">
        <v>52</v>
      </c>
      <c r="E7" s="22" t="s">
        <v>94</v>
      </c>
      <c r="F7" s="22">
        <v>0</v>
      </c>
      <c r="G7" s="22">
        <v>410</v>
      </c>
      <c r="H7" s="22">
        <v>60363</v>
      </c>
      <c r="I7" s="22" t="s">
        <v>95</v>
      </c>
      <c r="J7" s="22">
        <v>63068</v>
      </c>
      <c r="K7" s="21" t="s">
        <v>55</v>
      </c>
      <c r="L7" s="21" t="str">
        <f>VLOOKUP(C7,'Trips&amp;Operators'!$C$1:$E$9999,3,FALSE)</f>
        <v>MAYBERRY</v>
      </c>
      <c r="M7" s="20" t="s">
        <v>68</v>
      </c>
      <c r="N7" s="21" t="s">
        <v>542</v>
      </c>
      <c r="P7" s="79" t="str">
        <f>VLOOKUP(C7,'Train Runs'!$A$3:$T$254,20,0)</f>
        <v>https://search-rtdc-monitor-bjffxe2xuh6vdkpspy63sjmuny.us-east-1.es.amazonaws.com/_plugin/kibana/#/discover/Steve-Slow-Train-Analysis-(2080s-and-2083s)?_g=(refreshInterval:(display:Off,section:0,value:0),time:(from:'2016-06-12 12:31:41-0600',mode:absolute,to:'2016-06-12 13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7" s="19" t="str">
        <f t="shared" si="1"/>
        <v>4009</v>
      </c>
    </row>
    <row r="8" spans="1:17" s="19" customFormat="1" x14ac:dyDescent="0.25">
      <c r="A8" s="23">
        <v>42533.613738425927</v>
      </c>
      <c r="B8" s="22" t="s">
        <v>118</v>
      </c>
      <c r="C8" s="22" t="s">
        <v>325</v>
      </c>
      <c r="D8" s="22" t="s">
        <v>52</v>
      </c>
      <c r="E8" s="22" t="s">
        <v>94</v>
      </c>
      <c r="F8" s="22">
        <v>0</v>
      </c>
      <c r="G8" s="22">
        <v>390</v>
      </c>
      <c r="H8" s="22">
        <v>60572</v>
      </c>
      <c r="I8" s="22" t="s">
        <v>95</v>
      </c>
      <c r="J8" s="22">
        <v>63068</v>
      </c>
      <c r="K8" s="21" t="s">
        <v>55</v>
      </c>
      <c r="L8" s="21" t="str">
        <f>VLOOKUP(C8,'Trips&amp;Operators'!$C$1:$E$9999,3,FALSE)</f>
        <v>MAYBERRY</v>
      </c>
      <c r="M8" s="20" t="s">
        <v>68</v>
      </c>
      <c r="N8" s="21" t="s">
        <v>542</v>
      </c>
      <c r="P8" s="79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https://search-rtdc-monitor-bjffxe2xuh6vdkpspy63sjmuny.us-east-1.es.amazonaws.com/_plugin/kibana/#/discover/Steve-Slow-Train-Analysis-(2080s-and-2083s)?_g=(refreshInterval:(display:Off,section:0,value:0),time:(from:'2016-06-12 14:24:23-0600',mode:absolute,to:'2016-06-12 15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8" s="19" t="str">
        <f t="shared" si="1"/>
        <v>4009</v>
      </c>
    </row>
    <row r="9" spans="1:17" s="19" customFormat="1" x14ac:dyDescent="0.25">
      <c r="A9" s="23">
        <v>42533.235891203702</v>
      </c>
      <c r="B9" s="22" t="s">
        <v>168</v>
      </c>
      <c r="C9" s="22" t="s">
        <v>300</v>
      </c>
      <c r="D9" s="22" t="s">
        <v>52</v>
      </c>
      <c r="E9" s="22" t="s">
        <v>60</v>
      </c>
      <c r="F9" s="22">
        <v>450</v>
      </c>
      <c r="G9" s="22">
        <v>478</v>
      </c>
      <c r="H9" s="22">
        <v>190497</v>
      </c>
      <c r="I9" s="22" t="s">
        <v>61</v>
      </c>
      <c r="J9" s="22">
        <v>190834</v>
      </c>
      <c r="K9" s="21" t="s">
        <v>55</v>
      </c>
      <c r="L9" s="21" t="str">
        <f>VLOOKUP(C9,'Trips&amp;Operators'!$C$1:$E$9999,3,FALSE)</f>
        <v>GEBRETEKLE</v>
      </c>
      <c r="M9" s="20" t="s">
        <v>68</v>
      </c>
      <c r="N9" s="21"/>
      <c r="P9" s="79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https://search-rtdc-monitor-bjffxe2xuh6vdkpspy63sjmuny.us-east-1.es.amazonaws.com/_plugin/kibana/#/discover/Steve-Slow-Train-Analysis-(2080s-and-2083s)?_g=(refreshInterval:(display:Off,section:0,value:0),time:(from:'2016-06-12 04:59:25-0600',mode:absolute,to:'2016-06-12 05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9" s="19" t="str">
        <f t="shared" si="1"/>
        <v>4044</v>
      </c>
    </row>
    <row r="10" spans="1:17" s="19" customFormat="1" x14ac:dyDescent="0.25">
      <c r="A10" s="23">
        <v>42533.336099537039</v>
      </c>
      <c r="B10" s="22" t="s">
        <v>306</v>
      </c>
      <c r="C10" s="22" t="s">
        <v>307</v>
      </c>
      <c r="D10" s="22" t="s">
        <v>52</v>
      </c>
      <c r="E10" s="22" t="s">
        <v>60</v>
      </c>
      <c r="F10" s="22">
        <v>600</v>
      </c>
      <c r="G10" s="22">
        <v>648</v>
      </c>
      <c r="H10" s="22">
        <v>12635</v>
      </c>
      <c r="I10" s="22" t="s">
        <v>61</v>
      </c>
      <c r="J10" s="22">
        <v>10694</v>
      </c>
      <c r="K10" s="21" t="s">
        <v>56</v>
      </c>
      <c r="L10" s="21" t="str">
        <f>VLOOKUP(C10,'Trips&amp;Operators'!$C$1:$E$9999,3,FALSE)</f>
        <v>MALAVE</v>
      </c>
      <c r="M10" s="20" t="s">
        <v>68</v>
      </c>
      <c r="N10" s="21"/>
      <c r="P10" s="79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https://search-rtdc-monitor-bjffxe2xuh6vdkpspy63sjmuny.us-east-1.es.amazonaws.com/_plugin/kibana/#/discover/Steve-Slow-Train-Analysis-(2080s-and-2083s)?_g=(refreshInterval:(display:Off,section:0,value:0),time:(from:'2016-06-12 07:22:41-0600',mode:absolute,to:'2016-06-12 08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0" s="19" t="str">
        <f t="shared" si="1"/>
        <v>4015</v>
      </c>
    </row>
    <row r="11" spans="1:17" s="19" customFormat="1" x14ac:dyDescent="0.25">
      <c r="A11" s="23">
        <v>42533.441678240742</v>
      </c>
      <c r="B11" s="22" t="s">
        <v>110</v>
      </c>
      <c r="C11" s="22" t="s">
        <v>315</v>
      </c>
      <c r="D11" s="22" t="s">
        <v>52</v>
      </c>
      <c r="E11" s="22" t="s">
        <v>60</v>
      </c>
      <c r="F11" s="22">
        <v>450</v>
      </c>
      <c r="G11" s="22">
        <v>429</v>
      </c>
      <c r="H11" s="22">
        <v>192322</v>
      </c>
      <c r="I11" s="22" t="s">
        <v>61</v>
      </c>
      <c r="J11" s="22">
        <v>191108</v>
      </c>
      <c r="K11" s="21" t="s">
        <v>56</v>
      </c>
      <c r="L11" s="21" t="str">
        <f>VLOOKUP(C11,'Trips&amp;Operators'!$C$1:$E$9999,3,FALSE)</f>
        <v>YORK</v>
      </c>
      <c r="M11" s="20" t="s">
        <v>68</v>
      </c>
      <c r="N11" s="21"/>
      <c r="P11" s="79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https://search-rtdc-monitor-bjffxe2xuh6vdkpspy63sjmuny.us-east-1.es.amazonaws.com/_plugin/kibana/#/discover/Steve-Slow-Train-Analysis-(2080s-and-2083s)?_g=(refreshInterval:(display:Off,section:0,value:0),time:(from:'2016-06-12 10:17:58-0600',mode:absolute,to:'2016-06-12 11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1" s="19" t="str">
        <f t="shared" si="1"/>
        <v>4019</v>
      </c>
    </row>
    <row r="12" spans="1:17" s="19" customFormat="1" x14ac:dyDescent="0.25">
      <c r="A12" s="23">
        <v>42533.449861111112</v>
      </c>
      <c r="B12" s="22" t="s">
        <v>118</v>
      </c>
      <c r="C12" s="22" t="s">
        <v>316</v>
      </c>
      <c r="D12" s="22" t="s">
        <v>57</v>
      </c>
      <c r="E12" s="22" t="s">
        <v>60</v>
      </c>
      <c r="F12" s="22">
        <v>400</v>
      </c>
      <c r="G12" s="22">
        <v>453</v>
      </c>
      <c r="H12" s="22">
        <v>7184</v>
      </c>
      <c r="I12" s="22" t="s">
        <v>61</v>
      </c>
      <c r="J12" s="22">
        <v>5439</v>
      </c>
      <c r="K12" s="21" t="s">
        <v>55</v>
      </c>
      <c r="L12" s="21" t="str">
        <f>VLOOKUP(C12,'Trips&amp;Operators'!$C$1:$E$9999,3,FALSE)</f>
        <v>MAYBERRY</v>
      </c>
      <c r="M12" s="20" t="s">
        <v>68</v>
      </c>
      <c r="N12" s="21"/>
      <c r="P12" s="79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https://search-rtdc-monitor-bjffxe2xuh6vdkpspy63sjmuny.us-east-1.es.amazonaws.com/_plugin/kibana/#/discover/Steve-Slow-Train-Analysis-(2080s-and-2083s)?_g=(refreshInterval:(display:Off,section:0,value:0),time:(from:'2016-06-12 10:36:27-0600',mode:absolute,to:'2016-06-12 11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2" s="19" t="str">
        <f t="shared" si="1"/>
        <v>4009</v>
      </c>
    </row>
    <row r="13" spans="1:17" s="19" customFormat="1" x14ac:dyDescent="0.25">
      <c r="A13" s="23">
        <v>42533.522685185184</v>
      </c>
      <c r="B13" s="22" t="s">
        <v>309</v>
      </c>
      <c r="C13" s="22" t="s">
        <v>320</v>
      </c>
      <c r="D13" s="22" t="s">
        <v>52</v>
      </c>
      <c r="E13" s="22" t="s">
        <v>60</v>
      </c>
      <c r="F13" s="22">
        <v>550</v>
      </c>
      <c r="G13" s="22">
        <v>698</v>
      </c>
      <c r="H13" s="22">
        <v>219916</v>
      </c>
      <c r="I13" s="22" t="s">
        <v>61</v>
      </c>
      <c r="J13" s="22">
        <v>222090</v>
      </c>
      <c r="K13" s="21" t="s">
        <v>55</v>
      </c>
      <c r="L13" s="21" t="str">
        <f>VLOOKUP(C13,'Trips&amp;Operators'!$C$1:$E$9999,3,FALSE)</f>
        <v>COOLAHAN</v>
      </c>
      <c r="M13" s="20" t="s">
        <v>68</v>
      </c>
      <c r="N13" s="21"/>
      <c r="P13" s="79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https://search-rtdc-monitor-bjffxe2xuh6vdkpspy63sjmuny.us-east-1.es.amazonaws.com/_plugin/kibana/#/discover/Steve-Slow-Train-Analysis-(2080s-and-2083s)?_g=(refreshInterval:(display:Off,section:0,value:0),time:(from:'2016-06-12 11:57:40-0600',mode:absolute,to:'2016-06-12 12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3" s="19" t="str">
        <f t="shared" si="1"/>
        <v>4011</v>
      </c>
    </row>
    <row r="14" spans="1:17" s="19" customFormat="1" x14ac:dyDescent="0.25">
      <c r="A14" s="23">
        <v>42533.688113425924</v>
      </c>
      <c r="B14" s="22" t="s">
        <v>110</v>
      </c>
      <c r="C14" s="22" t="s">
        <v>328</v>
      </c>
      <c r="D14" s="22" t="s">
        <v>52</v>
      </c>
      <c r="E14" s="22" t="s">
        <v>60</v>
      </c>
      <c r="F14" s="22">
        <v>450</v>
      </c>
      <c r="G14" s="22">
        <v>455</v>
      </c>
      <c r="H14" s="22">
        <v>17188</v>
      </c>
      <c r="I14" s="22" t="s">
        <v>61</v>
      </c>
      <c r="J14" s="22">
        <v>15167</v>
      </c>
      <c r="K14" s="21" t="s">
        <v>56</v>
      </c>
      <c r="L14" s="21" t="str">
        <f>VLOOKUP(C14,'Trips&amp;Operators'!$C$1:$E$9999,3,FALSE)</f>
        <v>RIVERA</v>
      </c>
      <c r="M14" s="20" t="s">
        <v>68</v>
      </c>
      <c r="N14" s="21"/>
      <c r="P14" s="79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https://search-rtdc-monitor-bjffxe2xuh6vdkpspy63sjmuny.us-east-1.es.amazonaws.com/_plugin/kibana/#/discover/Steve-Slow-Train-Analysis-(2080s-and-2083s)?_g=(refreshInterval:(display:Off,section:0,value:0),time:(from:'2016-06-12 15:49:30-0600',mode:absolute,to:'2016-06-12 16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19" t="str">
        <f t="shared" si="1"/>
        <v>4019</v>
      </c>
    </row>
    <row r="15" spans="1:17" s="19" customFormat="1" x14ac:dyDescent="0.25">
      <c r="A15" s="23">
        <v>42533.689675925925</v>
      </c>
      <c r="B15" s="22" t="s">
        <v>313</v>
      </c>
      <c r="C15" s="22" t="s">
        <v>329</v>
      </c>
      <c r="D15" s="22" t="s">
        <v>52</v>
      </c>
      <c r="E15" s="22" t="s">
        <v>60</v>
      </c>
      <c r="F15" s="22">
        <v>400</v>
      </c>
      <c r="G15" s="22">
        <v>667</v>
      </c>
      <c r="H15" s="22">
        <v>114162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STEWART</v>
      </c>
      <c r="M15" s="20" t="s">
        <v>68</v>
      </c>
      <c r="N15" s="21"/>
      <c r="P15" s="79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https://search-rtdc-monitor-bjffxe2xuh6vdkpspy63sjmuny.us-east-1.es.amazonaws.com/_plugin/kibana/#/discover/Steve-Slow-Train-Analysis-(2080s-and-2083s)?_g=(refreshInterval:(display:Off,section:0,value:0),time:(from:'2016-06-12 16:02:07-0600',mode:absolute,to:'2016-06-12 16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5" s="19" t="str">
        <f t="shared" si="1"/>
        <v>4016</v>
      </c>
    </row>
    <row r="16" spans="1:17" s="19" customFormat="1" x14ac:dyDescent="0.25">
      <c r="A16" s="23">
        <v>42533.794479166667</v>
      </c>
      <c r="B16" s="22" t="s">
        <v>318</v>
      </c>
      <c r="C16" s="22" t="s">
        <v>334</v>
      </c>
      <c r="D16" s="22" t="s">
        <v>52</v>
      </c>
      <c r="E16" s="22" t="s">
        <v>60</v>
      </c>
      <c r="F16" s="22">
        <v>150</v>
      </c>
      <c r="G16" s="22">
        <v>181</v>
      </c>
      <c r="H16" s="22">
        <v>229499</v>
      </c>
      <c r="I16" s="22" t="s">
        <v>61</v>
      </c>
      <c r="J16" s="22">
        <v>229055</v>
      </c>
      <c r="K16" s="21" t="s">
        <v>56</v>
      </c>
      <c r="L16" s="21" t="str">
        <f>VLOOKUP(C16,'Trips&amp;Operators'!$C$1:$E$9999,3,FALSE)</f>
        <v>STEWART</v>
      </c>
      <c r="M16" s="20" t="s">
        <v>68</v>
      </c>
      <c r="N16" s="21"/>
      <c r="P16" s="79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https://search-rtdc-monitor-bjffxe2xuh6vdkpspy63sjmuny.us-east-1.es.amazonaws.com/_plugin/kibana/#/discover/Steve-Slow-Train-Analysis-(2080s-and-2083s)?_g=(refreshInterval:(display:Off,section:0,value:0),time:(from:'2016-06-12 18:52:40-0600',mode:absolute,to:'2016-06-12 19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6" s="19" t="str">
        <f t="shared" si="1"/>
        <v>4010</v>
      </c>
    </row>
    <row r="17" spans="1:17" s="19" customFormat="1" x14ac:dyDescent="0.25">
      <c r="A17" s="23">
        <v>42533.795034722221</v>
      </c>
      <c r="B17" s="22" t="s">
        <v>318</v>
      </c>
      <c r="C17" s="22" t="s">
        <v>334</v>
      </c>
      <c r="D17" s="22" t="s">
        <v>52</v>
      </c>
      <c r="E17" s="22" t="s">
        <v>60</v>
      </c>
      <c r="F17" s="22">
        <v>150</v>
      </c>
      <c r="G17" s="22">
        <v>107</v>
      </c>
      <c r="H17" s="22">
        <v>229144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STEWART</v>
      </c>
      <c r="M17" s="20" t="s">
        <v>68</v>
      </c>
      <c r="N17" s="21"/>
      <c r="P17" s="79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https://search-rtdc-monitor-bjffxe2xuh6vdkpspy63sjmuny.us-east-1.es.amazonaws.com/_plugin/kibana/#/discover/Steve-Slow-Train-Analysis-(2080s-and-2083s)?_g=(refreshInterval:(display:Off,section:0,value:0),time:(from:'2016-06-12 18:52:40-0600',mode:absolute,to:'2016-06-12 19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7" s="19" t="str">
        <f t="shared" si="1"/>
        <v>4010</v>
      </c>
    </row>
    <row r="18" spans="1:17" s="19" customFormat="1" x14ac:dyDescent="0.25">
      <c r="A18" s="23">
        <v>42533.838576388887</v>
      </c>
      <c r="B18" s="22" t="s">
        <v>126</v>
      </c>
      <c r="C18" s="22" t="s">
        <v>336</v>
      </c>
      <c r="D18" s="22" t="s">
        <v>52</v>
      </c>
      <c r="E18" s="22" t="s">
        <v>60</v>
      </c>
      <c r="F18" s="22">
        <v>150</v>
      </c>
      <c r="G18" s="22">
        <v>135</v>
      </c>
      <c r="H18" s="22">
        <v>4804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BARTLETT</v>
      </c>
      <c r="M18" s="20" t="s">
        <v>68</v>
      </c>
      <c r="N18" s="21"/>
      <c r="P18" s="79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https://search-rtdc-monitor-bjffxe2xuh6vdkpspy63sjmuny.us-east-1.es.amazonaws.com/_plugin/kibana/#/discover/Steve-Slow-Train-Analysis-(2080s-and-2083s)?_g=(refreshInterval:(display:Off,section:0,value:0),time:(from:'2016-06-12 19:19:22-0600',mode:absolute,to:'2016-06-12 20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1"/>
        <v>4017</v>
      </c>
    </row>
    <row r="19" spans="1:17" s="19" customFormat="1" x14ac:dyDescent="0.25">
      <c r="A19" s="23">
        <v>42533.340370370373</v>
      </c>
      <c r="B19" s="22" t="s">
        <v>303</v>
      </c>
      <c r="C19" s="22" t="s">
        <v>308</v>
      </c>
      <c r="D19" s="22" t="s">
        <v>52</v>
      </c>
      <c r="E19" s="22" t="s">
        <v>58</v>
      </c>
      <c r="F19" s="22">
        <v>0</v>
      </c>
      <c r="G19" s="22">
        <v>630</v>
      </c>
      <c r="H19" s="22">
        <v>132280</v>
      </c>
      <c r="I19" s="22" t="s">
        <v>59</v>
      </c>
      <c r="J19" s="22">
        <v>127587</v>
      </c>
      <c r="K19" s="21" t="s">
        <v>56</v>
      </c>
      <c r="L19" s="21" t="str">
        <f>VLOOKUP(C19,'Trips&amp;Operators'!$C$1:$E$9999,3,FALSE)</f>
        <v>CANFIELD</v>
      </c>
      <c r="M19" s="20" t="s">
        <v>68</v>
      </c>
      <c r="N19" s="21" t="s">
        <v>547</v>
      </c>
      <c r="P19" s="79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https://search-rtdc-monitor-bjffxe2xuh6vdkpspy63sjmuny.us-east-1.es.amazonaws.com/_plugin/kibana/#/discover/Steve-Slow-Train-Analysis-(2080s-and-2083s)?_g=(refreshInterval:(display:Off,section:0,value:0),time:(from:'2016-06-12 07:48:26-0600',mode:absolute,to:'2016-06-12 08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9" s="19" t="str">
        <f t="shared" si="0"/>
        <v>4012</v>
      </c>
    </row>
    <row r="20" spans="1:17" s="19" customFormat="1" x14ac:dyDescent="0.25">
      <c r="A20" s="23">
        <v>42533.546215277776</v>
      </c>
      <c r="B20" s="22" t="s">
        <v>303</v>
      </c>
      <c r="C20" s="22" t="s">
        <v>323</v>
      </c>
      <c r="D20" s="22" t="s">
        <v>52</v>
      </c>
      <c r="E20" s="22" t="s">
        <v>58</v>
      </c>
      <c r="F20" s="22">
        <v>0</v>
      </c>
      <c r="G20" s="22">
        <v>484</v>
      </c>
      <c r="H20" s="22">
        <v>130894</v>
      </c>
      <c r="I20" s="22" t="s">
        <v>59</v>
      </c>
      <c r="J20" s="22">
        <v>127587</v>
      </c>
      <c r="K20" s="21" t="s">
        <v>56</v>
      </c>
      <c r="L20" s="21" t="str">
        <f>VLOOKUP(C20,'Trips&amp;Operators'!$C$1:$E$9999,3,FALSE)</f>
        <v>COOLAHAN</v>
      </c>
      <c r="M20" s="20" t="s">
        <v>68</v>
      </c>
      <c r="N20" s="21" t="s">
        <v>544</v>
      </c>
      <c r="P20" s="79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https://search-rtdc-monitor-bjffxe2xuh6vdkpspy63sjmuny.us-east-1.es.amazonaws.com/_plugin/kibana/#/discover/Steve-Slow-Train-Analysis-(2080s-and-2083s)?_g=(refreshInterval:(display:Off,section:0,value:0),time:(from:'2016-06-12 12:40:12-0600',mode:absolute,to:'2016-06-12 13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19" t="str">
        <f t="shared" si="0"/>
        <v>4012</v>
      </c>
    </row>
    <row r="21" spans="1:17" s="19" customFormat="1" x14ac:dyDescent="0.25">
      <c r="A21" s="23">
        <v>42533.587268518517</v>
      </c>
      <c r="B21" s="22" t="s">
        <v>313</v>
      </c>
      <c r="C21" s="22" t="s">
        <v>324</v>
      </c>
      <c r="D21" s="22" t="s">
        <v>57</v>
      </c>
      <c r="E21" s="22" t="s">
        <v>58</v>
      </c>
      <c r="F21" s="22">
        <v>200</v>
      </c>
      <c r="G21" s="22">
        <v>260</v>
      </c>
      <c r="H21" s="22">
        <v>20229</v>
      </c>
      <c r="I21" s="22" t="s">
        <v>59</v>
      </c>
      <c r="J21" s="22">
        <v>10800</v>
      </c>
      <c r="K21" s="21" t="s">
        <v>55</v>
      </c>
      <c r="L21" s="21" t="str">
        <f>VLOOKUP(C21,'Trips&amp;Operators'!$C$1:$E$9999,3,FALSE)</f>
        <v>LOCKLEAR</v>
      </c>
      <c r="M21" s="20" t="s">
        <v>68</v>
      </c>
      <c r="N21" s="21" t="s">
        <v>548</v>
      </c>
      <c r="P21" s="79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https://search-rtdc-monitor-bjffxe2xuh6vdkpspy63sjmuny.us-east-1.es.amazonaws.com/_plugin/kibana/#/discover/Steve-Slow-Train-Analysis-(2080s-and-2083s)?_g=(refreshInterval:(display:Off,section:0,value:0),time:(from:'2016-06-12 14:02:49-0600',mode:absolute,to:'2016-06-12 14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1" s="19" t="str">
        <f t="shared" si="0"/>
        <v>4016</v>
      </c>
    </row>
    <row r="22" spans="1:17" s="19" customFormat="1" x14ac:dyDescent="0.25">
      <c r="A22" s="23">
        <v>42533.601736111108</v>
      </c>
      <c r="B22" s="22" t="s">
        <v>313</v>
      </c>
      <c r="C22" s="22" t="s">
        <v>324</v>
      </c>
      <c r="D22" s="22" t="s">
        <v>52</v>
      </c>
      <c r="E22" s="22" t="s">
        <v>58</v>
      </c>
      <c r="F22" s="22">
        <v>0</v>
      </c>
      <c r="G22" s="22">
        <v>83</v>
      </c>
      <c r="H22" s="22">
        <v>128048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68</v>
      </c>
      <c r="N22" s="21" t="s">
        <v>549</v>
      </c>
      <c r="P22" s="79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https://search-rtdc-monitor-bjffxe2xuh6vdkpspy63sjmuny.us-east-1.es.amazonaws.com/_plugin/kibana/#/discover/Steve-Slow-Train-Analysis-(2080s-and-2083s)?_g=(refreshInterval:(display:Off,section:0,value:0),time:(from:'2016-06-12 14:02:49-0600',mode:absolute,to:'2016-06-12 14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2" s="19" t="str">
        <f t="shared" si="0"/>
        <v>4016</v>
      </c>
    </row>
    <row r="23" spans="1:17" s="19" customFormat="1" x14ac:dyDescent="0.25">
      <c r="A23" s="23">
        <v>42533.725856481484</v>
      </c>
      <c r="B23" s="22" t="s">
        <v>318</v>
      </c>
      <c r="C23" s="22" t="s">
        <v>330</v>
      </c>
      <c r="D23" s="22" t="s">
        <v>52</v>
      </c>
      <c r="E23" s="22" t="s">
        <v>58</v>
      </c>
      <c r="F23" s="22">
        <v>0</v>
      </c>
      <c r="G23" s="22">
        <v>552</v>
      </c>
      <c r="H23" s="22">
        <v>131639</v>
      </c>
      <c r="I23" s="22" t="s">
        <v>59</v>
      </c>
      <c r="J23" s="22">
        <v>127587</v>
      </c>
      <c r="K23" s="21" t="s">
        <v>56</v>
      </c>
      <c r="L23" s="21" t="str">
        <f>VLOOKUP(C23,'Trips&amp;Operators'!$C$1:$E$9999,3,FALSE)</f>
        <v>MAYBERRY</v>
      </c>
      <c r="M23" s="20" t="s">
        <v>68</v>
      </c>
      <c r="N23" s="21" t="s">
        <v>544</v>
      </c>
      <c r="P23" s="79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https://search-rtdc-monitor-bjffxe2xuh6vdkpspy63sjmuny.us-east-1.es.amazonaws.com/_plugin/kibana/#/discover/Steve-Slow-Train-Analysis-(2080s-and-2083s)?_g=(refreshInterval:(display:Off,section:0,value:0),time:(from:'2016-06-12 17:04:06-0600',mode:absolute,to:'2016-06-12 17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3" s="19" t="str">
        <f t="shared" si="0"/>
        <v>4010</v>
      </c>
    </row>
    <row r="24" spans="1:17" s="19" customFormat="1" x14ac:dyDescent="0.25">
      <c r="A24" s="23">
        <v>42533.267743055556</v>
      </c>
      <c r="B24" s="22" t="s">
        <v>150</v>
      </c>
      <c r="C24" s="22" t="s">
        <v>301</v>
      </c>
      <c r="D24" s="22" t="s">
        <v>52</v>
      </c>
      <c r="E24" s="22" t="s">
        <v>143</v>
      </c>
      <c r="F24" s="22">
        <v>0</v>
      </c>
      <c r="G24" s="22">
        <v>604</v>
      </c>
      <c r="H24" s="22">
        <v>124497</v>
      </c>
      <c r="I24" s="22" t="s">
        <v>144</v>
      </c>
      <c r="J24" s="22">
        <v>126678</v>
      </c>
      <c r="K24" s="21" t="s">
        <v>55</v>
      </c>
      <c r="L24" s="21" t="str">
        <f>VLOOKUP(C24,'Trips&amp;Operators'!$C$1:$E$9999,3,FALSE)</f>
        <v>YORK</v>
      </c>
      <c r="M24" s="20" t="s">
        <v>80</v>
      </c>
      <c r="N24" s="21" t="s">
        <v>541</v>
      </c>
      <c r="P24" s="79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https://search-rtdc-monitor-bjffxe2xuh6vdkpspy63sjmuny.us-east-1.es.amazonaws.com/_plugin/kibana/#/discover/Steve-Slow-Train-Analysis-(2080s-and-2083s)?_g=(refreshInterval:(display:Off,section:0,value:0),time:(from:'2016-06-12 05:57:41-0600',mode:absolute,to:'2016-06-12 06:26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4" s="19" t="str">
        <f t="shared" si="0"/>
        <v>4024</v>
      </c>
    </row>
    <row r="25" spans="1:17" s="19" customFormat="1" x14ac:dyDescent="0.25">
      <c r="A25" s="23">
        <v>42533.275405092594</v>
      </c>
      <c r="B25" s="22" t="s">
        <v>100</v>
      </c>
      <c r="C25" s="22" t="s">
        <v>302</v>
      </c>
      <c r="D25" s="22" t="s">
        <v>52</v>
      </c>
      <c r="E25" s="22" t="s">
        <v>53</v>
      </c>
      <c r="F25" s="22">
        <v>0</v>
      </c>
      <c r="G25" s="22">
        <v>34</v>
      </c>
      <c r="H25" s="22">
        <v>129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68</v>
      </c>
      <c r="N25" s="21"/>
      <c r="P25" s="79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https://search-rtdc-monitor-bjffxe2xuh6vdkpspy63sjmuny.us-east-1.es.amazonaws.com/_plugin/kibana/#/discover/Steve-Slow-Train-Analysis-(2080s-and-2083s)?_g=(refreshInterval:(display:Off,section:0,value:0),time:(from:'2016-06-12 05:48:32-0600',mode:absolute,to:'2016-06-12 06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5" s="19" t="str">
        <f t="shared" si="0"/>
        <v>4043</v>
      </c>
    </row>
    <row r="26" spans="1:17" s="19" customFormat="1" x14ac:dyDescent="0.25">
      <c r="A26" s="23">
        <v>42533.28701388889</v>
      </c>
      <c r="B26" s="22" t="s">
        <v>303</v>
      </c>
      <c r="C26" s="22" t="s">
        <v>304</v>
      </c>
      <c r="D26" s="22" t="s">
        <v>52</v>
      </c>
      <c r="E26" s="22" t="s">
        <v>53</v>
      </c>
      <c r="F26" s="22">
        <v>0</v>
      </c>
      <c r="G26" s="22">
        <v>7</v>
      </c>
      <c r="H26" s="22">
        <v>129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CANFIELD</v>
      </c>
      <c r="M26" s="20" t="s">
        <v>68</v>
      </c>
      <c r="N26" s="21"/>
      <c r="P26" s="79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https://search-rtdc-monitor-bjffxe2xuh6vdkpspy63sjmuny.us-east-1.es.amazonaws.com/_plugin/kibana/#/discover/Steve-Slow-Train-Analysis-(2080s-and-2083s)?_g=(refreshInterval:(display:Off,section:0,value:0),time:(from:'2016-06-12 06:02:10-0600',mode:absolute,to:'2016-06-12 06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0"/>
        <v>4012</v>
      </c>
    </row>
    <row r="27" spans="1:17" s="19" customFormat="1" x14ac:dyDescent="0.25">
      <c r="A27" s="23">
        <v>42533.329884259256</v>
      </c>
      <c r="B27" s="22" t="s">
        <v>126</v>
      </c>
      <c r="C27" s="22" t="s">
        <v>305</v>
      </c>
      <c r="D27" s="22" t="s">
        <v>52</v>
      </c>
      <c r="E27" s="22" t="s">
        <v>53</v>
      </c>
      <c r="F27" s="22">
        <v>0</v>
      </c>
      <c r="G27" s="22">
        <v>47</v>
      </c>
      <c r="H27" s="22">
        <v>156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SANTIZO</v>
      </c>
      <c r="M27" s="20" t="s">
        <v>68</v>
      </c>
      <c r="N27" s="21"/>
      <c r="P27" s="79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https://search-rtdc-monitor-bjffxe2xuh6vdkpspy63sjmuny.us-east-1.es.amazonaws.com/_plugin/kibana/#/discover/Steve-Slow-Train-Analysis-(2080s-and-2083s)?_g=(refreshInterval:(display:Off,section:0,value:0),time:(from:'2016-06-12 07:02:32-0600',mode:absolute,to:'2016-06-12 07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42533.389143518521</v>
      </c>
      <c r="B28" s="22" t="s">
        <v>110</v>
      </c>
      <c r="C28" s="22" t="s">
        <v>311</v>
      </c>
      <c r="D28" s="22" t="s">
        <v>52</v>
      </c>
      <c r="E28" s="22" t="s">
        <v>53</v>
      </c>
      <c r="F28" s="22">
        <v>0</v>
      </c>
      <c r="G28" s="22">
        <v>6</v>
      </c>
      <c r="H28" s="22">
        <v>109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YORK</v>
      </c>
      <c r="M28" s="20" t="s">
        <v>68</v>
      </c>
      <c r="N28" s="21"/>
      <c r="P28" s="79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https://search-rtdc-monitor-bjffxe2xuh6vdkpspy63sjmuny.us-east-1.es.amazonaws.com/_plugin/kibana/#/discover/Steve-Slow-Train-Analysis-(2080s-and-2083s)?_g=(refreshInterval:(display:Off,section:0,value:0),time:(from:'2016-06-12 08:37:36-0600',mode:absolute,to:'2016-06-12 09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0"/>
        <v>4019</v>
      </c>
    </row>
    <row r="29" spans="1:17" s="19" customFormat="1" x14ac:dyDescent="0.25">
      <c r="A29" s="23">
        <v>42533.42119212963</v>
      </c>
      <c r="B29" s="22" t="s">
        <v>100</v>
      </c>
      <c r="C29" s="22" t="s">
        <v>312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121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GEBRETEKLE</v>
      </c>
      <c r="M29" s="20" t="s">
        <v>68</v>
      </c>
      <c r="N29" s="21"/>
      <c r="P29" s="79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https://search-rtdc-monitor-bjffxe2xuh6vdkpspy63sjmuny.us-east-1.es.amazonaws.com/_plugin/kibana/#/discover/Steve-Slow-Train-Analysis-(2080s-and-2083s)?_g=(refreshInterval:(display:Off,section:0,value:0),time:(from:'2016-06-12 09:18:45-0600',mode:absolute,to:'2016-06-12 10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9" s="19" t="str">
        <f t="shared" si="0"/>
        <v>4043</v>
      </c>
    </row>
    <row r="30" spans="1:17" s="19" customFormat="1" x14ac:dyDescent="0.25">
      <c r="A30" s="23">
        <v>42533.474652777775</v>
      </c>
      <c r="B30" s="22" t="s">
        <v>118</v>
      </c>
      <c r="C30" s="22" t="s">
        <v>316</v>
      </c>
      <c r="D30" s="22" t="s">
        <v>52</v>
      </c>
      <c r="E30" s="22" t="s">
        <v>53</v>
      </c>
      <c r="F30" s="22">
        <v>0</v>
      </c>
      <c r="G30" s="22">
        <v>7</v>
      </c>
      <c r="H30" s="22">
        <v>233322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MAYBERRY</v>
      </c>
      <c r="M30" s="20" t="s">
        <v>68</v>
      </c>
      <c r="N30" s="21"/>
      <c r="P30" s="79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https://search-rtdc-monitor-bjffxe2xuh6vdkpspy63sjmuny.us-east-1.es.amazonaws.com/_plugin/kibana/#/discover/Steve-Slow-Train-Analysis-(2080s-and-2083s)?_g=(refreshInterval:(display:Off,section:0,value:0),time:(from:'2016-06-12 10:36:27-0600',mode:absolute,to:'2016-06-12 11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0" s="19" t="str">
        <f t="shared" si="0"/>
        <v>4009</v>
      </c>
    </row>
    <row r="31" spans="1:17" s="19" customFormat="1" x14ac:dyDescent="0.25">
      <c r="A31" s="23">
        <v>42533.515451388892</v>
      </c>
      <c r="B31" s="22" t="s">
        <v>124</v>
      </c>
      <c r="C31" s="22" t="s">
        <v>317</v>
      </c>
      <c r="D31" s="22" t="s">
        <v>52</v>
      </c>
      <c r="E31" s="22" t="s">
        <v>53</v>
      </c>
      <c r="F31" s="22">
        <v>0</v>
      </c>
      <c r="G31" s="22">
        <v>9</v>
      </c>
      <c r="H31" s="22">
        <v>233329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HELVIE</v>
      </c>
      <c r="M31" s="20" t="s">
        <v>68</v>
      </c>
      <c r="N31" s="21"/>
      <c r="P31" s="79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https://search-rtdc-monitor-bjffxe2xuh6vdkpspy63sjmuny.us-east-1.es.amazonaws.com/_plugin/kibana/#/discover/Steve-Slow-Train-Analysis-(2080s-and-2083s)?_g=(refreshInterval:(display:Off,section:0,value:0),time:(from:'2016-06-12 11:22:31-0600',mode:absolute,to:'2016-06-12 12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1" s="19" t="str">
        <f t="shared" si="0"/>
        <v>4018</v>
      </c>
    </row>
    <row r="32" spans="1:17" s="19" customFormat="1" x14ac:dyDescent="0.25">
      <c r="A32" s="23">
        <v>42533.518761574072</v>
      </c>
      <c r="B32" s="22" t="s">
        <v>318</v>
      </c>
      <c r="C32" s="22" t="s">
        <v>319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MAYBERRY</v>
      </c>
      <c r="M32" s="20" t="s">
        <v>68</v>
      </c>
      <c r="N32" s="21"/>
      <c r="P32" s="79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https://search-rtdc-monitor-bjffxe2xuh6vdkpspy63sjmuny.us-east-1.es.amazonaws.com/_plugin/kibana/#/discover/Steve-Slow-Train-Analysis-(2080s-and-2083s)?_g=(refreshInterval:(display:Off,section:0,value:0),time:(from:'2016-06-12 11:36:49-0600',mode:absolute,to:'2016-06-12 12:28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2" s="19" t="str">
        <f t="shared" ref="Q32:Q41" si="2">MID(B32,13,4)</f>
        <v>4010</v>
      </c>
    </row>
    <row r="33" spans="1:17" s="19" customFormat="1" x14ac:dyDescent="0.25">
      <c r="A33" s="23">
        <v>42533.532905092594</v>
      </c>
      <c r="B33" s="22" t="s">
        <v>313</v>
      </c>
      <c r="C33" s="22" t="s">
        <v>321</v>
      </c>
      <c r="D33" s="22" t="s">
        <v>52</v>
      </c>
      <c r="E33" s="22" t="s">
        <v>53</v>
      </c>
      <c r="F33" s="22">
        <v>0</v>
      </c>
      <c r="G33" s="22">
        <v>19</v>
      </c>
      <c r="H33" s="22">
        <v>233472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68</v>
      </c>
      <c r="N33" s="21"/>
      <c r="P33" s="79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https://search-rtdc-monitor-bjffxe2xuh6vdkpspy63sjmuny.us-east-1.es.amazonaws.com/_plugin/kibana/#/discover/Steve-Slow-Train-Analysis-(2080s-and-2083s)?_g=(refreshInterval:(display:Off,section:0,value:0),time:(from:'2016-06-12 12:01:45-0600',mode:absolute,to:'2016-06-12 12:48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3" s="19" t="str">
        <f t="shared" si="2"/>
        <v>4016</v>
      </c>
    </row>
    <row r="34" spans="1:17" s="19" customFormat="1" x14ac:dyDescent="0.25">
      <c r="A34" s="23">
        <v>42533.55804398148</v>
      </c>
      <c r="B34" s="22" t="s">
        <v>118</v>
      </c>
      <c r="C34" s="22" t="s">
        <v>322</v>
      </c>
      <c r="D34" s="22" t="s">
        <v>52</v>
      </c>
      <c r="E34" s="22" t="s">
        <v>53</v>
      </c>
      <c r="F34" s="22">
        <v>0</v>
      </c>
      <c r="G34" s="22">
        <v>74</v>
      </c>
      <c r="H34" s="22">
        <v>233203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MAYBERRY</v>
      </c>
      <c r="M34" s="20" t="s">
        <v>68</v>
      </c>
      <c r="N34" s="21"/>
      <c r="P34" s="79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https://search-rtdc-monitor-bjffxe2xuh6vdkpspy63sjmuny.us-east-1.es.amazonaws.com/_plugin/kibana/#/discover/Steve-Slow-Train-Analysis-(2080s-and-2083s)?_g=(refreshInterval:(display:Off,section:0,value:0),time:(from:'2016-06-12 12:31:41-0600',mode:absolute,to:'2016-06-12 13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4" s="19" t="str">
        <f t="shared" si="2"/>
        <v>4009</v>
      </c>
    </row>
    <row r="35" spans="1:17" s="19" customFormat="1" x14ac:dyDescent="0.25">
      <c r="A35" s="23">
        <v>42533.646307870367</v>
      </c>
      <c r="B35" s="22" t="s">
        <v>306</v>
      </c>
      <c r="C35" s="22" t="s">
        <v>326</v>
      </c>
      <c r="D35" s="22" t="s">
        <v>52</v>
      </c>
      <c r="E35" s="22" t="s">
        <v>53</v>
      </c>
      <c r="F35" s="22">
        <v>0</v>
      </c>
      <c r="G35" s="22">
        <v>32</v>
      </c>
      <c r="H35" s="22">
        <v>67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LOCKLEAR</v>
      </c>
      <c r="M35" s="20" t="s">
        <v>68</v>
      </c>
      <c r="N35" s="21"/>
      <c r="P35" s="79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https://search-rtdc-monitor-bjffxe2xuh6vdkpspy63sjmuny.us-east-1.es.amazonaws.com/_plugin/kibana/#/discover/Steve-Slow-Train-Analysis-(2080s-and-2083s)?_g=(refreshInterval:(display:Off,section:0,value:0),time:(from:'2016-06-12 14:46:08-0600',mode:absolute,to:'2016-06-12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5" s="19" t="str">
        <f t="shared" si="2"/>
        <v>4015</v>
      </c>
    </row>
    <row r="36" spans="1:17" s="19" customFormat="1" x14ac:dyDescent="0.25">
      <c r="A36" s="23">
        <v>42533.6641087963</v>
      </c>
      <c r="B36" s="22" t="s">
        <v>128</v>
      </c>
      <c r="C36" s="22" t="s">
        <v>327</v>
      </c>
      <c r="D36" s="22" t="s">
        <v>52</v>
      </c>
      <c r="E36" s="22" t="s">
        <v>53</v>
      </c>
      <c r="F36" s="22">
        <v>0</v>
      </c>
      <c r="G36" s="22">
        <v>7</v>
      </c>
      <c r="H36" s="22">
        <v>1154</v>
      </c>
      <c r="I36" s="22" t="s">
        <v>54</v>
      </c>
      <c r="J36" s="22">
        <v>839</v>
      </c>
      <c r="K36" s="21" t="s">
        <v>56</v>
      </c>
      <c r="L36" s="21" t="str">
        <f>VLOOKUP(C36,'Trips&amp;Operators'!$C$1:$E$9999,3,FALSE)</f>
        <v>STEWART</v>
      </c>
      <c r="M36" s="20" t="s">
        <v>68</v>
      </c>
      <c r="N36" s="21"/>
      <c r="P36" s="79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https://search-rtdc-monitor-bjffxe2xuh6vdkpspy63sjmuny.us-east-1.es.amazonaws.com/_plugin/kibana/#/discover/Steve-Slow-Train-Analysis-(2080s-and-2083s)?_g=(refreshInterval:(display:Off,section:0,value:0),time:(from:'2016-06-12 15:09:18-0600',mode:absolute,to:'2016-06-12 15:57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6" s="19" t="str">
        <f t="shared" si="2"/>
        <v>4023</v>
      </c>
    </row>
    <row r="37" spans="1:17" s="19" customFormat="1" x14ac:dyDescent="0.25">
      <c r="A37" s="23">
        <v>42533.745625000003</v>
      </c>
      <c r="B37" s="22" t="s">
        <v>318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101</v>
      </c>
      <c r="H37" s="22">
        <v>440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MAYBERRY</v>
      </c>
      <c r="M37" s="20" t="s">
        <v>68</v>
      </c>
      <c r="N37" s="21"/>
      <c r="P37" s="79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https://search-rtdc-monitor-bjffxe2xuh6vdkpspy63sjmuny.us-east-1.es.amazonaws.com/_plugin/kibana/#/discover/Steve-Slow-Train-Analysis-(2080s-and-2083s)?_g=(refreshInterval:(display:Off,section:0,value:0),time:(from:'2016-06-12 17:04:06-0600',mode:absolute,to:'2016-06-12 17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2"/>
        <v>4010</v>
      </c>
    </row>
    <row r="38" spans="1:17" s="19" customFormat="1" x14ac:dyDescent="0.25">
      <c r="A38" s="23">
        <v>42533.754826388889</v>
      </c>
      <c r="B38" s="22" t="s">
        <v>156</v>
      </c>
      <c r="C38" s="22" t="s">
        <v>333</v>
      </c>
      <c r="D38" s="22" t="s">
        <v>52</v>
      </c>
      <c r="E38" s="22" t="s">
        <v>53</v>
      </c>
      <c r="F38" s="22">
        <v>0</v>
      </c>
      <c r="G38" s="22">
        <v>6</v>
      </c>
      <c r="H38" s="22">
        <v>125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WEBSTER</v>
      </c>
      <c r="M38" s="20" t="s">
        <v>68</v>
      </c>
      <c r="N38" s="21"/>
      <c r="P38" s="79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https://search-rtdc-monitor-bjffxe2xuh6vdkpspy63sjmuny.us-east-1.es.amazonaws.com/_plugin/kibana/#/discover/Steve-Slow-Train-Analysis-(2080s-and-2083s)?_g=(refreshInterval:(display:Off,section:0,value:0),time:(from:'2016-06-12 17:17:43-0600',mode:absolute,to:'2016-06-12 17:42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8" s="19" t="str">
        <f t="shared" si="2"/>
        <v>4030</v>
      </c>
    </row>
    <row r="39" spans="1:17" s="19" customFormat="1" x14ac:dyDescent="0.25">
      <c r="A39" s="23">
        <v>42533.823796296296</v>
      </c>
      <c r="B39" s="22" t="s">
        <v>318</v>
      </c>
      <c r="C39" s="22" t="s">
        <v>334</v>
      </c>
      <c r="D39" s="22" t="s">
        <v>52</v>
      </c>
      <c r="E39" s="22" t="s">
        <v>53</v>
      </c>
      <c r="F39" s="22">
        <v>0</v>
      </c>
      <c r="G39" s="22">
        <v>8</v>
      </c>
      <c r="H39" s="22">
        <v>313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STEWART</v>
      </c>
      <c r="M39" s="20" t="s">
        <v>68</v>
      </c>
      <c r="N39" s="21"/>
      <c r="P39" s="79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https://search-rtdc-monitor-bjffxe2xuh6vdkpspy63sjmuny.us-east-1.es.amazonaws.com/_plugin/kibana/#/discover/Steve-Slow-Train-Analysis-(2080s-and-2083s)?_g=(refreshInterval:(display:Off,section:0,value:0),time:(from:'2016-06-12 18:52:40-0600',mode:absolute,to:'2016-06-12 19:47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9" s="19" t="str">
        <f t="shared" si="2"/>
        <v>4010</v>
      </c>
    </row>
    <row r="40" spans="1:17" s="19" customFormat="1" x14ac:dyDescent="0.25">
      <c r="A40" s="23">
        <v>42533.826435185183</v>
      </c>
      <c r="B40" s="22" t="s">
        <v>156</v>
      </c>
      <c r="C40" s="22" t="s">
        <v>335</v>
      </c>
      <c r="D40" s="22" t="s">
        <v>52</v>
      </c>
      <c r="E40" s="22" t="s">
        <v>53</v>
      </c>
      <c r="F40" s="22">
        <v>0</v>
      </c>
      <c r="G40" s="22">
        <v>7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DE LA ROSA</v>
      </c>
      <c r="M40" s="20" t="s">
        <v>68</v>
      </c>
      <c r="N40" s="21"/>
      <c r="P40" s="79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https://search-rtdc-monitor-bjffxe2xuh6vdkpspy63sjmuny.us-east-1.es.amazonaws.com/_plugin/kibana/#/discover/Steve-Slow-Train-Analysis-(2080s-and-2083s)?_g=(refreshInterval:(display:Off,section:0,value:0),time:(from:'2016-06-12 19:07:19-0600',mode:absolute,to:'2016-06-12 19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0" s="19" t="str">
        <f t="shared" si="2"/>
        <v>4030</v>
      </c>
    </row>
    <row r="41" spans="1:17" s="19" customFormat="1" x14ac:dyDescent="0.25">
      <c r="A41" s="23">
        <v>42533.983773148146</v>
      </c>
      <c r="B41" s="22" t="s">
        <v>156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6</v>
      </c>
      <c r="H41" s="22">
        <v>118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DE LA ROSA</v>
      </c>
      <c r="M41" s="20" t="s">
        <v>68</v>
      </c>
      <c r="N41" s="21"/>
      <c r="P41" s="79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https://search-rtdc-monitor-bjffxe2xuh6vdkpspy63sjmuny.us-east-1.es.amazonaws.com/_plugin/kibana/#/discover/Steve-Slow-Train-Analysis-(2080s-and-2083s)?_g=(refreshInterval:(display:Off,section:0,value:0),time:(from:'2016-06-12 22:49:29-0600',mode:absolute,to:'2016-06-12 23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1" s="19" t="str">
        <f t="shared" si="2"/>
        <v>4030</v>
      </c>
    </row>
    <row r="42" spans="1:17" s="19" customFormat="1" ht="15.75" thickBot="1" x14ac:dyDescent="0.3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3"/>
      <c r="L42" s="43"/>
      <c r="M42" s="44"/>
      <c r="N42" s="43"/>
      <c r="P42" s="79"/>
    </row>
    <row r="43" spans="1:17" ht="30" x14ac:dyDescent="0.25">
      <c r="B43" s="59"/>
      <c r="C43" s="59"/>
      <c r="D43" s="59"/>
      <c r="E43" s="59"/>
      <c r="F43" s="59"/>
      <c r="G43" s="59"/>
      <c r="H43" s="59"/>
      <c r="I43" s="59"/>
      <c r="J43" s="59"/>
      <c r="K43" s="18" t="s">
        <v>28</v>
      </c>
      <c r="L43" s="52"/>
      <c r="M43" s="17">
        <f>COUNTIF(M3:M41,"=Y")</f>
        <v>3</v>
      </c>
      <c r="N43" s="77"/>
    </row>
    <row r="44" spans="1:17" ht="15.75" thickBot="1" x14ac:dyDescent="0.3">
      <c r="B44" s="59"/>
      <c r="C44" s="59"/>
      <c r="D44" s="59"/>
      <c r="E44" s="59"/>
      <c r="F44" s="59"/>
      <c r="G44" s="59"/>
      <c r="H44" s="59"/>
      <c r="I44" s="59"/>
      <c r="J44" s="59"/>
      <c r="K44" s="16" t="s">
        <v>27</v>
      </c>
      <c r="L44" s="53"/>
      <c r="M44" s="15">
        <f>COUNTA(M3:M41)-M43</f>
        <v>36</v>
      </c>
    </row>
  </sheetData>
  <autoFilter ref="A2:N41">
    <sortState ref="A3:N41">
      <sortCondition ref="E2:E41"/>
    </sortState>
  </autoFilter>
  <sortState ref="A3:N63">
    <sortCondition ref="E3:E63"/>
  </sortState>
  <mergeCells count="1">
    <mergeCell ref="A1:M1"/>
  </mergeCells>
  <conditionalFormatting sqref="N2 P2 M2:M1048576">
    <cfRule type="cellIs" dxfId="37" priority="8" operator="equal">
      <formula>"Y"</formula>
    </cfRule>
  </conditionalFormatting>
  <conditionalFormatting sqref="A3:N41">
    <cfRule type="expression" dxfId="3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5" sqref="E25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2016-06-12</v>
      </c>
      <c r="B1" s="104"/>
      <c r="C1" s="104"/>
      <c r="D1" s="104"/>
      <c r="E1" s="104"/>
    </row>
    <row r="2" spans="1:5" s="77" customFormat="1" ht="45" x14ac:dyDescent="0.25">
      <c r="A2" s="76" t="s">
        <v>297</v>
      </c>
      <c r="B2" s="90" t="s">
        <v>298</v>
      </c>
      <c r="C2" s="88" t="s">
        <v>299</v>
      </c>
      <c r="D2" s="77" t="s">
        <v>295</v>
      </c>
      <c r="E2" s="59" t="s">
        <v>296</v>
      </c>
    </row>
    <row r="3" spans="1:5" x14ac:dyDescent="0.25">
      <c r="A3" s="60" t="s">
        <v>529</v>
      </c>
      <c r="B3" s="91">
        <v>8</v>
      </c>
      <c r="C3" s="60" t="s">
        <v>537</v>
      </c>
      <c r="D3" s="61"/>
      <c r="E3" s="60" t="e">
        <f>VLOOKUP(#REF!,'Trips&amp;Operators'!$C$1:$E$9999,3,FALSE)</f>
        <v>#REF!</v>
      </c>
    </row>
    <row r="4" spans="1:5" x14ac:dyDescent="0.25">
      <c r="A4" s="60" t="s">
        <v>530</v>
      </c>
      <c r="B4" s="91">
        <v>4</v>
      </c>
      <c r="C4" s="60" t="s">
        <v>538</v>
      </c>
      <c r="D4" s="61"/>
      <c r="E4" s="60" t="e">
        <f>VLOOKUP(A4,'Trips&amp;Operators'!$C$1:$E$9999,3,FALSE)</f>
        <v>#N/A</v>
      </c>
    </row>
    <row r="5" spans="1:5" x14ac:dyDescent="0.25">
      <c r="A5" s="85" t="s">
        <v>531</v>
      </c>
      <c r="B5" s="92">
        <v>5</v>
      </c>
      <c r="C5" s="93" t="s">
        <v>539</v>
      </c>
      <c r="D5" s="61"/>
      <c r="E5" s="60" t="e">
        <f>VLOOKUP(A5,'Trips&amp;Operators'!$C$1:$E$9999,3,FALSE)</f>
        <v>#N/A</v>
      </c>
    </row>
    <row r="6" spans="1:5" x14ac:dyDescent="0.25">
      <c r="A6" s="60" t="s">
        <v>533</v>
      </c>
      <c r="B6" s="91">
        <v>3</v>
      </c>
      <c r="C6" s="93" t="s">
        <v>539</v>
      </c>
      <c r="D6" s="61"/>
      <c r="E6" s="60" t="e">
        <f>VLOOKUP(A6,'Trips&amp;Operators'!$C$1:$E$9999,3,FALSE)</f>
        <v>#N/A</v>
      </c>
    </row>
    <row r="7" spans="1:5" x14ac:dyDescent="0.25">
      <c r="A7" s="86" t="s">
        <v>532</v>
      </c>
      <c r="B7" s="91">
        <v>4</v>
      </c>
      <c r="C7" s="60" t="s">
        <v>537</v>
      </c>
      <c r="D7" s="61"/>
      <c r="E7" s="60" t="e">
        <f>VLOOKUP(A7,'Trips&amp;Operators'!$C$1:$E$9999,3,FALSE)</f>
        <v>#N/A</v>
      </c>
    </row>
    <row r="8" spans="1:5" x14ac:dyDescent="0.25">
      <c r="A8" s="60" t="s">
        <v>534</v>
      </c>
      <c r="B8" s="91">
        <v>3</v>
      </c>
      <c r="C8" s="60" t="s">
        <v>539</v>
      </c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35" priority="35">
      <formula>$R3&gt;0</formula>
    </cfRule>
    <cfRule type="expression" dxfId="34" priority="36">
      <formula>$Q3&gt;0</formula>
    </cfRule>
  </conditionalFormatting>
  <conditionalFormatting sqref="A5:C5">
    <cfRule type="expression" dxfId="33" priority="32">
      <formula>$R5&gt;0</formula>
    </cfRule>
    <cfRule type="expression" dxfId="32" priority="33">
      <formula>$Q5&gt;0</formula>
    </cfRule>
  </conditionalFormatting>
  <conditionalFormatting sqref="A6:B6">
    <cfRule type="expression" dxfId="31" priority="29">
      <formula>$R6&gt;0</formula>
    </cfRule>
    <cfRule type="expression" dxfId="30" priority="30">
      <formula>$Q6&gt;0</formula>
    </cfRule>
  </conditionalFormatting>
  <conditionalFormatting sqref="A11:C12">
    <cfRule type="expression" dxfId="29" priority="26">
      <formula>$R11&gt;0</formula>
    </cfRule>
    <cfRule type="expression" dxfId="28" priority="27">
      <formula>$Q11&gt;0</formula>
    </cfRule>
  </conditionalFormatting>
  <conditionalFormatting sqref="A13:C13">
    <cfRule type="expression" dxfId="27" priority="23">
      <formula>$R13&gt;0</formula>
    </cfRule>
    <cfRule type="expression" dxfId="26" priority="24">
      <formula>$Q13&gt;0</formula>
    </cfRule>
  </conditionalFormatting>
  <conditionalFormatting sqref="D3:D10">
    <cfRule type="expression" dxfId="25" priority="20">
      <formula>$R3&gt;0</formula>
    </cfRule>
    <cfRule type="expression" dxfId="24" priority="21">
      <formula>$Q3&gt;0</formula>
    </cfRule>
  </conditionalFormatting>
  <conditionalFormatting sqref="E3:E14">
    <cfRule type="expression" dxfId="23" priority="17">
      <formula>$R3&gt;0</formula>
    </cfRule>
    <cfRule type="expression" dxfId="22" priority="18">
      <formula>$Q3&gt;0</formula>
    </cfRule>
  </conditionalFormatting>
  <conditionalFormatting sqref="A3">
    <cfRule type="expression" dxfId="21" priority="14">
      <formula>$P3&gt;0</formula>
    </cfRule>
    <cfRule type="expression" dxfId="20" priority="15">
      <formula>$O3&gt;0</formula>
    </cfRule>
  </conditionalFormatting>
  <conditionalFormatting sqref="A4">
    <cfRule type="expression" dxfId="19" priority="11">
      <formula>$P4&gt;0</formula>
    </cfRule>
    <cfRule type="expression" dxfId="18" priority="12">
      <formula>$O4&gt;0</formula>
    </cfRule>
  </conditionalFormatting>
  <conditionalFormatting sqref="C7">
    <cfRule type="expression" dxfId="17" priority="8">
      <formula>$R7&gt;0</formula>
    </cfRule>
    <cfRule type="expression" dxfId="16" priority="9">
      <formula>$Q7&gt;0</formula>
    </cfRule>
  </conditionalFormatting>
  <conditionalFormatting sqref="C6">
    <cfRule type="expression" dxfId="15" priority="5">
      <formula>$R6&gt;0</formula>
    </cfRule>
    <cfRule type="expression" dxfId="14" priority="6">
      <formula>$Q6&gt;0</formula>
    </cfRule>
  </conditionalFormatting>
  <conditionalFormatting sqref="A8">
    <cfRule type="expression" dxfId="13" priority="2">
      <formula>$P8&gt;0</formula>
    </cfRule>
    <cfRule type="expression" dxfId="12" priority="3">
      <formula>$O8&gt;0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31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28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25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22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19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6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3" id="{981FBC35-F63C-4268-AEC1-A840D203CB2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10" id="{E32FFBD1-5B5E-4D74-8855-921370A3648A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7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4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7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42533.175520833334</v>
      </c>
      <c r="B1" t="s">
        <v>303</v>
      </c>
      <c r="C1" t="s">
        <v>339</v>
      </c>
      <c r="D1">
        <v>1840000</v>
      </c>
      <c r="E1" t="s">
        <v>340</v>
      </c>
    </row>
    <row r="2" spans="1:5" x14ac:dyDescent="0.25">
      <c r="A2" s="14">
        <v>42533.308993055558</v>
      </c>
      <c r="B2" t="s">
        <v>200</v>
      </c>
      <c r="C2" t="s">
        <v>341</v>
      </c>
      <c r="D2">
        <v>1480000</v>
      </c>
      <c r="E2" t="s">
        <v>342</v>
      </c>
    </row>
    <row r="3" spans="1:5" x14ac:dyDescent="0.25">
      <c r="A3" s="14">
        <v>42533.369826388887</v>
      </c>
      <c r="B3" t="s">
        <v>126</v>
      </c>
      <c r="C3" t="s">
        <v>343</v>
      </c>
      <c r="D3">
        <v>1360000</v>
      </c>
      <c r="E3" t="s">
        <v>108</v>
      </c>
    </row>
    <row r="4" spans="1:5" x14ac:dyDescent="0.25">
      <c r="A4" s="14">
        <v>42533.401331018518</v>
      </c>
      <c r="B4" t="s">
        <v>303</v>
      </c>
      <c r="C4" t="s">
        <v>344</v>
      </c>
      <c r="D4">
        <v>1840000</v>
      </c>
      <c r="E4" t="s">
        <v>340</v>
      </c>
    </row>
    <row r="5" spans="1:5" x14ac:dyDescent="0.25">
      <c r="A5" s="14">
        <v>42533.587465277778</v>
      </c>
      <c r="B5" t="s">
        <v>168</v>
      </c>
      <c r="C5" t="s">
        <v>345</v>
      </c>
      <c r="D5">
        <v>1260000</v>
      </c>
      <c r="E5" t="s">
        <v>346</v>
      </c>
    </row>
    <row r="6" spans="1:5" x14ac:dyDescent="0.25">
      <c r="A6" s="14">
        <v>42533.191365740742</v>
      </c>
      <c r="B6" t="s">
        <v>156</v>
      </c>
      <c r="C6" t="s">
        <v>347</v>
      </c>
      <c r="D6">
        <v>1480000</v>
      </c>
      <c r="E6" t="s">
        <v>342</v>
      </c>
    </row>
    <row r="7" spans="1:5" x14ac:dyDescent="0.25">
      <c r="A7" s="14">
        <v>42533.620023148149</v>
      </c>
      <c r="B7" t="s">
        <v>111</v>
      </c>
      <c r="C7" t="s">
        <v>348</v>
      </c>
      <c r="D7">
        <v>1470000</v>
      </c>
      <c r="E7" t="s">
        <v>119</v>
      </c>
    </row>
    <row r="8" spans="1:5" ht="15.75" thickBot="1" x14ac:dyDescent="0.3">
      <c r="A8" s="82">
        <v>42533.75068287037</v>
      </c>
      <c r="B8" t="s">
        <v>118</v>
      </c>
      <c r="C8" t="s">
        <v>349</v>
      </c>
      <c r="D8">
        <v>880000</v>
      </c>
      <c r="E8" t="s">
        <v>148</v>
      </c>
    </row>
    <row r="9" spans="1:5" x14ac:dyDescent="0.25">
      <c r="A9" s="14">
        <v>42533.717800925922</v>
      </c>
      <c r="B9" t="s">
        <v>309</v>
      </c>
      <c r="C9" t="s">
        <v>350</v>
      </c>
      <c r="D9">
        <v>1770000</v>
      </c>
      <c r="E9" t="s">
        <v>351</v>
      </c>
    </row>
    <row r="10" spans="1:5" x14ac:dyDescent="0.25">
      <c r="A10" s="14">
        <v>42533.745891203704</v>
      </c>
      <c r="B10" t="s">
        <v>128</v>
      </c>
      <c r="C10" t="s">
        <v>352</v>
      </c>
      <c r="D10">
        <v>1120000</v>
      </c>
      <c r="E10" t="s">
        <v>353</v>
      </c>
    </row>
    <row r="11" spans="1:5" x14ac:dyDescent="0.25">
      <c r="A11" s="14">
        <v>42533.135358796295</v>
      </c>
      <c r="B11" t="s">
        <v>168</v>
      </c>
      <c r="C11" t="s">
        <v>354</v>
      </c>
      <c r="D11">
        <v>1840000</v>
      </c>
      <c r="E11" t="s">
        <v>340</v>
      </c>
    </row>
    <row r="12" spans="1:5" x14ac:dyDescent="0.25">
      <c r="A12" s="14">
        <v>42533.769305555557</v>
      </c>
      <c r="B12" t="s">
        <v>124</v>
      </c>
      <c r="C12" t="s">
        <v>355</v>
      </c>
      <c r="D12">
        <v>1280000</v>
      </c>
      <c r="E12" t="s">
        <v>193</v>
      </c>
    </row>
    <row r="13" spans="1:5" x14ac:dyDescent="0.25">
      <c r="A13" s="14">
        <v>42533.418622685182</v>
      </c>
      <c r="B13" t="s">
        <v>156</v>
      </c>
      <c r="C13" t="s">
        <v>356</v>
      </c>
      <c r="D13">
        <v>1480000</v>
      </c>
      <c r="E13" t="s">
        <v>342</v>
      </c>
    </row>
    <row r="14" spans="1:5" x14ac:dyDescent="0.25">
      <c r="A14" s="14">
        <v>42533.691087962965</v>
      </c>
      <c r="B14" t="s">
        <v>100</v>
      </c>
      <c r="C14" t="s">
        <v>357</v>
      </c>
      <c r="D14">
        <v>1260000</v>
      </c>
      <c r="E14" t="s">
        <v>346</v>
      </c>
    </row>
    <row r="15" spans="1:5" x14ac:dyDescent="0.25">
      <c r="A15" s="14">
        <v>42533.506979166668</v>
      </c>
      <c r="B15" t="s">
        <v>168</v>
      </c>
      <c r="C15" t="s">
        <v>358</v>
      </c>
      <c r="D15">
        <v>1260000</v>
      </c>
      <c r="E15" t="s">
        <v>346</v>
      </c>
    </row>
    <row r="16" spans="1:5" x14ac:dyDescent="0.25">
      <c r="A16" s="14">
        <v>42533.236446759256</v>
      </c>
      <c r="B16" s="59" t="s">
        <v>306</v>
      </c>
      <c r="C16" t="s">
        <v>359</v>
      </c>
      <c r="D16">
        <v>1310000</v>
      </c>
      <c r="E16" t="s">
        <v>196</v>
      </c>
    </row>
    <row r="17" spans="1:5" x14ac:dyDescent="0.25">
      <c r="A17" s="14">
        <v>42533.529513888891</v>
      </c>
      <c r="B17" t="s">
        <v>303</v>
      </c>
      <c r="C17" t="s">
        <v>323</v>
      </c>
      <c r="D17">
        <v>1290000</v>
      </c>
      <c r="E17" t="s">
        <v>136</v>
      </c>
    </row>
    <row r="18" spans="1:5" x14ac:dyDescent="0.25">
      <c r="A18" s="14">
        <v>42533.908668981479</v>
      </c>
      <c r="B18" t="s">
        <v>154</v>
      </c>
      <c r="C18" t="s">
        <v>360</v>
      </c>
      <c r="D18">
        <v>1770000</v>
      </c>
      <c r="E18" t="s">
        <v>351</v>
      </c>
    </row>
    <row r="19" spans="1:5" x14ac:dyDescent="0.25">
      <c r="A19" s="14">
        <v>42534.035821759258</v>
      </c>
      <c r="B19" t="s">
        <v>156</v>
      </c>
      <c r="C19" t="s">
        <v>361</v>
      </c>
      <c r="D19">
        <v>1780000</v>
      </c>
      <c r="E19" t="s">
        <v>362</v>
      </c>
    </row>
    <row r="20" spans="1:5" x14ac:dyDescent="0.25">
      <c r="A20" s="14">
        <v>42533.73741898148</v>
      </c>
      <c r="B20" t="s">
        <v>156</v>
      </c>
      <c r="C20" t="s">
        <v>333</v>
      </c>
      <c r="D20">
        <v>950000</v>
      </c>
      <c r="E20" t="s">
        <v>363</v>
      </c>
    </row>
    <row r="21" spans="1:5" x14ac:dyDescent="0.25">
      <c r="A21" s="14">
        <v>42533.952361111114</v>
      </c>
      <c r="B21" t="s">
        <v>156</v>
      </c>
      <c r="C21" t="s">
        <v>338</v>
      </c>
      <c r="D21">
        <v>1780000</v>
      </c>
      <c r="E21" t="s">
        <v>362</v>
      </c>
    </row>
    <row r="22" spans="1:5" x14ac:dyDescent="0.25">
      <c r="A22" s="14">
        <v>42533.433356481481</v>
      </c>
      <c r="B22" t="s">
        <v>150</v>
      </c>
      <c r="C22" t="s">
        <v>364</v>
      </c>
      <c r="D22">
        <v>1100000</v>
      </c>
      <c r="E22" t="s">
        <v>104</v>
      </c>
    </row>
    <row r="23" spans="1:5" x14ac:dyDescent="0.25">
      <c r="A23" s="14">
        <v>42534.010717592595</v>
      </c>
      <c r="B23" t="s">
        <v>306</v>
      </c>
      <c r="C23" t="s">
        <v>365</v>
      </c>
      <c r="D23">
        <v>1140000</v>
      </c>
      <c r="E23" t="s">
        <v>130</v>
      </c>
    </row>
    <row r="24" spans="1:5" x14ac:dyDescent="0.25">
      <c r="A24" s="14">
        <v>42533.154351851852</v>
      </c>
      <c r="B24" t="s">
        <v>168</v>
      </c>
      <c r="C24" t="s">
        <v>354</v>
      </c>
      <c r="D24">
        <v>1840000</v>
      </c>
      <c r="E24" t="s">
        <v>340</v>
      </c>
    </row>
    <row r="25" spans="1:5" x14ac:dyDescent="0.25">
      <c r="A25" s="14">
        <v>42533.169675925928</v>
      </c>
      <c r="B25" t="s">
        <v>150</v>
      </c>
      <c r="C25" t="s">
        <v>366</v>
      </c>
      <c r="D25">
        <v>1830000</v>
      </c>
      <c r="E25" t="s">
        <v>367</v>
      </c>
    </row>
    <row r="26" spans="1:5" x14ac:dyDescent="0.25">
      <c r="A26" s="14">
        <v>42533.656238425923</v>
      </c>
      <c r="B26" t="s">
        <v>168</v>
      </c>
      <c r="C26" t="s">
        <v>368</v>
      </c>
      <c r="D26">
        <v>1260000</v>
      </c>
      <c r="E26" t="s">
        <v>346</v>
      </c>
    </row>
    <row r="27" spans="1:5" x14ac:dyDescent="0.25">
      <c r="A27" s="14">
        <v>42533.243657407409</v>
      </c>
      <c r="B27" s="59" t="s">
        <v>100</v>
      </c>
      <c r="C27" t="s">
        <v>302</v>
      </c>
      <c r="D27">
        <v>1100000</v>
      </c>
      <c r="E27" t="s">
        <v>104</v>
      </c>
    </row>
    <row r="28" spans="1:5" x14ac:dyDescent="0.25">
      <c r="A28" s="14">
        <v>42533.639456018522</v>
      </c>
      <c r="B28" t="s">
        <v>318</v>
      </c>
      <c r="C28" t="s">
        <v>369</v>
      </c>
      <c r="D28">
        <v>1520000</v>
      </c>
      <c r="E28" t="s">
        <v>190</v>
      </c>
    </row>
    <row r="29" spans="1:5" x14ac:dyDescent="0.25">
      <c r="A29" s="14">
        <v>42533.53707175926</v>
      </c>
      <c r="B29" t="s">
        <v>306</v>
      </c>
      <c r="C29" t="s">
        <v>370</v>
      </c>
      <c r="D29">
        <v>1120000</v>
      </c>
      <c r="E29" t="s">
        <v>353</v>
      </c>
    </row>
    <row r="30" spans="1:5" x14ac:dyDescent="0.25">
      <c r="A30" s="14">
        <v>42533.522164351853</v>
      </c>
      <c r="B30" t="s">
        <v>118</v>
      </c>
      <c r="C30" t="s">
        <v>322</v>
      </c>
      <c r="D30">
        <v>1520000</v>
      </c>
      <c r="E30" t="s">
        <v>190</v>
      </c>
    </row>
    <row r="31" spans="1:5" x14ac:dyDescent="0.25">
      <c r="A31" s="14">
        <v>42533.586296296293</v>
      </c>
      <c r="B31" t="s">
        <v>168</v>
      </c>
      <c r="C31" t="s">
        <v>345</v>
      </c>
      <c r="D31">
        <v>1260000</v>
      </c>
      <c r="E31" t="s">
        <v>346</v>
      </c>
    </row>
    <row r="32" spans="1:5" x14ac:dyDescent="0.25">
      <c r="A32" s="14">
        <v>42533.517916666664</v>
      </c>
      <c r="B32" t="s">
        <v>126</v>
      </c>
      <c r="C32" t="s">
        <v>371</v>
      </c>
      <c r="D32">
        <v>1540000</v>
      </c>
      <c r="E32" t="s">
        <v>129</v>
      </c>
    </row>
    <row r="33" spans="1:5" x14ac:dyDescent="0.25">
      <c r="A33" s="14">
        <v>42533.586331018516</v>
      </c>
      <c r="B33" t="s">
        <v>313</v>
      </c>
      <c r="C33" t="s">
        <v>324</v>
      </c>
      <c r="D33">
        <v>1120000</v>
      </c>
      <c r="E33" t="s">
        <v>353</v>
      </c>
    </row>
    <row r="34" spans="1:5" x14ac:dyDescent="0.25">
      <c r="A34" s="14">
        <v>42533.50508101852</v>
      </c>
      <c r="B34" t="s">
        <v>156</v>
      </c>
      <c r="C34" t="s">
        <v>372</v>
      </c>
      <c r="D34">
        <v>1230000</v>
      </c>
      <c r="E34" t="s">
        <v>189</v>
      </c>
    </row>
    <row r="35" spans="1:5" x14ac:dyDescent="0.25">
      <c r="A35" s="14">
        <v>42533.631967592592</v>
      </c>
      <c r="B35" t="s">
        <v>124</v>
      </c>
      <c r="C35" t="s">
        <v>373</v>
      </c>
      <c r="D35">
        <v>1540000</v>
      </c>
      <c r="E35" t="s">
        <v>129</v>
      </c>
    </row>
    <row r="36" spans="1:5" x14ac:dyDescent="0.25">
      <c r="A36" s="14">
        <v>42533.441111111111</v>
      </c>
      <c r="B36" t="s">
        <v>126</v>
      </c>
      <c r="C36" t="s">
        <v>374</v>
      </c>
      <c r="D36">
        <v>1360000</v>
      </c>
      <c r="E36" t="s">
        <v>108</v>
      </c>
    </row>
    <row r="37" spans="1:5" x14ac:dyDescent="0.25">
      <c r="A37" s="14">
        <v>42533.669722222221</v>
      </c>
      <c r="B37" t="s">
        <v>313</v>
      </c>
      <c r="C37" t="s">
        <v>329</v>
      </c>
      <c r="D37">
        <v>880000</v>
      </c>
      <c r="E37" t="s">
        <v>148</v>
      </c>
    </row>
    <row r="38" spans="1:5" x14ac:dyDescent="0.25">
      <c r="A38" s="14">
        <v>42533.326516203706</v>
      </c>
      <c r="B38" t="s">
        <v>303</v>
      </c>
      <c r="C38" t="s">
        <v>308</v>
      </c>
      <c r="D38">
        <v>1840000</v>
      </c>
      <c r="E38" t="s">
        <v>340</v>
      </c>
    </row>
    <row r="39" spans="1:5" x14ac:dyDescent="0.25">
      <c r="A39" s="14">
        <v>42533.213495370372</v>
      </c>
      <c r="B39" t="s">
        <v>110</v>
      </c>
      <c r="C39" t="s">
        <v>375</v>
      </c>
      <c r="D39">
        <v>1830000</v>
      </c>
      <c r="E39" t="s">
        <v>367</v>
      </c>
    </row>
    <row r="40" spans="1:5" x14ac:dyDescent="0.25">
      <c r="A40" s="14">
        <v>42533.932766203703</v>
      </c>
      <c r="B40" t="s">
        <v>306</v>
      </c>
      <c r="C40" t="s">
        <v>376</v>
      </c>
      <c r="D40">
        <v>1140000</v>
      </c>
      <c r="E40" t="s">
        <v>130</v>
      </c>
    </row>
    <row r="41" spans="1:5" x14ac:dyDescent="0.25">
      <c r="A41" s="14">
        <v>42533.349131944444</v>
      </c>
      <c r="B41" t="s">
        <v>156</v>
      </c>
      <c r="C41" t="s">
        <v>377</v>
      </c>
      <c r="D41">
        <v>1480000</v>
      </c>
      <c r="E41" t="s">
        <v>342</v>
      </c>
    </row>
    <row r="42" spans="1:5" x14ac:dyDescent="0.25">
      <c r="A42" s="14">
        <v>42533.712245370371</v>
      </c>
      <c r="B42" s="83" t="s">
        <v>318</v>
      </c>
      <c r="C42" t="s">
        <v>330</v>
      </c>
      <c r="D42">
        <v>1520000</v>
      </c>
      <c r="E42" t="s">
        <v>190</v>
      </c>
    </row>
    <row r="43" spans="1:5" x14ac:dyDescent="0.25">
      <c r="A43" s="14">
        <v>42533.372673611113</v>
      </c>
      <c r="B43" t="s">
        <v>118</v>
      </c>
      <c r="C43" t="s">
        <v>378</v>
      </c>
      <c r="D43">
        <v>1230000</v>
      </c>
      <c r="E43" t="s">
        <v>189</v>
      </c>
    </row>
    <row r="44" spans="1:5" x14ac:dyDescent="0.25">
      <c r="A44" s="14">
        <v>42533.650069444448</v>
      </c>
      <c r="B44" t="s">
        <v>156</v>
      </c>
      <c r="C44" t="s">
        <v>379</v>
      </c>
      <c r="D44">
        <v>950000</v>
      </c>
      <c r="E44" t="s">
        <v>363</v>
      </c>
    </row>
    <row r="45" spans="1:5" x14ac:dyDescent="0.25">
      <c r="A45" s="14">
        <v>42533.475277777776</v>
      </c>
      <c r="B45" t="s">
        <v>124</v>
      </c>
      <c r="C45" t="s">
        <v>317</v>
      </c>
      <c r="D45">
        <v>1540000</v>
      </c>
      <c r="E45" t="s">
        <v>129</v>
      </c>
    </row>
    <row r="46" spans="1:5" x14ac:dyDescent="0.25">
      <c r="A46" s="14">
        <v>42533.643842592595</v>
      </c>
      <c r="B46" t="s">
        <v>309</v>
      </c>
      <c r="C46" t="s">
        <v>380</v>
      </c>
      <c r="D46">
        <v>1750000</v>
      </c>
      <c r="E46" t="s">
        <v>381</v>
      </c>
    </row>
    <row r="47" spans="1:5" x14ac:dyDescent="0.25">
      <c r="A47" s="14">
        <v>42533.508425925924</v>
      </c>
      <c r="B47" t="s">
        <v>168</v>
      </c>
      <c r="C47" t="s">
        <v>358</v>
      </c>
      <c r="D47">
        <v>1260000</v>
      </c>
      <c r="E47" t="s">
        <v>346</v>
      </c>
    </row>
    <row r="48" spans="1:5" x14ac:dyDescent="0.25">
      <c r="A48" s="14">
        <v>42533.931655092594</v>
      </c>
      <c r="B48" t="s">
        <v>124</v>
      </c>
      <c r="C48" t="s">
        <v>382</v>
      </c>
      <c r="D48">
        <v>1280000</v>
      </c>
      <c r="E48" t="s">
        <v>193</v>
      </c>
    </row>
    <row r="49" spans="1:5" x14ac:dyDescent="0.25">
      <c r="A49" s="14">
        <v>42533.584386574075</v>
      </c>
      <c r="B49" t="s">
        <v>168</v>
      </c>
      <c r="C49" t="s">
        <v>345</v>
      </c>
      <c r="D49">
        <v>1260000</v>
      </c>
      <c r="E49" t="s">
        <v>346</v>
      </c>
    </row>
    <row r="50" spans="1:5" x14ac:dyDescent="0.25">
      <c r="A50" s="14">
        <v>42533.890381944446</v>
      </c>
      <c r="B50" t="s">
        <v>126</v>
      </c>
      <c r="C50" t="s">
        <v>383</v>
      </c>
      <c r="D50">
        <v>1280000</v>
      </c>
      <c r="E50" t="s">
        <v>193</v>
      </c>
    </row>
    <row r="51" spans="1:5" x14ac:dyDescent="0.25">
      <c r="A51" s="14">
        <v>42533.61273148148</v>
      </c>
      <c r="B51" t="s">
        <v>200</v>
      </c>
      <c r="C51" t="s">
        <v>384</v>
      </c>
      <c r="D51">
        <v>950000</v>
      </c>
      <c r="E51" t="s">
        <v>363</v>
      </c>
    </row>
    <row r="52" spans="1:5" x14ac:dyDescent="0.25">
      <c r="A52" s="14">
        <v>42533.974791666667</v>
      </c>
      <c r="B52" t="s">
        <v>126</v>
      </c>
      <c r="C52" t="s">
        <v>385</v>
      </c>
      <c r="D52">
        <v>1280000</v>
      </c>
      <c r="E52" t="s">
        <v>193</v>
      </c>
    </row>
    <row r="53" spans="1:5" x14ac:dyDescent="0.25">
      <c r="A53" s="14">
        <v>42533.660405092596</v>
      </c>
      <c r="B53" t="s">
        <v>110</v>
      </c>
      <c r="C53" t="s">
        <v>328</v>
      </c>
      <c r="D53">
        <v>1470000</v>
      </c>
      <c r="E53" t="s">
        <v>119</v>
      </c>
    </row>
    <row r="54" spans="1:5" x14ac:dyDescent="0.25">
      <c r="A54" s="14">
        <v>42533.70820601852</v>
      </c>
      <c r="B54" t="s">
        <v>306</v>
      </c>
      <c r="C54" t="s">
        <v>386</v>
      </c>
      <c r="D54">
        <v>880000</v>
      </c>
      <c r="E54" t="s">
        <v>148</v>
      </c>
    </row>
    <row r="55" spans="1:5" x14ac:dyDescent="0.25">
      <c r="A55" s="14">
        <v>42533.23196759259</v>
      </c>
      <c r="B55" t="s">
        <v>200</v>
      </c>
      <c r="C55" t="s">
        <v>387</v>
      </c>
      <c r="D55">
        <v>1480000</v>
      </c>
      <c r="E55" t="s">
        <v>342</v>
      </c>
    </row>
    <row r="56" spans="1:5" x14ac:dyDescent="0.25">
      <c r="A56" s="14">
        <v>42533.640509259261</v>
      </c>
      <c r="B56" t="s">
        <v>318</v>
      </c>
      <c r="C56" t="s">
        <v>369</v>
      </c>
      <c r="D56">
        <v>1520000</v>
      </c>
      <c r="E56" t="s">
        <v>190</v>
      </c>
    </row>
    <row r="57" spans="1:5" x14ac:dyDescent="0.25">
      <c r="A57" s="14">
        <v>42533.474282407406</v>
      </c>
      <c r="B57" t="s">
        <v>128</v>
      </c>
      <c r="C57" t="s">
        <v>388</v>
      </c>
      <c r="D57">
        <v>1100000</v>
      </c>
      <c r="E57" t="s">
        <v>104</v>
      </c>
    </row>
    <row r="58" spans="1:5" x14ac:dyDescent="0.25">
      <c r="A58" s="14">
        <v>42533.790381944447</v>
      </c>
      <c r="B58" t="s">
        <v>309</v>
      </c>
      <c r="C58" t="s">
        <v>389</v>
      </c>
      <c r="D58">
        <v>1770000</v>
      </c>
      <c r="E58" t="s">
        <v>351</v>
      </c>
    </row>
    <row r="59" spans="1:5" x14ac:dyDescent="0.25">
      <c r="A59" s="14">
        <v>42533.601423611108</v>
      </c>
      <c r="B59" t="s">
        <v>118</v>
      </c>
      <c r="C59" t="s">
        <v>325</v>
      </c>
      <c r="D59">
        <v>1520000</v>
      </c>
      <c r="E59" t="s">
        <v>190</v>
      </c>
    </row>
    <row r="60" spans="1:5" x14ac:dyDescent="0.25">
      <c r="A60" s="14">
        <v>42533.587141203701</v>
      </c>
      <c r="B60" t="s">
        <v>110</v>
      </c>
      <c r="C60" t="s">
        <v>390</v>
      </c>
      <c r="D60">
        <v>1470000</v>
      </c>
      <c r="E60" t="s">
        <v>119</v>
      </c>
    </row>
    <row r="61" spans="1:5" x14ac:dyDescent="0.25">
      <c r="A61" s="14">
        <v>42533.677233796298</v>
      </c>
      <c r="B61" t="s">
        <v>303</v>
      </c>
      <c r="C61" t="s">
        <v>391</v>
      </c>
      <c r="D61">
        <v>1750000</v>
      </c>
      <c r="E61" t="s">
        <v>381</v>
      </c>
    </row>
    <row r="62" spans="1:5" x14ac:dyDescent="0.25">
      <c r="A62" s="14">
        <v>42533.467627314814</v>
      </c>
      <c r="B62" t="s">
        <v>111</v>
      </c>
      <c r="C62" t="s">
        <v>392</v>
      </c>
      <c r="D62">
        <v>1470000</v>
      </c>
      <c r="E62" t="s">
        <v>119</v>
      </c>
    </row>
    <row r="63" spans="1:5" x14ac:dyDescent="0.25">
      <c r="A63" s="14">
        <v>42533.227534722224</v>
      </c>
      <c r="B63" t="s">
        <v>118</v>
      </c>
      <c r="C63" t="s">
        <v>393</v>
      </c>
      <c r="D63">
        <v>1230000</v>
      </c>
      <c r="E63" t="s">
        <v>189</v>
      </c>
    </row>
    <row r="64" spans="1:5" x14ac:dyDescent="0.25">
      <c r="A64" s="14">
        <v>42533.454351851855</v>
      </c>
      <c r="B64" t="s">
        <v>306</v>
      </c>
      <c r="C64" t="s">
        <v>394</v>
      </c>
      <c r="D64">
        <v>1310000</v>
      </c>
      <c r="E64" t="s">
        <v>196</v>
      </c>
    </row>
    <row r="65" spans="1:5" x14ac:dyDescent="0.25">
      <c r="A65" s="14">
        <v>42533.30840277778</v>
      </c>
      <c r="B65" t="s">
        <v>306</v>
      </c>
      <c r="C65" t="s">
        <v>307</v>
      </c>
      <c r="D65">
        <v>1310000</v>
      </c>
      <c r="E65" t="s">
        <v>196</v>
      </c>
    </row>
    <row r="66" spans="1:5" x14ac:dyDescent="0.25">
      <c r="A66" s="14">
        <v>42533.323101851849</v>
      </c>
      <c r="B66" t="s">
        <v>111</v>
      </c>
      <c r="C66" t="s">
        <v>395</v>
      </c>
      <c r="D66">
        <v>1830000</v>
      </c>
      <c r="E66" t="s">
        <v>367</v>
      </c>
    </row>
    <row r="67" spans="1:5" x14ac:dyDescent="0.25">
      <c r="A67" s="14">
        <v>42533.316620370373</v>
      </c>
      <c r="B67" t="s">
        <v>100</v>
      </c>
      <c r="C67" t="s">
        <v>396</v>
      </c>
      <c r="D67">
        <v>1100000</v>
      </c>
      <c r="E67" t="s">
        <v>104</v>
      </c>
    </row>
    <row r="68" spans="1:5" x14ac:dyDescent="0.25">
      <c r="A68" s="14">
        <v>42533.274687500001</v>
      </c>
      <c r="B68" t="s">
        <v>156</v>
      </c>
      <c r="C68" t="s">
        <v>397</v>
      </c>
      <c r="D68">
        <v>1480000</v>
      </c>
      <c r="E68" t="s">
        <v>342</v>
      </c>
    </row>
    <row r="69" spans="1:5" x14ac:dyDescent="0.25">
      <c r="A69" s="14">
        <v>42533.518067129633</v>
      </c>
      <c r="B69" t="s">
        <v>150</v>
      </c>
      <c r="C69" t="s">
        <v>398</v>
      </c>
      <c r="D69">
        <v>880000</v>
      </c>
      <c r="E69" t="s">
        <v>148</v>
      </c>
    </row>
    <row r="70" spans="1:5" x14ac:dyDescent="0.25">
      <c r="A70" s="14">
        <v>42533.585393518515</v>
      </c>
      <c r="B70" t="s">
        <v>313</v>
      </c>
      <c r="C70" t="s">
        <v>324</v>
      </c>
      <c r="D70">
        <v>1120000</v>
      </c>
      <c r="E70" t="s">
        <v>353</v>
      </c>
    </row>
    <row r="71" spans="1:5" x14ac:dyDescent="0.25">
      <c r="A71" s="14">
        <v>42533.232951388891</v>
      </c>
      <c r="B71" t="s">
        <v>200</v>
      </c>
      <c r="C71" t="s">
        <v>387</v>
      </c>
      <c r="D71">
        <v>1480000</v>
      </c>
      <c r="E71" t="s">
        <v>342</v>
      </c>
    </row>
    <row r="72" spans="1:5" x14ac:dyDescent="0.25">
      <c r="A72" s="14">
        <v>42533.545567129629</v>
      </c>
      <c r="B72" t="s">
        <v>100</v>
      </c>
      <c r="C72" t="s">
        <v>399</v>
      </c>
      <c r="D72">
        <v>1260000</v>
      </c>
      <c r="E72" t="s">
        <v>346</v>
      </c>
    </row>
    <row r="73" spans="1:5" x14ac:dyDescent="0.25">
      <c r="A73" s="14">
        <v>42533.485266203701</v>
      </c>
      <c r="B73" t="s">
        <v>318</v>
      </c>
      <c r="C73" t="s">
        <v>319</v>
      </c>
      <c r="D73">
        <v>1520000</v>
      </c>
      <c r="E73" t="s">
        <v>190</v>
      </c>
    </row>
    <row r="74" spans="1:5" x14ac:dyDescent="0.25">
      <c r="A74" s="14">
        <v>42533.502187500002</v>
      </c>
      <c r="B74" t="s">
        <v>313</v>
      </c>
      <c r="C74" t="s">
        <v>321</v>
      </c>
      <c r="D74">
        <v>1120000</v>
      </c>
      <c r="E74" t="s">
        <v>353</v>
      </c>
    </row>
    <row r="75" spans="1:5" x14ac:dyDescent="0.25">
      <c r="A75" s="14">
        <v>42533.544988425929</v>
      </c>
      <c r="B75" t="s">
        <v>111</v>
      </c>
      <c r="C75" t="s">
        <v>400</v>
      </c>
      <c r="D75">
        <v>1470000</v>
      </c>
      <c r="E75" t="s">
        <v>119</v>
      </c>
    </row>
    <row r="76" spans="1:5" x14ac:dyDescent="0.25">
      <c r="A76" s="14">
        <v>42533.500023148146</v>
      </c>
      <c r="B76" t="s">
        <v>309</v>
      </c>
      <c r="C76" t="s">
        <v>320</v>
      </c>
      <c r="D76">
        <v>1290000</v>
      </c>
      <c r="E76" t="s">
        <v>136</v>
      </c>
    </row>
    <row r="77" spans="1:5" x14ac:dyDescent="0.25">
      <c r="A77" s="14">
        <v>42533.762719907405</v>
      </c>
      <c r="B77" t="s">
        <v>100</v>
      </c>
      <c r="C77" t="s">
        <v>401</v>
      </c>
      <c r="D77">
        <v>1750000</v>
      </c>
      <c r="E77" t="s">
        <v>381</v>
      </c>
    </row>
    <row r="78" spans="1:5" x14ac:dyDescent="0.25">
      <c r="A78" s="14">
        <v>42533.393553240741</v>
      </c>
      <c r="B78" t="s">
        <v>111</v>
      </c>
      <c r="C78" t="s">
        <v>402</v>
      </c>
      <c r="D78">
        <v>1830000</v>
      </c>
      <c r="E78" t="s">
        <v>367</v>
      </c>
    </row>
    <row r="79" spans="1:5" x14ac:dyDescent="0.25">
      <c r="A79" s="14">
        <v>42533.950509259259</v>
      </c>
      <c r="B79" t="s">
        <v>159</v>
      </c>
      <c r="C79" t="s">
        <v>403</v>
      </c>
      <c r="D79">
        <v>1770000</v>
      </c>
      <c r="E79" t="s">
        <v>351</v>
      </c>
    </row>
    <row r="80" spans="1:5" x14ac:dyDescent="0.25">
      <c r="A80" s="14">
        <v>42533.289965277778</v>
      </c>
      <c r="B80" t="s">
        <v>309</v>
      </c>
      <c r="C80" t="s">
        <v>404</v>
      </c>
      <c r="D80">
        <v>1840000</v>
      </c>
      <c r="E80" t="s">
        <v>340</v>
      </c>
    </row>
    <row r="81" spans="1:5" x14ac:dyDescent="0.25">
      <c r="A81" s="14">
        <v>42534.056134259263</v>
      </c>
      <c r="B81" t="s">
        <v>126</v>
      </c>
      <c r="C81" t="s">
        <v>405</v>
      </c>
      <c r="D81">
        <v>1280000</v>
      </c>
      <c r="E81" t="s">
        <v>193</v>
      </c>
    </row>
    <row r="82" spans="1:5" x14ac:dyDescent="0.25">
      <c r="A82" s="14">
        <v>42533.266770833332</v>
      </c>
      <c r="B82" t="s">
        <v>318</v>
      </c>
      <c r="C82" t="s">
        <v>406</v>
      </c>
      <c r="D82">
        <v>1230000</v>
      </c>
      <c r="E82" t="s">
        <v>189</v>
      </c>
    </row>
    <row r="83" spans="1:5" x14ac:dyDescent="0.25">
      <c r="A83" s="14">
        <v>42533.736956018518</v>
      </c>
      <c r="B83" t="s">
        <v>110</v>
      </c>
      <c r="C83" t="s">
        <v>331</v>
      </c>
      <c r="D83">
        <v>1470000</v>
      </c>
      <c r="E83" t="s">
        <v>119</v>
      </c>
    </row>
    <row r="84" spans="1:5" x14ac:dyDescent="0.25">
      <c r="A84" s="14">
        <v>42533.581828703704</v>
      </c>
      <c r="B84" t="s">
        <v>313</v>
      </c>
      <c r="C84" t="s">
        <v>324</v>
      </c>
      <c r="D84">
        <v>1120000</v>
      </c>
      <c r="E84" t="s">
        <v>353</v>
      </c>
    </row>
    <row r="85" spans="1:5" x14ac:dyDescent="0.25">
      <c r="A85" s="14">
        <v>42533.806469907409</v>
      </c>
      <c r="B85" t="s">
        <v>126</v>
      </c>
      <c r="C85" t="s">
        <v>336</v>
      </c>
      <c r="D85">
        <v>1280000</v>
      </c>
      <c r="E85" t="s">
        <v>193</v>
      </c>
    </row>
    <row r="86" spans="1:5" x14ac:dyDescent="0.25">
      <c r="A86" s="14">
        <v>42533.572476851848</v>
      </c>
      <c r="B86" t="s">
        <v>156</v>
      </c>
      <c r="C86" t="s">
        <v>407</v>
      </c>
      <c r="D86">
        <v>950000</v>
      </c>
      <c r="E86" t="s">
        <v>363</v>
      </c>
    </row>
    <row r="87" spans="1:5" x14ac:dyDescent="0.25">
      <c r="A87" s="14">
        <v>42533.847256944442</v>
      </c>
      <c r="B87" t="s">
        <v>124</v>
      </c>
      <c r="C87" t="s">
        <v>408</v>
      </c>
      <c r="D87">
        <v>1280000</v>
      </c>
      <c r="E87" t="s">
        <v>193</v>
      </c>
    </row>
    <row r="88" spans="1:5" x14ac:dyDescent="0.25">
      <c r="A88" s="14">
        <v>42533.389351851853</v>
      </c>
      <c r="B88" t="s">
        <v>100</v>
      </c>
      <c r="C88" t="s">
        <v>312</v>
      </c>
      <c r="D88">
        <v>1100000</v>
      </c>
      <c r="E88" t="s">
        <v>104</v>
      </c>
    </row>
    <row r="89" spans="1:5" x14ac:dyDescent="0.25">
      <c r="A89" s="14">
        <v>42533.916226851848</v>
      </c>
      <c r="B89" t="s">
        <v>200</v>
      </c>
      <c r="C89" t="s">
        <v>409</v>
      </c>
      <c r="D89">
        <v>1780000</v>
      </c>
      <c r="E89" t="s">
        <v>362</v>
      </c>
    </row>
    <row r="90" spans="1:5" x14ac:dyDescent="0.25">
      <c r="A90" s="14">
        <v>42533.333032407405</v>
      </c>
      <c r="B90" t="s">
        <v>124</v>
      </c>
      <c r="C90" t="s">
        <v>410</v>
      </c>
      <c r="D90">
        <v>1360000</v>
      </c>
      <c r="E90" t="s">
        <v>108</v>
      </c>
    </row>
    <row r="91" spans="1:5" x14ac:dyDescent="0.25">
      <c r="A91" s="14">
        <v>42533.756412037037</v>
      </c>
      <c r="B91" t="s">
        <v>303</v>
      </c>
      <c r="C91" t="s">
        <v>411</v>
      </c>
      <c r="D91">
        <v>1770000</v>
      </c>
      <c r="E91" t="s">
        <v>351</v>
      </c>
    </row>
    <row r="92" spans="1:5" x14ac:dyDescent="0.25">
      <c r="A92" s="14">
        <v>42533.285011574073</v>
      </c>
      <c r="B92" t="s">
        <v>128</v>
      </c>
      <c r="C92" t="s">
        <v>412</v>
      </c>
      <c r="D92">
        <v>1830000</v>
      </c>
      <c r="E92" t="s">
        <v>367</v>
      </c>
    </row>
    <row r="93" spans="1:5" x14ac:dyDescent="0.25">
      <c r="A93" s="14">
        <v>42533.767372685186</v>
      </c>
      <c r="B93" t="s">
        <v>124</v>
      </c>
      <c r="C93" t="s">
        <v>355</v>
      </c>
      <c r="D93">
        <v>1280000</v>
      </c>
      <c r="E93" t="s">
        <v>193</v>
      </c>
    </row>
    <row r="94" spans="1:5" x14ac:dyDescent="0.25">
      <c r="A94" s="14">
        <v>42533.585972222223</v>
      </c>
      <c r="B94" t="s">
        <v>110</v>
      </c>
      <c r="C94" t="s">
        <v>390</v>
      </c>
      <c r="D94">
        <v>1470000</v>
      </c>
      <c r="E94" t="s">
        <v>119</v>
      </c>
    </row>
    <row r="95" spans="1:5" x14ac:dyDescent="0.25">
      <c r="A95" s="14">
        <v>42533.968530092592</v>
      </c>
      <c r="B95" t="s">
        <v>313</v>
      </c>
      <c r="C95" t="s">
        <v>337</v>
      </c>
      <c r="D95">
        <v>1140000</v>
      </c>
      <c r="E95" t="s">
        <v>130</v>
      </c>
    </row>
    <row r="96" spans="1:5" x14ac:dyDescent="0.25">
      <c r="A96" s="84">
        <v>42533.516689814816</v>
      </c>
      <c r="B96" t="s">
        <v>150</v>
      </c>
      <c r="C96" t="s">
        <v>398</v>
      </c>
      <c r="D96">
        <v>880000</v>
      </c>
      <c r="E96" t="s">
        <v>148</v>
      </c>
    </row>
    <row r="97" spans="1:5" x14ac:dyDescent="0.25">
      <c r="A97" s="14">
        <v>42533.152800925927</v>
      </c>
      <c r="B97" t="s">
        <v>118</v>
      </c>
      <c r="C97" t="s">
        <v>413</v>
      </c>
      <c r="D97">
        <v>1480000</v>
      </c>
      <c r="E97" t="s">
        <v>342</v>
      </c>
    </row>
    <row r="98" spans="1:5" x14ac:dyDescent="0.25">
      <c r="A98" s="14">
        <v>42533.213506944441</v>
      </c>
      <c r="B98" t="s">
        <v>309</v>
      </c>
      <c r="C98" t="s">
        <v>414</v>
      </c>
      <c r="D98">
        <v>1840000</v>
      </c>
      <c r="E98" t="s">
        <v>340</v>
      </c>
    </row>
    <row r="99" spans="1:5" x14ac:dyDescent="0.25">
      <c r="A99" s="14">
        <v>42533.347534722219</v>
      </c>
      <c r="B99" t="s">
        <v>156</v>
      </c>
      <c r="C99" t="s">
        <v>377</v>
      </c>
      <c r="D99">
        <v>1480000</v>
      </c>
      <c r="E99" t="s">
        <v>342</v>
      </c>
    </row>
    <row r="100" spans="1:5" x14ac:dyDescent="0.25">
      <c r="A100" s="14">
        <v>42533.360520833332</v>
      </c>
      <c r="B100" t="s">
        <v>110</v>
      </c>
      <c r="C100" t="s">
        <v>311</v>
      </c>
      <c r="D100">
        <v>1830000</v>
      </c>
      <c r="E100" t="s">
        <v>367</v>
      </c>
    </row>
    <row r="101" spans="1:5" x14ac:dyDescent="0.25">
      <c r="A101" s="14">
        <v>42533.351701388892</v>
      </c>
      <c r="B101" t="s">
        <v>168</v>
      </c>
      <c r="C101" t="s">
        <v>415</v>
      </c>
      <c r="D101">
        <v>1100000</v>
      </c>
      <c r="E101" t="s">
        <v>104</v>
      </c>
    </row>
    <row r="102" spans="1:5" x14ac:dyDescent="0.25">
      <c r="A102" s="14">
        <v>42533.209317129629</v>
      </c>
      <c r="B102" t="s">
        <v>168</v>
      </c>
      <c r="C102" t="s">
        <v>300</v>
      </c>
      <c r="D102">
        <v>1100000</v>
      </c>
      <c r="E102" t="s">
        <v>104</v>
      </c>
    </row>
    <row r="103" spans="1:5" x14ac:dyDescent="0.25">
      <c r="A103" s="14">
        <v>42533.381516203706</v>
      </c>
      <c r="B103" t="s">
        <v>306</v>
      </c>
      <c r="C103" t="s">
        <v>416</v>
      </c>
      <c r="D103">
        <v>1310000</v>
      </c>
      <c r="E103" t="s">
        <v>196</v>
      </c>
    </row>
    <row r="104" spans="1:5" x14ac:dyDescent="0.25">
      <c r="A104" s="14">
        <v>42533.192326388889</v>
      </c>
      <c r="B104" t="s">
        <v>156</v>
      </c>
      <c r="C104" t="s">
        <v>347</v>
      </c>
      <c r="D104">
        <v>1480000</v>
      </c>
      <c r="E104" t="s">
        <v>342</v>
      </c>
    </row>
    <row r="105" spans="1:5" x14ac:dyDescent="0.25">
      <c r="A105" s="14">
        <v>42533.424710648149</v>
      </c>
      <c r="B105" t="s">
        <v>168</v>
      </c>
      <c r="C105" t="s">
        <v>417</v>
      </c>
      <c r="D105">
        <v>1260000</v>
      </c>
      <c r="E105" t="s">
        <v>346</v>
      </c>
    </row>
    <row r="106" spans="1:5" x14ac:dyDescent="0.25">
      <c r="A106" s="14">
        <v>42533.78869212963</v>
      </c>
      <c r="B106" t="s">
        <v>318</v>
      </c>
      <c r="C106" t="s">
        <v>334</v>
      </c>
      <c r="D106">
        <v>880000</v>
      </c>
      <c r="E106" t="s">
        <v>148</v>
      </c>
    </row>
    <row r="107" spans="1:5" x14ac:dyDescent="0.25">
      <c r="A107" s="14">
        <v>42533.431979166664</v>
      </c>
      <c r="B107" t="s">
        <v>150</v>
      </c>
      <c r="C107" t="s">
        <v>364</v>
      </c>
      <c r="D107">
        <v>1100000</v>
      </c>
      <c r="E107" t="s">
        <v>104</v>
      </c>
    </row>
    <row r="108" spans="1:5" x14ac:dyDescent="0.25">
      <c r="A108" s="14">
        <v>42533.884745370371</v>
      </c>
      <c r="B108" t="s">
        <v>313</v>
      </c>
      <c r="C108" t="s">
        <v>418</v>
      </c>
      <c r="D108">
        <v>1140000</v>
      </c>
      <c r="E108" t="s">
        <v>130</v>
      </c>
    </row>
    <row r="109" spans="1:5" x14ac:dyDescent="0.25">
      <c r="A109" s="14">
        <v>42533.498344907406</v>
      </c>
      <c r="B109" t="s">
        <v>309</v>
      </c>
      <c r="C109" t="s">
        <v>320</v>
      </c>
      <c r="D109">
        <v>1290000</v>
      </c>
      <c r="E109" t="s">
        <v>136</v>
      </c>
    </row>
    <row r="110" spans="1:5" x14ac:dyDescent="0.25">
      <c r="A110" s="14">
        <v>42533.824537037035</v>
      </c>
      <c r="B110" t="s">
        <v>303</v>
      </c>
      <c r="C110" t="s">
        <v>419</v>
      </c>
      <c r="D110">
        <v>1770000</v>
      </c>
      <c r="E110" t="s">
        <v>351</v>
      </c>
    </row>
    <row r="111" spans="1:5" x14ac:dyDescent="0.25">
      <c r="A111" s="14">
        <v>42533.557060185187</v>
      </c>
      <c r="B111" t="s">
        <v>128</v>
      </c>
      <c r="C111" t="s">
        <v>420</v>
      </c>
      <c r="D111">
        <v>880000</v>
      </c>
      <c r="E111" t="s">
        <v>148</v>
      </c>
    </row>
    <row r="112" spans="1:5" x14ac:dyDescent="0.25">
      <c r="A112" s="14">
        <v>42533.992962962962</v>
      </c>
      <c r="B112" t="s">
        <v>154</v>
      </c>
      <c r="C112" t="s">
        <v>421</v>
      </c>
      <c r="D112">
        <v>1770000</v>
      </c>
      <c r="E112" t="s">
        <v>351</v>
      </c>
    </row>
    <row r="113" spans="1:5" x14ac:dyDescent="0.25">
      <c r="A113" s="14">
        <v>42533.870636574073</v>
      </c>
      <c r="B113" t="s">
        <v>156</v>
      </c>
      <c r="C113" t="s">
        <v>422</v>
      </c>
      <c r="D113">
        <v>1780000</v>
      </c>
      <c r="E113" t="s">
        <v>362</v>
      </c>
    </row>
    <row r="114" spans="1:5" x14ac:dyDescent="0.25">
      <c r="A114" s="14">
        <v>42533.849432870367</v>
      </c>
      <c r="B114" t="s">
        <v>306</v>
      </c>
      <c r="C114" t="s">
        <v>423</v>
      </c>
      <c r="D114">
        <v>1140000</v>
      </c>
      <c r="E114" t="s">
        <v>130</v>
      </c>
    </row>
    <row r="115" spans="1:5" x14ac:dyDescent="0.25">
      <c r="A115" s="14">
        <v>42533.523055555554</v>
      </c>
      <c r="B115" t="s">
        <v>118</v>
      </c>
      <c r="C115" t="s">
        <v>322</v>
      </c>
      <c r="D115">
        <v>1520000</v>
      </c>
      <c r="E115" t="s">
        <v>190</v>
      </c>
    </row>
    <row r="116" spans="1:5" x14ac:dyDescent="0.25">
      <c r="A116" s="14">
        <v>42534.015162037038</v>
      </c>
      <c r="B116" t="s">
        <v>124</v>
      </c>
      <c r="C116" t="s">
        <v>424</v>
      </c>
      <c r="D116">
        <v>1280000</v>
      </c>
      <c r="E116" t="s">
        <v>193</v>
      </c>
    </row>
    <row r="117" spans="1:5" x14ac:dyDescent="0.25">
      <c r="A117" s="14">
        <v>42533.560266203705</v>
      </c>
      <c r="B117" t="s">
        <v>124</v>
      </c>
      <c r="C117" t="s">
        <v>425</v>
      </c>
      <c r="D117">
        <v>1540000</v>
      </c>
      <c r="E117" t="s">
        <v>129</v>
      </c>
    </row>
    <row r="118" spans="1:5" x14ac:dyDescent="0.25">
      <c r="A118" s="14">
        <v>42533.72724537037</v>
      </c>
      <c r="B118" t="s">
        <v>168</v>
      </c>
      <c r="C118" t="s">
        <v>426</v>
      </c>
      <c r="D118">
        <v>1750000</v>
      </c>
      <c r="E118" t="s">
        <v>381</v>
      </c>
    </row>
    <row r="119" spans="1:5" x14ac:dyDescent="0.25">
      <c r="A119" s="14">
        <v>42533.632673611108</v>
      </c>
      <c r="B119" t="s">
        <v>128</v>
      </c>
      <c r="C119" t="s">
        <v>327</v>
      </c>
      <c r="D119">
        <v>880000</v>
      </c>
      <c r="E119" t="s">
        <v>148</v>
      </c>
    </row>
    <row r="120" spans="1:5" x14ac:dyDescent="0.25">
      <c r="A120" s="14">
        <v>42533.674687500003</v>
      </c>
      <c r="B120" t="s">
        <v>118</v>
      </c>
      <c r="C120" t="s">
        <v>427</v>
      </c>
      <c r="D120">
        <v>1520000</v>
      </c>
      <c r="E120" t="s">
        <v>190</v>
      </c>
    </row>
    <row r="121" spans="1:5" x14ac:dyDescent="0.25">
      <c r="A121" s="14">
        <v>42533.7496875</v>
      </c>
      <c r="B121" t="s">
        <v>313</v>
      </c>
      <c r="C121" t="s">
        <v>428</v>
      </c>
      <c r="D121">
        <v>1140000</v>
      </c>
      <c r="E121" t="s">
        <v>130</v>
      </c>
    </row>
    <row r="122" spans="1:5" x14ac:dyDescent="0.25">
      <c r="A122" s="14">
        <v>42533.633715277778</v>
      </c>
      <c r="B122" t="s">
        <v>124</v>
      </c>
      <c r="C122" t="s">
        <v>373</v>
      </c>
      <c r="D122">
        <v>1540000</v>
      </c>
      <c r="E122" t="s">
        <v>129</v>
      </c>
    </row>
    <row r="123" spans="1:5" x14ac:dyDescent="0.25">
      <c r="A123" s="14">
        <v>42533.994074074071</v>
      </c>
      <c r="B123" t="s">
        <v>200</v>
      </c>
      <c r="C123" t="s">
        <v>429</v>
      </c>
      <c r="D123">
        <v>1780000</v>
      </c>
      <c r="E123" t="s">
        <v>362</v>
      </c>
    </row>
    <row r="124" spans="1:5" x14ac:dyDescent="0.25">
      <c r="A124" s="14">
        <v>42533.623472222222</v>
      </c>
      <c r="B124" t="s">
        <v>100</v>
      </c>
      <c r="C124" t="s">
        <v>430</v>
      </c>
      <c r="D124">
        <v>1260000</v>
      </c>
      <c r="E124" t="s">
        <v>346</v>
      </c>
    </row>
    <row r="125" spans="1:5" x14ac:dyDescent="0.25">
      <c r="A125" s="14">
        <v>42533.1796412037</v>
      </c>
      <c r="B125" t="s">
        <v>124</v>
      </c>
      <c r="C125" t="s">
        <v>431</v>
      </c>
      <c r="D125">
        <v>1360000</v>
      </c>
      <c r="E125" t="s">
        <v>108</v>
      </c>
    </row>
    <row r="126" spans="1:5" x14ac:dyDescent="0.25">
      <c r="A126" s="14">
        <v>42533.61891203704</v>
      </c>
      <c r="B126" t="s">
        <v>200</v>
      </c>
      <c r="C126" t="s">
        <v>384</v>
      </c>
      <c r="D126">
        <v>950000</v>
      </c>
      <c r="E126" t="s">
        <v>363</v>
      </c>
    </row>
    <row r="127" spans="1:5" x14ac:dyDescent="0.25">
      <c r="A127" s="14">
        <v>42533.25953703704</v>
      </c>
      <c r="B127" t="s">
        <v>124</v>
      </c>
      <c r="C127" t="s">
        <v>432</v>
      </c>
      <c r="D127">
        <v>1360000</v>
      </c>
      <c r="E127" t="s">
        <v>108</v>
      </c>
    </row>
    <row r="128" spans="1:5" x14ac:dyDescent="0.25">
      <c r="A128" s="14">
        <v>42533.593715277777</v>
      </c>
      <c r="B128" t="s">
        <v>150</v>
      </c>
      <c r="C128" t="s">
        <v>433</v>
      </c>
      <c r="D128">
        <v>880000</v>
      </c>
      <c r="E128" t="s">
        <v>148</v>
      </c>
    </row>
    <row r="129" spans="1:5" x14ac:dyDescent="0.25">
      <c r="A129" s="14">
        <v>42533.322442129633</v>
      </c>
      <c r="B129" t="s">
        <v>111</v>
      </c>
      <c r="C129" t="s">
        <v>395</v>
      </c>
      <c r="D129">
        <v>1830000</v>
      </c>
      <c r="E129" t="s">
        <v>367</v>
      </c>
    </row>
    <row r="130" spans="1:5" x14ac:dyDescent="0.25">
      <c r="A130" s="14">
        <v>42533.56689814815</v>
      </c>
      <c r="B130" t="s">
        <v>318</v>
      </c>
      <c r="C130" t="s">
        <v>434</v>
      </c>
      <c r="D130">
        <v>1520000</v>
      </c>
      <c r="E130" t="s">
        <v>190</v>
      </c>
    </row>
    <row r="131" spans="1:5" x14ac:dyDescent="0.25">
      <c r="A131" s="14">
        <v>42533.403935185182</v>
      </c>
      <c r="B131" t="s">
        <v>124</v>
      </c>
      <c r="C131" t="s">
        <v>435</v>
      </c>
      <c r="D131">
        <v>1360000</v>
      </c>
      <c r="E131" t="s">
        <v>108</v>
      </c>
    </row>
    <row r="132" spans="1:5" x14ac:dyDescent="0.25">
      <c r="A132" s="14">
        <v>42533.565462962964</v>
      </c>
      <c r="B132" t="s">
        <v>318</v>
      </c>
      <c r="C132" t="s">
        <v>434</v>
      </c>
      <c r="D132">
        <v>1520000</v>
      </c>
      <c r="E132" t="s">
        <v>190</v>
      </c>
    </row>
    <row r="133" spans="1:5" x14ac:dyDescent="0.25">
      <c r="A133" s="14">
        <v>42533.45684027778</v>
      </c>
      <c r="B133" t="s">
        <v>200</v>
      </c>
      <c r="C133" t="s">
        <v>436</v>
      </c>
      <c r="D133">
        <v>1230000</v>
      </c>
      <c r="E133" t="s">
        <v>189</v>
      </c>
    </row>
    <row r="134" spans="1:5" x14ac:dyDescent="0.25">
      <c r="A134" s="14">
        <v>42533.561990740738</v>
      </c>
      <c r="B134" t="s">
        <v>124</v>
      </c>
      <c r="C134" t="s">
        <v>425</v>
      </c>
      <c r="D134">
        <v>1540000</v>
      </c>
      <c r="E134" t="s">
        <v>129</v>
      </c>
    </row>
    <row r="135" spans="1:5" x14ac:dyDescent="0.25">
      <c r="A135" s="14">
        <v>42533.506099537037</v>
      </c>
      <c r="B135" t="s">
        <v>168</v>
      </c>
      <c r="C135" t="s">
        <v>358</v>
      </c>
      <c r="D135">
        <v>1260000</v>
      </c>
      <c r="E135" t="s">
        <v>346</v>
      </c>
    </row>
    <row r="136" spans="1:5" x14ac:dyDescent="0.25">
      <c r="A136" s="14">
        <v>42533.509895833333</v>
      </c>
      <c r="B136" t="s">
        <v>110</v>
      </c>
      <c r="C136" t="s">
        <v>437</v>
      </c>
      <c r="D136">
        <v>1470000</v>
      </c>
      <c r="E136" t="s">
        <v>119</v>
      </c>
    </row>
    <row r="137" spans="1:5" x14ac:dyDescent="0.25">
      <c r="A137" s="14">
        <v>42533.7030787037</v>
      </c>
      <c r="B137" t="s">
        <v>150</v>
      </c>
      <c r="C137" t="s">
        <v>438</v>
      </c>
      <c r="D137">
        <v>1120000</v>
      </c>
      <c r="E137" t="s">
        <v>353</v>
      </c>
    </row>
    <row r="138" spans="1:5" x14ac:dyDescent="0.25">
      <c r="A138" s="14">
        <v>42533.468645833331</v>
      </c>
      <c r="B138" t="s">
        <v>111</v>
      </c>
      <c r="C138" t="s">
        <v>392</v>
      </c>
      <c r="D138">
        <v>1470000</v>
      </c>
      <c r="E138" t="s">
        <v>119</v>
      </c>
    </row>
    <row r="139" spans="1:5" x14ac:dyDescent="0.25">
      <c r="A139" s="14">
        <v>42533.785000000003</v>
      </c>
      <c r="B139" t="s">
        <v>306</v>
      </c>
      <c r="C139" t="s">
        <v>439</v>
      </c>
      <c r="D139">
        <v>1140000</v>
      </c>
      <c r="E139" t="s">
        <v>130</v>
      </c>
    </row>
    <row r="140" spans="1:5" x14ac:dyDescent="0.25">
      <c r="A140" s="14">
        <v>42533.459826388891</v>
      </c>
      <c r="B140" t="s">
        <v>100</v>
      </c>
      <c r="C140" t="s">
        <v>440</v>
      </c>
      <c r="D140">
        <v>1260000</v>
      </c>
      <c r="E140" t="s">
        <v>346</v>
      </c>
    </row>
    <row r="141" spans="1:5" x14ac:dyDescent="0.25">
      <c r="A141" s="14">
        <v>42533.798217592594</v>
      </c>
      <c r="B141" s="83" t="s">
        <v>156</v>
      </c>
      <c r="C141" t="s">
        <v>335</v>
      </c>
      <c r="D141">
        <v>1780000</v>
      </c>
      <c r="E141" t="s">
        <v>362</v>
      </c>
    </row>
    <row r="142" spans="1:5" x14ac:dyDescent="0.25">
      <c r="A142" s="14">
        <v>42533.443842592591</v>
      </c>
      <c r="B142" t="s">
        <v>118</v>
      </c>
      <c r="C142" t="s">
        <v>316</v>
      </c>
      <c r="D142">
        <v>1520000</v>
      </c>
      <c r="E142" t="s">
        <v>190</v>
      </c>
    </row>
    <row r="143" spans="1:5" x14ac:dyDescent="0.25">
      <c r="A143" s="14">
        <v>42533.300138888888</v>
      </c>
      <c r="B143" t="s">
        <v>118</v>
      </c>
      <c r="C143" t="s">
        <v>441</v>
      </c>
      <c r="D143">
        <v>1230000</v>
      </c>
      <c r="E143" t="s">
        <v>189</v>
      </c>
    </row>
    <row r="144" spans="1:5" x14ac:dyDescent="0.25">
      <c r="A144" s="14">
        <v>42533.430231481485</v>
      </c>
      <c r="B144" t="s">
        <v>110</v>
      </c>
      <c r="C144" t="s">
        <v>315</v>
      </c>
      <c r="D144">
        <v>1830000</v>
      </c>
      <c r="E144" t="s">
        <v>367</v>
      </c>
    </row>
    <row r="145" spans="1:5" x14ac:dyDescent="0.25">
      <c r="A145" s="14">
        <v>42533.383796296293</v>
      </c>
      <c r="B145" t="s">
        <v>200</v>
      </c>
      <c r="C145" t="s">
        <v>442</v>
      </c>
      <c r="D145">
        <v>1480000</v>
      </c>
      <c r="E145" t="s">
        <v>342</v>
      </c>
    </row>
    <row r="146" spans="1:5" x14ac:dyDescent="0.25">
      <c r="A146" s="14">
        <v>42533.417372685188</v>
      </c>
      <c r="B146" t="s">
        <v>156</v>
      </c>
      <c r="C146" t="s">
        <v>356</v>
      </c>
      <c r="D146">
        <v>1480000</v>
      </c>
      <c r="E146" t="s">
        <v>342</v>
      </c>
    </row>
    <row r="147" spans="1:5" x14ac:dyDescent="0.25">
      <c r="A147" s="14">
        <v>42533.501319444447</v>
      </c>
      <c r="B147" t="s">
        <v>313</v>
      </c>
      <c r="C147" t="s">
        <v>321</v>
      </c>
      <c r="D147">
        <v>1120000</v>
      </c>
      <c r="E147" t="s">
        <v>353</v>
      </c>
    </row>
    <row r="148" spans="1:5" x14ac:dyDescent="0.25">
      <c r="A148" s="14">
        <v>42533.415729166663</v>
      </c>
      <c r="B148" t="s">
        <v>313</v>
      </c>
      <c r="C148" t="s">
        <v>314</v>
      </c>
      <c r="D148">
        <v>1310000</v>
      </c>
      <c r="E148" t="s">
        <v>196</v>
      </c>
    </row>
    <row r="149" spans="1:5" x14ac:dyDescent="0.25">
      <c r="A149" s="14">
        <v>42533.611562500002</v>
      </c>
      <c r="B149" t="s">
        <v>200</v>
      </c>
      <c r="C149" t="s">
        <v>384</v>
      </c>
      <c r="D149">
        <v>950000</v>
      </c>
      <c r="E149" t="s">
        <v>363</v>
      </c>
    </row>
    <row r="150" spans="1:5" x14ac:dyDescent="0.25">
      <c r="A150" s="14">
        <v>42533.412638888891</v>
      </c>
      <c r="B150" t="s">
        <v>318</v>
      </c>
      <c r="C150" t="s">
        <v>443</v>
      </c>
      <c r="D150">
        <v>1230000</v>
      </c>
      <c r="E150" t="s">
        <v>189</v>
      </c>
    </row>
    <row r="151" spans="1:5" x14ac:dyDescent="0.25">
      <c r="A151" s="14">
        <v>42533.868530092594</v>
      </c>
      <c r="B151" t="s">
        <v>159</v>
      </c>
      <c r="C151" t="s">
        <v>444</v>
      </c>
      <c r="D151">
        <v>1770000</v>
      </c>
      <c r="E151" t="s">
        <v>351</v>
      </c>
    </row>
    <row r="152" spans="1:5" x14ac:dyDescent="0.25">
      <c r="A152" s="14">
        <v>42533.392152777778</v>
      </c>
      <c r="B152" t="s">
        <v>111</v>
      </c>
      <c r="C152" t="s">
        <v>402</v>
      </c>
      <c r="D152">
        <v>1830000</v>
      </c>
      <c r="E152" t="s">
        <v>367</v>
      </c>
    </row>
    <row r="153" spans="1:5" x14ac:dyDescent="0.25">
      <c r="A153" s="14">
        <v>42533.588877314818</v>
      </c>
      <c r="B153" t="s">
        <v>168</v>
      </c>
      <c r="C153" t="s">
        <v>345</v>
      </c>
      <c r="D153">
        <v>1260000</v>
      </c>
      <c r="E153" t="s">
        <v>346</v>
      </c>
    </row>
    <row r="154" spans="1:5" x14ac:dyDescent="0.25">
      <c r="A154" s="14">
        <v>42533.362858796296</v>
      </c>
      <c r="B154" t="s">
        <v>309</v>
      </c>
      <c r="C154" t="s">
        <v>310</v>
      </c>
      <c r="D154">
        <v>1840000</v>
      </c>
      <c r="E154" t="s">
        <v>340</v>
      </c>
    </row>
    <row r="155" spans="1:5" x14ac:dyDescent="0.25">
      <c r="A155" s="14">
        <v>42533.610451388886</v>
      </c>
      <c r="B155" t="s">
        <v>200</v>
      </c>
      <c r="C155" t="s">
        <v>384</v>
      </c>
      <c r="D155">
        <v>950000</v>
      </c>
      <c r="E155" t="s">
        <v>363</v>
      </c>
    </row>
    <row r="156" spans="1:5" x14ac:dyDescent="0.25">
      <c r="A156" s="14">
        <v>42533.342812499999</v>
      </c>
      <c r="B156" t="s">
        <v>313</v>
      </c>
      <c r="C156" t="s">
        <v>445</v>
      </c>
      <c r="D156">
        <v>1310000</v>
      </c>
      <c r="E156" t="s">
        <v>196</v>
      </c>
    </row>
    <row r="157" spans="1:5" x14ac:dyDescent="0.25">
      <c r="A157" s="14">
        <v>42533.632615740738</v>
      </c>
      <c r="B157" t="s">
        <v>124</v>
      </c>
      <c r="C157" t="s">
        <v>373</v>
      </c>
      <c r="D157">
        <v>1540000</v>
      </c>
      <c r="E157" t="s">
        <v>129</v>
      </c>
    </row>
    <row r="158" spans="1:5" x14ac:dyDescent="0.25">
      <c r="A158" s="14">
        <v>42533.337870370371</v>
      </c>
      <c r="B158" t="s">
        <v>318</v>
      </c>
      <c r="C158" t="s">
        <v>446</v>
      </c>
      <c r="D158">
        <v>1230000</v>
      </c>
      <c r="E158" t="s">
        <v>189</v>
      </c>
    </row>
    <row r="159" spans="1:5" x14ac:dyDescent="0.25">
      <c r="A159" s="14">
        <v>42533.659363425926</v>
      </c>
      <c r="B159" t="s">
        <v>110</v>
      </c>
      <c r="C159" t="s">
        <v>328</v>
      </c>
      <c r="D159">
        <v>1470000</v>
      </c>
      <c r="E159" t="s">
        <v>119</v>
      </c>
    </row>
    <row r="160" spans="1:5" x14ac:dyDescent="0.25">
      <c r="A160" s="14">
        <v>42533.294710648152</v>
      </c>
      <c r="B160" t="s">
        <v>126</v>
      </c>
      <c r="C160" t="s">
        <v>305</v>
      </c>
      <c r="D160">
        <v>1360000</v>
      </c>
      <c r="E160" t="s">
        <v>108</v>
      </c>
    </row>
    <row r="161" spans="1:5" x14ac:dyDescent="0.25">
      <c r="A161" s="14">
        <v>42533.721724537034</v>
      </c>
      <c r="B161" t="s">
        <v>156</v>
      </c>
      <c r="C161" t="s">
        <v>333</v>
      </c>
      <c r="D161">
        <v>950000</v>
      </c>
      <c r="E161" t="s">
        <v>363</v>
      </c>
    </row>
    <row r="162" spans="1:5" x14ac:dyDescent="0.25">
      <c r="A162" s="14">
        <v>42533.279641203706</v>
      </c>
      <c r="B162" t="s">
        <v>168</v>
      </c>
      <c r="C162" t="s">
        <v>447</v>
      </c>
      <c r="D162">
        <v>1100000</v>
      </c>
      <c r="E162" t="s">
        <v>104</v>
      </c>
    </row>
    <row r="163" spans="1:5" x14ac:dyDescent="0.25">
      <c r="A163" s="14">
        <v>42533.816921296297</v>
      </c>
      <c r="B163" t="s">
        <v>313</v>
      </c>
      <c r="C163" t="s">
        <v>448</v>
      </c>
      <c r="D163">
        <v>1140000</v>
      </c>
      <c r="E163" t="s">
        <v>130</v>
      </c>
    </row>
    <row r="164" spans="1:5" x14ac:dyDescent="0.25">
      <c r="A164" s="14">
        <v>42533.270208333335</v>
      </c>
      <c r="B164" t="s">
        <v>313</v>
      </c>
      <c r="C164" t="s">
        <v>449</v>
      </c>
      <c r="D164">
        <v>1310000</v>
      </c>
      <c r="E164" t="s">
        <v>196</v>
      </c>
    </row>
    <row r="165" spans="1:5" x14ac:dyDescent="0.25">
      <c r="A165" s="14">
        <v>42533.252615740741</v>
      </c>
      <c r="B165" t="s">
        <v>303</v>
      </c>
      <c r="C165" t="s">
        <v>304</v>
      </c>
      <c r="D165">
        <v>1840000</v>
      </c>
      <c r="E165" t="s">
        <v>340</v>
      </c>
    </row>
    <row r="166" spans="1:5" x14ac:dyDescent="0.25">
      <c r="A166" s="14">
        <v>42533.249456018515</v>
      </c>
      <c r="B166" t="s">
        <v>150</v>
      </c>
      <c r="C166" t="s">
        <v>301</v>
      </c>
      <c r="D166">
        <v>1830000</v>
      </c>
      <c r="E166" t="s">
        <v>367</v>
      </c>
    </row>
    <row r="167" spans="1:5" x14ac:dyDescent="0.25">
      <c r="A167" s="14">
        <v>42533.272789351853</v>
      </c>
      <c r="B167" t="s">
        <v>156</v>
      </c>
      <c r="C167" t="s">
        <v>397</v>
      </c>
      <c r="D167">
        <v>1480000</v>
      </c>
      <c r="E167" t="s">
        <v>342</v>
      </c>
    </row>
    <row r="168" spans="1:5" x14ac:dyDescent="0.25">
      <c r="A168" s="14">
        <v>42533.223032407404</v>
      </c>
      <c r="B168" t="s">
        <v>126</v>
      </c>
      <c r="C168" t="s">
        <v>450</v>
      </c>
      <c r="D168">
        <v>1360000</v>
      </c>
      <c r="E168" t="s">
        <v>108</v>
      </c>
    </row>
    <row r="169" spans="1:5" x14ac:dyDescent="0.25">
      <c r="A169" s="14">
        <v>42533.616377314815</v>
      </c>
      <c r="B169" t="s">
        <v>306</v>
      </c>
      <c r="C169" t="s">
        <v>326</v>
      </c>
      <c r="D169">
        <v>1120000</v>
      </c>
      <c r="E169" t="s">
        <v>353</v>
      </c>
    </row>
    <row r="170" spans="1:5" x14ac:dyDescent="0.25">
      <c r="A170" s="14">
        <v>42533.197465277779</v>
      </c>
      <c r="B170" t="s">
        <v>313</v>
      </c>
      <c r="C170" t="s">
        <v>451</v>
      </c>
      <c r="D170">
        <v>1310000</v>
      </c>
      <c r="E170" t="s">
        <v>196</v>
      </c>
    </row>
    <row r="171" spans="1:5" x14ac:dyDescent="0.25">
      <c r="A171" s="14">
        <v>42533.904224537036</v>
      </c>
      <c r="B171" t="s">
        <v>313</v>
      </c>
      <c r="C171" t="s">
        <v>418</v>
      </c>
      <c r="D171">
        <v>1140000</v>
      </c>
      <c r="E171" t="s">
        <v>130</v>
      </c>
    </row>
    <row r="172" spans="1:5" x14ac:dyDescent="0.25">
      <c r="A172" s="14">
        <v>42533.597430555557</v>
      </c>
      <c r="B172" t="s">
        <v>126</v>
      </c>
      <c r="C172" t="s">
        <v>452</v>
      </c>
      <c r="D172">
        <v>1540000</v>
      </c>
      <c r="E172" t="s">
        <v>129</v>
      </c>
    </row>
    <row r="173" spans="1:5" x14ac:dyDescent="0.25">
      <c r="A173" s="14">
        <v>42530.329513888886</v>
      </c>
      <c r="B173" t="s">
        <v>150</v>
      </c>
      <c r="C173" t="s">
        <v>207</v>
      </c>
      <c r="D173">
        <v>1310000</v>
      </c>
      <c r="E173" t="s">
        <v>196</v>
      </c>
    </row>
    <row r="174" spans="1:5" x14ac:dyDescent="0.25">
      <c r="A174" s="14">
        <v>42530.487025462964</v>
      </c>
      <c r="B174" t="s">
        <v>172</v>
      </c>
      <c r="C174" t="s">
        <v>208</v>
      </c>
      <c r="D174">
        <v>1740000</v>
      </c>
      <c r="E174" t="s">
        <v>146</v>
      </c>
    </row>
    <row r="175" spans="1:5" x14ac:dyDescent="0.25">
      <c r="A175" s="14">
        <v>42530.252384259256</v>
      </c>
      <c r="B175" t="s">
        <v>125</v>
      </c>
      <c r="C175" t="s">
        <v>209</v>
      </c>
      <c r="D175">
        <v>1460000</v>
      </c>
      <c r="E175" t="s">
        <v>205</v>
      </c>
    </row>
    <row r="176" spans="1:5" x14ac:dyDescent="0.25">
      <c r="A176" s="14">
        <v>42530.547569444447</v>
      </c>
      <c r="B176" t="s">
        <v>150</v>
      </c>
      <c r="C176" t="s">
        <v>165</v>
      </c>
      <c r="D176">
        <v>890000</v>
      </c>
      <c r="E176" t="s">
        <v>137</v>
      </c>
    </row>
    <row r="177" spans="1:5" x14ac:dyDescent="0.25">
      <c r="A177" s="14">
        <v>42531.013611111113</v>
      </c>
      <c r="B177" t="s">
        <v>126</v>
      </c>
      <c r="C177" t="s">
        <v>210</v>
      </c>
      <c r="D177">
        <v>1810000</v>
      </c>
      <c r="E177" t="s">
        <v>211</v>
      </c>
    </row>
    <row r="178" spans="1:5" x14ac:dyDescent="0.25">
      <c r="A178" s="14">
        <v>42530.684050925927</v>
      </c>
      <c r="B178" t="s">
        <v>176</v>
      </c>
      <c r="C178" t="s">
        <v>177</v>
      </c>
      <c r="D178">
        <v>900000</v>
      </c>
      <c r="E178" t="s">
        <v>191</v>
      </c>
    </row>
    <row r="179" spans="1:5" x14ac:dyDescent="0.25">
      <c r="A179" s="14">
        <v>42530.953333333331</v>
      </c>
      <c r="B179" t="s">
        <v>154</v>
      </c>
      <c r="C179" t="s">
        <v>212</v>
      </c>
      <c r="D179">
        <v>1820000</v>
      </c>
      <c r="E179" t="s">
        <v>149</v>
      </c>
    </row>
    <row r="180" spans="1:5" x14ac:dyDescent="0.25">
      <c r="A180" s="14">
        <v>42530.70349537037</v>
      </c>
      <c r="B180" t="s">
        <v>172</v>
      </c>
      <c r="C180" t="s">
        <v>179</v>
      </c>
      <c r="D180">
        <v>1740000</v>
      </c>
      <c r="E180" t="s">
        <v>146</v>
      </c>
    </row>
    <row r="181" spans="1:5" x14ac:dyDescent="0.25">
      <c r="A181" s="14">
        <v>42530.941724537035</v>
      </c>
      <c r="B181" t="s">
        <v>200</v>
      </c>
      <c r="C181" t="s">
        <v>213</v>
      </c>
      <c r="D181">
        <v>1440000</v>
      </c>
      <c r="E181" t="s">
        <v>201</v>
      </c>
    </row>
    <row r="182" spans="1:5" x14ac:dyDescent="0.25">
      <c r="A182" s="14">
        <v>42530.841643518521</v>
      </c>
      <c r="B182" t="s">
        <v>126</v>
      </c>
      <c r="C182" t="s">
        <v>214</v>
      </c>
      <c r="D182">
        <v>1180000</v>
      </c>
      <c r="E182" t="s">
        <v>151</v>
      </c>
    </row>
    <row r="183" spans="1:5" x14ac:dyDescent="0.25">
      <c r="A183" s="14">
        <v>42530.72797453704</v>
      </c>
      <c r="B183" t="s">
        <v>168</v>
      </c>
      <c r="C183" t="s">
        <v>215</v>
      </c>
      <c r="D183">
        <v>1140000</v>
      </c>
      <c r="E183" t="s">
        <v>130</v>
      </c>
    </row>
    <row r="184" spans="1:5" x14ac:dyDescent="0.25">
      <c r="A184" s="14">
        <v>42530.380046296297</v>
      </c>
      <c r="B184" t="s">
        <v>79</v>
      </c>
      <c r="C184" t="s">
        <v>216</v>
      </c>
      <c r="D184">
        <v>1340000</v>
      </c>
      <c r="E184" t="s">
        <v>147</v>
      </c>
    </row>
    <row r="185" spans="1:5" x14ac:dyDescent="0.25">
      <c r="A185" s="14">
        <v>42530.713703703703</v>
      </c>
      <c r="B185" t="s">
        <v>197</v>
      </c>
      <c r="C185" t="s">
        <v>181</v>
      </c>
      <c r="D185">
        <v>1500000</v>
      </c>
      <c r="E185" t="s">
        <v>198</v>
      </c>
    </row>
    <row r="186" spans="1:5" x14ac:dyDescent="0.25">
      <c r="A186" s="14">
        <v>42530.386643518519</v>
      </c>
      <c r="B186" t="s">
        <v>111</v>
      </c>
      <c r="C186" t="s">
        <v>217</v>
      </c>
      <c r="D186">
        <v>1100000</v>
      </c>
      <c r="E186" t="s">
        <v>104</v>
      </c>
    </row>
    <row r="187" spans="1:5" x14ac:dyDescent="0.25">
      <c r="A187" s="14">
        <v>42530.521574074075</v>
      </c>
      <c r="B187" t="s">
        <v>124</v>
      </c>
      <c r="C187" t="s">
        <v>163</v>
      </c>
      <c r="D187">
        <v>880000</v>
      </c>
      <c r="E187" t="s">
        <v>148</v>
      </c>
    </row>
    <row r="188" spans="1:5" x14ac:dyDescent="0.25">
      <c r="A188" s="14">
        <v>42530.399560185186</v>
      </c>
      <c r="B188" t="s">
        <v>156</v>
      </c>
      <c r="C188" t="s">
        <v>199</v>
      </c>
      <c r="D188">
        <v>1360000</v>
      </c>
      <c r="E188" t="s">
        <v>108</v>
      </c>
    </row>
    <row r="189" spans="1:5" x14ac:dyDescent="0.25">
      <c r="A189" s="14">
        <v>42530.476574074077</v>
      </c>
      <c r="B189" t="s">
        <v>150</v>
      </c>
      <c r="C189" t="s">
        <v>161</v>
      </c>
      <c r="D189">
        <v>890000</v>
      </c>
      <c r="E189" t="s">
        <v>137</v>
      </c>
    </row>
    <row r="190" spans="1:5" x14ac:dyDescent="0.25">
      <c r="A190" s="14">
        <v>42530.412442129629</v>
      </c>
      <c r="B190" t="s">
        <v>126</v>
      </c>
      <c r="C190" t="s">
        <v>195</v>
      </c>
      <c r="D190">
        <v>1230000</v>
      </c>
      <c r="E190" t="s">
        <v>189</v>
      </c>
    </row>
    <row r="191" spans="1:5" x14ac:dyDescent="0.25">
      <c r="A191" s="14">
        <v>42530.277592592596</v>
      </c>
      <c r="B191" t="s">
        <v>200</v>
      </c>
      <c r="C191" t="s">
        <v>218</v>
      </c>
      <c r="D191">
        <v>1360000</v>
      </c>
      <c r="E191" t="s">
        <v>108</v>
      </c>
    </row>
    <row r="192" spans="1:5" x14ac:dyDescent="0.25">
      <c r="A192" s="14">
        <v>42530.734826388885</v>
      </c>
      <c r="B192" t="s">
        <v>128</v>
      </c>
      <c r="C192" t="s">
        <v>182</v>
      </c>
      <c r="D192">
        <v>890000</v>
      </c>
      <c r="E192" t="s">
        <v>137</v>
      </c>
    </row>
    <row r="193" spans="1:5" x14ac:dyDescent="0.25">
      <c r="A193" s="14">
        <v>42530.206678240742</v>
      </c>
      <c r="B193" t="s">
        <v>111</v>
      </c>
      <c r="C193" t="s">
        <v>219</v>
      </c>
      <c r="D193">
        <v>1100000</v>
      </c>
      <c r="E193" t="s">
        <v>104</v>
      </c>
    </row>
    <row r="194" spans="1:5" x14ac:dyDescent="0.25">
      <c r="A194" s="14">
        <v>42530.739201388889</v>
      </c>
      <c r="B194" t="s">
        <v>124</v>
      </c>
      <c r="C194" t="s">
        <v>220</v>
      </c>
      <c r="D194">
        <v>1180000</v>
      </c>
      <c r="E194" t="s">
        <v>151</v>
      </c>
    </row>
    <row r="195" spans="1:5" x14ac:dyDescent="0.25">
      <c r="A195" s="14">
        <v>42530.493437500001</v>
      </c>
      <c r="B195" t="s">
        <v>110</v>
      </c>
      <c r="C195" t="s">
        <v>221</v>
      </c>
      <c r="D195">
        <v>1460000</v>
      </c>
      <c r="E195" t="s">
        <v>205</v>
      </c>
    </row>
    <row r="196" spans="1:5" x14ac:dyDescent="0.25">
      <c r="A196" s="14">
        <v>42530.830428240741</v>
      </c>
      <c r="B196" t="s">
        <v>159</v>
      </c>
      <c r="C196" t="s">
        <v>222</v>
      </c>
      <c r="D196">
        <v>1820000</v>
      </c>
      <c r="E196" t="s">
        <v>149</v>
      </c>
    </row>
    <row r="197" spans="1:5" x14ac:dyDescent="0.25">
      <c r="A197" s="14">
        <v>42530.469814814816</v>
      </c>
      <c r="B197" t="s">
        <v>159</v>
      </c>
      <c r="C197" t="s">
        <v>223</v>
      </c>
      <c r="D197">
        <v>1110000</v>
      </c>
      <c r="E197" t="s">
        <v>145</v>
      </c>
    </row>
    <row r="198" spans="1:5" x14ac:dyDescent="0.25">
      <c r="A198" s="14">
        <v>42530.623888888891</v>
      </c>
      <c r="B198" t="s">
        <v>150</v>
      </c>
      <c r="C198" t="s">
        <v>224</v>
      </c>
      <c r="D198">
        <v>890000</v>
      </c>
      <c r="E198" t="s">
        <v>137</v>
      </c>
    </row>
    <row r="199" spans="1:5" x14ac:dyDescent="0.25">
      <c r="A199" s="14">
        <v>42530.389537037037</v>
      </c>
      <c r="B199" t="s">
        <v>127</v>
      </c>
      <c r="C199" t="s">
        <v>225</v>
      </c>
      <c r="D199">
        <v>1460000</v>
      </c>
      <c r="E199" t="s">
        <v>205</v>
      </c>
    </row>
    <row r="200" spans="1:5" x14ac:dyDescent="0.25">
      <c r="A200" s="14">
        <v>42530.710578703707</v>
      </c>
      <c r="B200" t="s">
        <v>200</v>
      </c>
      <c r="C200" t="s">
        <v>226</v>
      </c>
      <c r="D200">
        <v>1440000</v>
      </c>
      <c r="E200" t="s">
        <v>201</v>
      </c>
    </row>
    <row r="201" spans="1:5" x14ac:dyDescent="0.25">
      <c r="A201" s="14">
        <v>42530.348506944443</v>
      </c>
      <c r="B201" t="s">
        <v>110</v>
      </c>
      <c r="C201" t="s">
        <v>227</v>
      </c>
      <c r="D201">
        <v>1100000</v>
      </c>
      <c r="E201" t="s">
        <v>104</v>
      </c>
    </row>
    <row r="202" spans="1:5" x14ac:dyDescent="0.25">
      <c r="A202" s="14">
        <v>42530.849803240744</v>
      </c>
      <c r="B202" t="s">
        <v>150</v>
      </c>
      <c r="C202" t="s">
        <v>228</v>
      </c>
      <c r="D202">
        <v>1240000</v>
      </c>
      <c r="E202" t="s">
        <v>98</v>
      </c>
    </row>
    <row r="203" spans="1:5" x14ac:dyDescent="0.25">
      <c r="A203" s="14">
        <v>42531.015648148146</v>
      </c>
      <c r="B203" t="s">
        <v>150</v>
      </c>
      <c r="C203" t="s">
        <v>229</v>
      </c>
      <c r="D203">
        <v>1240000</v>
      </c>
      <c r="E203" t="s">
        <v>98</v>
      </c>
    </row>
    <row r="204" spans="1:5" x14ac:dyDescent="0.25">
      <c r="A204" s="14">
        <v>42530.913182870368</v>
      </c>
      <c r="B204" t="s">
        <v>159</v>
      </c>
      <c r="C204" t="s">
        <v>230</v>
      </c>
      <c r="D204">
        <v>1820000</v>
      </c>
      <c r="E204" t="s">
        <v>149</v>
      </c>
    </row>
    <row r="205" spans="1:5" x14ac:dyDescent="0.25">
      <c r="A205" s="14">
        <v>42530.998136574075</v>
      </c>
      <c r="B205" t="s">
        <v>159</v>
      </c>
      <c r="C205" t="s">
        <v>188</v>
      </c>
      <c r="D205">
        <v>1820000</v>
      </c>
      <c r="E205" t="s">
        <v>149</v>
      </c>
    </row>
    <row r="206" spans="1:5" x14ac:dyDescent="0.25">
      <c r="A206" s="14">
        <v>42530.195729166669</v>
      </c>
      <c r="B206" t="s">
        <v>124</v>
      </c>
      <c r="C206" t="s">
        <v>231</v>
      </c>
      <c r="D206">
        <v>1230000</v>
      </c>
      <c r="E206" t="s">
        <v>189</v>
      </c>
    </row>
    <row r="207" spans="1:5" x14ac:dyDescent="0.25">
      <c r="A207" s="14">
        <v>42530.989629629628</v>
      </c>
      <c r="B207" t="s">
        <v>156</v>
      </c>
      <c r="C207" t="s">
        <v>232</v>
      </c>
      <c r="D207">
        <v>1440000</v>
      </c>
      <c r="E207" t="s">
        <v>201</v>
      </c>
    </row>
    <row r="208" spans="1:5" x14ac:dyDescent="0.25">
      <c r="A208" s="14">
        <v>42530.227071759262</v>
      </c>
      <c r="B208" t="s">
        <v>150</v>
      </c>
      <c r="C208" t="s">
        <v>153</v>
      </c>
      <c r="D208">
        <v>1310000</v>
      </c>
      <c r="E208" t="s">
        <v>196</v>
      </c>
    </row>
    <row r="209" spans="1:5" x14ac:dyDescent="0.25">
      <c r="A209" s="14">
        <v>42530.97457175926</v>
      </c>
      <c r="B209" t="s">
        <v>128</v>
      </c>
      <c r="C209" t="s">
        <v>233</v>
      </c>
      <c r="D209">
        <v>1240000</v>
      </c>
      <c r="E209" t="s">
        <v>98</v>
      </c>
    </row>
    <row r="210" spans="1:5" x14ac:dyDescent="0.25">
      <c r="A210" s="14">
        <v>42530.346921296295</v>
      </c>
      <c r="B210" t="s">
        <v>125</v>
      </c>
      <c r="C210" t="s">
        <v>234</v>
      </c>
      <c r="D210">
        <v>1460000</v>
      </c>
      <c r="E210" t="s">
        <v>205</v>
      </c>
    </row>
    <row r="211" spans="1:5" x14ac:dyDescent="0.25">
      <c r="A211" s="14">
        <v>42530.746111111112</v>
      </c>
      <c r="B211" t="s">
        <v>180</v>
      </c>
      <c r="C211" t="s">
        <v>181</v>
      </c>
      <c r="D211">
        <v>1500000</v>
      </c>
      <c r="E211" t="s">
        <v>198</v>
      </c>
    </row>
    <row r="212" spans="1:5" x14ac:dyDescent="0.25">
      <c r="A212" s="14">
        <v>42530.497777777775</v>
      </c>
      <c r="B212" t="s">
        <v>125</v>
      </c>
      <c r="C212" t="s">
        <v>235</v>
      </c>
      <c r="D212">
        <v>900000</v>
      </c>
      <c r="E212" t="s">
        <v>191</v>
      </c>
    </row>
    <row r="213" spans="1:5" x14ac:dyDescent="0.25">
      <c r="A213" s="14">
        <v>42530.684884259259</v>
      </c>
      <c r="B213" t="s">
        <v>159</v>
      </c>
      <c r="C213" t="s">
        <v>236</v>
      </c>
      <c r="D213">
        <v>1110000</v>
      </c>
      <c r="E213" t="s">
        <v>145</v>
      </c>
    </row>
    <row r="214" spans="1:5" x14ac:dyDescent="0.25">
      <c r="A214" s="14">
        <v>42530.557395833333</v>
      </c>
      <c r="B214" t="s">
        <v>126</v>
      </c>
      <c r="C214" t="s">
        <v>167</v>
      </c>
      <c r="D214">
        <v>880000</v>
      </c>
      <c r="E214" t="s">
        <v>148</v>
      </c>
    </row>
    <row r="215" spans="1:5" x14ac:dyDescent="0.25">
      <c r="A215" s="14">
        <v>42530.234803240739</v>
      </c>
      <c r="B215" t="s">
        <v>126</v>
      </c>
      <c r="C215" t="s">
        <v>152</v>
      </c>
      <c r="D215">
        <v>1230000</v>
      </c>
      <c r="E215" t="s">
        <v>189</v>
      </c>
    </row>
    <row r="216" spans="1:5" x14ac:dyDescent="0.25">
      <c r="A216" s="14">
        <v>42530.738206018519</v>
      </c>
      <c r="B216" t="s">
        <v>124</v>
      </c>
      <c r="C216" t="s">
        <v>220</v>
      </c>
      <c r="D216">
        <v>1180000</v>
      </c>
      <c r="E216" t="s">
        <v>151</v>
      </c>
    </row>
    <row r="217" spans="1:5" x14ac:dyDescent="0.25">
      <c r="A217" s="14">
        <v>42531.057199074072</v>
      </c>
      <c r="B217" t="s">
        <v>128</v>
      </c>
      <c r="C217" t="s">
        <v>237</v>
      </c>
      <c r="D217">
        <v>1240000</v>
      </c>
      <c r="E217" t="s">
        <v>98</v>
      </c>
    </row>
    <row r="218" spans="1:5" x14ac:dyDescent="0.25">
      <c r="A218" s="14">
        <v>42530.277256944442</v>
      </c>
      <c r="B218" t="s">
        <v>110</v>
      </c>
      <c r="C218" t="s">
        <v>238</v>
      </c>
      <c r="D218">
        <v>1100000</v>
      </c>
      <c r="E218" t="s">
        <v>104</v>
      </c>
    </row>
    <row r="219" spans="1:5" x14ac:dyDescent="0.25">
      <c r="A219" s="14">
        <v>42530.713194444441</v>
      </c>
      <c r="B219" t="s">
        <v>110</v>
      </c>
      <c r="C219" t="s">
        <v>178</v>
      </c>
      <c r="D219">
        <v>1280000</v>
      </c>
      <c r="E219" t="s">
        <v>193</v>
      </c>
    </row>
    <row r="220" spans="1:5" x14ac:dyDescent="0.25">
      <c r="A220" s="14">
        <v>42530.296574074076</v>
      </c>
      <c r="B220" t="s">
        <v>127</v>
      </c>
      <c r="C220" t="s">
        <v>204</v>
      </c>
      <c r="D220">
        <v>1460000</v>
      </c>
      <c r="E220" t="s">
        <v>205</v>
      </c>
    </row>
    <row r="221" spans="1:5" x14ac:dyDescent="0.25">
      <c r="A221" s="14">
        <v>42530.96502314815</v>
      </c>
      <c r="B221" t="s">
        <v>124</v>
      </c>
      <c r="C221" t="s">
        <v>187</v>
      </c>
      <c r="D221">
        <v>1810000</v>
      </c>
      <c r="E221" t="s">
        <v>211</v>
      </c>
    </row>
    <row r="222" spans="1:5" x14ac:dyDescent="0.25">
      <c r="A222" s="14">
        <v>42530.308240740742</v>
      </c>
      <c r="B222" t="s">
        <v>111</v>
      </c>
      <c r="C222" t="s">
        <v>239</v>
      </c>
      <c r="D222">
        <v>1100000</v>
      </c>
      <c r="E222" t="s">
        <v>104</v>
      </c>
    </row>
    <row r="223" spans="1:5" x14ac:dyDescent="0.25">
      <c r="A223" s="14">
        <v>42530.42224537037</v>
      </c>
      <c r="B223" t="s">
        <v>172</v>
      </c>
      <c r="C223" t="s">
        <v>194</v>
      </c>
      <c r="D223">
        <v>1340000</v>
      </c>
      <c r="E223" t="s">
        <v>147</v>
      </c>
    </row>
    <row r="224" spans="1:5" x14ac:dyDescent="0.25">
      <c r="A224" s="14">
        <v>42530.33861111111</v>
      </c>
      <c r="B224" t="s">
        <v>126</v>
      </c>
      <c r="C224" t="s">
        <v>202</v>
      </c>
      <c r="D224">
        <v>1230000</v>
      </c>
      <c r="E224" t="s">
        <v>189</v>
      </c>
    </row>
    <row r="225" spans="1:5" x14ac:dyDescent="0.25">
      <c r="A225" s="14">
        <v>42530.251423611109</v>
      </c>
      <c r="B225" t="s">
        <v>156</v>
      </c>
      <c r="C225" t="s">
        <v>240</v>
      </c>
      <c r="D225">
        <v>1360000</v>
      </c>
      <c r="E225" t="s">
        <v>108</v>
      </c>
    </row>
    <row r="226" spans="1:5" x14ac:dyDescent="0.25">
      <c r="A226" s="14">
        <v>42530.394386574073</v>
      </c>
      <c r="B226" t="s">
        <v>159</v>
      </c>
      <c r="C226" t="s">
        <v>160</v>
      </c>
      <c r="D226">
        <v>1290000</v>
      </c>
      <c r="E226" t="s">
        <v>136</v>
      </c>
    </row>
    <row r="227" spans="1:5" x14ac:dyDescent="0.25">
      <c r="A227" s="14">
        <v>42530.235543981478</v>
      </c>
      <c r="B227" t="s">
        <v>172</v>
      </c>
      <c r="C227" t="s">
        <v>241</v>
      </c>
      <c r="D227">
        <v>1340000</v>
      </c>
      <c r="E227" t="s">
        <v>147</v>
      </c>
    </row>
    <row r="228" spans="1:5" x14ac:dyDescent="0.25">
      <c r="A228" s="14">
        <v>42530.405509259261</v>
      </c>
      <c r="B228" t="s">
        <v>150</v>
      </c>
      <c r="C228" t="s">
        <v>158</v>
      </c>
      <c r="D228">
        <v>1310000</v>
      </c>
      <c r="E228" t="s">
        <v>196</v>
      </c>
    </row>
    <row r="229" spans="1:5" x14ac:dyDescent="0.25">
      <c r="A229" s="14">
        <v>42530.13077546296</v>
      </c>
      <c r="B229" t="s">
        <v>111</v>
      </c>
      <c r="C229" t="s">
        <v>206</v>
      </c>
      <c r="D229">
        <v>1290000</v>
      </c>
      <c r="E229" t="s">
        <v>136</v>
      </c>
    </row>
    <row r="230" spans="1:5" x14ac:dyDescent="0.25">
      <c r="A230" s="14">
        <v>42530.528483796297</v>
      </c>
      <c r="B230" t="s">
        <v>111</v>
      </c>
      <c r="C230" t="s">
        <v>242</v>
      </c>
      <c r="D230">
        <v>1280000</v>
      </c>
      <c r="E230" t="s">
        <v>193</v>
      </c>
    </row>
    <row r="231" spans="1:5" x14ac:dyDescent="0.25">
      <c r="A231" s="14">
        <v>42530.86991898148</v>
      </c>
      <c r="B231" t="s">
        <v>154</v>
      </c>
      <c r="C231" t="s">
        <v>186</v>
      </c>
      <c r="D231">
        <v>1820000</v>
      </c>
      <c r="E231" t="s">
        <v>149</v>
      </c>
    </row>
    <row r="232" spans="1:5" x14ac:dyDescent="0.25">
      <c r="A232" s="14">
        <v>42530.563657407409</v>
      </c>
      <c r="B232" t="s">
        <v>172</v>
      </c>
      <c r="C232" t="s">
        <v>192</v>
      </c>
      <c r="D232">
        <v>1740000</v>
      </c>
      <c r="E232" t="s">
        <v>146</v>
      </c>
    </row>
    <row r="233" spans="1:5" x14ac:dyDescent="0.25">
      <c r="A233" s="14">
        <v>42530.73541666667</v>
      </c>
      <c r="B233" t="s">
        <v>124</v>
      </c>
      <c r="C233" t="s">
        <v>220</v>
      </c>
      <c r="D233">
        <v>1180000</v>
      </c>
      <c r="E233" t="s">
        <v>151</v>
      </c>
    </row>
    <row r="234" spans="1:5" x14ac:dyDescent="0.25">
      <c r="A234" s="14">
        <v>42530.587222222224</v>
      </c>
      <c r="B234" t="s">
        <v>168</v>
      </c>
      <c r="C234" t="s">
        <v>169</v>
      </c>
      <c r="D234">
        <v>1520000</v>
      </c>
      <c r="E234" t="s">
        <v>190</v>
      </c>
    </row>
    <row r="235" spans="1:5" x14ac:dyDescent="0.25">
      <c r="A235" s="14">
        <v>42530.726145833331</v>
      </c>
      <c r="B235" t="s">
        <v>168</v>
      </c>
      <c r="C235" t="s">
        <v>243</v>
      </c>
      <c r="D235">
        <v>1140000</v>
      </c>
      <c r="E235" t="s">
        <v>130</v>
      </c>
    </row>
    <row r="236" spans="1:5" x14ac:dyDescent="0.25">
      <c r="A236" s="14">
        <v>42530.590451388889</v>
      </c>
      <c r="B236" t="s">
        <v>128</v>
      </c>
      <c r="C236" t="s">
        <v>244</v>
      </c>
      <c r="D236">
        <v>890000</v>
      </c>
      <c r="E236" t="s">
        <v>137</v>
      </c>
    </row>
    <row r="237" spans="1:5" x14ac:dyDescent="0.25">
      <c r="A237" s="14">
        <v>42530.543124999997</v>
      </c>
      <c r="B237" t="s">
        <v>100</v>
      </c>
      <c r="C237" t="s">
        <v>166</v>
      </c>
      <c r="D237">
        <v>1520000</v>
      </c>
      <c r="E237" t="s">
        <v>190</v>
      </c>
    </row>
    <row r="238" spans="1:5" x14ac:dyDescent="0.25">
      <c r="A238" s="14">
        <v>42530.673090277778</v>
      </c>
      <c r="B238" t="s">
        <v>111</v>
      </c>
      <c r="C238" t="s">
        <v>245</v>
      </c>
      <c r="D238">
        <v>1280000</v>
      </c>
      <c r="E238" t="s">
        <v>193</v>
      </c>
    </row>
    <row r="239" spans="1:5" x14ac:dyDescent="0.25">
      <c r="A239" s="14">
        <v>42530.902858796297</v>
      </c>
      <c r="B239" t="s">
        <v>156</v>
      </c>
      <c r="C239" t="s">
        <v>246</v>
      </c>
      <c r="D239">
        <v>1440000</v>
      </c>
      <c r="E239" t="s">
        <v>201</v>
      </c>
    </row>
    <row r="240" spans="1:5" x14ac:dyDescent="0.25">
      <c r="A240" s="14">
        <v>42530.361481481479</v>
      </c>
      <c r="B240" t="s">
        <v>200</v>
      </c>
      <c r="C240" t="s">
        <v>247</v>
      </c>
      <c r="D240">
        <v>1360000</v>
      </c>
      <c r="E240" t="s">
        <v>108</v>
      </c>
    </row>
    <row r="241" spans="1:5" x14ac:dyDescent="0.25">
      <c r="A241" s="14">
        <v>42530.78528935185</v>
      </c>
      <c r="B241" t="s">
        <v>110</v>
      </c>
      <c r="C241" t="s">
        <v>203</v>
      </c>
      <c r="D241">
        <v>1280000</v>
      </c>
      <c r="E241" t="s">
        <v>193</v>
      </c>
    </row>
    <row r="242" spans="1:5" x14ac:dyDescent="0.25">
      <c r="A242" s="14">
        <v>42530.369641203702</v>
      </c>
      <c r="B242" t="s">
        <v>128</v>
      </c>
      <c r="C242" t="s">
        <v>248</v>
      </c>
      <c r="D242">
        <v>1310000</v>
      </c>
      <c r="E242" t="s">
        <v>196</v>
      </c>
    </row>
    <row r="243" spans="1:5" x14ac:dyDescent="0.25">
      <c r="A243" s="14">
        <v>42530.988854166666</v>
      </c>
      <c r="B243" t="s">
        <v>156</v>
      </c>
      <c r="C243" t="s">
        <v>232</v>
      </c>
      <c r="D243">
        <v>1440000</v>
      </c>
      <c r="E243" t="s">
        <v>201</v>
      </c>
    </row>
    <row r="244" spans="1:5" x14ac:dyDescent="0.25">
      <c r="A244" s="14">
        <v>42530.425879629627</v>
      </c>
      <c r="B244" t="s">
        <v>125</v>
      </c>
      <c r="C244" t="s">
        <v>249</v>
      </c>
      <c r="D244">
        <v>900000</v>
      </c>
      <c r="E244" t="s">
        <v>191</v>
      </c>
    </row>
    <row r="245" spans="1:5" x14ac:dyDescent="0.25">
      <c r="A245" s="14">
        <v>42530.742951388886</v>
      </c>
      <c r="B245" t="s">
        <v>79</v>
      </c>
      <c r="C245" t="s">
        <v>250</v>
      </c>
      <c r="D245">
        <v>1740000</v>
      </c>
      <c r="E245" t="s">
        <v>146</v>
      </c>
    </row>
    <row r="246" spans="1:5" x14ac:dyDescent="0.25">
      <c r="A246" s="14">
        <v>42530.445231481484</v>
      </c>
      <c r="B246" t="s">
        <v>124</v>
      </c>
      <c r="C246" t="s">
        <v>251</v>
      </c>
      <c r="D246">
        <v>880000</v>
      </c>
      <c r="E246" t="s">
        <v>148</v>
      </c>
    </row>
    <row r="247" spans="1:5" x14ac:dyDescent="0.25">
      <c r="A247" s="14">
        <v>42530.70484953704</v>
      </c>
      <c r="B247" t="s">
        <v>172</v>
      </c>
      <c r="C247" t="s">
        <v>179</v>
      </c>
      <c r="D247">
        <v>1740000</v>
      </c>
      <c r="E247" t="s">
        <v>146</v>
      </c>
    </row>
    <row r="248" spans="1:5" x14ac:dyDescent="0.25">
      <c r="A248" s="14">
        <v>42530.444641203707</v>
      </c>
      <c r="B248" t="s">
        <v>128</v>
      </c>
      <c r="C248" t="s">
        <v>252</v>
      </c>
      <c r="D248">
        <v>1310000</v>
      </c>
      <c r="E248" t="s">
        <v>196</v>
      </c>
    </row>
    <row r="249" spans="1:5" x14ac:dyDescent="0.25">
      <c r="A249" s="14">
        <v>42530.650925925926</v>
      </c>
      <c r="B249" t="s">
        <v>154</v>
      </c>
      <c r="C249" t="s">
        <v>253</v>
      </c>
      <c r="D249">
        <v>1110000</v>
      </c>
      <c r="E249" t="s">
        <v>145</v>
      </c>
    </row>
    <row r="250" spans="1:5" x14ac:dyDescent="0.25">
      <c r="A250" s="14">
        <v>42530.484074074076</v>
      </c>
      <c r="B250" t="s">
        <v>126</v>
      </c>
      <c r="C250" t="s">
        <v>162</v>
      </c>
      <c r="D250">
        <v>880000</v>
      </c>
      <c r="E250" t="s">
        <v>148</v>
      </c>
    </row>
    <row r="251" spans="1:5" x14ac:dyDescent="0.25">
      <c r="A251" s="14">
        <v>42530.642604166664</v>
      </c>
      <c r="B251" t="s">
        <v>174</v>
      </c>
      <c r="C251" t="s">
        <v>175</v>
      </c>
      <c r="D251">
        <v>900000</v>
      </c>
      <c r="E251" t="s">
        <v>191</v>
      </c>
    </row>
    <row r="252" spans="1:5" x14ac:dyDescent="0.25">
      <c r="A252" s="14">
        <v>42530.524733796294</v>
      </c>
      <c r="B252" t="s">
        <v>79</v>
      </c>
      <c r="C252" t="s">
        <v>164</v>
      </c>
      <c r="D252">
        <v>1740000</v>
      </c>
      <c r="E252" t="s">
        <v>146</v>
      </c>
    </row>
    <row r="253" spans="1:5" x14ac:dyDescent="0.25">
      <c r="A253" s="14">
        <v>42530.932245370372</v>
      </c>
      <c r="B253" t="s">
        <v>150</v>
      </c>
      <c r="C253" t="s">
        <v>254</v>
      </c>
      <c r="D253">
        <v>1240000</v>
      </c>
      <c r="E253" t="s">
        <v>98</v>
      </c>
    </row>
    <row r="254" spans="1:5" x14ac:dyDescent="0.25">
      <c r="A254" s="14">
        <v>42530.568333333336</v>
      </c>
      <c r="B254" t="s">
        <v>110</v>
      </c>
      <c r="C254" t="s">
        <v>255</v>
      </c>
      <c r="D254">
        <v>1280000</v>
      </c>
      <c r="E254" t="s">
        <v>193</v>
      </c>
    </row>
    <row r="255" spans="1:5" x14ac:dyDescent="0.25">
      <c r="A255" s="14">
        <v>42530.928368055553</v>
      </c>
      <c r="B255" t="s">
        <v>126</v>
      </c>
      <c r="C255" t="s">
        <v>256</v>
      </c>
      <c r="D255">
        <v>1180000</v>
      </c>
      <c r="E255" t="s">
        <v>151</v>
      </c>
    </row>
    <row r="256" spans="1:5" x14ac:dyDescent="0.25">
      <c r="A256" s="14">
        <v>42530.592314814814</v>
      </c>
      <c r="B256" t="s">
        <v>124</v>
      </c>
      <c r="C256" t="s">
        <v>171</v>
      </c>
      <c r="D256">
        <v>880000</v>
      </c>
      <c r="E256" t="s">
        <v>148</v>
      </c>
    </row>
    <row r="257" spans="1:5" x14ac:dyDescent="0.25">
      <c r="A257" s="14">
        <v>42530.904467592591</v>
      </c>
      <c r="B257" t="s">
        <v>156</v>
      </c>
      <c r="C257" t="s">
        <v>246</v>
      </c>
      <c r="D257">
        <v>1440000</v>
      </c>
      <c r="E257" t="s">
        <v>201</v>
      </c>
    </row>
    <row r="258" spans="1:5" x14ac:dyDescent="0.25">
      <c r="A258" s="14">
        <v>42530.633819444447</v>
      </c>
      <c r="B258" t="s">
        <v>110</v>
      </c>
      <c r="C258" t="s">
        <v>257</v>
      </c>
      <c r="D258">
        <v>1280000</v>
      </c>
      <c r="E258" t="s">
        <v>193</v>
      </c>
    </row>
    <row r="259" spans="1:5" x14ac:dyDescent="0.25">
      <c r="A259" s="14">
        <v>42530.820208333331</v>
      </c>
      <c r="B259" t="s">
        <v>156</v>
      </c>
      <c r="C259" t="s">
        <v>258</v>
      </c>
      <c r="D259">
        <v>1440000</v>
      </c>
      <c r="E259" t="s">
        <v>201</v>
      </c>
    </row>
    <row r="260" spans="1:5" x14ac:dyDescent="0.25">
      <c r="A260" s="14">
        <v>42530.653877314813</v>
      </c>
      <c r="B260" t="s">
        <v>168</v>
      </c>
      <c r="C260" t="s">
        <v>259</v>
      </c>
      <c r="D260">
        <v>1140000</v>
      </c>
      <c r="E260" t="s">
        <v>130</v>
      </c>
    </row>
    <row r="261" spans="1:5" x14ac:dyDescent="0.25">
      <c r="A261" s="14">
        <v>42530.758935185186</v>
      </c>
      <c r="B261" t="s">
        <v>159</v>
      </c>
      <c r="C261" t="s">
        <v>260</v>
      </c>
      <c r="D261">
        <v>1820000</v>
      </c>
      <c r="E261" t="s">
        <v>149</v>
      </c>
    </row>
    <row r="262" spans="1:5" x14ac:dyDescent="0.25">
      <c r="A262" s="14">
        <v>42530.214120370372</v>
      </c>
      <c r="B262" t="s">
        <v>159</v>
      </c>
      <c r="C262" t="s">
        <v>261</v>
      </c>
      <c r="D262">
        <v>1290000</v>
      </c>
      <c r="E262" t="s">
        <v>136</v>
      </c>
    </row>
    <row r="263" spans="1:5" x14ac:dyDescent="0.25">
      <c r="A263" s="14">
        <v>42530.731990740744</v>
      </c>
      <c r="B263" t="s">
        <v>180</v>
      </c>
      <c r="C263" t="s">
        <v>181</v>
      </c>
      <c r="D263">
        <v>1500000</v>
      </c>
      <c r="E263" t="s">
        <v>198</v>
      </c>
    </row>
    <row r="264" spans="1:5" x14ac:dyDescent="0.25">
      <c r="A264" s="14">
        <v>42530.235636574071</v>
      </c>
      <c r="B264" t="s">
        <v>126</v>
      </c>
      <c r="C264" t="s">
        <v>152</v>
      </c>
      <c r="D264">
        <v>1230000</v>
      </c>
      <c r="E264" t="s">
        <v>189</v>
      </c>
    </row>
    <row r="265" spans="1:5" x14ac:dyDescent="0.25">
      <c r="A265" s="14">
        <v>42530.859756944446</v>
      </c>
      <c r="B265" t="s">
        <v>200</v>
      </c>
      <c r="C265" t="s">
        <v>262</v>
      </c>
      <c r="D265">
        <v>1440000</v>
      </c>
      <c r="E265" t="s">
        <v>201</v>
      </c>
    </row>
    <row r="266" spans="1:5" x14ac:dyDescent="0.25">
      <c r="A266" s="14">
        <v>42530.245104166665</v>
      </c>
      <c r="B266" t="s">
        <v>110</v>
      </c>
      <c r="C266" t="s">
        <v>238</v>
      </c>
      <c r="D266">
        <v>1100000</v>
      </c>
      <c r="E266" t="s">
        <v>104</v>
      </c>
    </row>
    <row r="267" spans="1:5" x14ac:dyDescent="0.25">
      <c r="A267" s="14">
        <v>42530.723935185182</v>
      </c>
      <c r="B267" t="s">
        <v>154</v>
      </c>
      <c r="C267" t="s">
        <v>263</v>
      </c>
      <c r="D267">
        <v>1110000</v>
      </c>
      <c r="E267" t="s">
        <v>145</v>
      </c>
    </row>
    <row r="268" spans="1:5" x14ac:dyDescent="0.25">
      <c r="A268" s="14">
        <v>42530.406053240738</v>
      </c>
      <c r="B268" t="s">
        <v>150</v>
      </c>
      <c r="C268" t="s">
        <v>158</v>
      </c>
      <c r="D268">
        <v>1310000</v>
      </c>
      <c r="E268" t="s">
        <v>196</v>
      </c>
    </row>
    <row r="269" spans="1:5" x14ac:dyDescent="0.25">
      <c r="A269" s="14">
        <v>42530.661539351851</v>
      </c>
      <c r="B269" t="s">
        <v>128</v>
      </c>
      <c r="C269" t="s">
        <v>264</v>
      </c>
      <c r="D269">
        <v>890000</v>
      </c>
      <c r="E269" t="s">
        <v>137</v>
      </c>
    </row>
    <row r="270" spans="1:5" x14ac:dyDescent="0.25">
      <c r="A270" s="14">
        <v>42530.463750000003</v>
      </c>
      <c r="B270" t="s">
        <v>127</v>
      </c>
      <c r="C270" t="s">
        <v>265</v>
      </c>
      <c r="D270">
        <v>900000</v>
      </c>
      <c r="E270" t="s">
        <v>191</v>
      </c>
    </row>
    <row r="271" spans="1:5" x14ac:dyDescent="0.25">
      <c r="A271" s="14">
        <v>42530.611226851855</v>
      </c>
      <c r="B271" t="s">
        <v>159</v>
      </c>
      <c r="C271" t="s">
        <v>266</v>
      </c>
      <c r="D271">
        <v>1110000</v>
      </c>
      <c r="E271" t="s">
        <v>145</v>
      </c>
    </row>
    <row r="272" spans="1:5" x14ac:dyDescent="0.25">
      <c r="A272" s="14">
        <v>42530.467812499999</v>
      </c>
      <c r="B272" t="s">
        <v>159</v>
      </c>
      <c r="C272" t="s">
        <v>223</v>
      </c>
      <c r="D272">
        <v>1110000</v>
      </c>
      <c r="E272" t="s">
        <v>145</v>
      </c>
    </row>
    <row r="273" spans="1:5" x14ac:dyDescent="0.25">
      <c r="A273" s="14">
        <v>42530.282256944447</v>
      </c>
      <c r="B273" t="s">
        <v>128</v>
      </c>
      <c r="C273" t="s">
        <v>155</v>
      </c>
      <c r="D273">
        <v>1310000</v>
      </c>
      <c r="E273" t="s">
        <v>196</v>
      </c>
    </row>
    <row r="274" spans="1:5" x14ac:dyDescent="0.25">
      <c r="A274" s="14">
        <v>42530.63208333333</v>
      </c>
      <c r="B274" t="s">
        <v>172</v>
      </c>
      <c r="C274" t="s">
        <v>173</v>
      </c>
      <c r="D274">
        <v>1740000</v>
      </c>
      <c r="E274" t="s">
        <v>146</v>
      </c>
    </row>
    <row r="275" spans="1:5" x14ac:dyDescent="0.25">
      <c r="A275" s="14">
        <v>42530.221921296295</v>
      </c>
      <c r="B275" t="s">
        <v>156</v>
      </c>
      <c r="C275" t="s">
        <v>240</v>
      </c>
      <c r="D275">
        <v>1360000</v>
      </c>
      <c r="E275" t="s">
        <v>108</v>
      </c>
    </row>
    <row r="276" spans="1:5" x14ac:dyDescent="0.25">
      <c r="A276" s="14">
        <v>42530.643750000003</v>
      </c>
      <c r="B276" t="s">
        <v>174</v>
      </c>
      <c r="C276" t="s">
        <v>175</v>
      </c>
      <c r="D276">
        <v>900000</v>
      </c>
      <c r="E276" t="s">
        <v>191</v>
      </c>
    </row>
    <row r="277" spans="1:5" x14ac:dyDescent="0.25">
      <c r="A277" s="14">
        <v>42530.578217592592</v>
      </c>
      <c r="B277" t="s">
        <v>154</v>
      </c>
      <c r="C277" t="s">
        <v>267</v>
      </c>
      <c r="D277">
        <v>1110000</v>
      </c>
      <c r="E277" t="s">
        <v>145</v>
      </c>
    </row>
    <row r="278" spans="1:5" x14ac:dyDescent="0.25">
      <c r="A278" s="14">
        <v>42530.696516203701</v>
      </c>
      <c r="B278" t="s">
        <v>126</v>
      </c>
      <c r="C278" t="s">
        <v>268</v>
      </c>
      <c r="D278">
        <v>1520000</v>
      </c>
      <c r="E278" t="s">
        <v>190</v>
      </c>
    </row>
    <row r="279" spans="1:5" x14ac:dyDescent="0.25">
      <c r="A279" s="14">
        <v>42530.316400462965</v>
      </c>
      <c r="B279" t="s">
        <v>156</v>
      </c>
      <c r="C279" t="s">
        <v>157</v>
      </c>
      <c r="D279">
        <v>1360000</v>
      </c>
      <c r="E279" t="s">
        <v>108</v>
      </c>
    </row>
    <row r="280" spans="1:5" x14ac:dyDescent="0.25">
      <c r="A280" s="14">
        <v>42530.730104166665</v>
      </c>
      <c r="B280" t="s">
        <v>180</v>
      </c>
      <c r="C280" t="s">
        <v>181</v>
      </c>
      <c r="D280">
        <v>1500000</v>
      </c>
      <c r="E280" t="s">
        <v>198</v>
      </c>
    </row>
    <row r="281" spans="1:5" x14ac:dyDescent="0.25">
      <c r="A281" s="14">
        <v>42530.181921296295</v>
      </c>
      <c r="B281" t="s">
        <v>200</v>
      </c>
      <c r="C281" t="s">
        <v>269</v>
      </c>
      <c r="D281">
        <v>1360000</v>
      </c>
      <c r="E281" t="s">
        <v>108</v>
      </c>
    </row>
    <row r="282" spans="1:5" x14ac:dyDescent="0.25">
      <c r="A282" s="14">
        <v>42530.759872685187</v>
      </c>
      <c r="B282" t="s">
        <v>100</v>
      </c>
      <c r="C282" t="s">
        <v>184</v>
      </c>
      <c r="D282">
        <v>1140000</v>
      </c>
      <c r="E282" t="s">
        <v>130</v>
      </c>
    </row>
    <row r="283" spans="1:5" x14ac:dyDescent="0.25">
      <c r="A283" s="14">
        <v>42530.153807870367</v>
      </c>
      <c r="B283" t="s">
        <v>150</v>
      </c>
      <c r="C283" t="s">
        <v>270</v>
      </c>
      <c r="D283">
        <v>1340000</v>
      </c>
      <c r="E283" t="s">
        <v>147</v>
      </c>
    </row>
    <row r="284" spans="1:5" x14ac:dyDescent="0.25">
      <c r="A284" s="14">
        <v>42530.860914351855</v>
      </c>
      <c r="B284" t="s">
        <v>200</v>
      </c>
      <c r="C284" t="s">
        <v>262</v>
      </c>
      <c r="D284">
        <v>1440000</v>
      </c>
      <c r="E284" t="s">
        <v>201</v>
      </c>
    </row>
    <row r="285" spans="1:5" x14ac:dyDescent="0.25">
      <c r="A285" s="14">
        <v>42530.597291666665</v>
      </c>
      <c r="B285" t="s">
        <v>79</v>
      </c>
      <c r="C285" t="s">
        <v>170</v>
      </c>
      <c r="D285">
        <v>1740000</v>
      </c>
      <c r="E285" t="s">
        <v>146</v>
      </c>
    </row>
    <row r="286" spans="1:5" x14ac:dyDescent="0.25">
      <c r="A286" s="14">
        <v>42530.744710648149</v>
      </c>
      <c r="B286" t="s">
        <v>111</v>
      </c>
      <c r="C286" t="s">
        <v>271</v>
      </c>
      <c r="D286">
        <v>1280000</v>
      </c>
      <c r="E286" t="s">
        <v>193</v>
      </c>
    </row>
    <row r="287" spans="1:5" x14ac:dyDescent="0.25">
      <c r="A287" s="14">
        <v>42530.562326388892</v>
      </c>
      <c r="B287" t="s">
        <v>172</v>
      </c>
      <c r="C287" t="s">
        <v>192</v>
      </c>
      <c r="D287">
        <v>1740000</v>
      </c>
      <c r="E287" t="s">
        <v>146</v>
      </c>
    </row>
    <row r="288" spans="1:5" x14ac:dyDescent="0.25">
      <c r="A288" s="14">
        <v>42530.747256944444</v>
      </c>
      <c r="B288" t="s">
        <v>156</v>
      </c>
      <c r="C288" t="s">
        <v>183</v>
      </c>
      <c r="D288">
        <v>1440000</v>
      </c>
      <c r="E288" t="s">
        <v>201</v>
      </c>
    </row>
    <row r="289" spans="1:5" x14ac:dyDescent="0.25">
      <c r="A289" s="14">
        <v>42530.372337962966</v>
      </c>
      <c r="B289" t="s">
        <v>124</v>
      </c>
      <c r="C289" t="s">
        <v>272</v>
      </c>
      <c r="D289">
        <v>1230000</v>
      </c>
      <c r="E289" t="s">
        <v>189</v>
      </c>
    </row>
    <row r="290" spans="1:5" x14ac:dyDescent="0.25">
      <c r="A290" s="14">
        <v>42530.797986111109</v>
      </c>
      <c r="B290" t="s">
        <v>154</v>
      </c>
      <c r="C290" t="s">
        <v>185</v>
      </c>
      <c r="D290">
        <v>1820000</v>
      </c>
      <c r="E290" t="s">
        <v>149</v>
      </c>
    </row>
    <row r="291" spans="1:5" x14ac:dyDescent="0.25">
      <c r="A291" s="14">
        <v>42530.574456018519</v>
      </c>
      <c r="B291" t="s">
        <v>174</v>
      </c>
      <c r="C291" t="s">
        <v>273</v>
      </c>
      <c r="D291">
        <v>900000</v>
      </c>
      <c r="E291" t="s">
        <v>191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42533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2016-06-15T17:16:10Z</dcterms:modified>
</cp:coreProperties>
</file>