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 activeTab="1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Enforcements!$A$2:$N$57</definedName>
    <definedName name="_xlnm._FilterDatabase" localSheetId="0" hidden="1">'Train Runs'!$A$2:$AA$134</definedName>
    <definedName name="Denver_Train_Runs_04122016" localSheetId="0">'Train Runs'!$A$2:$J$141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1" i="1" l="1"/>
  <c r="X133" i="1"/>
  <c r="P135" i="1" l="1"/>
  <c r="AA135" i="1"/>
  <c r="Z135" i="1"/>
  <c r="X135" i="1"/>
  <c r="Y135" i="1" s="1"/>
  <c r="U135" i="1" s="1"/>
  <c r="W135" i="1"/>
  <c r="V135" i="1"/>
  <c r="T135" i="1"/>
  <c r="M135" i="1"/>
  <c r="L135" i="1"/>
  <c r="K135" i="1"/>
  <c r="P105" i="1"/>
  <c r="E4" i="6"/>
  <c r="E16" i="6"/>
  <c r="E15" i="6"/>
  <c r="E11" i="6"/>
  <c r="E12" i="6"/>
  <c r="E13" i="6"/>
  <c r="E14" i="6"/>
  <c r="E10" i="6"/>
  <c r="E9" i="6"/>
  <c r="E8" i="6"/>
  <c r="E6" i="6"/>
  <c r="E7" i="6"/>
  <c r="E5" i="6"/>
  <c r="E3" i="6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5" i="1"/>
  <c r="V6" i="1"/>
  <c r="V7" i="1"/>
  <c r="V8" i="1"/>
  <c r="V9" i="1"/>
  <c r="V10" i="1"/>
  <c r="L118" i="1"/>
  <c r="Z105" i="1"/>
  <c r="K105" i="1"/>
  <c r="L105" i="1"/>
  <c r="M105" i="1"/>
  <c r="T105" i="1"/>
  <c r="W105" i="1"/>
  <c r="X105" i="1"/>
  <c r="V91" i="1"/>
  <c r="V92" i="1"/>
  <c r="V93" i="1"/>
  <c r="V94" i="1"/>
  <c r="V95" i="1"/>
  <c r="V96" i="1"/>
  <c r="V97" i="1"/>
  <c r="V98" i="1"/>
  <c r="V99" i="1"/>
  <c r="V100" i="1"/>
  <c r="K84" i="1"/>
  <c r="L84" i="1"/>
  <c r="M84" i="1"/>
  <c r="P84" i="1" s="1"/>
  <c r="T84" i="1"/>
  <c r="V84" i="1"/>
  <c r="W84" i="1"/>
  <c r="X84" i="1"/>
  <c r="K85" i="1"/>
  <c r="L85" i="1"/>
  <c r="M85" i="1"/>
  <c r="N85" i="1" s="1"/>
  <c r="T85" i="1"/>
  <c r="V85" i="1"/>
  <c r="W85" i="1"/>
  <c r="X85" i="1"/>
  <c r="K86" i="1"/>
  <c r="L86" i="1"/>
  <c r="M86" i="1"/>
  <c r="N86" i="1" s="1"/>
  <c r="T86" i="1"/>
  <c r="V86" i="1"/>
  <c r="W86" i="1"/>
  <c r="X86" i="1"/>
  <c r="K75" i="1"/>
  <c r="L75" i="1"/>
  <c r="M75" i="1"/>
  <c r="P75" i="1" s="1"/>
  <c r="T75" i="1"/>
  <c r="V75" i="1"/>
  <c r="W75" i="1"/>
  <c r="X75" i="1"/>
  <c r="K76" i="1"/>
  <c r="L76" i="1"/>
  <c r="M76" i="1"/>
  <c r="P76" i="1" s="1"/>
  <c r="T76" i="1"/>
  <c r="V76" i="1"/>
  <c r="W76" i="1"/>
  <c r="X76" i="1"/>
  <c r="K77" i="1"/>
  <c r="L77" i="1"/>
  <c r="M77" i="1"/>
  <c r="N77" i="1" s="1"/>
  <c r="T77" i="1"/>
  <c r="V77" i="1"/>
  <c r="W77" i="1"/>
  <c r="X77" i="1"/>
  <c r="K78" i="1"/>
  <c r="L78" i="1"/>
  <c r="M78" i="1"/>
  <c r="N78" i="1" s="1"/>
  <c r="T78" i="1"/>
  <c r="V78" i="1"/>
  <c r="W78" i="1"/>
  <c r="X78" i="1"/>
  <c r="V24" i="1"/>
  <c r="V25" i="1"/>
  <c r="V26" i="1"/>
  <c r="V27" i="1"/>
  <c r="V28" i="1"/>
  <c r="V29" i="1"/>
  <c r="V30" i="1"/>
  <c r="V31" i="1"/>
  <c r="V32" i="1"/>
  <c r="V33" i="1"/>
  <c r="V34" i="1"/>
  <c r="V11" i="1"/>
  <c r="V1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9" i="1"/>
  <c r="L80" i="1"/>
  <c r="L81" i="1"/>
  <c r="L82" i="1"/>
  <c r="L83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6" i="1"/>
  <c r="L107" i="1"/>
  <c r="L108" i="1"/>
  <c r="L110" i="1"/>
  <c r="L109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K4" i="1"/>
  <c r="M4" i="1"/>
  <c r="P4" i="1" s="1"/>
  <c r="T4" i="1"/>
  <c r="V4" i="1"/>
  <c r="W4" i="1"/>
  <c r="X4" i="1"/>
  <c r="Z4" i="1"/>
  <c r="K5" i="1"/>
  <c r="M5" i="1"/>
  <c r="N5" i="1" s="1"/>
  <c r="T5" i="1"/>
  <c r="W5" i="1"/>
  <c r="X5" i="1"/>
  <c r="Z5" i="1"/>
  <c r="V3" i="1"/>
  <c r="L3" i="1"/>
  <c r="T6" i="1"/>
  <c r="W6" i="1"/>
  <c r="X6" i="1"/>
  <c r="Z6" i="1"/>
  <c r="T7" i="1"/>
  <c r="W7" i="1"/>
  <c r="X7" i="1"/>
  <c r="Z7" i="1"/>
  <c r="T8" i="1"/>
  <c r="W8" i="1"/>
  <c r="X8" i="1"/>
  <c r="Z8" i="1"/>
  <c r="T9" i="1"/>
  <c r="W9" i="1"/>
  <c r="X9" i="1"/>
  <c r="Z9" i="1"/>
  <c r="T10" i="1"/>
  <c r="W10" i="1"/>
  <c r="X10" i="1"/>
  <c r="Z10" i="1"/>
  <c r="T11" i="1"/>
  <c r="W11" i="1"/>
  <c r="X11" i="1"/>
  <c r="Z11" i="1"/>
  <c r="T12" i="1"/>
  <c r="W12" i="1"/>
  <c r="X12" i="1"/>
  <c r="Z12" i="1"/>
  <c r="T13" i="1"/>
  <c r="V13" i="1"/>
  <c r="W13" i="1"/>
  <c r="X13" i="1"/>
  <c r="Z13" i="1"/>
  <c r="T14" i="1"/>
  <c r="V14" i="1"/>
  <c r="W14" i="1"/>
  <c r="X14" i="1"/>
  <c r="Z14" i="1"/>
  <c r="T15" i="1"/>
  <c r="V15" i="1"/>
  <c r="W15" i="1"/>
  <c r="X15" i="1"/>
  <c r="Z15" i="1"/>
  <c r="T16" i="1"/>
  <c r="V16" i="1"/>
  <c r="W16" i="1"/>
  <c r="X16" i="1"/>
  <c r="Z16" i="1"/>
  <c r="T17" i="1"/>
  <c r="V17" i="1"/>
  <c r="W17" i="1"/>
  <c r="X17" i="1"/>
  <c r="Z17" i="1"/>
  <c r="T18" i="1"/>
  <c r="V18" i="1"/>
  <c r="W18" i="1"/>
  <c r="X18" i="1"/>
  <c r="Z18" i="1"/>
  <c r="T19" i="1"/>
  <c r="V19" i="1"/>
  <c r="W19" i="1"/>
  <c r="X19" i="1"/>
  <c r="Z19" i="1"/>
  <c r="T20" i="1"/>
  <c r="V20" i="1"/>
  <c r="W20" i="1"/>
  <c r="X20" i="1"/>
  <c r="Z20" i="1"/>
  <c r="T21" i="1"/>
  <c r="V21" i="1"/>
  <c r="W21" i="1"/>
  <c r="X21" i="1"/>
  <c r="Z21" i="1"/>
  <c r="T22" i="1"/>
  <c r="V22" i="1"/>
  <c r="W22" i="1"/>
  <c r="X22" i="1"/>
  <c r="Z22" i="1"/>
  <c r="T23" i="1"/>
  <c r="V23" i="1"/>
  <c r="W23" i="1"/>
  <c r="X23" i="1"/>
  <c r="Z23" i="1"/>
  <c r="T24" i="1"/>
  <c r="W24" i="1"/>
  <c r="X24" i="1"/>
  <c r="Z24" i="1"/>
  <c r="T25" i="1"/>
  <c r="W25" i="1"/>
  <c r="X25" i="1"/>
  <c r="Z25" i="1"/>
  <c r="T26" i="1"/>
  <c r="W26" i="1"/>
  <c r="X26" i="1"/>
  <c r="Z26" i="1"/>
  <c r="T27" i="1"/>
  <c r="W27" i="1"/>
  <c r="X27" i="1"/>
  <c r="Z27" i="1"/>
  <c r="T28" i="1"/>
  <c r="W28" i="1"/>
  <c r="X28" i="1"/>
  <c r="Z28" i="1"/>
  <c r="T29" i="1"/>
  <c r="W29" i="1"/>
  <c r="X29" i="1"/>
  <c r="Z29" i="1"/>
  <c r="T30" i="1"/>
  <c r="W30" i="1"/>
  <c r="X30" i="1"/>
  <c r="Z30" i="1"/>
  <c r="T31" i="1"/>
  <c r="W31" i="1"/>
  <c r="X31" i="1"/>
  <c r="Z31" i="1"/>
  <c r="T32" i="1"/>
  <c r="W32" i="1"/>
  <c r="X32" i="1"/>
  <c r="Z32" i="1"/>
  <c r="T33" i="1"/>
  <c r="W33" i="1"/>
  <c r="X33" i="1"/>
  <c r="Z33" i="1"/>
  <c r="T34" i="1"/>
  <c r="W34" i="1"/>
  <c r="X34" i="1"/>
  <c r="Z34" i="1"/>
  <c r="T35" i="1"/>
  <c r="V35" i="1"/>
  <c r="W35" i="1"/>
  <c r="X35" i="1"/>
  <c r="Z35" i="1"/>
  <c r="T36" i="1"/>
  <c r="V36" i="1"/>
  <c r="W36" i="1"/>
  <c r="X36" i="1"/>
  <c r="Z36" i="1"/>
  <c r="T37" i="1"/>
  <c r="V37" i="1"/>
  <c r="W37" i="1"/>
  <c r="X37" i="1"/>
  <c r="Z37" i="1"/>
  <c r="T38" i="1"/>
  <c r="V38" i="1"/>
  <c r="W38" i="1"/>
  <c r="X38" i="1"/>
  <c r="Z38" i="1"/>
  <c r="T39" i="1"/>
  <c r="V39" i="1"/>
  <c r="W39" i="1"/>
  <c r="X39" i="1"/>
  <c r="Z39" i="1"/>
  <c r="T40" i="1"/>
  <c r="V40" i="1"/>
  <c r="W40" i="1"/>
  <c r="X40" i="1"/>
  <c r="Z40" i="1"/>
  <c r="T41" i="1"/>
  <c r="V41" i="1"/>
  <c r="W41" i="1"/>
  <c r="X41" i="1"/>
  <c r="Z41" i="1"/>
  <c r="T42" i="1"/>
  <c r="V42" i="1"/>
  <c r="W42" i="1"/>
  <c r="X42" i="1"/>
  <c r="Z42" i="1"/>
  <c r="T43" i="1"/>
  <c r="V43" i="1"/>
  <c r="W43" i="1"/>
  <c r="X43" i="1"/>
  <c r="Z43" i="1"/>
  <c r="T44" i="1"/>
  <c r="V44" i="1"/>
  <c r="W44" i="1"/>
  <c r="X44" i="1"/>
  <c r="Z44" i="1"/>
  <c r="T45" i="1"/>
  <c r="V45" i="1"/>
  <c r="W45" i="1"/>
  <c r="X45" i="1"/>
  <c r="Z45" i="1"/>
  <c r="T46" i="1"/>
  <c r="V46" i="1"/>
  <c r="W46" i="1"/>
  <c r="X46" i="1"/>
  <c r="Z46" i="1"/>
  <c r="T47" i="1"/>
  <c r="V47" i="1"/>
  <c r="W47" i="1"/>
  <c r="X47" i="1"/>
  <c r="Z47" i="1"/>
  <c r="T48" i="1"/>
  <c r="V48" i="1"/>
  <c r="W48" i="1"/>
  <c r="X48" i="1"/>
  <c r="Z48" i="1"/>
  <c r="T49" i="1"/>
  <c r="V49" i="1"/>
  <c r="W49" i="1"/>
  <c r="X49" i="1"/>
  <c r="Z49" i="1"/>
  <c r="T50" i="1"/>
  <c r="V50" i="1"/>
  <c r="W50" i="1"/>
  <c r="X50" i="1"/>
  <c r="Z50" i="1"/>
  <c r="T51" i="1"/>
  <c r="V51" i="1"/>
  <c r="W51" i="1"/>
  <c r="X51" i="1"/>
  <c r="Z51" i="1"/>
  <c r="T52" i="1"/>
  <c r="V52" i="1"/>
  <c r="W52" i="1"/>
  <c r="X52" i="1"/>
  <c r="Z52" i="1"/>
  <c r="T53" i="1"/>
  <c r="V53" i="1"/>
  <c r="W53" i="1"/>
  <c r="X53" i="1"/>
  <c r="Z53" i="1"/>
  <c r="T54" i="1"/>
  <c r="V54" i="1"/>
  <c r="W54" i="1"/>
  <c r="X54" i="1"/>
  <c r="Z54" i="1"/>
  <c r="T55" i="1"/>
  <c r="V55" i="1"/>
  <c r="W55" i="1"/>
  <c r="X55" i="1"/>
  <c r="Z55" i="1"/>
  <c r="T56" i="1"/>
  <c r="V56" i="1"/>
  <c r="W56" i="1"/>
  <c r="X56" i="1"/>
  <c r="Z56" i="1"/>
  <c r="T57" i="1"/>
  <c r="V57" i="1"/>
  <c r="W57" i="1"/>
  <c r="X57" i="1"/>
  <c r="Z57" i="1"/>
  <c r="T58" i="1"/>
  <c r="V58" i="1"/>
  <c r="W58" i="1"/>
  <c r="X58" i="1"/>
  <c r="Z58" i="1"/>
  <c r="T59" i="1"/>
  <c r="V59" i="1"/>
  <c r="W59" i="1"/>
  <c r="X59" i="1"/>
  <c r="Z59" i="1"/>
  <c r="T60" i="1"/>
  <c r="V60" i="1"/>
  <c r="W60" i="1"/>
  <c r="X60" i="1"/>
  <c r="Z60" i="1"/>
  <c r="T61" i="1"/>
  <c r="V61" i="1"/>
  <c r="W61" i="1"/>
  <c r="X61" i="1"/>
  <c r="Z61" i="1"/>
  <c r="T62" i="1"/>
  <c r="V62" i="1"/>
  <c r="W62" i="1"/>
  <c r="X62" i="1"/>
  <c r="Z62" i="1"/>
  <c r="T63" i="1"/>
  <c r="V63" i="1"/>
  <c r="W63" i="1"/>
  <c r="X63" i="1"/>
  <c r="Z63" i="1"/>
  <c r="T64" i="1"/>
  <c r="V64" i="1"/>
  <c r="W64" i="1"/>
  <c r="X64" i="1"/>
  <c r="Z64" i="1"/>
  <c r="T65" i="1"/>
  <c r="V65" i="1"/>
  <c r="W65" i="1"/>
  <c r="X65" i="1"/>
  <c r="Z65" i="1"/>
  <c r="T66" i="1"/>
  <c r="V66" i="1"/>
  <c r="W66" i="1"/>
  <c r="X66" i="1"/>
  <c r="Z66" i="1"/>
  <c r="T67" i="1"/>
  <c r="V67" i="1"/>
  <c r="W67" i="1"/>
  <c r="X67" i="1"/>
  <c r="Z67" i="1"/>
  <c r="T68" i="1"/>
  <c r="V68" i="1"/>
  <c r="W68" i="1"/>
  <c r="X68" i="1"/>
  <c r="Z68" i="1"/>
  <c r="T69" i="1"/>
  <c r="V69" i="1"/>
  <c r="W69" i="1"/>
  <c r="X69" i="1"/>
  <c r="Z69" i="1"/>
  <c r="T70" i="1"/>
  <c r="V70" i="1"/>
  <c r="W70" i="1"/>
  <c r="X70" i="1"/>
  <c r="Z70" i="1"/>
  <c r="T71" i="1"/>
  <c r="V71" i="1"/>
  <c r="W71" i="1"/>
  <c r="X71" i="1"/>
  <c r="Z71" i="1"/>
  <c r="T72" i="1"/>
  <c r="V72" i="1"/>
  <c r="W72" i="1"/>
  <c r="X72" i="1"/>
  <c r="Z72" i="1"/>
  <c r="T73" i="1"/>
  <c r="V73" i="1"/>
  <c r="W73" i="1"/>
  <c r="X73" i="1"/>
  <c r="Z73" i="1"/>
  <c r="T74" i="1"/>
  <c r="V74" i="1"/>
  <c r="W74" i="1"/>
  <c r="X74" i="1"/>
  <c r="Z74" i="1"/>
  <c r="Z77" i="1"/>
  <c r="Z78" i="1"/>
  <c r="T79" i="1"/>
  <c r="V79" i="1"/>
  <c r="W79" i="1"/>
  <c r="X79" i="1"/>
  <c r="Z79" i="1"/>
  <c r="T80" i="1"/>
  <c r="V80" i="1"/>
  <c r="W80" i="1"/>
  <c r="X80" i="1"/>
  <c r="Z80" i="1"/>
  <c r="T81" i="1"/>
  <c r="V81" i="1"/>
  <c r="W81" i="1"/>
  <c r="X81" i="1"/>
  <c r="Z81" i="1"/>
  <c r="T82" i="1"/>
  <c r="V82" i="1"/>
  <c r="W82" i="1"/>
  <c r="X82" i="1"/>
  <c r="Z82" i="1"/>
  <c r="T83" i="1"/>
  <c r="V83" i="1"/>
  <c r="W83" i="1"/>
  <c r="X83" i="1"/>
  <c r="Z83" i="1"/>
  <c r="Z85" i="1"/>
  <c r="Z86" i="1"/>
  <c r="T87" i="1"/>
  <c r="V87" i="1"/>
  <c r="W87" i="1"/>
  <c r="X87" i="1"/>
  <c r="Z87" i="1"/>
  <c r="T88" i="1"/>
  <c r="V88" i="1"/>
  <c r="W88" i="1"/>
  <c r="X88" i="1"/>
  <c r="Z88" i="1"/>
  <c r="T89" i="1"/>
  <c r="V89" i="1"/>
  <c r="W89" i="1"/>
  <c r="X89" i="1"/>
  <c r="Z89" i="1"/>
  <c r="T90" i="1"/>
  <c r="V90" i="1"/>
  <c r="W90" i="1"/>
  <c r="X90" i="1"/>
  <c r="Y90" i="1" s="1"/>
  <c r="U90" i="1" s="1"/>
  <c r="Z90" i="1"/>
  <c r="T91" i="1"/>
  <c r="W91" i="1"/>
  <c r="X91" i="1"/>
  <c r="Z91" i="1"/>
  <c r="T92" i="1"/>
  <c r="W92" i="1"/>
  <c r="X92" i="1"/>
  <c r="Z92" i="1"/>
  <c r="T93" i="1"/>
  <c r="W93" i="1"/>
  <c r="X93" i="1"/>
  <c r="Z93" i="1"/>
  <c r="T94" i="1"/>
  <c r="W94" i="1"/>
  <c r="X94" i="1"/>
  <c r="Z94" i="1"/>
  <c r="T95" i="1"/>
  <c r="W95" i="1"/>
  <c r="X95" i="1"/>
  <c r="Z95" i="1"/>
  <c r="T96" i="1"/>
  <c r="W96" i="1"/>
  <c r="X96" i="1"/>
  <c r="Z96" i="1"/>
  <c r="T97" i="1"/>
  <c r="W97" i="1"/>
  <c r="X97" i="1"/>
  <c r="Z97" i="1"/>
  <c r="T98" i="1"/>
  <c r="W98" i="1"/>
  <c r="X98" i="1"/>
  <c r="Z98" i="1"/>
  <c r="T99" i="1"/>
  <c r="W99" i="1"/>
  <c r="X99" i="1"/>
  <c r="Z99" i="1"/>
  <c r="T100" i="1"/>
  <c r="W100" i="1"/>
  <c r="X100" i="1"/>
  <c r="Z100" i="1"/>
  <c r="T101" i="1"/>
  <c r="W101" i="1"/>
  <c r="X101" i="1"/>
  <c r="Z101" i="1"/>
  <c r="T102" i="1"/>
  <c r="W102" i="1"/>
  <c r="X102" i="1"/>
  <c r="Z102" i="1"/>
  <c r="T103" i="1"/>
  <c r="W103" i="1"/>
  <c r="X103" i="1"/>
  <c r="Z103" i="1"/>
  <c r="T104" i="1"/>
  <c r="W104" i="1"/>
  <c r="X104" i="1"/>
  <c r="Z104" i="1"/>
  <c r="T106" i="1"/>
  <c r="W106" i="1"/>
  <c r="X106" i="1"/>
  <c r="Z106" i="1"/>
  <c r="T107" i="1"/>
  <c r="W107" i="1"/>
  <c r="X107" i="1"/>
  <c r="Z107" i="1"/>
  <c r="T108" i="1"/>
  <c r="W108" i="1"/>
  <c r="X108" i="1"/>
  <c r="Z108" i="1"/>
  <c r="T109" i="1"/>
  <c r="W109" i="1"/>
  <c r="X109" i="1"/>
  <c r="Y109" i="1" s="1"/>
  <c r="U109" i="1" s="1"/>
  <c r="Z109" i="1"/>
  <c r="T110" i="1"/>
  <c r="W110" i="1"/>
  <c r="X110" i="1"/>
  <c r="Z110" i="1"/>
  <c r="T111" i="1"/>
  <c r="W111" i="1"/>
  <c r="X111" i="1"/>
  <c r="Z111" i="1"/>
  <c r="T112" i="1"/>
  <c r="W112" i="1"/>
  <c r="X112" i="1"/>
  <c r="Z112" i="1"/>
  <c r="T113" i="1"/>
  <c r="W113" i="1"/>
  <c r="X113" i="1"/>
  <c r="Z113" i="1"/>
  <c r="T114" i="1"/>
  <c r="W114" i="1"/>
  <c r="X114" i="1"/>
  <c r="Z114" i="1"/>
  <c r="T115" i="1"/>
  <c r="W115" i="1"/>
  <c r="X115" i="1"/>
  <c r="Z115" i="1"/>
  <c r="T116" i="1"/>
  <c r="W116" i="1"/>
  <c r="X116" i="1"/>
  <c r="Z116" i="1"/>
  <c r="T117" i="1"/>
  <c r="W117" i="1"/>
  <c r="X117" i="1"/>
  <c r="Z117" i="1"/>
  <c r="T118" i="1"/>
  <c r="W118" i="1"/>
  <c r="X118" i="1"/>
  <c r="Z118" i="1"/>
  <c r="T119" i="1"/>
  <c r="W119" i="1"/>
  <c r="X119" i="1"/>
  <c r="Z119" i="1"/>
  <c r="T120" i="1"/>
  <c r="W120" i="1"/>
  <c r="X120" i="1"/>
  <c r="Z120" i="1"/>
  <c r="T121" i="1"/>
  <c r="W121" i="1"/>
  <c r="X121" i="1"/>
  <c r="Z121" i="1"/>
  <c r="T122" i="1"/>
  <c r="W122" i="1"/>
  <c r="X122" i="1"/>
  <c r="Z122" i="1"/>
  <c r="T123" i="1"/>
  <c r="W123" i="1"/>
  <c r="X123" i="1"/>
  <c r="Z123" i="1"/>
  <c r="T124" i="1"/>
  <c r="W124" i="1"/>
  <c r="X124" i="1"/>
  <c r="Z124" i="1"/>
  <c r="T125" i="1"/>
  <c r="W125" i="1"/>
  <c r="X125" i="1"/>
  <c r="Z125" i="1"/>
  <c r="T126" i="1"/>
  <c r="W126" i="1"/>
  <c r="X126" i="1"/>
  <c r="Z126" i="1"/>
  <c r="T127" i="1"/>
  <c r="W127" i="1"/>
  <c r="X127" i="1"/>
  <c r="Z127" i="1"/>
  <c r="T128" i="1"/>
  <c r="W128" i="1"/>
  <c r="X128" i="1"/>
  <c r="Z128" i="1"/>
  <c r="T129" i="1"/>
  <c r="W129" i="1"/>
  <c r="X129" i="1"/>
  <c r="Z129" i="1"/>
  <c r="T130" i="1"/>
  <c r="W130" i="1"/>
  <c r="X130" i="1"/>
  <c r="Z130" i="1"/>
  <c r="T131" i="1"/>
  <c r="W131" i="1"/>
  <c r="Z131" i="1"/>
  <c r="T132" i="1"/>
  <c r="W132" i="1"/>
  <c r="Z132" i="1"/>
  <c r="T133" i="1"/>
  <c r="W133" i="1"/>
  <c r="Y133" i="1"/>
  <c r="U133" i="1" s="1"/>
  <c r="Z133" i="1"/>
  <c r="T134" i="1"/>
  <c r="W134" i="1"/>
  <c r="X134" i="1"/>
  <c r="Z134" i="1"/>
  <c r="L21" i="3"/>
  <c r="Y128" i="1" l="1"/>
  <c r="U128" i="1" s="1"/>
  <c r="Y86" i="1"/>
  <c r="U86" i="1" s="1"/>
  <c r="Y85" i="1"/>
  <c r="U85" i="1" s="1"/>
  <c r="Y76" i="1"/>
  <c r="U76" i="1" s="1"/>
  <c r="Y132" i="1"/>
  <c r="U132" i="1" s="1"/>
  <c r="Y84" i="1"/>
  <c r="U84" i="1" s="1"/>
  <c r="Y75" i="1"/>
  <c r="U75" i="1" s="1"/>
  <c r="Y36" i="1"/>
  <c r="U36" i="1" s="1"/>
  <c r="Y105" i="1"/>
  <c r="U105" i="1" s="1"/>
  <c r="Y5" i="1"/>
  <c r="U5" i="1" s="1"/>
  <c r="Y78" i="1"/>
  <c r="U78" i="1" s="1"/>
  <c r="Y77" i="1"/>
  <c r="U77" i="1" s="1"/>
  <c r="Y4" i="1"/>
  <c r="U4" i="1" s="1"/>
  <c r="Y14" i="1"/>
  <c r="U14" i="1" s="1"/>
  <c r="Y112" i="1"/>
  <c r="U112" i="1" s="1"/>
  <c r="Y54" i="1"/>
  <c r="U54" i="1" s="1"/>
  <c r="Y29" i="1"/>
  <c r="U29" i="1" s="1"/>
  <c r="Y16" i="1"/>
  <c r="U16" i="1" s="1"/>
  <c r="Y40" i="1"/>
  <c r="U40" i="1" s="1"/>
  <c r="Y117" i="1"/>
  <c r="U117" i="1" s="1"/>
  <c r="Y42" i="1"/>
  <c r="U42" i="1" s="1"/>
  <c r="Y103" i="1"/>
  <c r="U103" i="1" s="1"/>
  <c r="Y83" i="1"/>
  <c r="U83" i="1" s="1"/>
  <c r="Y121" i="1"/>
  <c r="U121" i="1" s="1"/>
  <c r="Y107" i="1"/>
  <c r="U107" i="1" s="1"/>
  <c r="Y10" i="1"/>
  <c r="U10" i="1" s="1"/>
  <c r="Y99" i="1"/>
  <c r="U99" i="1" s="1"/>
  <c r="Y123" i="1"/>
  <c r="U123" i="1" s="1"/>
  <c r="Y69" i="1"/>
  <c r="U69" i="1" s="1"/>
  <c r="Y93" i="1"/>
  <c r="U93" i="1" s="1"/>
  <c r="Y81" i="1"/>
  <c r="U81" i="1" s="1"/>
  <c r="Y63" i="1"/>
  <c r="U63" i="1" s="1"/>
  <c r="Y130" i="1"/>
  <c r="U130" i="1" s="1"/>
  <c r="Y110" i="1"/>
  <c r="U110" i="1" s="1"/>
  <c r="Y60" i="1"/>
  <c r="U60" i="1" s="1"/>
  <c r="Y115" i="1"/>
  <c r="U115" i="1" s="1"/>
  <c r="Y91" i="1"/>
  <c r="U91" i="1" s="1"/>
  <c r="Y102" i="1"/>
  <c r="U102" i="1" s="1"/>
  <c r="Y31" i="1"/>
  <c r="U31" i="1" s="1"/>
  <c r="Y80" i="1"/>
  <c r="U80" i="1" s="1"/>
  <c r="Y19" i="1"/>
  <c r="U19" i="1" s="1"/>
  <c r="Y118" i="1"/>
  <c r="U118" i="1" s="1"/>
  <c r="Y7" i="1"/>
  <c r="U7" i="1" s="1"/>
  <c r="Y87" i="1"/>
  <c r="U87" i="1" s="1"/>
  <c r="Y129" i="1"/>
  <c r="U129" i="1" s="1"/>
  <c r="Y55" i="1"/>
  <c r="U55" i="1" s="1"/>
  <c r="Y120" i="1"/>
  <c r="U120" i="1" s="1"/>
  <c r="Y97" i="1"/>
  <c r="U97" i="1" s="1"/>
  <c r="Y126" i="1"/>
  <c r="U126" i="1" s="1"/>
  <c r="Y96" i="1"/>
  <c r="U96" i="1" s="1"/>
  <c r="Y106" i="1"/>
  <c r="U106" i="1" s="1"/>
  <c r="Y124" i="1"/>
  <c r="U124" i="1" s="1"/>
  <c r="Y67" i="1"/>
  <c r="U67" i="1" s="1"/>
  <c r="Y48" i="1"/>
  <c r="U48" i="1" s="1"/>
  <c r="Y17" i="1"/>
  <c r="U17" i="1" s="1"/>
  <c r="Y28" i="1"/>
  <c r="U28" i="1" s="1"/>
  <c r="Y33" i="1"/>
  <c r="U33" i="1" s="1"/>
  <c r="Y26" i="1"/>
  <c r="U26" i="1" s="1"/>
  <c r="Y72" i="1"/>
  <c r="U72" i="1" s="1"/>
  <c r="Y58" i="1"/>
  <c r="U58" i="1" s="1"/>
  <c r="Y88" i="1"/>
  <c r="U88" i="1" s="1"/>
  <c r="Y34" i="1"/>
  <c r="U34" i="1" s="1"/>
  <c r="Y57" i="1"/>
  <c r="U57" i="1" s="1"/>
  <c r="Y114" i="1"/>
  <c r="U114" i="1" s="1"/>
  <c r="Y95" i="1"/>
  <c r="U95" i="1" s="1"/>
  <c r="Y22" i="1"/>
  <c r="U22" i="1" s="1"/>
  <c r="Y92" i="1"/>
  <c r="U92" i="1" s="1"/>
  <c r="Y68" i="1"/>
  <c r="U68" i="1" s="1"/>
  <c r="Y100" i="1"/>
  <c r="U100" i="1" s="1"/>
  <c r="Y49" i="1"/>
  <c r="U49" i="1" s="1"/>
  <c r="Y21" i="1"/>
  <c r="U21" i="1" s="1"/>
  <c r="Y66" i="1"/>
  <c r="U66" i="1" s="1"/>
  <c r="Y52" i="1"/>
  <c r="U52" i="1" s="1"/>
  <c r="Y25" i="1"/>
  <c r="U25" i="1" s="1"/>
  <c r="Y65" i="1"/>
  <c r="U65" i="1" s="1"/>
  <c r="Y56" i="1"/>
  <c r="U56" i="1" s="1"/>
  <c r="Y51" i="1"/>
  <c r="U51" i="1" s="1"/>
  <c r="Y23" i="1"/>
  <c r="U23" i="1" s="1"/>
  <c r="Y45" i="1"/>
  <c r="U45" i="1" s="1"/>
  <c r="Y8" i="1"/>
  <c r="U8" i="1" s="1"/>
  <c r="Y39" i="1"/>
  <c r="U39" i="1" s="1"/>
  <c r="Y12" i="1"/>
  <c r="U12" i="1" s="1"/>
  <c r="Y43" i="1"/>
  <c r="U43" i="1" s="1"/>
  <c r="Y13" i="1"/>
  <c r="U13" i="1" s="1"/>
  <c r="Y18" i="1"/>
  <c r="U18" i="1" s="1"/>
  <c r="Y61" i="1"/>
  <c r="U61" i="1" s="1"/>
  <c r="Y38" i="1"/>
  <c r="U38" i="1" s="1"/>
  <c r="Y11" i="1"/>
  <c r="U11" i="1" s="1"/>
  <c r="Y24" i="1"/>
  <c r="U24" i="1" s="1"/>
  <c r="Y27" i="1"/>
  <c r="U27" i="1" s="1"/>
  <c r="Y116" i="1"/>
  <c r="U116" i="1" s="1"/>
  <c r="Y113" i="1"/>
  <c r="U113" i="1" s="1"/>
  <c r="Y41" i="1"/>
  <c r="U41" i="1" s="1"/>
  <c r="Y37" i="1"/>
  <c r="U37" i="1" s="1"/>
  <c r="Y74" i="1"/>
  <c r="U74" i="1" s="1"/>
  <c r="Y70" i="1"/>
  <c r="U70" i="1" s="1"/>
  <c r="Y131" i="1"/>
  <c r="U131" i="1" s="1"/>
  <c r="Y47" i="1"/>
  <c r="U47" i="1" s="1"/>
  <c r="Y119" i="1"/>
  <c r="U119" i="1" s="1"/>
  <c r="Y44" i="1"/>
  <c r="U44" i="1" s="1"/>
  <c r="Y134" i="1"/>
  <c r="U134" i="1" s="1"/>
  <c r="Y62" i="1"/>
  <c r="U62" i="1" s="1"/>
  <c r="Y79" i="1"/>
  <c r="U79" i="1" s="1"/>
  <c r="Y73" i="1"/>
  <c r="U73" i="1" s="1"/>
  <c r="Y6" i="1"/>
  <c r="U6" i="1" s="1"/>
  <c r="Y108" i="1"/>
  <c r="U108" i="1" s="1"/>
  <c r="Y35" i="1"/>
  <c r="U35" i="1" s="1"/>
  <c r="Y125" i="1"/>
  <c r="U125" i="1" s="1"/>
  <c r="Y50" i="1"/>
  <c r="U50" i="1" s="1"/>
  <c r="Y46" i="1"/>
  <c r="U46" i="1" s="1"/>
  <c r="Y32" i="1"/>
  <c r="U32" i="1" s="1"/>
  <c r="Y9" i="1"/>
  <c r="U9" i="1" s="1"/>
  <c r="Y15" i="1"/>
  <c r="U15" i="1" s="1"/>
  <c r="Y111" i="1"/>
  <c r="U111" i="1" s="1"/>
  <c r="Y82" i="1"/>
  <c r="U82" i="1" s="1"/>
  <c r="Y98" i="1"/>
  <c r="U98" i="1" s="1"/>
  <c r="Y94" i="1"/>
  <c r="U94" i="1" s="1"/>
  <c r="Y20" i="1"/>
  <c r="U20" i="1" s="1"/>
  <c r="Y30" i="1"/>
  <c r="U30" i="1" s="1"/>
  <c r="Y59" i="1"/>
  <c r="U59" i="1" s="1"/>
  <c r="Y89" i="1"/>
  <c r="U89" i="1" s="1"/>
  <c r="Y104" i="1"/>
  <c r="U104" i="1" s="1"/>
  <c r="Y122" i="1"/>
  <c r="U122" i="1" s="1"/>
  <c r="Y127" i="1"/>
  <c r="U127" i="1" s="1"/>
  <c r="Y53" i="1"/>
  <c r="U53" i="1" s="1"/>
  <c r="Y101" i="1"/>
  <c r="U101" i="1" s="1"/>
  <c r="Y71" i="1"/>
  <c r="U71" i="1" s="1"/>
  <c r="Y64" i="1"/>
  <c r="U64" i="1" s="1"/>
  <c r="K52" i="1"/>
  <c r="M52" i="1"/>
  <c r="N52" i="1" s="1"/>
  <c r="AA52" i="1"/>
  <c r="K50" i="1"/>
  <c r="M50" i="1"/>
  <c r="N50" i="1" s="1"/>
  <c r="AA50" i="1"/>
  <c r="K45" i="1"/>
  <c r="M45" i="1"/>
  <c r="N45" i="1" s="1"/>
  <c r="AA45" i="1"/>
  <c r="K43" i="1"/>
  <c r="M43" i="1"/>
  <c r="N43" i="1" s="1"/>
  <c r="AA43" i="1"/>
  <c r="K48" i="1"/>
  <c r="M48" i="1"/>
  <c r="N48" i="1" s="1"/>
  <c r="AA48" i="1"/>
  <c r="K41" i="1"/>
  <c r="M41" i="1"/>
  <c r="N41" i="1" s="1"/>
  <c r="AA41" i="1"/>
  <c r="K46" i="1"/>
  <c r="M46" i="1"/>
  <c r="N46" i="1" s="1"/>
  <c r="AA46" i="1"/>
  <c r="K39" i="1"/>
  <c r="M39" i="1"/>
  <c r="N39" i="1" s="1"/>
  <c r="AA39" i="1"/>
  <c r="K44" i="1"/>
  <c r="M44" i="1"/>
  <c r="N44" i="1" s="1"/>
  <c r="AA44" i="1"/>
  <c r="K37" i="1"/>
  <c r="M37" i="1"/>
  <c r="N37" i="1" s="1"/>
  <c r="AA37" i="1"/>
  <c r="I138" i="1"/>
  <c r="AA53" i="1"/>
  <c r="AA58" i="1"/>
  <c r="AA51" i="1"/>
  <c r="AA56" i="1"/>
  <c r="AA49" i="1"/>
  <c r="AA54" i="1"/>
  <c r="AA47" i="1"/>
  <c r="AA42" i="1"/>
  <c r="AA35" i="1"/>
  <c r="AA40" i="1"/>
  <c r="AA33" i="1"/>
  <c r="AA38" i="1"/>
  <c r="AA31" i="1"/>
  <c r="AA36" i="1"/>
  <c r="AA30" i="1"/>
  <c r="AA34" i="1"/>
  <c r="AA28" i="1"/>
  <c r="AA32" i="1"/>
  <c r="AA26" i="1"/>
  <c r="AA24" i="1"/>
  <c r="AA29" i="1"/>
  <c r="AA20" i="1"/>
  <c r="AA27" i="1"/>
  <c r="AA22" i="1"/>
  <c r="AA25" i="1"/>
  <c r="AA18" i="1"/>
  <c r="AA23" i="1"/>
  <c r="AA16" i="1"/>
  <c r="AA14" i="1"/>
  <c r="AA21" i="1"/>
  <c r="AA19" i="1"/>
  <c r="AA11" i="1"/>
  <c r="AA17" i="1"/>
  <c r="AA9" i="1"/>
  <c r="AA15" i="1"/>
  <c r="AA7" i="1"/>
  <c r="AA12" i="1"/>
  <c r="AA13" i="1"/>
  <c r="AA10" i="1"/>
  <c r="AA5" i="1"/>
  <c r="AA8" i="1"/>
  <c r="AA6" i="1"/>
  <c r="T3" i="1"/>
  <c r="W3" i="1"/>
  <c r="X3" i="1"/>
  <c r="Z3" i="1"/>
  <c r="AA3" i="1"/>
  <c r="AA121" i="1"/>
  <c r="AA119" i="1"/>
  <c r="AA113" i="1"/>
  <c r="AA112" i="1"/>
  <c r="AA117" i="1"/>
  <c r="AA115" i="1"/>
  <c r="AA110" i="1"/>
  <c r="AA114" i="1"/>
  <c r="AA108" i="1"/>
  <c r="AA111" i="1"/>
  <c r="AA104" i="1"/>
  <c r="AA102" i="1"/>
  <c r="AA109" i="1"/>
  <c r="AA100" i="1"/>
  <c r="AA106" i="1"/>
  <c r="AA107" i="1"/>
  <c r="AA98" i="1"/>
  <c r="AA103" i="1"/>
  <c r="AA96" i="1"/>
  <c r="AA101" i="1"/>
  <c r="AA99" i="1"/>
  <c r="AA94" i="1"/>
  <c r="AA92" i="1"/>
  <c r="AA97" i="1"/>
  <c r="AA90" i="1"/>
  <c r="AA95" i="1"/>
  <c r="AA88" i="1"/>
  <c r="AA93" i="1"/>
  <c r="AA86" i="1"/>
  <c r="AA91" i="1"/>
  <c r="AA83" i="1"/>
  <c r="AA89" i="1"/>
  <c r="AA82" i="1"/>
  <c r="AA87" i="1"/>
  <c r="AA85" i="1"/>
  <c r="AA80" i="1"/>
  <c r="AA78" i="1"/>
  <c r="AA74" i="1"/>
  <c r="AA81" i="1"/>
  <c r="AA71" i="1"/>
  <c r="AA79" i="1"/>
  <c r="AA69" i="1"/>
  <c r="AA77" i="1"/>
  <c r="AA72" i="1"/>
  <c r="AA67" i="1"/>
  <c r="AA65" i="1"/>
  <c r="AA73" i="1"/>
  <c r="AA133" i="1"/>
  <c r="AA134" i="1"/>
  <c r="AA131" i="1"/>
  <c r="AA132" i="1"/>
  <c r="AA130" i="1"/>
  <c r="AA129" i="1"/>
  <c r="AA127" i="1"/>
  <c r="AA126" i="1"/>
  <c r="AA128" i="1"/>
  <c r="AA124" i="1"/>
  <c r="AA122" i="1"/>
  <c r="AA120" i="1"/>
  <c r="AA125" i="1"/>
  <c r="AA118" i="1"/>
  <c r="AA123" i="1"/>
  <c r="AA116" i="1"/>
  <c r="AA63" i="1"/>
  <c r="AA68" i="1"/>
  <c r="AA61" i="1"/>
  <c r="AA66" i="1"/>
  <c r="AA59" i="1"/>
  <c r="AA64" i="1"/>
  <c r="AA57" i="1"/>
  <c r="AA62" i="1"/>
  <c r="AA55" i="1"/>
  <c r="AA60" i="1"/>
  <c r="L35" i="3"/>
  <c r="L46" i="3"/>
  <c r="L34" i="3"/>
  <c r="L40" i="3"/>
  <c r="L8" i="3"/>
  <c r="L7" i="3"/>
  <c r="L28" i="3"/>
  <c r="L22" i="3"/>
  <c r="L54" i="3"/>
  <c r="L9" i="3"/>
  <c r="L20" i="3"/>
  <c r="L47" i="3"/>
  <c r="L10" i="3"/>
  <c r="L57" i="3"/>
  <c r="L25" i="3"/>
  <c r="L5" i="3"/>
  <c r="L29" i="3"/>
  <c r="L48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L33" i="3"/>
  <c r="L55" i="3"/>
  <c r="L14" i="3"/>
  <c r="L30" i="3"/>
  <c r="L45" i="3"/>
  <c r="L56" i="3"/>
  <c r="L6" i="3"/>
  <c r="L4" i="3"/>
  <c r="L43" i="3"/>
  <c r="L38" i="3"/>
  <c r="L19" i="3"/>
  <c r="L18" i="3"/>
  <c r="L11" i="3"/>
  <c r="L53" i="3"/>
  <c r="L44" i="3"/>
  <c r="L23" i="3"/>
  <c r="L31" i="3"/>
  <c r="L27" i="3"/>
  <c r="L26" i="3"/>
  <c r="L12" i="3"/>
  <c r="L41" i="3"/>
  <c r="L39" i="3"/>
  <c r="L52" i="3"/>
  <c r="L15" i="3"/>
  <c r="L16" i="3"/>
  <c r="L24" i="3"/>
  <c r="L3" i="3"/>
  <c r="L49" i="3"/>
  <c r="L51" i="3"/>
  <c r="L42" i="3"/>
  <c r="L37" i="3"/>
  <c r="L36" i="3"/>
  <c r="L50" i="3"/>
  <c r="L17" i="3"/>
  <c r="L32" i="3"/>
  <c r="P35" i="3" l="1"/>
  <c r="P55" i="3"/>
  <c r="P26" i="3"/>
  <c r="P56" i="3"/>
  <c r="P6" i="3"/>
  <c r="P54" i="3"/>
  <c r="P51" i="3"/>
  <c r="P32" i="3"/>
  <c r="P18" i="3"/>
  <c r="P27" i="3"/>
  <c r="P43" i="3"/>
  <c r="P41" i="3"/>
  <c r="P30" i="3"/>
  <c r="P33" i="3"/>
  <c r="P36" i="3"/>
  <c r="P57" i="3"/>
  <c r="P45" i="3"/>
  <c r="P50" i="3"/>
  <c r="P37" i="3"/>
  <c r="P42" i="3"/>
  <c r="P44" i="3"/>
  <c r="P10" i="3"/>
  <c r="P13" i="3"/>
  <c r="P46" i="3"/>
  <c r="P14" i="3"/>
  <c r="P31" i="3"/>
  <c r="P8" i="3"/>
  <c r="P11" i="3"/>
  <c r="P34" i="3"/>
  <c r="P52" i="3"/>
  <c r="P40" i="3"/>
  <c r="P12" i="3"/>
  <c r="P48" i="3"/>
  <c r="Y3" i="1"/>
  <c r="U3" i="1" s="1"/>
  <c r="P5" i="3"/>
  <c r="P3" i="3"/>
  <c r="P4" i="3"/>
  <c r="P29" i="3"/>
  <c r="P28" i="3"/>
  <c r="P9" i="3"/>
  <c r="P7" i="3"/>
  <c r="P38" i="3"/>
  <c r="P49" i="3"/>
  <c r="K130" i="1" l="1"/>
  <c r="M130" i="1"/>
  <c r="N130" i="1" s="1"/>
  <c r="K131" i="1"/>
  <c r="M131" i="1"/>
  <c r="N131" i="1" s="1"/>
  <c r="K74" i="1"/>
  <c r="M74" i="1"/>
  <c r="N74" i="1" s="1"/>
  <c r="K112" i="1"/>
  <c r="M112" i="1"/>
  <c r="P112" i="1" s="1"/>
  <c r="K14" i="1"/>
  <c r="M14" i="1"/>
  <c r="N14" i="1" s="1"/>
  <c r="K56" i="1" l="1"/>
  <c r="M56" i="1"/>
  <c r="N56" i="1" s="1"/>
  <c r="K49" i="1"/>
  <c r="M49" i="1"/>
  <c r="N49" i="1" s="1"/>
  <c r="K54" i="1"/>
  <c r="M54" i="1"/>
  <c r="N54" i="1" s="1"/>
  <c r="K47" i="1"/>
  <c r="M47" i="1"/>
  <c r="N47" i="1" s="1"/>
  <c r="K42" i="1"/>
  <c r="M42" i="1"/>
  <c r="N42" i="1" s="1"/>
  <c r="K35" i="1"/>
  <c r="M35" i="1"/>
  <c r="N35" i="1" s="1"/>
  <c r="K40" i="1"/>
  <c r="M40" i="1"/>
  <c r="N40" i="1" s="1"/>
  <c r="K33" i="1"/>
  <c r="M33" i="1"/>
  <c r="N33" i="1" s="1"/>
  <c r="K36" i="1" l="1"/>
  <c r="M36" i="1"/>
  <c r="N36" i="1" s="1"/>
  <c r="K30" i="1"/>
  <c r="M30" i="1"/>
  <c r="N30" i="1" s="1"/>
  <c r="K34" i="1"/>
  <c r="M34" i="1"/>
  <c r="N34" i="1" s="1"/>
  <c r="K28" i="1"/>
  <c r="M28" i="1"/>
  <c r="P28" i="1" s="1"/>
  <c r="K61" i="1"/>
  <c r="M61" i="1"/>
  <c r="N61" i="1" s="1"/>
  <c r="K70" i="1"/>
  <c r="M70" i="1"/>
  <c r="N70" i="1" s="1"/>
  <c r="K68" i="1"/>
  <c r="M68" i="1"/>
  <c r="N68" i="1" s="1"/>
  <c r="P47" i="3" l="1"/>
  <c r="P15" i="3"/>
  <c r="P16" i="3"/>
  <c r="P17" i="3"/>
  <c r="P39" i="3"/>
  <c r="P53" i="3"/>
  <c r="K106" i="1"/>
  <c r="K92" i="1"/>
  <c r="K116" i="1"/>
  <c r="M92" i="1"/>
  <c r="N92" i="1" s="1"/>
  <c r="M116" i="1"/>
  <c r="N116" i="1" s="1"/>
  <c r="M106" i="1"/>
  <c r="P106" i="1" s="1"/>
  <c r="AA70" i="1"/>
  <c r="M26" i="1" l="1"/>
  <c r="N26" i="1" s="1"/>
  <c r="K26" i="1"/>
  <c r="Q20" i="3"/>
  <c r="Q21" i="3"/>
  <c r="Q22" i="3"/>
  <c r="Q23" i="3"/>
  <c r="L13" i="3"/>
  <c r="Q24" i="3"/>
  <c r="Q25" i="3"/>
  <c r="K58" i="1" l="1"/>
  <c r="M58" i="1"/>
  <c r="N58" i="1" s="1"/>
  <c r="K51" i="1"/>
  <c r="M51" i="1"/>
  <c r="N51" i="1" s="1"/>
  <c r="P23" i="3"/>
  <c r="K107" i="1"/>
  <c r="M107" i="1"/>
  <c r="P107" i="1" s="1"/>
  <c r="K98" i="1"/>
  <c r="M98" i="1"/>
  <c r="K103" i="1"/>
  <c r="M103" i="1"/>
  <c r="N103" i="1" s="1"/>
  <c r="K96" i="1"/>
  <c r="M96" i="1"/>
  <c r="P96" i="1" s="1"/>
  <c r="K101" i="1"/>
  <c r="M101" i="1"/>
  <c r="N101" i="1" s="1"/>
  <c r="K99" i="1"/>
  <c r="M99" i="1"/>
  <c r="K94" i="1"/>
  <c r="M94" i="1"/>
  <c r="K97" i="1"/>
  <c r="M97" i="1"/>
  <c r="N97" i="1" s="1"/>
  <c r="K90" i="1"/>
  <c r="M90" i="1"/>
  <c r="N90" i="1" s="1"/>
  <c r="K95" i="1"/>
  <c r="M95" i="1"/>
  <c r="N95" i="1" s="1"/>
  <c r="K88" i="1"/>
  <c r="M88" i="1"/>
  <c r="N88" i="1" s="1"/>
  <c r="K93" i="1"/>
  <c r="M93" i="1"/>
  <c r="K91" i="1"/>
  <c r="M91" i="1"/>
  <c r="N91" i="1" s="1"/>
  <c r="K83" i="1"/>
  <c r="M83" i="1"/>
  <c r="N83" i="1" s="1"/>
  <c r="K82" i="1"/>
  <c r="M82" i="1"/>
  <c r="N82" i="1" s="1"/>
  <c r="K89" i="1"/>
  <c r="M89" i="1"/>
  <c r="N89" i="1" s="1"/>
  <c r="K87" i="1"/>
  <c r="M87" i="1"/>
  <c r="N87" i="1" s="1"/>
  <c r="P98" i="1" l="1"/>
  <c r="P93" i="1"/>
  <c r="P25" i="3"/>
  <c r="P24" i="3"/>
  <c r="K79" i="1" l="1"/>
  <c r="M79" i="1"/>
  <c r="N79" i="1" s="1"/>
  <c r="K66" i="1"/>
  <c r="M66" i="1"/>
  <c r="N66" i="1" s="1"/>
  <c r="K59" i="1"/>
  <c r="M59" i="1"/>
  <c r="N59" i="1" s="1"/>
  <c r="K64" i="1"/>
  <c r="M64" i="1"/>
  <c r="N64" i="1" s="1"/>
  <c r="K62" i="1"/>
  <c r="M62" i="1"/>
  <c r="N62" i="1" s="1"/>
  <c r="K57" i="1"/>
  <c r="M57" i="1"/>
  <c r="N57" i="1" s="1"/>
  <c r="K55" i="1"/>
  <c r="M55" i="1"/>
  <c r="N55" i="1" s="1"/>
  <c r="P20" i="3"/>
  <c r="K53" i="1"/>
  <c r="M53" i="1"/>
  <c r="N53" i="1" s="1"/>
  <c r="K60" i="1"/>
  <c r="M60" i="1"/>
  <c r="N60" i="1" s="1"/>
  <c r="K38" i="1"/>
  <c r="M38" i="1"/>
  <c r="N38" i="1" s="1"/>
  <c r="K31" i="1"/>
  <c r="M31" i="1"/>
  <c r="N31" i="1" s="1"/>
  <c r="K32" i="1"/>
  <c r="M32" i="1"/>
  <c r="N32" i="1" s="1"/>
  <c r="K24" i="1"/>
  <c r="M24" i="1"/>
  <c r="N24" i="1" s="1"/>
  <c r="K29" i="1"/>
  <c r="M29" i="1"/>
  <c r="N29" i="1" s="1"/>
  <c r="K27" i="1"/>
  <c r="M27" i="1"/>
  <c r="N27" i="1" s="1"/>
  <c r="K20" i="1"/>
  <c r="M20" i="1"/>
  <c r="N20" i="1" s="1"/>
  <c r="K22" i="1"/>
  <c r="M22" i="1"/>
  <c r="N22" i="1" s="1"/>
  <c r="K25" i="1"/>
  <c r="M25" i="1"/>
  <c r="N25" i="1" s="1"/>
  <c r="K18" i="1"/>
  <c r="M18" i="1"/>
  <c r="N18" i="1" s="1"/>
  <c r="K16" i="1"/>
  <c r="M16" i="1"/>
  <c r="N16" i="1" s="1"/>
  <c r="K23" i="1"/>
  <c r="M23" i="1"/>
  <c r="N23" i="1" s="1"/>
  <c r="K21" i="1"/>
  <c r="M21" i="1"/>
  <c r="N21" i="1" s="1"/>
  <c r="K19" i="1"/>
  <c r="M19" i="1"/>
  <c r="N19" i="1" s="1"/>
  <c r="K11" i="1"/>
  <c r="M11" i="1"/>
  <c r="N11" i="1" s="1"/>
  <c r="K17" i="1"/>
  <c r="M17" i="1"/>
  <c r="N17" i="1" s="1"/>
  <c r="K9" i="1"/>
  <c r="M9" i="1"/>
  <c r="N9" i="1" s="1"/>
  <c r="K15" i="1"/>
  <c r="M15" i="1"/>
  <c r="N15" i="1" s="1"/>
  <c r="K7" i="1"/>
  <c r="M7" i="1"/>
  <c r="N7" i="1" s="1"/>
  <c r="K13" i="1"/>
  <c r="M13" i="1"/>
  <c r="N13" i="1" s="1"/>
  <c r="K12" i="1"/>
  <c r="M12" i="1"/>
  <c r="N12" i="1" s="1"/>
  <c r="K10" i="1"/>
  <c r="M10" i="1"/>
  <c r="N10" i="1" s="1"/>
  <c r="K6" i="1"/>
  <c r="M6" i="1"/>
  <c r="N6" i="1" s="1"/>
  <c r="K8" i="1"/>
  <c r="M8" i="1"/>
  <c r="N8" i="1" s="1"/>
  <c r="K3" i="1"/>
  <c r="M3" i="1"/>
  <c r="N3" i="1" s="1"/>
  <c r="K121" i="1"/>
  <c r="M121" i="1"/>
  <c r="N121" i="1" s="1"/>
  <c r="K119" i="1"/>
  <c r="M119" i="1"/>
  <c r="N119" i="1" s="1"/>
  <c r="K113" i="1"/>
  <c r="M113" i="1"/>
  <c r="P113" i="1" s="1"/>
  <c r="K117" i="1"/>
  <c r="M117" i="1"/>
  <c r="N117" i="1" s="1"/>
  <c r="K115" i="1"/>
  <c r="M115" i="1"/>
  <c r="N115" i="1" s="1"/>
  <c r="K109" i="1"/>
  <c r="M109" i="1"/>
  <c r="K114" i="1"/>
  <c r="M114" i="1"/>
  <c r="K108" i="1"/>
  <c r="M108" i="1"/>
  <c r="P108" i="1" s="1"/>
  <c r="K111" i="1"/>
  <c r="M111" i="1"/>
  <c r="P111" i="1" s="1"/>
  <c r="K104" i="1"/>
  <c r="M104" i="1"/>
  <c r="N104" i="1" s="1"/>
  <c r="K102" i="1"/>
  <c r="M102" i="1"/>
  <c r="N102" i="1" s="1"/>
  <c r="K110" i="1"/>
  <c r="M110" i="1"/>
  <c r="K100" i="1"/>
  <c r="M100" i="1"/>
  <c r="P100" i="1" s="1"/>
  <c r="K80" i="1"/>
  <c r="M80" i="1"/>
  <c r="N80" i="1" s="1"/>
  <c r="K71" i="1"/>
  <c r="M71" i="1"/>
  <c r="N71" i="1" s="1"/>
  <c r="K81" i="1"/>
  <c r="M81" i="1"/>
  <c r="N81" i="1" s="1"/>
  <c r="K69" i="1"/>
  <c r="M69" i="1"/>
  <c r="N69" i="1" s="1"/>
  <c r="K73" i="1"/>
  <c r="M73" i="1"/>
  <c r="N73" i="1" s="1"/>
  <c r="K67" i="1"/>
  <c r="M67" i="1"/>
  <c r="N67" i="1" s="1"/>
  <c r="K72" i="1"/>
  <c r="M72" i="1"/>
  <c r="N72" i="1" s="1"/>
  <c r="K65" i="1"/>
  <c r="M65" i="1"/>
  <c r="N65" i="1" s="1"/>
  <c r="K133" i="1"/>
  <c r="M133" i="1"/>
  <c r="N133" i="1" s="1"/>
  <c r="K134" i="1"/>
  <c r="M134" i="1"/>
  <c r="N134" i="1" s="1"/>
  <c r="K132" i="1"/>
  <c r="M132" i="1"/>
  <c r="N132" i="1" s="1"/>
  <c r="J140" i="1" s="1"/>
  <c r="K129" i="1"/>
  <c r="M129" i="1"/>
  <c r="K127" i="1"/>
  <c r="M127" i="1"/>
  <c r="N127" i="1" s="1"/>
  <c r="K126" i="1"/>
  <c r="M126" i="1"/>
  <c r="N126" i="1" s="1"/>
  <c r="K128" i="1"/>
  <c r="M128" i="1"/>
  <c r="N128" i="1" s="1"/>
  <c r="K124" i="1"/>
  <c r="M124" i="1"/>
  <c r="N124" i="1" s="1"/>
  <c r="K122" i="1"/>
  <c r="M122" i="1"/>
  <c r="N122" i="1" s="1"/>
  <c r="K120" i="1"/>
  <c r="M120" i="1"/>
  <c r="N120" i="1" s="1"/>
  <c r="K125" i="1"/>
  <c r="M125" i="1"/>
  <c r="N125" i="1" s="1"/>
  <c r="K118" i="1"/>
  <c r="M118" i="1"/>
  <c r="N118" i="1" s="1"/>
  <c r="K123" i="1"/>
  <c r="M123" i="1"/>
  <c r="N123" i="1" s="1"/>
  <c r="P109" i="1" l="1"/>
  <c r="P114" i="1"/>
  <c r="N129" i="1"/>
  <c r="P22" i="3"/>
  <c r="P21" i="3"/>
  <c r="K63" i="1" l="1"/>
  <c r="J142" i="1" l="1"/>
  <c r="A1" i="1" l="1"/>
  <c r="Q19" i="3"/>
  <c r="P19" i="3" l="1"/>
  <c r="M63" i="1" l="1"/>
  <c r="N63" i="1" s="1"/>
  <c r="N144" i="1" l="1"/>
  <c r="J144" i="1"/>
  <c r="J143" i="1"/>
  <c r="J145" i="1" l="1"/>
  <c r="J141" i="1"/>
  <c r="A1" i="6"/>
  <c r="M59" i="3"/>
  <c r="M60" i="3" s="1"/>
  <c r="A1" i="3"/>
  <c r="O142" i="1"/>
  <c r="N142" i="1"/>
  <c r="M142" i="1"/>
  <c r="O144" i="1" l="1"/>
  <c r="O141" i="1"/>
  <c r="M144" i="1"/>
  <c r="N141" i="1"/>
  <c r="M141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<sst xmlns="http://schemas.openxmlformats.org/spreadsheetml/2006/main" count="1910" uniqueCount="569">
  <si>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</si>
  <si>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</si>
  <si>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</si>
  <si>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</si>
  <si>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</si>
  <si>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</si>
  <si>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</si>
  <si>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</si>
  <si>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</si>
  <si>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</si>
  <si>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</si>
  <si>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</si>
  <si>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</si>
  <si>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</si>
  <si>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</si>
  <si>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</si>
  <si>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</si>
  <si>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</si>
  <si>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</si>
  <si>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</si>
  <si>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</si>
  <si>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</si>
  <si>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</si>
  <si>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</si>
  <si>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</si>
  <si>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</si>
  <si>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</si>
  <si>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</si>
  <si>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</si>
  <si>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</si>
  <si>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</si>
  <si>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</si>
  <si>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</si>
  <si>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</si>
  <si>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</si>
  <si>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</si>
  <si>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</si>
  <si>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</si>
  <si>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</si>
  <si>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</si>
  <si>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</si>
  <si>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</si>
  <si>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</si>
  <si>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</si>
  <si>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</si>
  <si>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</si>
  <si>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</si>
  <si>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</si>
  <si>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</si>
  <si>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</si>
  <si>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</si>
  <si>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</si>
  <si>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</si>
  <si>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</si>
  <si>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</si>
  <si>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</si>
  <si>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</si>
  <si>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</si>
  <si>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</si>
  <si>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</si>
  <si>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</si>
  <si>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</si>
  <si>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</si>
  <si>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</si>
  <si>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204:451</t>
  </si>
  <si>
    <t>204:152</t>
  </si>
  <si>
    <t>204:232994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</si>
  <si>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</si>
  <si>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</si>
  <si>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</si>
  <si>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</si>
  <si>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</si>
  <si>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</si>
  <si>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</si>
  <si>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204:232996</t>
  </si>
  <si>
    <t>204:160</t>
  </si>
  <si>
    <t>204:460</t>
  </si>
  <si>
    <t>rtdc.l.rtdc.4032:itc</t>
  </si>
  <si>
    <t>Y</t>
  </si>
  <si>
    <t>204:233314</t>
  </si>
  <si>
    <t>204:232977</t>
  </si>
  <si>
    <t>204:466</t>
  </si>
  <si>
    <t>204:143</t>
  </si>
  <si>
    <t>204:462</t>
  </si>
  <si>
    <t>Kibana URL</t>
  </si>
  <si>
    <t>204:457</t>
  </si>
  <si>
    <t>204:232991</t>
  </si>
  <si>
    <t>204:141</t>
  </si>
  <si>
    <t>204:156</t>
  </si>
  <si>
    <t>204:149</t>
  </si>
  <si>
    <t>GRADE CROSSING</t>
  </si>
  <si>
    <t>Bulletin (2)</t>
  </si>
  <si>
    <t>GRASTON</t>
  </si>
  <si>
    <t>204:453</t>
  </si>
  <si>
    <t>rtdc.l.rtdc.4043:itc</t>
  </si>
  <si>
    <t>204:232978</t>
  </si>
  <si>
    <t>204:233311</t>
  </si>
  <si>
    <t>GEBRETEKLE</t>
  </si>
  <si>
    <t>204:154</t>
  </si>
  <si>
    <t>204:233304</t>
  </si>
  <si>
    <t>SANTIZO</t>
  </si>
  <si>
    <t>204:233299</t>
  </si>
  <si>
    <t>rtdc.l.rtdc.4019:itc</t>
  </si>
  <si>
    <t>rtdc.l.rtdc.4020:itc</t>
  </si>
  <si>
    <t>204:458</t>
  </si>
  <si>
    <t>204:232983</t>
  </si>
  <si>
    <t>204:233298</t>
  </si>
  <si>
    <t>204:232976</t>
  </si>
  <si>
    <t>rtdc.l.rtdc.4018:itc</t>
  </si>
  <si>
    <t>rtdc.l.rtdc.4027:itc</t>
  </si>
  <si>
    <t>rtdc.l.rtdc.4017:itc</t>
  </si>
  <si>
    <t>rtdc.l.rtdc.4028:itc</t>
  </si>
  <si>
    <t>rtdc.l.rtdc.4023:itc</t>
  </si>
  <si>
    <t>HELVIE</t>
  </si>
  <si>
    <t>YOUNG</t>
  </si>
  <si>
    <t>204:232982</t>
  </si>
  <si>
    <t>COOLAHAN</t>
  </si>
  <si>
    <t>LOZA</t>
  </si>
  <si>
    <t>204:233315</t>
  </si>
  <si>
    <t>204:232975</t>
  </si>
  <si>
    <t>204:464</t>
  </si>
  <si>
    <t>STARKS</t>
  </si>
  <si>
    <t>STORY</t>
  </si>
  <si>
    <t>BEAM</t>
  </si>
  <si>
    <t>STEWART</t>
  </si>
  <si>
    <t>ADANE</t>
  </si>
  <si>
    <t>rtdc.l.rtdc.4024:itc</t>
  </si>
  <si>
    <t>LEVERE</t>
  </si>
  <si>
    <t>110-09</t>
  </si>
  <si>
    <t>115-09</t>
  </si>
  <si>
    <t>rtdc.l.rtdc.4008:itc</t>
  </si>
  <si>
    <t>116-09</t>
  </si>
  <si>
    <t>rtdc.l.rtdc.4030:itc</t>
  </si>
  <si>
    <t>126-09</t>
  </si>
  <si>
    <t>149-09</t>
  </si>
  <si>
    <t>rtdc.l.rtdc.4007:itc</t>
  </si>
  <si>
    <t>147-09</t>
  </si>
  <si>
    <t>163-09</t>
  </si>
  <si>
    <t>158-09</t>
  </si>
  <si>
    <t>171-09</t>
  </si>
  <si>
    <t>166-09</t>
  </si>
  <si>
    <t>177-09</t>
  </si>
  <si>
    <t>170-09</t>
  </si>
  <si>
    <t>172-09</t>
  </si>
  <si>
    <t>rtdc.l.rtdc.4044:itc</t>
  </si>
  <si>
    <t>183-09</t>
  </si>
  <si>
    <t>180-09</t>
  </si>
  <si>
    <t>186-09</t>
  </si>
  <si>
    <t>rtdc.l.rtdc.4031:itc</t>
  </si>
  <si>
    <t>193-09</t>
  </si>
  <si>
    <t>rtdc.l.rtdc.4014:itc</t>
  </si>
  <si>
    <t>195-09</t>
  </si>
  <si>
    <t>rtdc.l.rtdc.4013:itc</t>
  </si>
  <si>
    <t>196-09</t>
  </si>
  <si>
    <t>202-09</t>
  </si>
  <si>
    <t>207-09</t>
  </si>
  <si>
    <t>rtdc.l.rtdc.4056:itc</t>
  </si>
  <si>
    <t>4056-09</t>
  </si>
  <si>
    <t>206-09</t>
  </si>
  <si>
    <t>210-09</t>
  </si>
  <si>
    <t>212-09</t>
  </si>
  <si>
    <t>218-09</t>
  </si>
  <si>
    <t>226-09</t>
  </si>
  <si>
    <t>239-09</t>
  </si>
  <si>
    <t>241-09</t>
  </si>
  <si>
    <t>YANAI</t>
  </si>
  <si>
    <t>MAYBERRY</t>
  </si>
  <si>
    <t>ROCHA</t>
  </si>
  <si>
    <t>179-09</t>
  </si>
  <si>
    <t>BARTLETT</t>
  </si>
  <si>
    <t>151-09</t>
  </si>
  <si>
    <t>144-09</t>
  </si>
  <si>
    <t>MALAVE</t>
  </si>
  <si>
    <t>rtdc.l.rtdc.4055:itc</t>
  </si>
  <si>
    <t>GOODNIGHT</t>
  </si>
  <si>
    <t>142-09</t>
  </si>
  <si>
    <t>rtdc.l.rtdc.4029:itc</t>
  </si>
  <si>
    <t>HONTZ</t>
  </si>
  <si>
    <t>130-09</t>
  </si>
  <si>
    <t>216-09</t>
  </si>
  <si>
    <t>122-09</t>
  </si>
  <si>
    <t>NELSON</t>
  </si>
  <si>
    <t>101-09</t>
  </si>
  <si>
    <t>135-09</t>
  </si>
  <si>
    <t>165-09</t>
  </si>
  <si>
    <t>119-09</t>
  </si>
  <si>
    <t>240-09</t>
  </si>
  <si>
    <t>NEWELL</t>
  </si>
  <si>
    <t>234-09</t>
  </si>
  <si>
    <t>237-09</t>
  </si>
  <si>
    <t>224-09</t>
  </si>
  <si>
    <t>211-09</t>
  </si>
  <si>
    <t>138-09</t>
  </si>
  <si>
    <t>145-09</t>
  </si>
  <si>
    <t>125-09</t>
  </si>
  <si>
    <t>111-09</t>
  </si>
  <si>
    <t>213-09</t>
  </si>
  <si>
    <t>160-09</t>
  </si>
  <si>
    <t>225-09</t>
  </si>
  <si>
    <t>161-09</t>
  </si>
  <si>
    <t>191-09</t>
  </si>
  <si>
    <t>140-09</t>
  </si>
  <si>
    <t>209-09</t>
  </si>
  <si>
    <t>132-09</t>
  </si>
  <si>
    <t>227-09</t>
  </si>
  <si>
    <t>243-09</t>
  </si>
  <si>
    <t>233-09</t>
  </si>
  <si>
    <t>109-09</t>
  </si>
  <si>
    <t>238-09</t>
  </si>
  <si>
    <t>236-09</t>
  </si>
  <si>
    <t>139-09</t>
  </si>
  <si>
    <t>167-09</t>
  </si>
  <si>
    <t>203-09</t>
  </si>
  <si>
    <t>244-09</t>
  </si>
  <si>
    <t>112-09</t>
  </si>
  <si>
    <t>131-09</t>
  </si>
  <si>
    <t>108-09</t>
  </si>
  <si>
    <t>117-09</t>
  </si>
  <si>
    <t>173-09</t>
  </si>
  <si>
    <t>YOUNG-09</t>
  </si>
  <si>
    <t>178-09</t>
  </si>
  <si>
    <t>201-09</t>
  </si>
  <si>
    <t>230-09</t>
  </si>
  <si>
    <t>141-09</t>
  </si>
  <si>
    <t>136-09</t>
  </si>
  <si>
    <t>153-09</t>
  </si>
  <si>
    <t>208-09</t>
  </si>
  <si>
    <t>157-09</t>
  </si>
  <si>
    <t>150-09</t>
  </si>
  <si>
    <t>190-09</t>
  </si>
  <si>
    <t>235-09</t>
  </si>
  <si>
    <t>174-09</t>
  </si>
  <si>
    <t>232-09</t>
  </si>
  <si>
    <t>188-09</t>
  </si>
  <si>
    <t>222-09</t>
  </si>
  <si>
    <t>197-09</t>
  </si>
  <si>
    <t>217-09</t>
  </si>
  <si>
    <t>113-09</t>
  </si>
  <si>
    <t>229-09</t>
  </si>
  <si>
    <t>204-09</t>
  </si>
  <si>
    <t>192-09</t>
  </si>
  <si>
    <t>154-09</t>
  </si>
  <si>
    <t>189-09</t>
  </si>
  <si>
    <t>176-09</t>
  </si>
  <si>
    <t>200-09</t>
  </si>
  <si>
    <t>107-09</t>
  </si>
  <si>
    <t>103-09</t>
  </si>
  <si>
    <t>215-09</t>
  </si>
  <si>
    <t>143-09</t>
  </si>
  <si>
    <t>181-09</t>
  </si>
  <si>
    <t>204:161</t>
  </si>
  <si>
    <t>204:473</t>
  </si>
  <si>
    <t>204:232985</t>
  </si>
  <si>
    <t>204:232981</t>
  </si>
  <si>
    <t>Possible Explanation</t>
  </si>
  <si>
    <t>Recorded Operator</t>
  </si>
  <si>
    <t>Trip ID</t>
  </si>
  <si>
    <t># Of Times Offered</t>
  </si>
  <si>
    <t>Loco</t>
  </si>
  <si>
    <t>rtdc.l.rtdc.4015:itc</t>
  </si>
  <si>
    <t>rtdc.l.rtdc.4016:itc</t>
  </si>
  <si>
    <t>182-12</t>
  </si>
  <si>
    <t>STURGEON</t>
  </si>
  <si>
    <t>ACKERMAN</t>
  </si>
  <si>
    <t>LOCKLEAR</t>
  </si>
  <si>
    <t>231-12</t>
  </si>
  <si>
    <t>108-12</t>
  </si>
  <si>
    <t>109-12</t>
  </si>
  <si>
    <t>180-12</t>
  </si>
  <si>
    <t>204:232987</t>
  </si>
  <si>
    <t>204:233317</t>
  </si>
  <si>
    <t>204:233000</t>
  </si>
  <si>
    <t>204:233295</t>
  </si>
  <si>
    <t>204:447</t>
  </si>
  <si>
    <t>204:233289</t>
  </si>
  <si>
    <t>204:446</t>
  </si>
  <si>
    <t>Comms</t>
  </si>
  <si>
    <t>Form C</t>
  </si>
  <si>
    <t>rtdc.l.rtdc.4025:itc</t>
  </si>
  <si>
    <t>rtdc.l.rtdc.4040:itc</t>
  </si>
  <si>
    <t>rtdc.l.rtdc.4026:itc</t>
  </si>
  <si>
    <t>SPECTOR</t>
  </si>
  <si>
    <t>BRABO</t>
  </si>
  <si>
    <t>rtdc.l.rtdc.4039:itc</t>
  </si>
  <si>
    <t>204:232988</t>
  </si>
  <si>
    <t>204:232992</t>
  </si>
  <si>
    <t>204:233006</t>
  </si>
  <si>
    <t>204:232993</t>
  </si>
  <si>
    <t>204:232955</t>
  </si>
  <si>
    <t>204:233302</t>
  </si>
  <si>
    <t>204:233307</t>
  </si>
  <si>
    <t>204:232986</t>
  </si>
  <si>
    <t>204:449</t>
  </si>
  <si>
    <t>204:444</t>
  </si>
  <si>
    <t>204:478</t>
  </si>
  <si>
    <t>202-14</t>
  </si>
  <si>
    <t>240-14</t>
  </si>
  <si>
    <t>243-14</t>
  </si>
  <si>
    <t>235-14</t>
  </si>
  <si>
    <t>BRANNON</t>
  </si>
  <si>
    <t>109-14</t>
  </si>
  <si>
    <t>102-14</t>
  </si>
  <si>
    <t>232-14</t>
  </si>
  <si>
    <t>116-14</t>
  </si>
  <si>
    <t>113-14</t>
  </si>
  <si>
    <t>204:138</t>
  </si>
  <si>
    <t>204:233312</t>
  </si>
  <si>
    <t>204:232990</t>
  </si>
  <si>
    <t>204:233330</t>
  </si>
  <si>
    <t>204:233340</t>
  </si>
  <si>
    <t>204:233293</t>
  </si>
  <si>
    <t>204:232972</t>
  </si>
  <si>
    <t>204:233001</t>
  </si>
  <si>
    <t>204:233276</t>
  </si>
  <si>
    <t>204:158</t>
  </si>
  <si>
    <t>204:233285</t>
  </si>
  <si>
    <t>204:471</t>
  </si>
  <si>
    <t>204:233308</t>
  </si>
  <si>
    <t>204:233309</t>
  </si>
  <si>
    <t>204:233305</t>
  </si>
  <si>
    <t>204:438</t>
  </si>
  <si>
    <t>204:232980</t>
  </si>
  <si>
    <t>204:395</t>
  </si>
  <si>
    <t>204:232984</t>
  </si>
  <si>
    <t>204:233297</t>
  </si>
  <si>
    <t>204:233306</t>
  </si>
  <si>
    <t>204:233284</t>
  </si>
  <si>
    <t>204:233272</t>
  </si>
  <si>
    <t>204:475</t>
  </si>
  <si>
    <t>Onboard In-route Failure</t>
  </si>
  <si>
    <t>Routing</t>
  </si>
  <si>
    <t>126-15</t>
  </si>
  <si>
    <t>183-15</t>
  </si>
  <si>
    <t>117-15</t>
  </si>
  <si>
    <t>158-15</t>
  </si>
  <si>
    <t>RIVERA</t>
  </si>
  <si>
    <t>165-15</t>
  </si>
  <si>
    <t>169-15</t>
  </si>
  <si>
    <t>129-15</t>
  </si>
  <si>
    <t>141-15</t>
  </si>
  <si>
    <t>YORK</t>
  </si>
  <si>
    <t>147-15</t>
  </si>
  <si>
    <t>168-15</t>
  </si>
  <si>
    <t>179-15</t>
  </si>
  <si>
    <t>162-15</t>
  </si>
  <si>
    <t>199-15</t>
  </si>
  <si>
    <t>155-15</t>
  </si>
  <si>
    <t>198-15</t>
  </si>
  <si>
    <t>HAUSER</t>
  </si>
  <si>
    <t>140-15</t>
  </si>
  <si>
    <t>213-15</t>
  </si>
  <si>
    <t>131-15</t>
  </si>
  <si>
    <t>214-15</t>
  </si>
  <si>
    <t>111-15</t>
  </si>
  <si>
    <t>230-15</t>
  </si>
  <si>
    <t>104-15</t>
  </si>
  <si>
    <t>238-15</t>
  </si>
  <si>
    <t>rtdc.l.rtdc.4011:itc</t>
  </si>
  <si>
    <t>211-15</t>
  </si>
  <si>
    <t>rtdc.l.rtdc.4041:itc</t>
  </si>
  <si>
    <t>XO RAIL-15</t>
  </si>
  <si>
    <t>175-15</t>
  </si>
  <si>
    <t>186-15</t>
  </si>
  <si>
    <t>202-15</t>
  </si>
  <si>
    <t>193-15</t>
  </si>
  <si>
    <t>102-15</t>
  </si>
  <si>
    <t>184-15</t>
  </si>
  <si>
    <t>110-15</t>
  </si>
  <si>
    <t>240-15</t>
  </si>
  <si>
    <t>112-15</t>
  </si>
  <si>
    <t>223-15</t>
  </si>
  <si>
    <t>116-15</t>
  </si>
  <si>
    <t>120-15</t>
  </si>
  <si>
    <t>205-15</t>
  </si>
  <si>
    <t>BONDS</t>
  </si>
  <si>
    <t>127-15</t>
  </si>
  <si>
    <t>171-15</t>
  </si>
  <si>
    <t>137-15</t>
  </si>
  <si>
    <t>229-15</t>
  </si>
  <si>
    <t>138-15</t>
  </si>
  <si>
    <t>224-15</t>
  </si>
  <si>
    <t>149-15</t>
  </si>
  <si>
    <t>151-15</t>
  </si>
  <si>
    <t>203-15</t>
  </si>
  <si>
    <t>146-15</t>
  </si>
  <si>
    <t>rtdc.l.rtdc.4042:itc</t>
  </si>
  <si>
    <t>153-15</t>
  </si>
  <si>
    <t>191-15</t>
  </si>
  <si>
    <t>152-15</t>
  </si>
  <si>
    <t>178-15</t>
  </si>
  <si>
    <t>163-15</t>
  </si>
  <si>
    <t>181-15</t>
  </si>
  <si>
    <t>156-15</t>
  </si>
  <si>
    <t>231-15</t>
  </si>
  <si>
    <t>160-15</t>
  </si>
  <si>
    <t>170-15</t>
  </si>
  <si>
    <t>177-15</t>
  </si>
  <si>
    <t>173-15</t>
  </si>
  <si>
    <t>172-15</t>
  </si>
  <si>
    <t>200-15</t>
  </si>
  <si>
    <t>164-15</t>
  </si>
  <si>
    <t>242-15</t>
  </si>
  <si>
    <t>157-15</t>
  </si>
  <si>
    <t>189-15</t>
  </si>
  <si>
    <t>150-15</t>
  </si>
  <si>
    <t>145-15</t>
  </si>
  <si>
    <t>195-15</t>
  </si>
  <si>
    <t>134-15</t>
  </si>
  <si>
    <t>208-15</t>
  </si>
  <si>
    <t>139-15</t>
  </si>
  <si>
    <t>227-15</t>
  </si>
  <si>
    <t>STRICKLAND</t>
  </si>
  <si>
    <t>130-15</t>
  </si>
  <si>
    <t>190-15</t>
  </si>
  <si>
    <t>135-15</t>
  </si>
  <si>
    <t>187-15</t>
  </si>
  <si>
    <t>128-15</t>
  </si>
  <si>
    <t>133-15</t>
  </si>
  <si>
    <t>197-15</t>
  </si>
  <si>
    <t>125-15</t>
  </si>
  <si>
    <t>241-15</t>
  </si>
  <si>
    <t>123-15</t>
  </si>
  <si>
    <t>182-15</t>
  </si>
  <si>
    <t>121-15</t>
  </si>
  <si>
    <t>114-15</t>
  </si>
  <si>
    <t>161-15</t>
  </si>
  <si>
    <t>119-15</t>
  </si>
  <si>
    <t>113-15</t>
  </si>
  <si>
    <t>106-15</t>
  </si>
  <si>
    <t>118-15</t>
  </si>
  <si>
    <t>196-15</t>
  </si>
  <si>
    <t>180-15</t>
  </si>
  <si>
    <t>144-15</t>
  </si>
  <si>
    <t>rtdc.l.rtdc.4012:itc</t>
  </si>
  <si>
    <t>228-15</t>
  </si>
  <si>
    <t>148-15</t>
  </si>
  <si>
    <t>226-15</t>
  </si>
  <si>
    <t>192-15</t>
  </si>
  <si>
    <t>221-15</t>
  </si>
  <si>
    <t>194-15</t>
  </si>
  <si>
    <t>142-15</t>
  </si>
  <si>
    <t>132-15</t>
  </si>
  <si>
    <t>143-15</t>
  </si>
  <si>
    <t>167-15</t>
  </si>
  <si>
    <t>176-15</t>
  </si>
  <si>
    <t>185-15</t>
  </si>
  <si>
    <t>159-15</t>
  </si>
  <si>
    <t>188-15</t>
  </si>
  <si>
    <t>136-15</t>
  </si>
  <si>
    <t>109-15</t>
  </si>
  <si>
    <t>220-15</t>
  </si>
  <si>
    <t>108-15</t>
  </si>
  <si>
    <t>122-15</t>
  </si>
  <si>
    <t>244-15</t>
  </si>
  <si>
    <t>124-15</t>
  </si>
  <si>
    <t>239-15</t>
  </si>
  <si>
    <t>174-15</t>
  </si>
  <si>
    <t>237-15</t>
  </si>
  <si>
    <t>222-15</t>
  </si>
  <si>
    <t>209-15</t>
  </si>
  <si>
    <t>233-15</t>
  </si>
  <si>
    <t>201-15</t>
  </si>
  <si>
    <t>232-15</t>
  </si>
  <si>
    <t>154-15</t>
  </si>
  <si>
    <t>235-15</t>
  </si>
  <si>
    <t>115-15</t>
  </si>
  <si>
    <t>236-15</t>
  </si>
  <si>
    <t>103-15</t>
  </si>
  <si>
    <t>243-15</t>
  </si>
  <si>
    <t>166-15</t>
  </si>
  <si>
    <t>rtdc.l.rtdc.4002:itc</t>
  </si>
  <si>
    <t>101-15</t>
  </si>
  <si>
    <t>204:794</t>
  </si>
  <si>
    <t>204:763</t>
  </si>
  <si>
    <t>204:232672</t>
  </si>
  <si>
    <t>204:118</t>
  </si>
  <si>
    <t>204:189</t>
  </si>
  <si>
    <t>204:724</t>
  </si>
  <si>
    <t>204:232979</t>
  </si>
  <si>
    <t>204:402</t>
  </si>
  <si>
    <t>204:132</t>
  </si>
  <si>
    <t>204:728</t>
  </si>
  <si>
    <t>204:232973</t>
  </si>
  <si>
    <t>204:442</t>
  </si>
  <si>
    <t>204:233342</t>
  </si>
  <si>
    <t>204:233040</t>
  </si>
  <si>
    <t>204:109</t>
  </si>
  <si>
    <t>204:513</t>
  </si>
  <si>
    <t>204:233044</t>
  </si>
  <si>
    <t>204:232882</t>
  </si>
  <si>
    <t>204:174</t>
  </si>
  <si>
    <t>204:233334</t>
  </si>
  <si>
    <t>204:64159</t>
  </si>
  <si>
    <t>204:232998</t>
  </si>
  <si>
    <t>204:170</t>
  </si>
  <si>
    <t>204:486</t>
  </si>
  <si>
    <t>204:163</t>
  </si>
  <si>
    <t>204:469</t>
  </si>
  <si>
    <t>204:232971</t>
  </si>
  <si>
    <t>204:233015</t>
  </si>
  <si>
    <t>204:90</t>
  </si>
  <si>
    <t>204:233117</t>
  </si>
  <si>
    <t>204:488</t>
  </si>
  <si>
    <t>204:233323</t>
  </si>
  <si>
    <t>204:233268</t>
  </si>
  <si>
    <t>204:233301</t>
  </si>
  <si>
    <t>204:233291</t>
  </si>
  <si>
    <t>204:232974</t>
  </si>
  <si>
    <t>204:233263</t>
  </si>
  <si>
    <t>204:139</t>
  </si>
  <si>
    <t>204:233337</t>
  </si>
  <si>
    <t>204:233003</t>
  </si>
  <si>
    <t>204:185</t>
  </si>
  <si>
    <t>204:435</t>
  </si>
  <si>
    <t>204:48353</t>
  </si>
  <si>
    <t>204:64677</t>
  </si>
  <si>
    <t>204:233221</t>
  </si>
  <si>
    <t>204:232908</t>
  </si>
  <si>
    <t>204:238</t>
  </si>
  <si>
    <t>204:233030</t>
  </si>
  <si>
    <t>204:216</t>
  </si>
  <si>
    <t>204:81504</t>
  </si>
  <si>
    <t>204:86375</t>
  </si>
  <si>
    <t>204:233278</t>
  </si>
  <si>
    <t>204:232960</t>
  </si>
  <si>
    <t>204:63927</t>
  </si>
  <si>
    <t>204:879</t>
  </si>
  <si>
    <t>204:233010</t>
  </si>
  <si>
    <t>204:491</t>
  </si>
  <si>
    <t>204:500</t>
  </si>
  <si>
    <t>204:35202</t>
  </si>
  <si>
    <t>204:1515</t>
  </si>
  <si>
    <t>204:2039</t>
  </si>
  <si>
    <t>204:10536</t>
  </si>
  <si>
    <t>204:1186</t>
  </si>
  <si>
    <t>204:19136</t>
  </si>
  <si>
    <t>204:546</t>
  </si>
  <si>
    <t>204:956</t>
  </si>
  <si>
    <t>204:232962</t>
  </si>
  <si>
    <t>204:1192</t>
  </si>
  <si>
    <t>204:233280</t>
  </si>
  <si>
    <t>204:232710</t>
  </si>
  <si>
    <t>204:1203</t>
  </si>
  <si>
    <t>204:121</t>
  </si>
  <si>
    <t>204:1528</t>
  </si>
  <si>
    <t>204:232959</t>
  </si>
  <si>
    <t>204:591</t>
  </si>
  <si>
    <t>105-15</t>
  </si>
  <si>
    <t>107-15</t>
  </si>
  <si>
    <t>207-15</t>
  </si>
  <si>
    <t>204-15</t>
  </si>
  <si>
    <t>210-15</t>
  </si>
  <si>
    <t>212-15</t>
  </si>
  <si>
    <t>215-15</t>
  </si>
  <si>
    <t>216-15</t>
  </si>
  <si>
    <t>217-15</t>
  </si>
  <si>
    <t>218-15</t>
  </si>
  <si>
    <t>219-15</t>
  </si>
  <si>
    <t>225-15</t>
  </si>
  <si>
    <t>234-15</t>
  </si>
  <si>
    <t>Onboard In-iroute Failure</t>
  </si>
  <si>
    <t>Onboard In-Route Failure</t>
  </si>
  <si>
    <t>207-16</t>
  </si>
  <si>
    <t>Pantograph Repairs</t>
  </si>
  <si>
    <t>Pantograph Event</t>
  </si>
  <si>
    <t>Incorrect Bulletin Execution</t>
  </si>
  <si>
    <t>Crew began moving then Cutout before selecting track</t>
  </si>
  <si>
    <t>Stop Signal with Warning</t>
  </si>
  <si>
    <t>Oriented too close to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</si>
</sst>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101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5" xfId="0" applyFill="1" applyBorder="1" applyAlignment="1">
      <alignment horizontal="center"/>
    </xf>
    <xf numFmtId="0" fontId="0" fillId="0" borderId="0" xfId="0" applyFill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3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3"/>
  <sheetViews>
    <sheetView showGridLines="0" topLeftCell="A100" zoomScale="85" zoomScaleNormal="85" workbookViewId="0">
      <selection activeCell="R98" sqref="R98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8" t="str">
        <f>"Eagle P3 System Performance - "&amp;TEXT(Variables!A2,"yyyy-mm-dd")</f>
        <v>Eagle P3 System Performance - 2016-06-15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72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471</v>
      </c>
      <c r="B3" s="60">
        <v>4002</v>
      </c>
      <c r="C3" s="60" t="s">
        <v>62</v>
      </c>
      <c r="D3" s="60" t="s">
        <v>472</v>
      </c>
      <c r="E3" s="30">
        <v>42536.120775462965</v>
      </c>
      <c r="F3" s="30">
        <v>42536.12195601852</v>
      </c>
      <c r="G3" s="38">
        <v>1</v>
      </c>
      <c r="H3" s="30" t="s">
        <v>272</v>
      </c>
      <c r="I3" s="30">
        <v>42536.165173611109</v>
      </c>
      <c r="J3" s="60">
        <v>1</v>
      </c>
      <c r="K3" s="60" t="str">
        <f t="shared" ref="K3:K34" si="0">IF(ISEVEN(B3),(B3-1)&amp;"/"&amp;B3,B3&amp;"/"&amp;(B3+1))</f>
        <v>4001/4002</v>
      </c>
      <c r="L3" s="60" t="str">
        <f>VLOOKUP(A3,'Trips&amp;Operators'!$C$1:$E$10000,3,FALSE)</f>
        <v>YORK</v>
      </c>
      <c r="M3" s="12">
        <f t="shared" ref="M3:M34" si="1">I3-F3</f>
        <v>4.3217592588916887E-2</v>
      </c>
      <c r="N3" s="13">
        <f>24*60*SUM($M3:$M3)</f>
        <v>62.233333328040317</v>
      </c>
      <c r="O3" s="13"/>
      <c r="P3" s="13"/>
      <c r="Q3" s="61"/>
      <c r="R3" s="61"/>
      <c r="T3" s="73" t="str">
        <f t="shared" ref="T3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https://search-rtdc-monitor-bjffxe2xuh6vdkpspy63sjmuny.us-east-1.es.amazonaws.com/_plugin/kibana/#/discover/Steve-Slow-Train-Analysis-(2080s-and-2083s)?_g=(refreshInterval:(display:Off,section:0,value:0),time:(from:'2016-06-15 02:52:55-0600',mode:absolute,to:'2016-06-15 03:58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U3" s="73" t="str">
        <f t="shared" ref="U3" si="3">IF(Y3&lt;23,"Y","N")</f>
        <v>N</v>
      </c>
      <c r="V3" s="73" t="e">
        <f t="shared" ref="V3:V34" si="4">VALUE(LEFT(A3,3))-VALUE(LEFT(A2,3))</f>
        <v>#VALUE!</v>
      </c>
      <c r="W3" s="73">
        <f t="shared" ref="W3" si="5">RIGHT(D3,LEN(D3)-4)/10000</f>
        <v>7.9399999999999998E-2</v>
      </c>
      <c r="X3" s="73">
        <f t="shared" ref="X3" si="6">RIGHT(H3,LEN(H3)-4)/10000</f>
        <v>23.329499999999999</v>
      </c>
      <c r="Y3" s="73">
        <f t="shared" ref="Y3" si="7">ABS(X3-W3)</f>
        <v>23.2501</v>
      </c>
      <c r="Z3" s="74">
        <f>VLOOKUP(A3,Enforcements!$C$19:$J$57,8,0)</f>
        <v>149694</v>
      </c>
      <c r="AA3" s="74" t="str">
        <f>VLOOKUP(A3,Enforcements!$C$19:$J$57,3,0)</f>
        <v>SIGNAL</v>
      </c>
    </row>
    <row r="4" spans="1:89" s="2" customFormat="1" x14ac:dyDescent="0.25">
      <c r="A4" s="60" t="s">
        <v>365</v>
      </c>
      <c r="B4" s="60">
        <v>4032</v>
      </c>
      <c r="C4" s="60"/>
      <c r="D4" s="60"/>
      <c r="E4" s="30"/>
      <c r="F4" s="30">
        <v>42536.170659722222</v>
      </c>
      <c r="G4" s="38"/>
      <c r="H4" s="30"/>
      <c r="I4" s="30">
        <v>42536.171111111114</v>
      </c>
      <c r="J4" s="60"/>
      <c r="K4" s="60" t="str">
        <f t="shared" si="0"/>
        <v>4031/4032</v>
      </c>
      <c r="L4" s="60" t="str">
        <f>VLOOKUP(A4,'Trips&amp;Operators'!$C$1:$E$10000,3,FALSE)</f>
        <v>YORK</v>
      </c>
      <c r="M4" s="12">
        <f t="shared" si="1"/>
        <v>4.5138889254303649E-4</v>
      </c>
      <c r="N4" s="13"/>
      <c r="O4" s="13"/>
      <c r="P4" s="13">
        <f>24*60*SUM($M4:$M4)</f>
        <v>0.65000000526197255</v>
      </c>
      <c r="Q4" s="61"/>
      <c r="R4" s="61" t="s">
        <v>560</v>
      </c>
      <c r="T4" s="73" t="e">
        <f t="shared" ref="T4:T5" si="8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#VALUE!</v>
      </c>
      <c r="U4" s="73" t="e">
        <f t="shared" ref="U4:U5" si="9">IF(Y4&lt;23,"Y","N")</f>
        <v>#VALUE!</v>
      </c>
      <c r="V4" s="73">
        <f t="shared" si="4"/>
        <v>1</v>
      </c>
      <c r="W4" s="73" t="e">
        <f t="shared" ref="W4:W5" si="10">RIGHT(D4,LEN(D4)-4)/10000</f>
        <v>#VALUE!</v>
      </c>
      <c r="X4" s="73" t="e">
        <f t="shared" ref="X4:X5" si="11">RIGHT(H4,LEN(H4)-4)/10000</f>
        <v>#VALUE!</v>
      </c>
      <c r="Y4" s="73" t="e">
        <f t="shared" ref="Y4:Y5" si="12">ABS(X4-W4)</f>
        <v>#VALUE!</v>
      </c>
      <c r="Z4" s="74" t="e">
        <f>VLOOKUP(A4,Enforcements!$C$19:$J$57,8,0)</f>
        <v>#N/A</v>
      </c>
      <c r="AA4" s="74"/>
    </row>
    <row r="5" spans="1:89" s="2" customFormat="1" x14ac:dyDescent="0.25">
      <c r="A5" s="60" t="s">
        <v>467</v>
      </c>
      <c r="B5" s="60">
        <v>4018</v>
      </c>
      <c r="C5" s="60" t="s">
        <v>62</v>
      </c>
      <c r="D5" s="60" t="s">
        <v>473</v>
      </c>
      <c r="E5" s="30">
        <v>42536.154305555552</v>
      </c>
      <c r="F5" s="30">
        <v>42536.155532407407</v>
      </c>
      <c r="G5" s="38">
        <v>1</v>
      </c>
      <c r="H5" s="30" t="s">
        <v>306</v>
      </c>
      <c r="I5" s="30">
        <v>42536.186284722222</v>
      </c>
      <c r="J5" s="60">
        <v>0</v>
      </c>
      <c r="K5" s="60" t="str">
        <f t="shared" si="0"/>
        <v>4017/4018</v>
      </c>
      <c r="L5" s="60" t="str">
        <f>VLOOKUP(A5,'Trips&amp;Operators'!$C$1:$E$10000,3,FALSE)</f>
        <v>STARKS</v>
      </c>
      <c r="M5" s="12">
        <f t="shared" si="1"/>
        <v>3.0752314814890269E-2</v>
      </c>
      <c r="N5" s="13">
        <f t="shared" ref="N5:N27" si="13">24*60*SUM($M5:$M5)</f>
        <v>44.283333333441988</v>
      </c>
      <c r="O5" s="13"/>
      <c r="P5" s="13"/>
      <c r="Q5" s="61"/>
      <c r="R5" s="61"/>
      <c r="T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https://search-rtdc-monitor-bjffxe2xuh6vdkpspy63sjmuny.us-east-1.es.amazonaws.com/_plugin/kibana/#/discover/Steve-Slow-Train-Analysis-(2080s-and-2083s)?_g=(refreshInterval:(display:Off,section:0,value:0),time:(from:'2016-06-15 03:41:12-0600',mode:absolute,to:'2016-06-15 04:29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" s="73" t="str">
        <f t="shared" si="9"/>
        <v>N</v>
      </c>
      <c r="V5" s="73">
        <f t="shared" si="4"/>
        <v>1</v>
      </c>
      <c r="W5" s="73">
        <f t="shared" si="10"/>
        <v>7.6300000000000007E-2</v>
      </c>
      <c r="X5" s="73">
        <f t="shared" si="11"/>
        <v>23.331199999999999</v>
      </c>
      <c r="Y5" s="73">
        <f t="shared" si="12"/>
        <v>23.254899999999999</v>
      </c>
      <c r="Z5" s="74" t="e">
        <f>VLOOKUP(A5,Enforcements!$C$19:$J$57,8,0)</f>
        <v>#N/A</v>
      </c>
      <c r="AA5" s="74" t="e">
        <f>VLOOKUP(A5,Enforcements!$C$19:$J$57,3,0)</f>
        <v>#N/A</v>
      </c>
    </row>
    <row r="6" spans="1:89" s="2" customFormat="1" x14ac:dyDescent="0.25">
      <c r="A6" s="60" t="s">
        <v>355</v>
      </c>
      <c r="B6" s="60">
        <v>4039</v>
      </c>
      <c r="C6" s="60" t="s">
        <v>62</v>
      </c>
      <c r="D6" s="60" t="s">
        <v>474</v>
      </c>
      <c r="E6" s="30">
        <v>42536.192465277774</v>
      </c>
      <c r="F6" s="30">
        <v>42536.193831018521</v>
      </c>
      <c r="G6" s="38">
        <v>1</v>
      </c>
      <c r="H6" s="30" t="s">
        <v>475</v>
      </c>
      <c r="I6" s="30">
        <v>42536.224814814814</v>
      </c>
      <c r="J6" s="60">
        <v>0</v>
      </c>
      <c r="K6" s="60" t="str">
        <f t="shared" si="0"/>
        <v>4039/4040</v>
      </c>
      <c r="L6" s="60" t="str">
        <f>VLOOKUP(A6,'Trips&amp;Operators'!$C$1:$E$10000,3,FALSE)</f>
        <v>STARKS</v>
      </c>
      <c r="M6" s="12">
        <f t="shared" si="1"/>
        <v>3.0983796292275656E-2</v>
      </c>
      <c r="N6" s="13">
        <f t="shared" si="13"/>
        <v>44.616666660876945</v>
      </c>
      <c r="O6" s="13"/>
      <c r="P6" s="13"/>
      <c r="Q6" s="61"/>
      <c r="R6" s="61"/>
      <c r="T6" s="73" t="str">
        <f t="shared" ref="T6:T67" si="14">"https://search-rtdc-monitor-bjffxe2xuh6vdkpspy63sjmuny.us-east-1.es.amazonaws.com/_plugin/kibana/#/discover/Steve-Slow-Train-Analysis-(2080s-and-2083s)?_g=(refreshInterval:(display:Off,section:0,value:0),time:(from:'"&amp;TEXT(E6-1/24/60,"yyyy-MM-DD hh:mm:ss")&amp;"-0600',mode:absolute,to:'"&amp;TEXT(I6+1/24/60,"yyyy-MM-DD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&amp;"%22')),sort:!(Time,asc))"</f>
        <v>https://search-rtdc-monitor-bjffxe2xuh6vdkpspy63sjmuny.us-east-1.es.amazonaws.com/_plugin/kibana/#/discover/Steve-Slow-Train-Analysis-(2080s-and-2083s)?_g=(refreshInterval:(display:Off,section:0,value:0),time:(from:'2016-06-15 04:36:09-0600',mode:absolute,to:'2016-06-15 05:24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" s="73" t="str">
        <f t="shared" ref="U6:U67" si="15">IF(Y6&lt;23,"Y","N")</f>
        <v>N</v>
      </c>
      <c r="V6" s="73">
        <f t="shared" si="4"/>
        <v>1</v>
      </c>
      <c r="W6" s="73">
        <f t="shared" ref="W6:W67" si="16">RIGHT(D6,LEN(D6)-4)/10000</f>
        <v>23.267199999999999</v>
      </c>
      <c r="X6" s="73">
        <f t="shared" ref="X6:X67" si="17">RIGHT(H6,LEN(H6)-4)/10000</f>
        <v>1.18E-2</v>
      </c>
      <c r="Y6" s="73">
        <f t="shared" ref="Y6:Y67" si="18">ABS(X6-W6)</f>
        <v>23.255399999999998</v>
      </c>
      <c r="Z6" s="74" t="e">
        <f>VLOOKUP(A6,Enforcements!$C$19:$J$57,8,0)</f>
        <v>#N/A</v>
      </c>
      <c r="AA6" s="74" t="e">
        <f>VLOOKUP(A6,Enforcements!$C$19:$J$57,3,0)</f>
        <v>#N/A</v>
      </c>
    </row>
    <row r="7" spans="1:89" s="2" customFormat="1" x14ac:dyDescent="0.25">
      <c r="A7" s="60" t="s">
        <v>428</v>
      </c>
      <c r="B7" s="60">
        <v>4030</v>
      </c>
      <c r="C7" s="60" t="s">
        <v>62</v>
      </c>
      <c r="D7" s="60" t="s">
        <v>107</v>
      </c>
      <c r="E7" s="30">
        <v>42536.211504629631</v>
      </c>
      <c r="F7" s="30">
        <v>42536.213379629633</v>
      </c>
      <c r="G7" s="38">
        <v>2</v>
      </c>
      <c r="H7" s="30" t="s">
        <v>476</v>
      </c>
      <c r="I7" s="30">
        <v>42536.24255787037</v>
      </c>
      <c r="J7" s="60">
        <v>1</v>
      </c>
      <c r="K7" s="60" t="str">
        <f t="shared" si="0"/>
        <v>4029/4030</v>
      </c>
      <c r="L7" s="60" t="str">
        <f>VLOOKUP(A7,'Trips&amp;Operators'!$C$1:$E$10000,3,FALSE)</f>
        <v>GEBRETEKLE</v>
      </c>
      <c r="M7" s="12">
        <f t="shared" si="1"/>
        <v>2.9178240736655425E-2</v>
      </c>
      <c r="N7" s="13">
        <f t="shared" si="13"/>
        <v>42.016666660783812</v>
      </c>
      <c r="O7" s="13"/>
      <c r="P7" s="13"/>
      <c r="Q7" s="61"/>
      <c r="R7" s="61"/>
      <c r="T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05:03:34-0600',mode:absolute,to:'2016-06-15 05:50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7" s="73" t="str">
        <f t="shared" si="15"/>
        <v>N</v>
      </c>
      <c r="V7" s="73">
        <f t="shared" si="4"/>
        <v>2</v>
      </c>
      <c r="W7" s="73">
        <f t="shared" si="16"/>
        <v>23.297599999999999</v>
      </c>
      <c r="X7" s="73">
        <f t="shared" si="17"/>
        <v>1.89E-2</v>
      </c>
      <c r="Y7" s="73">
        <f t="shared" si="18"/>
        <v>23.278700000000001</v>
      </c>
      <c r="Z7" s="74">
        <f>VLOOKUP(A7,Enforcements!$C$19:$J$57,8,0)</f>
        <v>1</v>
      </c>
      <c r="AA7" s="74" t="str">
        <f>VLOOKUP(A7,Enforcements!$C$19:$J$57,3,0)</f>
        <v>TRACK WARRANT AUTHORITY</v>
      </c>
    </row>
    <row r="8" spans="1:89" s="2" customFormat="1" x14ac:dyDescent="0.25">
      <c r="A8" s="60" t="s">
        <v>451</v>
      </c>
      <c r="B8" s="60">
        <v>4026</v>
      </c>
      <c r="C8" s="60" t="s">
        <v>62</v>
      </c>
      <c r="D8" s="60" t="s">
        <v>291</v>
      </c>
      <c r="E8" s="30">
        <v>42536.220775462964</v>
      </c>
      <c r="F8" s="30">
        <v>42536.222337962965</v>
      </c>
      <c r="G8" s="38">
        <v>2</v>
      </c>
      <c r="H8" s="30" t="s">
        <v>98</v>
      </c>
      <c r="I8" s="30">
        <v>42536.252789351849</v>
      </c>
      <c r="J8" s="60">
        <v>0</v>
      </c>
      <c r="K8" s="60" t="str">
        <f t="shared" si="0"/>
        <v>4025/4026</v>
      </c>
      <c r="L8" s="60" t="str">
        <f>VLOOKUP(A8,'Trips&amp;Operators'!$C$1:$E$10000,3,FALSE)</f>
        <v>YANAI</v>
      </c>
      <c r="M8" s="12">
        <f t="shared" si="1"/>
        <v>3.0451388884102926E-2</v>
      </c>
      <c r="N8" s="13">
        <f t="shared" si="13"/>
        <v>43.849999993108213</v>
      </c>
      <c r="O8" s="13"/>
      <c r="P8" s="13"/>
      <c r="Q8" s="61"/>
      <c r="R8" s="61"/>
      <c r="T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05:16:55-0600',mode:absolute,to:'2016-06-15 06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8" s="73" t="str">
        <f t="shared" si="15"/>
        <v>N</v>
      </c>
      <c r="V8" s="73">
        <f t="shared" si="4"/>
        <v>2</v>
      </c>
      <c r="W8" s="73">
        <f t="shared" si="16"/>
        <v>23.2986</v>
      </c>
      <c r="X8" s="73">
        <f t="shared" si="17"/>
        <v>1.54E-2</v>
      </c>
      <c r="Y8" s="73">
        <f t="shared" si="18"/>
        <v>23.283200000000001</v>
      </c>
      <c r="Z8" s="74" t="e">
        <f>VLOOKUP(A8,Enforcements!$C$19:$J$57,8,0)</f>
        <v>#N/A</v>
      </c>
      <c r="AA8" s="74" t="e">
        <f>VLOOKUP(A8,Enforcements!$C$19:$J$57,3,0)</f>
        <v>#N/A</v>
      </c>
    </row>
    <row r="9" spans="1:89" s="2" customFormat="1" x14ac:dyDescent="0.25">
      <c r="A9" s="60" t="s">
        <v>449</v>
      </c>
      <c r="B9" s="60">
        <v>4020</v>
      </c>
      <c r="C9" s="60" t="s">
        <v>62</v>
      </c>
      <c r="D9" s="60" t="s">
        <v>477</v>
      </c>
      <c r="E9" s="30">
        <v>42536.191250000003</v>
      </c>
      <c r="F9" s="30">
        <v>42536.192627314813</v>
      </c>
      <c r="G9" s="38">
        <v>1</v>
      </c>
      <c r="H9" s="30" t="s">
        <v>324</v>
      </c>
      <c r="I9" s="30">
        <v>42536.223437499997</v>
      </c>
      <c r="J9" s="60">
        <v>0</v>
      </c>
      <c r="K9" s="60" t="str">
        <f t="shared" si="0"/>
        <v>4019/4020</v>
      </c>
      <c r="L9" s="60" t="str">
        <f>VLOOKUP(A9,'Trips&amp;Operators'!$C$1:$E$10000,3,FALSE)</f>
        <v>ACKERMAN</v>
      </c>
      <c r="M9" s="12">
        <f t="shared" si="1"/>
        <v>3.0810185184236616E-2</v>
      </c>
      <c r="N9" s="13">
        <f t="shared" si="13"/>
        <v>44.366666665300727</v>
      </c>
      <c r="O9" s="13"/>
      <c r="P9" s="13"/>
      <c r="Q9" s="61"/>
      <c r="R9" s="61"/>
      <c r="T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04:34:24-0600',mode:absolute,to:'2016-06-15 05:22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" s="73" t="str">
        <f t="shared" si="15"/>
        <v>N</v>
      </c>
      <c r="V9" s="73">
        <f t="shared" si="4"/>
        <v>1</v>
      </c>
      <c r="W9" s="73">
        <f t="shared" si="16"/>
        <v>7.2400000000000006E-2</v>
      </c>
      <c r="X9" s="73">
        <f t="shared" si="17"/>
        <v>23.329699999999999</v>
      </c>
      <c r="Y9" s="73">
        <f t="shared" si="18"/>
        <v>23.257300000000001</v>
      </c>
      <c r="Z9" s="74" t="e">
        <f>VLOOKUP(A9,Enforcements!$C$19:$J$57,8,0)</f>
        <v>#N/A</v>
      </c>
      <c r="AA9" s="74" t="e">
        <f>VLOOKUP(A9,Enforcements!$C$19:$J$57,3,0)</f>
        <v>#N/A</v>
      </c>
    </row>
    <row r="10" spans="1:89" s="2" customFormat="1" x14ac:dyDescent="0.25">
      <c r="A10" s="60" t="s">
        <v>367</v>
      </c>
      <c r="B10" s="60">
        <v>4019</v>
      </c>
      <c r="C10" s="60" t="s">
        <v>62</v>
      </c>
      <c r="D10" s="60" t="s">
        <v>478</v>
      </c>
      <c r="E10" s="30">
        <v>42536.232708333337</v>
      </c>
      <c r="F10" s="30">
        <v>42536.233599537038</v>
      </c>
      <c r="G10" s="38">
        <v>1</v>
      </c>
      <c r="H10" s="30" t="s">
        <v>89</v>
      </c>
      <c r="I10" s="30">
        <v>42536.263796296298</v>
      </c>
      <c r="J10" s="60">
        <v>1</v>
      </c>
      <c r="K10" s="60" t="str">
        <f t="shared" si="0"/>
        <v>4019/4020</v>
      </c>
      <c r="L10" s="60" t="str">
        <f>VLOOKUP(A10,'Trips&amp;Operators'!$C$1:$E$10000,3,FALSE)</f>
        <v>ACKERMAN</v>
      </c>
      <c r="M10" s="12">
        <f t="shared" si="1"/>
        <v>3.0196759260434192E-2</v>
      </c>
      <c r="N10" s="13">
        <f t="shared" si="13"/>
        <v>43.483333335025236</v>
      </c>
      <c r="O10" s="13"/>
      <c r="P10" s="13"/>
      <c r="Q10" s="61"/>
      <c r="R10" s="61"/>
      <c r="T1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05:34:06-0600',mode:absolute,to:'2016-06-15 06:20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" s="73" t="str">
        <f t="shared" si="15"/>
        <v>N</v>
      </c>
      <c r="V10" s="73">
        <f t="shared" si="4"/>
        <v>1</v>
      </c>
      <c r="W10" s="73">
        <f t="shared" si="16"/>
        <v>23.297899999999998</v>
      </c>
      <c r="X10" s="73">
        <f t="shared" si="17"/>
        <v>1.49E-2</v>
      </c>
      <c r="Y10" s="73">
        <f t="shared" si="18"/>
        <v>23.282999999999998</v>
      </c>
      <c r="Z10" s="74">
        <f>VLOOKUP(A10,Enforcements!$C$19:$J$57,8,0)</f>
        <v>1</v>
      </c>
      <c r="AA10" s="74" t="str">
        <f>VLOOKUP(A10,Enforcements!$C$19:$J$57,3,0)</f>
        <v>TRACK WARRANT AUTHORITY</v>
      </c>
    </row>
    <row r="11" spans="1:89" s="2" customFormat="1" x14ac:dyDescent="0.25">
      <c r="A11" s="60" t="s">
        <v>353</v>
      </c>
      <c r="B11" s="60">
        <v>4024</v>
      </c>
      <c r="C11" s="60" t="s">
        <v>62</v>
      </c>
      <c r="D11" s="60" t="s">
        <v>479</v>
      </c>
      <c r="E11" s="30">
        <v>42536.192291666666</v>
      </c>
      <c r="F11" s="30">
        <v>42536.193344907406</v>
      </c>
      <c r="G11" s="38">
        <v>1</v>
      </c>
      <c r="H11" s="30" t="s">
        <v>101</v>
      </c>
      <c r="I11" s="30">
        <v>42536.232951388891</v>
      </c>
      <c r="J11" s="60">
        <v>1</v>
      </c>
      <c r="K11" s="60" t="str">
        <f t="shared" si="0"/>
        <v>4023/4024</v>
      </c>
      <c r="L11" s="60" t="str">
        <f>VLOOKUP(A11,'Trips&amp;Operators'!$C$1:$E$10000,3,FALSE)</f>
        <v>BRANNON</v>
      </c>
      <c r="M11" s="12">
        <f t="shared" si="1"/>
        <v>3.9606481484952383E-2</v>
      </c>
      <c r="N11" s="13">
        <f t="shared" si="13"/>
        <v>57.033333338331431</v>
      </c>
      <c r="O11" s="13"/>
      <c r="P11" s="13"/>
      <c r="Q11" s="61"/>
      <c r="R11" s="61"/>
      <c r="T1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04:35:54-0600',mode:absolute,to:'2016-06-15 05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" s="73" t="str">
        <f t="shared" si="15"/>
        <v>N</v>
      </c>
      <c r="V11" s="73">
        <f t="shared" si="4"/>
        <v>1</v>
      </c>
      <c r="W11" s="73">
        <f t="shared" si="16"/>
        <v>4.02E-2</v>
      </c>
      <c r="X11" s="73">
        <f t="shared" si="17"/>
        <v>23.329899999999999</v>
      </c>
      <c r="Y11" s="73">
        <f t="shared" si="18"/>
        <v>23.2897</v>
      </c>
      <c r="Z11" s="74">
        <f>VLOOKUP(A11,Enforcements!$C$19:$J$57,8,0)</f>
        <v>233491</v>
      </c>
      <c r="AA11" s="74" t="str">
        <f>VLOOKUP(A11,Enforcements!$C$19:$J$57,3,0)</f>
        <v>TRACK WARRANT AUTHORITY</v>
      </c>
    </row>
    <row r="12" spans="1:89" s="2" customFormat="1" x14ac:dyDescent="0.25">
      <c r="A12" s="60" t="s">
        <v>369</v>
      </c>
      <c r="B12" s="60">
        <v>4023</v>
      </c>
      <c r="C12" s="60" t="s">
        <v>62</v>
      </c>
      <c r="D12" s="60" t="s">
        <v>66</v>
      </c>
      <c r="E12" s="30">
        <v>42536.242743055554</v>
      </c>
      <c r="F12" s="30">
        <v>42536.243784722225</v>
      </c>
      <c r="G12" s="38">
        <v>1</v>
      </c>
      <c r="H12" s="30" t="s">
        <v>73</v>
      </c>
      <c r="I12" s="30">
        <v>42536.275104166663</v>
      </c>
      <c r="J12" s="60">
        <v>0</v>
      </c>
      <c r="K12" s="60" t="str">
        <f t="shared" si="0"/>
        <v>4023/4024</v>
      </c>
      <c r="L12" s="60" t="str">
        <f>VLOOKUP(A12,'Trips&amp;Operators'!$C$1:$E$10000,3,FALSE)</f>
        <v>BRANNON</v>
      </c>
      <c r="M12" s="12">
        <f t="shared" si="1"/>
        <v>3.1319444438850041E-2</v>
      </c>
      <c r="N12" s="13">
        <f t="shared" si="13"/>
        <v>45.09999999194406</v>
      </c>
      <c r="O12" s="13"/>
      <c r="P12" s="13"/>
      <c r="Q12" s="61"/>
      <c r="R12" s="61"/>
      <c r="T1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05:48:33-0600',mode:absolute,to:'2016-06-15 06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" s="73" t="str">
        <f t="shared" si="15"/>
        <v>N</v>
      </c>
      <c r="V12" s="73">
        <f t="shared" si="4"/>
        <v>1</v>
      </c>
      <c r="W12" s="73">
        <f t="shared" si="16"/>
        <v>23.299399999999999</v>
      </c>
      <c r="X12" s="73">
        <f t="shared" si="17"/>
        <v>1.47E-2</v>
      </c>
      <c r="Y12" s="73">
        <f t="shared" si="18"/>
        <v>23.284699999999997</v>
      </c>
      <c r="Z12" s="74" t="e">
        <f>VLOOKUP(A12,Enforcements!$C$19:$J$57,8,0)</f>
        <v>#N/A</v>
      </c>
      <c r="AA12" s="74" t="e">
        <f>VLOOKUP(A12,Enforcements!$C$19:$J$57,3,0)</f>
        <v>#N/A</v>
      </c>
    </row>
    <row r="13" spans="1:89" s="2" customFormat="1" x14ac:dyDescent="0.25">
      <c r="A13" s="60" t="s">
        <v>427</v>
      </c>
      <c r="B13" s="60">
        <v>4031</v>
      </c>
      <c r="C13" s="60" t="s">
        <v>62</v>
      </c>
      <c r="D13" s="60" t="s">
        <v>293</v>
      </c>
      <c r="E13" s="30">
        <v>42536.215613425928</v>
      </c>
      <c r="F13" s="30">
        <v>42536.216689814813</v>
      </c>
      <c r="G13" s="38">
        <v>1</v>
      </c>
      <c r="H13" s="30" t="s">
        <v>106</v>
      </c>
      <c r="I13" s="30">
        <v>42536.244803240741</v>
      </c>
      <c r="J13" s="60">
        <v>0</v>
      </c>
      <c r="K13" s="60" t="str">
        <f t="shared" si="0"/>
        <v>4031/4032</v>
      </c>
      <c r="L13" s="60" t="str">
        <f>VLOOKUP(A13,'Trips&amp;Operators'!$C$1:$E$10000,3,FALSE)</f>
        <v>YORK</v>
      </c>
      <c r="M13" s="12">
        <f t="shared" si="1"/>
        <v>2.8113425927585922E-2</v>
      </c>
      <c r="N13" s="13">
        <f t="shared" si="13"/>
        <v>40.483333335723728</v>
      </c>
      <c r="O13" s="13"/>
      <c r="P13" s="13"/>
      <c r="Q13" s="61"/>
      <c r="R13" s="61"/>
      <c r="T1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05:09:29-0600',mode:absolute,to:'2016-06-15 05:53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" s="73" t="str">
        <f t="shared" si="15"/>
        <v>N</v>
      </c>
      <c r="V13" s="73">
        <f t="shared" si="4"/>
        <v>1</v>
      </c>
      <c r="W13" s="73">
        <f t="shared" si="16"/>
        <v>4.4400000000000002E-2</v>
      </c>
      <c r="X13" s="73">
        <f t="shared" si="17"/>
        <v>23.329799999999999</v>
      </c>
      <c r="Y13" s="73">
        <f t="shared" si="18"/>
        <v>23.285399999999999</v>
      </c>
      <c r="Z13" s="74" t="e">
        <f>VLOOKUP(A13,Enforcements!$C$19:$J$57,8,0)</f>
        <v>#N/A</v>
      </c>
      <c r="AA13" s="74" t="e">
        <f>VLOOKUP(A13,Enforcements!$C$19:$J$57,3,0)</f>
        <v>#N/A</v>
      </c>
    </row>
    <row r="14" spans="1:89" s="2" customFormat="1" x14ac:dyDescent="0.25">
      <c r="A14" s="60" t="s">
        <v>424</v>
      </c>
      <c r="B14" s="60">
        <v>4032</v>
      </c>
      <c r="C14" s="60" t="s">
        <v>62</v>
      </c>
      <c r="D14" s="60" t="s">
        <v>269</v>
      </c>
      <c r="E14" s="30">
        <v>42536.249606481484</v>
      </c>
      <c r="F14" s="30">
        <v>42536.250914351855</v>
      </c>
      <c r="G14" s="38">
        <v>1</v>
      </c>
      <c r="H14" s="30" t="s">
        <v>480</v>
      </c>
      <c r="I14" s="30">
        <v>42536.284317129626</v>
      </c>
      <c r="J14" s="60">
        <v>0</v>
      </c>
      <c r="K14" s="60" t="str">
        <f t="shared" si="0"/>
        <v>4031/4032</v>
      </c>
      <c r="L14" s="60" t="str">
        <f>VLOOKUP(A14,'Trips&amp;Operators'!$C$1:$E$10000,3,FALSE)</f>
        <v>YORK</v>
      </c>
      <c r="M14" s="12">
        <f t="shared" si="1"/>
        <v>3.3402777771698311E-2</v>
      </c>
      <c r="N14" s="13">
        <f t="shared" si="13"/>
        <v>48.099999991245568</v>
      </c>
      <c r="O14" s="13"/>
      <c r="P14" s="13"/>
      <c r="Q14" s="61"/>
      <c r="R14" s="61"/>
      <c r="T1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05:58:26-0600',mode:absolute,to:'2016-06-15 06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4" s="73" t="str">
        <f t="shared" si="15"/>
        <v>N</v>
      </c>
      <c r="V14" s="73">
        <f t="shared" si="4"/>
        <v>1</v>
      </c>
      <c r="W14" s="73">
        <f t="shared" si="16"/>
        <v>23.2987</v>
      </c>
      <c r="X14" s="73">
        <f t="shared" si="17"/>
        <v>1.32E-2</v>
      </c>
      <c r="Y14" s="73">
        <f t="shared" si="18"/>
        <v>23.285499999999999</v>
      </c>
      <c r="Z14" s="74" t="e">
        <f>VLOOKUP(A14,Enforcements!$C$19:$J$57,8,0)</f>
        <v>#N/A</v>
      </c>
      <c r="AA14" s="74" t="e">
        <f>VLOOKUP(A14,Enforcements!$C$19:$J$57,3,0)</f>
        <v>#N/A</v>
      </c>
    </row>
    <row r="15" spans="1:89" s="2" customFormat="1" x14ac:dyDescent="0.25">
      <c r="A15" s="60" t="s">
        <v>465</v>
      </c>
      <c r="B15" s="60">
        <v>4018</v>
      </c>
      <c r="C15" s="60" t="s">
        <v>62</v>
      </c>
      <c r="D15" s="60" t="s">
        <v>481</v>
      </c>
      <c r="E15" s="30">
        <v>42536.225891203707</v>
      </c>
      <c r="F15" s="30">
        <v>42536.227152777778</v>
      </c>
      <c r="G15" s="38">
        <v>1</v>
      </c>
      <c r="H15" s="30" t="s">
        <v>318</v>
      </c>
      <c r="I15" s="30">
        <v>42536.254479166666</v>
      </c>
      <c r="J15" s="60">
        <v>1</v>
      </c>
      <c r="K15" s="60" t="str">
        <f t="shared" si="0"/>
        <v>4017/4018</v>
      </c>
      <c r="L15" s="60" t="str">
        <f>VLOOKUP(A15,'Trips&amp;Operators'!$C$1:$E$10000,3,FALSE)</f>
        <v>ROCHA</v>
      </c>
      <c r="M15" s="12">
        <f t="shared" si="1"/>
        <v>2.73263888884685E-2</v>
      </c>
      <c r="N15" s="13">
        <f t="shared" si="13"/>
        <v>39.34999999939464</v>
      </c>
      <c r="O15" s="13"/>
      <c r="P15" s="13"/>
      <c r="Q15" s="61"/>
      <c r="R15" s="61"/>
      <c r="T1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05:24:17-0600',mode:absolute,to:'2016-06-15 06:07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5" s="73" t="str">
        <f t="shared" si="15"/>
        <v>N</v>
      </c>
      <c r="V15" s="73">
        <f t="shared" si="4"/>
        <v>1</v>
      </c>
      <c r="W15" s="73">
        <f t="shared" si="16"/>
        <v>7.2800000000000004E-2</v>
      </c>
      <c r="X15" s="73">
        <f t="shared" si="17"/>
        <v>23.3309</v>
      </c>
      <c r="Y15" s="73">
        <f t="shared" si="18"/>
        <v>23.258099999999999</v>
      </c>
      <c r="Z15" s="74">
        <f>VLOOKUP(A15,Enforcements!$C$19:$J$57,8,0)</f>
        <v>233491</v>
      </c>
      <c r="AA15" s="74" t="str">
        <f>VLOOKUP(A15,Enforcements!$C$19:$J$57,3,0)</f>
        <v>TRACK WARRANT AUTHORITY</v>
      </c>
    </row>
    <row r="16" spans="1:89" s="2" customFormat="1" x14ac:dyDescent="0.25">
      <c r="A16" s="60" t="s">
        <v>371</v>
      </c>
      <c r="B16" s="60">
        <v>4017</v>
      </c>
      <c r="C16" s="60" t="s">
        <v>62</v>
      </c>
      <c r="D16" s="60" t="s">
        <v>482</v>
      </c>
      <c r="E16" s="30">
        <v>42536.264861111114</v>
      </c>
      <c r="F16" s="30">
        <v>42536.265706018516</v>
      </c>
      <c r="G16" s="38">
        <v>1</v>
      </c>
      <c r="H16" s="30" t="s">
        <v>89</v>
      </c>
      <c r="I16" s="30">
        <v>42536.294942129629</v>
      </c>
      <c r="J16" s="60">
        <v>1</v>
      </c>
      <c r="K16" s="60" t="str">
        <f t="shared" si="0"/>
        <v>4017/4018</v>
      </c>
      <c r="L16" s="60" t="str">
        <f>VLOOKUP(A16,'Trips&amp;Operators'!$C$1:$E$10000,3,FALSE)</f>
        <v>ROCHA</v>
      </c>
      <c r="M16" s="12">
        <f t="shared" si="1"/>
        <v>2.923611111327773E-2</v>
      </c>
      <c r="N16" s="13">
        <f t="shared" si="13"/>
        <v>42.100000003119931</v>
      </c>
      <c r="O16" s="13"/>
      <c r="P16" s="13"/>
      <c r="Q16" s="61"/>
      <c r="R16" s="61"/>
      <c r="T1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06:20:24-0600',mode:absolute,to:'2016-06-15 07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6" s="73" t="str">
        <f t="shared" si="15"/>
        <v>N</v>
      </c>
      <c r="V16" s="73">
        <f t="shared" si="4"/>
        <v>1</v>
      </c>
      <c r="W16" s="73">
        <f t="shared" si="16"/>
        <v>23.2973</v>
      </c>
      <c r="X16" s="73">
        <f t="shared" si="17"/>
        <v>1.49E-2</v>
      </c>
      <c r="Y16" s="73">
        <f t="shared" si="18"/>
        <v>23.282399999999999</v>
      </c>
      <c r="Z16" s="74">
        <f>VLOOKUP(A16,Enforcements!$C$19:$J$57,8,0)</f>
        <v>1</v>
      </c>
      <c r="AA16" s="74" t="str">
        <f>VLOOKUP(A16,Enforcements!$C$19:$J$57,3,0)</f>
        <v>TRACK WARRANT AUTHORITY</v>
      </c>
    </row>
    <row r="17" spans="1:27" s="2" customFormat="1" x14ac:dyDescent="0.25">
      <c r="A17" s="60" t="s">
        <v>333</v>
      </c>
      <c r="B17" s="60">
        <v>4040</v>
      </c>
      <c r="C17" s="60" t="s">
        <v>62</v>
      </c>
      <c r="D17" s="60" t="s">
        <v>483</v>
      </c>
      <c r="E17" s="30">
        <v>42536.23369212963</v>
      </c>
      <c r="F17" s="30">
        <v>42536.234907407408</v>
      </c>
      <c r="G17" s="38">
        <v>1</v>
      </c>
      <c r="H17" s="30" t="s">
        <v>484</v>
      </c>
      <c r="I17" s="30">
        <v>42536.266770833332</v>
      </c>
      <c r="J17" s="60">
        <v>1</v>
      </c>
      <c r="K17" s="60" t="str">
        <f t="shared" si="0"/>
        <v>4039/4040</v>
      </c>
      <c r="L17" s="60" t="str">
        <f>VLOOKUP(A17,'Trips&amp;Operators'!$C$1:$E$10000,3,FALSE)</f>
        <v>STARKS</v>
      </c>
      <c r="M17" s="12">
        <f t="shared" si="1"/>
        <v>3.1863425923802424E-2</v>
      </c>
      <c r="N17" s="13">
        <f t="shared" si="13"/>
        <v>45.883333330275491</v>
      </c>
      <c r="O17" s="13"/>
      <c r="P17" s="13"/>
      <c r="Q17" s="61"/>
      <c r="R17" s="61"/>
      <c r="T1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05:35:31-0600',mode:absolute,to:'2016-06-15 06:25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7" s="73" t="str">
        <f t="shared" si="15"/>
        <v>N</v>
      </c>
      <c r="V17" s="73">
        <f t="shared" si="4"/>
        <v>1</v>
      </c>
      <c r="W17" s="73">
        <f t="shared" si="16"/>
        <v>4.4200000000000003E-2</v>
      </c>
      <c r="X17" s="73">
        <f t="shared" si="17"/>
        <v>23.334199999999999</v>
      </c>
      <c r="Y17" s="73">
        <f t="shared" si="18"/>
        <v>23.29</v>
      </c>
      <c r="Z17" s="74" t="e">
        <f>VLOOKUP(A17,Enforcements!$C$19:$J$57,8,0)</f>
        <v>#N/A</v>
      </c>
      <c r="AA17" s="74" t="e">
        <f>VLOOKUP(A17,Enforcements!$C$19:$J$57,3,0)</f>
        <v>#N/A</v>
      </c>
    </row>
    <row r="18" spans="1:27" s="2" customFormat="1" x14ac:dyDescent="0.25">
      <c r="A18" s="60" t="s">
        <v>429</v>
      </c>
      <c r="B18" s="60">
        <v>4039</v>
      </c>
      <c r="C18" s="60" t="s">
        <v>62</v>
      </c>
      <c r="D18" s="60" t="s">
        <v>485</v>
      </c>
      <c r="E18" s="30">
        <v>42536.276354166665</v>
      </c>
      <c r="F18" s="30">
        <v>42536.277407407404</v>
      </c>
      <c r="G18" s="38">
        <v>1</v>
      </c>
      <c r="H18" s="30" t="s">
        <v>486</v>
      </c>
      <c r="I18" s="30">
        <v>42536.307430555556</v>
      </c>
      <c r="J18" s="60">
        <v>0</v>
      </c>
      <c r="K18" s="60" t="str">
        <f t="shared" si="0"/>
        <v>4039/4040</v>
      </c>
      <c r="L18" s="60" t="str">
        <f>VLOOKUP(A18,'Trips&amp;Operators'!$C$1:$E$10000,3,FALSE)</f>
        <v>STARKS</v>
      </c>
      <c r="M18" s="12">
        <f t="shared" si="1"/>
        <v>3.0023148152395152E-2</v>
      </c>
      <c r="N18" s="13">
        <f t="shared" si="13"/>
        <v>43.233333339449018</v>
      </c>
      <c r="O18" s="13"/>
      <c r="P18" s="13"/>
      <c r="Q18" s="61"/>
      <c r="R18" s="61"/>
      <c r="T1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06:36:57-0600',mode:absolute,to:'2016-06-15 07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8" s="73" t="str">
        <f t="shared" si="15"/>
        <v>N</v>
      </c>
      <c r="V18" s="73">
        <f t="shared" si="4"/>
        <v>1</v>
      </c>
      <c r="W18" s="73">
        <f t="shared" si="16"/>
        <v>23.303999999999998</v>
      </c>
      <c r="X18" s="73">
        <f t="shared" si="17"/>
        <v>1.09E-2</v>
      </c>
      <c r="Y18" s="73">
        <f t="shared" si="18"/>
        <v>23.293099999999999</v>
      </c>
      <c r="Z18" s="74" t="e">
        <f>VLOOKUP(A18,Enforcements!$C$19:$J$57,8,0)</f>
        <v>#N/A</v>
      </c>
      <c r="AA18" s="74" t="e">
        <f>VLOOKUP(A18,Enforcements!$C$19:$J$57,3,0)</f>
        <v>#N/A</v>
      </c>
    </row>
    <row r="19" spans="1:27" s="2" customFormat="1" x14ac:dyDescent="0.25">
      <c r="A19" s="60" t="s">
        <v>426</v>
      </c>
      <c r="B19" s="60">
        <v>4029</v>
      </c>
      <c r="C19" s="60" t="s">
        <v>62</v>
      </c>
      <c r="D19" s="60" t="s">
        <v>487</v>
      </c>
      <c r="E19" s="30">
        <v>42536.247048611112</v>
      </c>
      <c r="F19" s="30">
        <v>42536.247893518521</v>
      </c>
      <c r="G19" s="38">
        <v>1</v>
      </c>
      <c r="H19" s="30" t="s">
        <v>488</v>
      </c>
      <c r="I19" s="30">
        <v>42536.276342592595</v>
      </c>
      <c r="J19" s="60">
        <v>0</v>
      </c>
      <c r="K19" s="60" t="str">
        <f t="shared" si="0"/>
        <v>4029/4030</v>
      </c>
      <c r="L19" s="60" t="str">
        <f>VLOOKUP(A19,'Trips&amp;Operators'!$C$1:$E$10000,3,FALSE)</f>
        <v>GEBRETEKLE</v>
      </c>
      <c r="M19" s="12">
        <f t="shared" si="1"/>
        <v>2.8449074074160308E-2</v>
      </c>
      <c r="N19" s="13">
        <f t="shared" si="13"/>
        <v>40.966666666790843</v>
      </c>
      <c r="O19" s="13"/>
      <c r="P19" s="13"/>
      <c r="Q19" s="61"/>
      <c r="R19" s="61"/>
      <c r="T1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05:54:45-0600',mode:absolute,to:'2016-06-15 06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19" s="73" t="str">
        <f t="shared" si="15"/>
        <v>N</v>
      </c>
      <c r="V19" s="73">
        <f t="shared" si="4"/>
        <v>1</v>
      </c>
      <c r="W19" s="73">
        <f t="shared" si="16"/>
        <v>5.1299999999999998E-2</v>
      </c>
      <c r="X19" s="73">
        <f t="shared" si="17"/>
        <v>23.304400000000001</v>
      </c>
      <c r="Y19" s="73">
        <f t="shared" si="18"/>
        <v>23.2531</v>
      </c>
      <c r="Z19" s="74" t="e">
        <f>VLOOKUP(A19,Enforcements!$C$19:$J$57,8,0)</f>
        <v>#N/A</v>
      </c>
      <c r="AA19" s="74" t="e">
        <f>VLOOKUP(A19,Enforcements!$C$19:$J$57,3,0)</f>
        <v>#N/A</v>
      </c>
    </row>
    <row r="20" spans="1:27" s="2" customFormat="1" x14ac:dyDescent="0.25">
      <c r="A20" s="60" t="s">
        <v>372</v>
      </c>
      <c r="B20" s="60">
        <v>4030</v>
      </c>
      <c r="C20" s="60" t="s">
        <v>62</v>
      </c>
      <c r="D20" s="60" t="s">
        <v>489</v>
      </c>
      <c r="E20" s="30">
        <v>42536.285254629627</v>
      </c>
      <c r="F20" s="30">
        <v>42536.286157407405</v>
      </c>
      <c r="G20" s="38">
        <v>1</v>
      </c>
      <c r="H20" s="30" t="s">
        <v>98</v>
      </c>
      <c r="I20" s="30">
        <v>42536.316400462965</v>
      </c>
      <c r="J20" s="60">
        <v>0</v>
      </c>
      <c r="K20" s="60" t="str">
        <f t="shared" si="0"/>
        <v>4029/4030</v>
      </c>
      <c r="L20" s="60" t="str">
        <f>VLOOKUP(A20,'Trips&amp;Operators'!$C$1:$E$10000,3,FALSE)</f>
        <v>GEBRETEKLE</v>
      </c>
      <c r="M20" s="12">
        <f t="shared" si="1"/>
        <v>3.0243055560276844E-2</v>
      </c>
      <c r="N20" s="13">
        <f t="shared" si="13"/>
        <v>43.550000006798655</v>
      </c>
      <c r="O20" s="13"/>
      <c r="P20" s="13"/>
      <c r="Q20" s="61"/>
      <c r="R20" s="61"/>
      <c r="T2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06:49:46-0600',mode:absolute,to:'2016-06-15 07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20" s="73" t="str">
        <f t="shared" si="15"/>
        <v>N</v>
      </c>
      <c r="V20" s="73">
        <f t="shared" si="4"/>
        <v>1</v>
      </c>
      <c r="W20" s="73">
        <f t="shared" si="16"/>
        <v>23.2882</v>
      </c>
      <c r="X20" s="73">
        <f t="shared" si="17"/>
        <v>1.54E-2</v>
      </c>
      <c r="Y20" s="73">
        <f t="shared" si="18"/>
        <v>23.2728</v>
      </c>
      <c r="Z20" s="74" t="e">
        <f>VLOOKUP(A20,Enforcements!$C$19:$J$57,8,0)</f>
        <v>#N/A</v>
      </c>
      <c r="AA20" s="74" t="e">
        <f>VLOOKUP(A20,Enforcements!$C$19:$J$57,3,0)</f>
        <v>#N/A</v>
      </c>
    </row>
    <row r="21" spans="1:27" s="2" customFormat="1" x14ac:dyDescent="0.25">
      <c r="A21" s="60" t="s">
        <v>423</v>
      </c>
      <c r="B21" s="60">
        <v>4025</v>
      </c>
      <c r="C21" s="60" t="s">
        <v>62</v>
      </c>
      <c r="D21" s="60" t="s">
        <v>85</v>
      </c>
      <c r="E21" s="30">
        <v>42536.256145833337</v>
      </c>
      <c r="F21" s="30">
        <v>42536.257303240738</v>
      </c>
      <c r="G21" s="38">
        <v>1</v>
      </c>
      <c r="H21" s="30" t="s">
        <v>327</v>
      </c>
      <c r="I21" s="30">
        <v>42536.286712962959</v>
      </c>
      <c r="J21" s="60">
        <v>0</v>
      </c>
      <c r="K21" s="60" t="str">
        <f t="shared" si="0"/>
        <v>4025/4026</v>
      </c>
      <c r="L21" s="60" t="str">
        <f>VLOOKUP(A21,'Trips&amp;Operators'!$C$1:$E$10000,3,FALSE)</f>
        <v>YANAI</v>
      </c>
      <c r="M21" s="12">
        <f t="shared" si="1"/>
        <v>2.940972222131677E-2</v>
      </c>
      <c r="N21" s="13">
        <f t="shared" si="13"/>
        <v>42.349999998696148</v>
      </c>
      <c r="O21" s="13"/>
      <c r="P21" s="13"/>
      <c r="Q21" s="61"/>
      <c r="R21" s="61"/>
      <c r="T2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06:07:51-0600',mode:absolute,to:'2016-06-15 06:53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1" s="73" t="str">
        <f t="shared" si="15"/>
        <v>N</v>
      </c>
      <c r="V21" s="73">
        <f t="shared" si="4"/>
        <v>1</v>
      </c>
      <c r="W21" s="73">
        <f t="shared" si="16"/>
        <v>4.5699999999999998E-2</v>
      </c>
      <c r="X21" s="73">
        <f t="shared" si="17"/>
        <v>23.327200000000001</v>
      </c>
      <c r="Y21" s="73">
        <f t="shared" si="18"/>
        <v>23.281500000000001</v>
      </c>
      <c r="Z21" s="74" t="e">
        <f>VLOOKUP(A21,Enforcements!$C$19:$J$57,8,0)</f>
        <v>#N/A</v>
      </c>
      <c r="AA21" s="74" t="e">
        <f>VLOOKUP(A21,Enforcements!$C$19:$J$57,3,0)</f>
        <v>#N/A</v>
      </c>
    </row>
    <row r="22" spans="1:27" s="2" customFormat="1" x14ac:dyDescent="0.25">
      <c r="A22" s="60" t="s">
        <v>452</v>
      </c>
      <c r="B22" s="60">
        <v>4026</v>
      </c>
      <c r="C22" s="60" t="s">
        <v>62</v>
      </c>
      <c r="D22" s="60" t="s">
        <v>288</v>
      </c>
      <c r="E22" s="30">
        <v>42536.295266203706</v>
      </c>
      <c r="F22" s="30">
        <v>42536.297013888892</v>
      </c>
      <c r="G22" s="38">
        <v>2</v>
      </c>
      <c r="H22" s="30" t="s">
        <v>87</v>
      </c>
      <c r="I22" s="30">
        <v>42536.32613425926</v>
      </c>
      <c r="J22" s="60">
        <v>0</v>
      </c>
      <c r="K22" s="60" t="str">
        <f t="shared" si="0"/>
        <v>4025/4026</v>
      </c>
      <c r="L22" s="60" t="str">
        <f>VLOOKUP(A22,'Trips&amp;Operators'!$C$1:$E$10000,3,FALSE)</f>
        <v>YANAI</v>
      </c>
      <c r="M22" s="12">
        <f t="shared" si="1"/>
        <v>2.9120370367309079E-2</v>
      </c>
      <c r="N22" s="13">
        <f t="shared" si="13"/>
        <v>41.933333328925073</v>
      </c>
      <c r="O22" s="13"/>
      <c r="P22" s="13"/>
      <c r="Q22" s="61"/>
      <c r="R22" s="61"/>
      <c r="T2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07:04:11-0600',mode:absolute,to:'2016-06-15 07:50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2" s="73" t="str">
        <f t="shared" si="15"/>
        <v>N</v>
      </c>
      <c r="V22" s="73">
        <f t="shared" si="4"/>
        <v>1</v>
      </c>
      <c r="W22" s="73">
        <f t="shared" si="16"/>
        <v>23.295500000000001</v>
      </c>
      <c r="X22" s="73">
        <f t="shared" si="17"/>
        <v>1.41E-2</v>
      </c>
      <c r="Y22" s="73">
        <f t="shared" si="18"/>
        <v>23.281400000000001</v>
      </c>
      <c r="Z22" s="74" t="e">
        <f>VLOOKUP(A22,Enforcements!$C$19:$J$57,8,0)</f>
        <v>#N/A</v>
      </c>
      <c r="AA22" s="74" t="e">
        <f>VLOOKUP(A22,Enforcements!$C$19:$J$57,3,0)</f>
        <v>#N/A</v>
      </c>
    </row>
    <row r="23" spans="1:27" s="2" customFormat="1" x14ac:dyDescent="0.25">
      <c r="A23" s="60" t="s">
        <v>421</v>
      </c>
      <c r="B23" s="60">
        <v>4020</v>
      </c>
      <c r="C23" s="60" t="s">
        <v>62</v>
      </c>
      <c r="D23" s="60" t="s">
        <v>483</v>
      </c>
      <c r="E23" s="30">
        <v>42536.265601851854</v>
      </c>
      <c r="F23" s="30">
        <v>42536.267210648148</v>
      </c>
      <c r="G23" s="38">
        <v>2</v>
      </c>
      <c r="H23" s="30" t="s">
        <v>319</v>
      </c>
      <c r="I23" s="30">
        <v>42536.296087962961</v>
      </c>
      <c r="J23" s="60">
        <v>0</v>
      </c>
      <c r="K23" s="60" t="str">
        <f t="shared" si="0"/>
        <v>4019/4020</v>
      </c>
      <c r="L23" s="60" t="str">
        <f>VLOOKUP(A23,'Trips&amp;Operators'!$C$1:$E$10000,3,FALSE)</f>
        <v>ACKERMAN</v>
      </c>
      <c r="M23" s="12">
        <f t="shared" si="1"/>
        <v>2.8877314813144039E-2</v>
      </c>
      <c r="N23" s="13">
        <f t="shared" si="13"/>
        <v>41.583333330927417</v>
      </c>
      <c r="O23" s="13"/>
      <c r="P23" s="13"/>
      <c r="Q23" s="61"/>
      <c r="R23" s="61"/>
      <c r="T2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06:21:28-0600',mode:absolute,to:'2016-06-15 07:07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3" s="73" t="str">
        <f t="shared" si="15"/>
        <v>N</v>
      </c>
      <c r="V23" s="73">
        <f t="shared" si="4"/>
        <v>1</v>
      </c>
      <c r="W23" s="73">
        <f t="shared" si="16"/>
        <v>4.4200000000000003E-2</v>
      </c>
      <c r="X23" s="73">
        <f t="shared" si="17"/>
        <v>23.330500000000001</v>
      </c>
      <c r="Y23" s="73">
        <f t="shared" si="18"/>
        <v>23.286300000000001</v>
      </c>
      <c r="Z23" s="74" t="e">
        <f>VLOOKUP(A23,Enforcements!$C$19:$J$57,8,0)</f>
        <v>#N/A</v>
      </c>
      <c r="AA23" s="74" t="e">
        <f>VLOOKUP(A23,Enforcements!$C$19:$J$57,3,0)</f>
        <v>#N/A</v>
      </c>
    </row>
    <row r="24" spans="1:27" s="2" customFormat="1" x14ac:dyDescent="0.25">
      <c r="A24" s="60" t="s">
        <v>454</v>
      </c>
      <c r="B24" s="60">
        <v>4019</v>
      </c>
      <c r="C24" s="60" t="s">
        <v>62</v>
      </c>
      <c r="D24" s="60" t="s">
        <v>321</v>
      </c>
      <c r="E24" s="30">
        <v>42536.303877314815</v>
      </c>
      <c r="F24" s="30">
        <v>42536.304710648146</v>
      </c>
      <c r="G24" s="38">
        <v>1</v>
      </c>
      <c r="H24" s="30" t="s">
        <v>490</v>
      </c>
      <c r="I24" s="30">
        <v>42536.336087962962</v>
      </c>
      <c r="J24" s="60">
        <v>1</v>
      </c>
      <c r="K24" s="60" t="str">
        <f t="shared" si="0"/>
        <v>4019/4020</v>
      </c>
      <c r="L24" s="60" t="str">
        <f>VLOOKUP(A24,'Trips&amp;Operators'!$C$1:$E$10000,3,FALSE)</f>
        <v>ACKERMAN</v>
      </c>
      <c r="M24" s="12">
        <f t="shared" si="1"/>
        <v>3.1377314815472346E-2</v>
      </c>
      <c r="N24" s="13">
        <f t="shared" si="13"/>
        <v>45.183333334280178</v>
      </c>
      <c r="O24" s="13"/>
      <c r="P24" s="13"/>
      <c r="Q24" s="61"/>
      <c r="R24" s="61"/>
      <c r="T2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07:16:35-0600',mode:absolute,to:'2016-06-15 08:04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4" s="73" t="str">
        <f t="shared" si="15"/>
        <v>N</v>
      </c>
      <c r="V24" s="73">
        <f t="shared" si="4"/>
        <v>1</v>
      </c>
      <c r="W24" s="73">
        <f t="shared" si="16"/>
        <v>23.297999999999998</v>
      </c>
      <c r="X24" s="73">
        <f t="shared" si="17"/>
        <v>1.7399999999999999E-2</v>
      </c>
      <c r="Y24" s="73">
        <f t="shared" si="18"/>
        <v>23.2806</v>
      </c>
      <c r="Z24" s="74">
        <f>VLOOKUP(A24,Enforcements!$C$19:$J$57,8,0)</f>
        <v>1</v>
      </c>
      <c r="AA24" s="74" t="str">
        <f>VLOOKUP(A24,Enforcements!$C$19:$J$57,3,0)</f>
        <v>TRACK WARRANT AUTHORITY</v>
      </c>
    </row>
    <row r="25" spans="1:27" s="2" customFormat="1" x14ac:dyDescent="0.25">
      <c r="A25" s="60" t="s">
        <v>419</v>
      </c>
      <c r="B25" s="60">
        <v>4024</v>
      </c>
      <c r="C25" s="60" t="s">
        <v>62</v>
      </c>
      <c r="D25" s="60" t="s">
        <v>120</v>
      </c>
      <c r="E25" s="30">
        <v>42536.277650462966</v>
      </c>
      <c r="F25" s="30">
        <v>42536.278553240743</v>
      </c>
      <c r="G25" s="38">
        <v>1</v>
      </c>
      <c r="H25" s="30" t="s">
        <v>491</v>
      </c>
      <c r="I25" s="30">
        <v>42536.307372685187</v>
      </c>
      <c r="J25" s="60">
        <v>0</v>
      </c>
      <c r="K25" s="60" t="str">
        <f t="shared" si="0"/>
        <v>4023/4024</v>
      </c>
      <c r="L25" s="60" t="str">
        <f>VLOOKUP(A25,'Trips&amp;Operators'!$C$1:$E$10000,3,FALSE)</f>
        <v>BRANNON</v>
      </c>
      <c r="M25" s="12">
        <f t="shared" si="1"/>
        <v>2.8819444443797693E-2</v>
      </c>
      <c r="N25" s="13">
        <f t="shared" si="13"/>
        <v>41.499999999068677</v>
      </c>
      <c r="O25" s="13"/>
      <c r="P25" s="13"/>
      <c r="Q25" s="61"/>
      <c r="R25" s="61"/>
      <c r="T2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06:38:49-0600',mode:absolute,to:'2016-06-15 07:23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5" s="73" t="str">
        <f t="shared" si="15"/>
        <v>N</v>
      </c>
      <c r="V25" s="73">
        <f t="shared" si="4"/>
        <v>1</v>
      </c>
      <c r="W25" s="73">
        <f t="shared" si="16"/>
        <v>4.6399999999999997E-2</v>
      </c>
      <c r="X25" s="73">
        <f t="shared" si="17"/>
        <v>23.333400000000001</v>
      </c>
      <c r="Y25" s="73">
        <f t="shared" si="18"/>
        <v>23.287000000000003</v>
      </c>
      <c r="Z25" s="74" t="e">
        <f>VLOOKUP(A25,Enforcements!$C$19:$J$57,8,0)</f>
        <v>#N/A</v>
      </c>
      <c r="AA25" s="74" t="e">
        <f>VLOOKUP(A25,Enforcements!$C$19:$J$57,3,0)</f>
        <v>#N/A</v>
      </c>
    </row>
    <row r="26" spans="1:27" s="2" customFormat="1" x14ac:dyDescent="0.25">
      <c r="A26" s="60" t="s">
        <v>331</v>
      </c>
      <c r="B26" s="60">
        <v>4023</v>
      </c>
      <c r="C26" s="60" t="s">
        <v>62</v>
      </c>
      <c r="D26" s="60" t="s">
        <v>271</v>
      </c>
      <c r="E26" s="30">
        <v>42536.318194444444</v>
      </c>
      <c r="F26" s="30">
        <v>42536.318842592591</v>
      </c>
      <c r="G26" s="38">
        <v>0</v>
      </c>
      <c r="H26" s="30" t="s">
        <v>98</v>
      </c>
      <c r="I26" s="30">
        <v>42536.345856481479</v>
      </c>
      <c r="J26" s="60">
        <v>1</v>
      </c>
      <c r="K26" s="60" t="str">
        <f t="shared" si="0"/>
        <v>4023/4024</v>
      </c>
      <c r="L26" s="60" t="str">
        <f>VLOOKUP(A26,'Trips&amp;Operators'!$C$1:$E$10000,3,FALSE)</f>
        <v>BRANNON</v>
      </c>
      <c r="M26" s="12">
        <f t="shared" si="1"/>
        <v>2.7013888888177462E-2</v>
      </c>
      <c r="N26" s="13">
        <f t="shared" si="13"/>
        <v>38.899999998975545</v>
      </c>
      <c r="O26" s="13"/>
      <c r="P26" s="13"/>
      <c r="Q26" s="61"/>
      <c r="R26" s="61"/>
      <c r="T2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07:37:12-0600',mode:absolute,to:'2016-06-15 08:19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6" s="73" t="str">
        <f t="shared" si="15"/>
        <v>N</v>
      </c>
      <c r="V26" s="73">
        <f t="shared" si="4"/>
        <v>1</v>
      </c>
      <c r="W26" s="73">
        <f t="shared" si="16"/>
        <v>23.3</v>
      </c>
      <c r="X26" s="73">
        <f t="shared" si="17"/>
        <v>1.54E-2</v>
      </c>
      <c r="Y26" s="73">
        <f t="shared" si="18"/>
        <v>23.284600000000001</v>
      </c>
      <c r="Z26" s="74">
        <f>VLOOKUP(A26,Enforcements!$C$19:$J$57,8,0)</f>
        <v>1</v>
      </c>
      <c r="AA26" s="74" t="str">
        <f>VLOOKUP(A26,Enforcements!$C$19:$J$57,3,0)</f>
        <v>TRACK WARRANT AUTHORITY</v>
      </c>
    </row>
    <row r="27" spans="1:27" s="2" customFormat="1" x14ac:dyDescent="0.25">
      <c r="A27" s="60" t="s">
        <v>375</v>
      </c>
      <c r="B27" s="60">
        <v>4031</v>
      </c>
      <c r="C27" s="60" t="s">
        <v>62</v>
      </c>
      <c r="D27" s="60" t="s">
        <v>76</v>
      </c>
      <c r="E27" s="30">
        <v>42536.286585648151</v>
      </c>
      <c r="F27" s="30">
        <v>42536.287465277775</v>
      </c>
      <c r="G27" s="38">
        <v>1</v>
      </c>
      <c r="H27" s="30" t="s">
        <v>326</v>
      </c>
      <c r="I27" s="30">
        <v>42536.316840277781</v>
      </c>
      <c r="J27" s="60">
        <v>0</v>
      </c>
      <c r="K27" s="60" t="str">
        <f t="shared" si="0"/>
        <v>4031/4032</v>
      </c>
      <c r="L27" s="60" t="str">
        <f>VLOOKUP(A27,'Trips&amp;Operators'!$C$1:$E$10000,3,FALSE)</f>
        <v>YORK</v>
      </c>
      <c r="M27" s="12">
        <f t="shared" si="1"/>
        <v>2.9375000005529728E-2</v>
      </c>
      <c r="N27" s="13">
        <f t="shared" si="13"/>
        <v>42.300000007962808</v>
      </c>
      <c r="O27" s="13"/>
      <c r="P27" s="13"/>
      <c r="Q27" s="61"/>
      <c r="R27" s="61"/>
      <c r="T2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06:51:41-0600',mode:absolute,to:'2016-06-15 07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7" s="73" t="str">
        <f t="shared" si="15"/>
        <v>N</v>
      </c>
      <c r="V27" s="73">
        <f t="shared" si="4"/>
        <v>1</v>
      </c>
      <c r="W27" s="73">
        <f t="shared" si="16"/>
        <v>4.5999999999999999E-2</v>
      </c>
      <c r="X27" s="73">
        <f t="shared" si="17"/>
        <v>23.328399999999998</v>
      </c>
      <c r="Y27" s="73">
        <f t="shared" si="18"/>
        <v>23.282399999999999</v>
      </c>
      <c r="Z27" s="74" t="e">
        <f>VLOOKUP(A27,Enforcements!$C$19:$J$57,8,0)</f>
        <v>#N/A</v>
      </c>
      <c r="AA27" s="74" t="e">
        <f>VLOOKUP(A27,Enforcements!$C$19:$J$57,3,0)</f>
        <v>#N/A</v>
      </c>
    </row>
    <row r="28" spans="1:27" s="2" customFormat="1" x14ac:dyDescent="0.25">
      <c r="A28" s="60" t="s">
        <v>416</v>
      </c>
      <c r="B28" s="60">
        <v>4032</v>
      </c>
      <c r="C28" s="60" t="s">
        <v>62</v>
      </c>
      <c r="D28" s="60" t="s">
        <v>119</v>
      </c>
      <c r="E28" s="30">
        <v>42536.324791666666</v>
      </c>
      <c r="F28" s="30">
        <v>42536.325752314813</v>
      </c>
      <c r="G28" s="38">
        <v>1</v>
      </c>
      <c r="H28" s="30" t="s">
        <v>492</v>
      </c>
      <c r="I28" s="30">
        <v>42536.34715277778</v>
      </c>
      <c r="J28" s="60">
        <v>0</v>
      </c>
      <c r="K28" s="60" t="str">
        <f t="shared" si="0"/>
        <v>4031/4032</v>
      </c>
      <c r="L28" s="60" t="str">
        <f>VLOOKUP(A28,'Trips&amp;Operators'!$C$1:$E$10000,3,FALSE)</f>
        <v>YORK</v>
      </c>
      <c r="M28" s="12">
        <f t="shared" si="1"/>
        <v>2.1400462966994382E-2</v>
      </c>
      <c r="N28" s="13"/>
      <c r="O28" s="13"/>
      <c r="P28" s="13">
        <f>24*60*SUM($M28:$M28)</f>
        <v>30.816666672471911</v>
      </c>
      <c r="Q28" s="61"/>
      <c r="R28" s="61" t="s">
        <v>565</v>
      </c>
      <c r="T2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07:46:42-0600',mode:absolute,to:'2016-06-15 08:20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28" s="73" t="str">
        <f t="shared" si="15"/>
        <v>Y</v>
      </c>
      <c r="V28" s="73">
        <f t="shared" si="4"/>
        <v>1</v>
      </c>
      <c r="W28" s="73">
        <f t="shared" si="16"/>
        <v>23.297499999999999</v>
      </c>
      <c r="X28" s="73">
        <f t="shared" si="17"/>
        <v>6.4158999999999997</v>
      </c>
      <c r="Y28" s="73">
        <f t="shared" si="18"/>
        <v>16.881599999999999</v>
      </c>
      <c r="Z28" s="74" t="e">
        <f>VLOOKUP(A28,Enforcements!$C$19:$J$57,8,0)</f>
        <v>#N/A</v>
      </c>
      <c r="AA28" s="74" t="e">
        <f>VLOOKUP(A28,Enforcements!$C$19:$J$57,3,0)</f>
        <v>#N/A</v>
      </c>
    </row>
    <row r="29" spans="1:27" s="2" customFormat="1" x14ac:dyDescent="0.25">
      <c r="A29" s="60" t="s">
        <v>338</v>
      </c>
      <c r="B29" s="60">
        <v>4018</v>
      </c>
      <c r="C29" s="60" t="s">
        <v>62</v>
      </c>
      <c r="D29" s="60" t="s">
        <v>292</v>
      </c>
      <c r="E29" s="30">
        <v>42536.298229166663</v>
      </c>
      <c r="F29" s="30">
        <v>42536.298888888887</v>
      </c>
      <c r="G29" s="38">
        <v>0</v>
      </c>
      <c r="H29" s="30" t="s">
        <v>79</v>
      </c>
      <c r="I29" s="30">
        <v>42536.327280092592</v>
      </c>
      <c r="J29" s="60">
        <v>0</v>
      </c>
      <c r="K29" s="60" t="str">
        <f t="shared" si="0"/>
        <v>4017/4018</v>
      </c>
      <c r="L29" s="60" t="str">
        <f>VLOOKUP(A29,'Trips&amp;Operators'!$C$1:$E$10000,3,FALSE)</f>
        <v>ROCHA</v>
      </c>
      <c r="M29" s="12">
        <f t="shared" si="1"/>
        <v>2.8391203704813961E-2</v>
      </c>
      <c r="N29" s="13">
        <f t="shared" ref="N29:N74" si="19">24*60*SUM($M29:$M29)</f>
        <v>40.883333334932104</v>
      </c>
      <c r="O29" s="13"/>
      <c r="P29" s="13"/>
      <c r="Q29" s="61"/>
      <c r="R29" s="61"/>
      <c r="T2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07:08:27-0600',mode:absolute,to:'2016-06-15 07:52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9" s="73" t="str">
        <f t="shared" si="15"/>
        <v>N</v>
      </c>
      <c r="V29" s="73">
        <f t="shared" si="4"/>
        <v>1</v>
      </c>
      <c r="W29" s="73">
        <f t="shared" si="16"/>
        <v>4.4900000000000002E-2</v>
      </c>
      <c r="X29" s="73">
        <f t="shared" si="17"/>
        <v>23.331399999999999</v>
      </c>
      <c r="Y29" s="73">
        <f t="shared" si="18"/>
        <v>23.2865</v>
      </c>
      <c r="Z29" s="74" t="e">
        <f>VLOOKUP(A29,Enforcements!$C$19:$J$57,8,0)</f>
        <v>#N/A</v>
      </c>
      <c r="AA29" s="74" t="e">
        <f>VLOOKUP(A29,Enforcements!$C$19:$J$57,3,0)</f>
        <v>#N/A</v>
      </c>
    </row>
    <row r="30" spans="1:27" s="2" customFormat="1" x14ac:dyDescent="0.25">
      <c r="A30" s="60" t="s">
        <v>412</v>
      </c>
      <c r="B30" s="60">
        <v>4017</v>
      </c>
      <c r="C30" s="60" t="s">
        <v>62</v>
      </c>
      <c r="D30" s="60" t="s">
        <v>66</v>
      </c>
      <c r="E30" s="30">
        <v>42536.337314814817</v>
      </c>
      <c r="F30" s="30">
        <v>42536.338113425925</v>
      </c>
      <c r="G30" s="38">
        <v>1</v>
      </c>
      <c r="H30" s="30" t="s">
        <v>305</v>
      </c>
      <c r="I30" s="30">
        <v>42536.3671412037</v>
      </c>
      <c r="J30" s="60">
        <v>0</v>
      </c>
      <c r="K30" s="60" t="str">
        <f t="shared" si="0"/>
        <v>4017/4018</v>
      </c>
      <c r="L30" s="60" t="str">
        <f>VLOOKUP(A30,'Trips&amp;Operators'!$C$1:$E$10000,3,FALSE)</f>
        <v>ROCHA</v>
      </c>
      <c r="M30" s="12">
        <f t="shared" si="1"/>
        <v>2.9027777774899732E-2</v>
      </c>
      <c r="N30" s="13">
        <f t="shared" si="19"/>
        <v>41.799999995855615</v>
      </c>
      <c r="O30" s="13"/>
      <c r="P30" s="13"/>
      <c r="Q30" s="61"/>
      <c r="R30" s="61"/>
      <c r="T3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08:04:44-0600',mode:absolute,to:'2016-06-15 08:49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30" s="73" t="str">
        <f t="shared" si="15"/>
        <v>N</v>
      </c>
      <c r="V30" s="73">
        <f t="shared" si="4"/>
        <v>1</v>
      </c>
      <c r="W30" s="73">
        <f t="shared" si="16"/>
        <v>23.299399999999999</v>
      </c>
      <c r="X30" s="73">
        <f t="shared" si="17"/>
        <v>1.38E-2</v>
      </c>
      <c r="Y30" s="73">
        <f t="shared" si="18"/>
        <v>23.285599999999999</v>
      </c>
      <c r="Z30" s="74" t="e">
        <f>VLOOKUP(A30,Enforcements!$C$19:$J$57,8,0)</f>
        <v>#N/A</v>
      </c>
      <c r="AA30" s="74" t="e">
        <f>VLOOKUP(A30,Enforcements!$C$19:$J$57,3,0)</f>
        <v>#N/A</v>
      </c>
    </row>
    <row r="31" spans="1:27" s="2" customFormat="1" x14ac:dyDescent="0.25">
      <c r="A31" s="60" t="s">
        <v>351</v>
      </c>
      <c r="B31" s="60">
        <v>4040</v>
      </c>
      <c r="C31" s="60" t="s">
        <v>62</v>
      </c>
      <c r="D31" s="60" t="s">
        <v>322</v>
      </c>
      <c r="E31" s="30">
        <v>42536.308877314812</v>
      </c>
      <c r="F31" s="30">
        <v>42536.309756944444</v>
      </c>
      <c r="G31" s="38">
        <v>1</v>
      </c>
      <c r="H31" s="30" t="s">
        <v>79</v>
      </c>
      <c r="I31" s="30">
        <v>42536.339120370372</v>
      </c>
      <c r="J31" s="60">
        <v>0</v>
      </c>
      <c r="K31" s="60" t="str">
        <f t="shared" si="0"/>
        <v>4039/4040</v>
      </c>
      <c r="L31" s="60" t="str">
        <f>VLOOKUP(A31,'Trips&amp;Operators'!$C$1:$E$10000,3,FALSE)</f>
        <v>STARKS</v>
      </c>
      <c r="M31" s="12">
        <f t="shared" si="1"/>
        <v>2.9363425928750075E-2</v>
      </c>
      <c r="N31" s="13">
        <f t="shared" si="19"/>
        <v>42.283333337400109</v>
      </c>
      <c r="O31" s="13"/>
      <c r="P31" s="13"/>
      <c r="Q31" s="61"/>
      <c r="R31" s="61"/>
      <c r="T3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07:23:47-0600',mode:absolute,to:'2016-06-15 08:09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1" s="73" t="str">
        <f t="shared" si="15"/>
        <v>N</v>
      </c>
      <c r="V31" s="73">
        <f t="shared" si="4"/>
        <v>1</v>
      </c>
      <c r="W31" s="73">
        <f t="shared" si="16"/>
        <v>3.95E-2</v>
      </c>
      <c r="X31" s="73">
        <f t="shared" si="17"/>
        <v>23.331399999999999</v>
      </c>
      <c r="Y31" s="73">
        <f t="shared" si="18"/>
        <v>23.291899999999998</v>
      </c>
      <c r="Z31" s="74" t="e">
        <f>VLOOKUP(A31,Enforcements!$C$19:$J$57,8,0)</f>
        <v>#N/A</v>
      </c>
      <c r="AA31" s="74" t="e">
        <f>VLOOKUP(A31,Enforcements!$C$19:$J$57,3,0)</f>
        <v>#N/A</v>
      </c>
    </row>
    <row r="32" spans="1:27" s="2" customFormat="1" x14ac:dyDescent="0.25">
      <c r="A32" s="60" t="s">
        <v>441</v>
      </c>
      <c r="B32" s="60">
        <v>4039</v>
      </c>
      <c r="C32" s="60" t="s">
        <v>62</v>
      </c>
      <c r="D32" s="60" t="s">
        <v>493</v>
      </c>
      <c r="E32" s="30">
        <v>42536.347766203704</v>
      </c>
      <c r="F32" s="30">
        <v>42536.34884259259</v>
      </c>
      <c r="G32" s="38">
        <v>1</v>
      </c>
      <c r="H32" s="30" t="s">
        <v>73</v>
      </c>
      <c r="I32" s="30">
        <v>42536.378668981481</v>
      </c>
      <c r="J32" s="60">
        <v>0</v>
      </c>
      <c r="K32" s="60" t="str">
        <f t="shared" si="0"/>
        <v>4039/4040</v>
      </c>
      <c r="L32" s="60" t="str">
        <f>VLOOKUP(A32,'Trips&amp;Operators'!$C$1:$E$10000,3,FALSE)</f>
        <v>STARKS</v>
      </c>
      <c r="M32" s="12">
        <f t="shared" si="1"/>
        <v>2.9826388890796807E-2</v>
      </c>
      <c r="N32" s="13">
        <f t="shared" si="19"/>
        <v>42.950000002747402</v>
      </c>
      <c r="O32" s="13"/>
      <c r="P32" s="13"/>
      <c r="Q32" s="61"/>
      <c r="R32" s="61"/>
      <c r="T3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08:19:47-0600',mode:absolute,to:'2016-06-15 09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2" s="73" t="str">
        <f t="shared" si="15"/>
        <v>N</v>
      </c>
      <c r="V32" s="73">
        <f t="shared" si="4"/>
        <v>1</v>
      </c>
      <c r="W32" s="73">
        <f t="shared" si="16"/>
        <v>23.299800000000001</v>
      </c>
      <c r="X32" s="73">
        <f t="shared" si="17"/>
        <v>1.47E-2</v>
      </c>
      <c r="Y32" s="73">
        <f t="shared" si="18"/>
        <v>23.2851</v>
      </c>
      <c r="Z32" s="74" t="e">
        <f>VLOOKUP(A32,Enforcements!$C$19:$J$57,8,0)</f>
        <v>#N/A</v>
      </c>
      <c r="AA32" s="74" t="e">
        <f>VLOOKUP(A32,Enforcements!$C$19:$J$57,3,0)</f>
        <v>#N/A</v>
      </c>
    </row>
    <row r="33" spans="1:27" s="2" customFormat="1" x14ac:dyDescent="0.25">
      <c r="A33" s="60" t="s">
        <v>417</v>
      </c>
      <c r="B33" s="60">
        <v>4029</v>
      </c>
      <c r="C33" s="60" t="s">
        <v>62</v>
      </c>
      <c r="D33" s="60" t="s">
        <v>76</v>
      </c>
      <c r="E33" s="30">
        <v>42536.320891203701</v>
      </c>
      <c r="F33" s="30">
        <v>42536.321932870371</v>
      </c>
      <c r="G33" s="38">
        <v>1</v>
      </c>
      <c r="H33" s="30" t="s">
        <v>272</v>
      </c>
      <c r="I33" s="30">
        <v>42536.348553240743</v>
      </c>
      <c r="J33" s="60">
        <v>0</v>
      </c>
      <c r="K33" s="60" t="str">
        <f t="shared" si="0"/>
        <v>4029/4030</v>
      </c>
      <c r="L33" s="60" t="str">
        <f>VLOOKUP(A33,'Trips&amp;Operators'!$C$1:$E$10000,3,FALSE)</f>
        <v>GEBRETEKLE</v>
      </c>
      <c r="M33" s="12">
        <f t="shared" si="1"/>
        <v>2.662037037225673E-2</v>
      </c>
      <c r="N33" s="13">
        <f t="shared" si="19"/>
        <v>38.333333336049691</v>
      </c>
      <c r="O33" s="13"/>
      <c r="P33" s="13"/>
      <c r="Q33" s="61"/>
      <c r="R33" s="61"/>
      <c r="T3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07:41:05-0600',mode:absolute,to:'2016-06-15 08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33" s="73" t="str">
        <f t="shared" si="15"/>
        <v>N</v>
      </c>
      <c r="V33" s="73">
        <f t="shared" si="4"/>
        <v>1</v>
      </c>
      <c r="W33" s="73">
        <f t="shared" si="16"/>
        <v>4.5999999999999999E-2</v>
      </c>
      <c r="X33" s="73">
        <f t="shared" si="17"/>
        <v>23.329499999999999</v>
      </c>
      <c r="Y33" s="73">
        <f t="shared" si="18"/>
        <v>23.2835</v>
      </c>
      <c r="Z33" s="74" t="e">
        <f>VLOOKUP(A33,Enforcements!$C$19:$J$57,8,0)</f>
        <v>#N/A</v>
      </c>
      <c r="AA33" s="74" t="e">
        <f>VLOOKUP(A33,Enforcements!$C$19:$J$57,3,0)</f>
        <v>#N/A</v>
      </c>
    </row>
    <row r="34" spans="1:27" s="2" customFormat="1" x14ac:dyDescent="0.25">
      <c r="A34" s="60" t="s">
        <v>407</v>
      </c>
      <c r="B34" s="60">
        <v>4030</v>
      </c>
      <c r="C34" s="60" t="s">
        <v>62</v>
      </c>
      <c r="D34" s="60" t="s">
        <v>107</v>
      </c>
      <c r="E34" s="30">
        <v>42536.358495370368</v>
      </c>
      <c r="F34" s="30">
        <v>42536.359629629631</v>
      </c>
      <c r="G34" s="38">
        <v>1</v>
      </c>
      <c r="H34" s="30" t="s">
        <v>71</v>
      </c>
      <c r="I34" s="30">
        <v>42536.389398148145</v>
      </c>
      <c r="J34" s="60">
        <v>0</v>
      </c>
      <c r="K34" s="60" t="str">
        <f t="shared" si="0"/>
        <v>4029/4030</v>
      </c>
      <c r="L34" s="60" t="str">
        <f>VLOOKUP(A34,'Trips&amp;Operators'!$C$1:$E$10000,3,FALSE)</f>
        <v>GEBRETEKLE</v>
      </c>
      <c r="M34" s="12">
        <f t="shared" si="1"/>
        <v>2.9768518514174502E-2</v>
      </c>
      <c r="N34" s="13">
        <f t="shared" si="19"/>
        <v>42.866666660411283</v>
      </c>
      <c r="O34" s="13"/>
      <c r="P34" s="13"/>
      <c r="Q34" s="61"/>
      <c r="R34" s="61"/>
      <c r="T3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08:35:14-0600',mode:absolute,to:'2016-06-15 09:21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34" s="73" t="str">
        <f t="shared" si="15"/>
        <v>N</v>
      </c>
      <c r="V34" s="73">
        <f t="shared" si="4"/>
        <v>1</v>
      </c>
      <c r="W34" s="73">
        <f t="shared" si="16"/>
        <v>23.297599999999999</v>
      </c>
      <c r="X34" s="73">
        <f t="shared" si="17"/>
        <v>1.4999999999999999E-2</v>
      </c>
      <c r="Y34" s="73">
        <f t="shared" si="18"/>
        <v>23.282599999999999</v>
      </c>
      <c r="Z34" s="74" t="e">
        <f>VLOOKUP(A34,Enforcements!$C$19:$J$57,8,0)</f>
        <v>#N/A</v>
      </c>
      <c r="AA34" s="74" t="e">
        <f>VLOOKUP(A34,Enforcements!$C$19:$J$57,3,0)</f>
        <v>#N/A</v>
      </c>
    </row>
    <row r="35" spans="1:27" s="2" customFormat="1" x14ac:dyDescent="0.25">
      <c r="A35" s="60" t="s">
        <v>414</v>
      </c>
      <c r="B35" s="60">
        <v>4025</v>
      </c>
      <c r="C35" s="60" t="s">
        <v>62</v>
      </c>
      <c r="D35" s="60" t="s">
        <v>81</v>
      </c>
      <c r="E35" s="30">
        <v>42536.330231481479</v>
      </c>
      <c r="F35" s="30">
        <v>42536.331041666665</v>
      </c>
      <c r="G35" s="38">
        <v>1</v>
      </c>
      <c r="H35" s="30" t="s">
        <v>306</v>
      </c>
      <c r="I35" s="30">
        <v>42536.359305555554</v>
      </c>
      <c r="J35" s="60">
        <v>0</v>
      </c>
      <c r="K35" s="60" t="str">
        <f t="shared" ref="K35:K66" si="20">IF(ISEVEN(B35),(B35-1)&amp;"/"&amp;B35,B35&amp;"/"&amp;(B35+1))</f>
        <v>4025/4026</v>
      </c>
      <c r="L35" s="60" t="str">
        <f>VLOOKUP(A35,'Trips&amp;Operators'!$C$1:$E$10000,3,FALSE)</f>
        <v>YANAI</v>
      </c>
      <c r="M35" s="12">
        <f t="shared" ref="M35:M66" si="21">I35-F35</f>
        <v>2.8263888889341615E-2</v>
      </c>
      <c r="N35" s="13">
        <f t="shared" si="19"/>
        <v>40.700000000651926</v>
      </c>
      <c r="O35" s="13"/>
      <c r="P35" s="13"/>
      <c r="Q35" s="61"/>
      <c r="R35" s="61"/>
      <c r="T3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07:54:32-0600',mode:absolute,to:'2016-06-15 08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35" s="73" t="str">
        <f t="shared" si="15"/>
        <v>N</v>
      </c>
      <c r="V35" s="73">
        <f t="shared" ref="V35:V66" si="22">VALUE(LEFT(A35,3))-VALUE(LEFT(A34,3))</f>
        <v>1</v>
      </c>
      <c r="W35" s="73">
        <f t="shared" si="16"/>
        <v>4.6600000000000003E-2</v>
      </c>
      <c r="X35" s="73">
        <f t="shared" si="17"/>
        <v>23.331199999999999</v>
      </c>
      <c r="Y35" s="73">
        <f t="shared" si="18"/>
        <v>23.284599999999998</v>
      </c>
      <c r="Z35" s="74" t="e">
        <f>VLOOKUP(A35,Enforcements!$C$19:$J$57,8,0)</f>
        <v>#N/A</v>
      </c>
      <c r="AA35" s="74" t="e">
        <f>VLOOKUP(A35,Enforcements!$C$19:$J$57,3,0)</f>
        <v>#N/A</v>
      </c>
    </row>
    <row r="36" spans="1:27" s="2" customFormat="1" x14ac:dyDescent="0.25">
      <c r="A36" s="60" t="s">
        <v>448</v>
      </c>
      <c r="B36" s="60">
        <v>4026</v>
      </c>
      <c r="C36" s="60" t="s">
        <v>62</v>
      </c>
      <c r="D36" s="60" t="s">
        <v>115</v>
      </c>
      <c r="E36" s="30">
        <v>42536.364155092589</v>
      </c>
      <c r="F36" s="30">
        <v>42536.365810185183</v>
      </c>
      <c r="G36" s="38">
        <v>2</v>
      </c>
      <c r="H36" s="30" t="s">
        <v>494</v>
      </c>
      <c r="I36" s="30">
        <v>42536.399675925924</v>
      </c>
      <c r="J36" s="60">
        <v>0</v>
      </c>
      <c r="K36" s="60" t="str">
        <f t="shared" si="20"/>
        <v>4025/4026</v>
      </c>
      <c r="L36" s="60" t="str">
        <f>VLOOKUP(A36,'Trips&amp;Operators'!$C$1:$E$10000,3,FALSE)</f>
        <v>YANAI</v>
      </c>
      <c r="M36" s="12">
        <f t="shared" si="21"/>
        <v>3.3865740741021E-2</v>
      </c>
      <c r="N36" s="13">
        <f t="shared" si="19"/>
        <v>48.76666666707024</v>
      </c>
      <c r="O36" s="13"/>
      <c r="P36" s="13"/>
      <c r="Q36" s="61"/>
      <c r="R36" s="61"/>
      <c r="T3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08:43:23-0600',mode:absolute,to:'2016-06-15 09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6" s="73" t="str">
        <f t="shared" si="15"/>
        <v>N</v>
      </c>
      <c r="V36" s="73">
        <f t="shared" si="22"/>
        <v>1</v>
      </c>
      <c r="W36" s="73">
        <f t="shared" si="16"/>
        <v>23.298200000000001</v>
      </c>
      <c r="X36" s="73">
        <f t="shared" si="17"/>
        <v>1.7000000000000001E-2</v>
      </c>
      <c r="Y36" s="73">
        <f t="shared" si="18"/>
        <v>23.281200000000002</v>
      </c>
      <c r="Z36" s="74" t="e">
        <f>VLOOKUP(A36,Enforcements!$C$19:$J$57,8,0)</f>
        <v>#N/A</v>
      </c>
      <c r="AA36" s="74" t="e">
        <f>VLOOKUP(A36,Enforcements!$C$19:$J$57,3,0)</f>
        <v>#N/A</v>
      </c>
    </row>
    <row r="37" spans="1:27" s="2" customFormat="1" x14ac:dyDescent="0.25">
      <c r="A37" s="60" t="s">
        <v>377</v>
      </c>
      <c r="B37" s="60">
        <v>4020</v>
      </c>
      <c r="C37" s="60" t="s">
        <v>62</v>
      </c>
      <c r="D37" s="60" t="s">
        <v>495</v>
      </c>
      <c r="E37" s="30">
        <v>42536.338194444441</v>
      </c>
      <c r="F37" s="30">
        <v>42536.339050925926</v>
      </c>
      <c r="G37" s="38">
        <v>1</v>
      </c>
      <c r="H37" s="30" t="s">
        <v>325</v>
      </c>
      <c r="I37" s="30">
        <v>42536.369699074072</v>
      </c>
      <c r="J37" s="60">
        <v>1</v>
      </c>
      <c r="K37" s="60" t="str">
        <f t="shared" si="20"/>
        <v>4019/4020</v>
      </c>
      <c r="L37" s="60" t="str">
        <f>VLOOKUP(A37,'Trips&amp;Operators'!$C$1:$E$10000,3,FALSE)</f>
        <v>ACKERMAN</v>
      </c>
      <c r="M37" s="12">
        <f t="shared" si="21"/>
        <v>3.0648148145701271E-2</v>
      </c>
      <c r="N37" s="13">
        <f t="shared" si="19"/>
        <v>44.13333332980983</v>
      </c>
      <c r="O37" s="13"/>
      <c r="P37" s="13"/>
      <c r="Q37" s="61"/>
      <c r="R37" s="61"/>
      <c r="T3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08:06:00-0600',mode:absolute,to:'2016-06-15 08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37" s="73" t="str">
        <f t="shared" si="15"/>
        <v>N</v>
      </c>
      <c r="V37" s="73">
        <f t="shared" si="22"/>
        <v>1</v>
      </c>
      <c r="W37" s="73">
        <f t="shared" si="16"/>
        <v>4.8599999999999997E-2</v>
      </c>
      <c r="X37" s="73">
        <f t="shared" si="17"/>
        <v>23.3306</v>
      </c>
      <c r="Y37" s="73">
        <f t="shared" si="18"/>
        <v>23.282</v>
      </c>
      <c r="Z37" s="74">
        <f>VLOOKUP(A37,Enforcements!$C$19:$J$57,8,0)</f>
        <v>144300</v>
      </c>
      <c r="AA37" s="74" t="str">
        <f>VLOOKUP(A37,Enforcements!$C$19:$J$57,3,0)</f>
        <v>SIGNAL</v>
      </c>
    </row>
    <row r="38" spans="1:27" s="2" customFormat="1" x14ac:dyDescent="0.25">
      <c r="A38" s="60" t="s">
        <v>379</v>
      </c>
      <c r="B38" s="60">
        <v>4019</v>
      </c>
      <c r="C38" s="60" t="s">
        <v>62</v>
      </c>
      <c r="D38" s="60" t="s">
        <v>478</v>
      </c>
      <c r="E38" s="30">
        <v>42536.376064814816</v>
      </c>
      <c r="F38" s="30">
        <v>42536.37703703704</v>
      </c>
      <c r="G38" s="38">
        <v>1</v>
      </c>
      <c r="H38" s="30" t="s">
        <v>496</v>
      </c>
      <c r="I38" s="30">
        <v>42536.40929398148</v>
      </c>
      <c r="J38" s="60">
        <v>0</v>
      </c>
      <c r="K38" s="60" t="str">
        <f t="shared" si="20"/>
        <v>4019/4020</v>
      </c>
      <c r="L38" s="60" t="str">
        <f>VLOOKUP(A38,'Trips&amp;Operators'!$C$1:$E$10000,3,FALSE)</f>
        <v>ACKERMAN</v>
      </c>
      <c r="M38" s="12">
        <f t="shared" si="21"/>
        <v>3.2256944439723156E-2</v>
      </c>
      <c r="N38" s="13">
        <f t="shared" si="19"/>
        <v>46.449999993201345</v>
      </c>
      <c r="O38" s="13"/>
      <c r="P38" s="13"/>
      <c r="Q38" s="61"/>
      <c r="R38" s="61"/>
      <c r="T3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09:00:32-0600',mode:absolute,to:'2016-06-15 09:50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38" s="73" t="str">
        <f t="shared" si="15"/>
        <v>N</v>
      </c>
      <c r="V38" s="73">
        <f t="shared" si="22"/>
        <v>1</v>
      </c>
      <c r="W38" s="73">
        <f t="shared" si="16"/>
        <v>23.297899999999998</v>
      </c>
      <c r="X38" s="73">
        <f t="shared" si="17"/>
        <v>1.6299999999999999E-2</v>
      </c>
      <c r="Y38" s="73">
        <f t="shared" si="18"/>
        <v>23.281599999999997</v>
      </c>
      <c r="Z38" s="74" t="e">
        <f>VLOOKUP(A38,Enforcements!$C$19:$J$57,8,0)</f>
        <v>#N/A</v>
      </c>
      <c r="AA38" s="74" t="e">
        <f>VLOOKUP(A38,Enforcements!$C$19:$J$57,3,0)</f>
        <v>#N/A</v>
      </c>
    </row>
    <row r="39" spans="1:27" s="2" customFormat="1" x14ac:dyDescent="0.25">
      <c r="A39" s="60" t="s">
        <v>409</v>
      </c>
      <c r="B39" s="60">
        <v>4024</v>
      </c>
      <c r="C39" s="60" t="s">
        <v>62</v>
      </c>
      <c r="D39" s="60" t="s">
        <v>497</v>
      </c>
      <c r="E39" s="30">
        <v>42536.349733796298</v>
      </c>
      <c r="F39" s="30">
        <v>42536.350636574076</v>
      </c>
      <c r="G39" s="38">
        <v>1</v>
      </c>
      <c r="H39" s="30" t="s">
        <v>79</v>
      </c>
      <c r="I39" s="30">
        <v>42536.381180555552</v>
      </c>
      <c r="J39" s="60">
        <v>0</v>
      </c>
      <c r="K39" s="60" t="str">
        <f t="shared" si="20"/>
        <v>4023/4024</v>
      </c>
      <c r="L39" s="60" t="str">
        <f>VLOOKUP(A39,'Trips&amp;Operators'!$C$1:$E$10000,3,FALSE)</f>
        <v>BRANNON</v>
      </c>
      <c r="M39" s="12">
        <f t="shared" si="21"/>
        <v>3.0543981476512272E-2</v>
      </c>
      <c r="N39" s="13">
        <f t="shared" si="19"/>
        <v>43.983333326177672</v>
      </c>
      <c r="O39" s="13"/>
      <c r="P39" s="13"/>
      <c r="Q39" s="61"/>
      <c r="R39" s="61"/>
      <c r="T3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08:22:37-0600',mode:absolute,to:'2016-06-15 09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9" s="73" t="str">
        <f t="shared" si="15"/>
        <v>N</v>
      </c>
      <c r="V39" s="73">
        <f t="shared" si="22"/>
        <v>1</v>
      </c>
      <c r="W39" s="73">
        <f t="shared" si="16"/>
        <v>4.6899999999999997E-2</v>
      </c>
      <c r="X39" s="73">
        <f t="shared" si="17"/>
        <v>23.331399999999999</v>
      </c>
      <c r="Y39" s="73">
        <f t="shared" si="18"/>
        <v>23.284499999999998</v>
      </c>
      <c r="Z39" s="74" t="e">
        <f>VLOOKUP(A39,Enforcements!$C$19:$J$57,8,0)</f>
        <v>#N/A</v>
      </c>
      <c r="AA39" s="74" t="e">
        <f>VLOOKUP(A39,Enforcements!$C$19:$J$57,3,0)</f>
        <v>#N/A</v>
      </c>
    </row>
    <row r="40" spans="1:27" s="2" customFormat="1" x14ac:dyDescent="0.25">
      <c r="A40" s="60" t="s">
        <v>349</v>
      </c>
      <c r="B40" s="60">
        <v>4023</v>
      </c>
      <c r="C40" s="60" t="s">
        <v>62</v>
      </c>
      <c r="D40" s="60" t="s">
        <v>284</v>
      </c>
      <c r="E40" s="30">
        <v>42536.390810185185</v>
      </c>
      <c r="F40" s="30">
        <v>42536.391863425924</v>
      </c>
      <c r="G40" s="38">
        <v>1</v>
      </c>
      <c r="H40" s="30" t="s">
        <v>71</v>
      </c>
      <c r="I40" s="30">
        <v>42536.420659722222</v>
      </c>
      <c r="J40" s="60">
        <v>0</v>
      </c>
      <c r="K40" s="60" t="str">
        <f t="shared" si="20"/>
        <v>4023/4024</v>
      </c>
      <c r="L40" s="60" t="str">
        <f>VLOOKUP(A40,'Trips&amp;Operators'!$C$1:$E$10000,3,FALSE)</f>
        <v>BRANNON</v>
      </c>
      <c r="M40" s="12">
        <f t="shared" si="21"/>
        <v>2.8796296297514345E-2</v>
      </c>
      <c r="N40" s="13">
        <f t="shared" si="19"/>
        <v>41.466666668420658</v>
      </c>
      <c r="O40" s="13"/>
      <c r="P40" s="13"/>
      <c r="Q40" s="61"/>
      <c r="R40" s="61"/>
      <c r="T4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09:21:46-0600',mode:absolute,to:'2016-06-15 10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40" s="73" t="str">
        <f t="shared" si="15"/>
        <v>N</v>
      </c>
      <c r="V40" s="73">
        <f t="shared" si="22"/>
        <v>1</v>
      </c>
      <c r="W40" s="73">
        <f t="shared" si="16"/>
        <v>23.2988</v>
      </c>
      <c r="X40" s="73">
        <f t="shared" si="17"/>
        <v>1.4999999999999999E-2</v>
      </c>
      <c r="Y40" s="73">
        <f t="shared" si="18"/>
        <v>23.283799999999999</v>
      </c>
      <c r="Z40" s="74" t="e">
        <f>VLOOKUP(A40,Enforcements!$C$19:$J$57,8,0)</f>
        <v>#N/A</v>
      </c>
      <c r="AA40" s="74" t="e">
        <f>VLOOKUP(A40,Enforcements!$C$19:$J$57,3,0)</f>
        <v>#N/A</v>
      </c>
    </row>
    <row r="41" spans="1:27" s="2" customFormat="1" x14ac:dyDescent="0.25">
      <c r="A41" s="60" t="s">
        <v>339</v>
      </c>
      <c r="B41" s="60">
        <v>4016</v>
      </c>
      <c r="C41" s="60" t="s">
        <v>62</v>
      </c>
      <c r="D41" s="60" t="s">
        <v>293</v>
      </c>
      <c r="E41" s="30">
        <v>42536.361793981479</v>
      </c>
      <c r="F41" s="30">
        <v>42536.364918981482</v>
      </c>
      <c r="G41" s="38">
        <v>4</v>
      </c>
      <c r="H41" s="30" t="s">
        <v>79</v>
      </c>
      <c r="I41" s="30">
        <v>42536.390625</v>
      </c>
      <c r="J41" s="60">
        <v>0</v>
      </c>
      <c r="K41" s="60" t="str">
        <f t="shared" si="20"/>
        <v>4015/4016</v>
      </c>
      <c r="L41" s="60" t="str">
        <f>VLOOKUP(A41,'Trips&amp;Operators'!$C$1:$E$10000,3,FALSE)</f>
        <v>YORK</v>
      </c>
      <c r="M41" s="12">
        <f t="shared" si="21"/>
        <v>2.5706018517666962E-2</v>
      </c>
      <c r="N41" s="13">
        <f t="shared" si="19"/>
        <v>37.016666665440425</v>
      </c>
      <c r="O41" s="13"/>
      <c r="P41" s="13"/>
      <c r="Q41" s="61"/>
      <c r="R41" s="61"/>
      <c r="T4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08:39:59-0600',mode:absolute,to:'2016-06-15 09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41" s="73" t="str">
        <f t="shared" si="15"/>
        <v>N</v>
      </c>
      <c r="V41" s="73">
        <f t="shared" si="22"/>
        <v>1</v>
      </c>
      <c r="W41" s="73">
        <f t="shared" si="16"/>
        <v>4.4400000000000002E-2</v>
      </c>
      <c r="X41" s="73">
        <f t="shared" si="17"/>
        <v>23.331399999999999</v>
      </c>
      <c r="Y41" s="73">
        <f t="shared" si="18"/>
        <v>23.286999999999999</v>
      </c>
      <c r="Z41" s="74" t="e">
        <f>VLOOKUP(A41,Enforcements!$C$19:$J$57,8,0)</f>
        <v>#N/A</v>
      </c>
      <c r="AA41" s="74" t="e">
        <f>VLOOKUP(A41,Enforcements!$C$19:$J$57,3,0)</f>
        <v>#N/A</v>
      </c>
    </row>
    <row r="42" spans="1:27" s="2" customFormat="1" x14ac:dyDescent="0.25">
      <c r="A42" s="60" t="s">
        <v>440</v>
      </c>
      <c r="B42" s="60">
        <v>4015</v>
      </c>
      <c r="C42" s="60" t="s">
        <v>62</v>
      </c>
      <c r="D42" s="60" t="s">
        <v>105</v>
      </c>
      <c r="E42" s="30">
        <v>42536.401458333334</v>
      </c>
      <c r="F42" s="30">
        <v>42536.402395833335</v>
      </c>
      <c r="G42" s="38">
        <v>1</v>
      </c>
      <c r="H42" s="30" t="s">
        <v>88</v>
      </c>
      <c r="I42" s="30">
        <v>42536.430023148147</v>
      </c>
      <c r="J42" s="60">
        <v>0</v>
      </c>
      <c r="K42" s="60" t="str">
        <f t="shared" si="20"/>
        <v>4015/4016</v>
      </c>
      <c r="L42" s="60" t="str">
        <f>VLOOKUP(A42,'Trips&amp;Operators'!$C$1:$E$10000,3,FALSE)</f>
        <v>YORK</v>
      </c>
      <c r="M42" s="12">
        <f t="shared" si="21"/>
        <v>2.7627314811979886E-2</v>
      </c>
      <c r="N42" s="13">
        <f t="shared" si="19"/>
        <v>39.783333329251036</v>
      </c>
      <c r="O42" s="13"/>
      <c r="P42" s="13"/>
      <c r="Q42" s="61"/>
      <c r="R42" s="61"/>
      <c r="T4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09:37:06-0600',mode:absolute,to:'2016-06-15 10:20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42" s="73" t="str">
        <f t="shared" si="15"/>
        <v>N</v>
      </c>
      <c r="V42" s="73">
        <f t="shared" si="22"/>
        <v>1</v>
      </c>
      <c r="W42" s="73">
        <f t="shared" si="16"/>
        <v>23.298300000000001</v>
      </c>
      <c r="X42" s="73">
        <f t="shared" si="17"/>
        <v>1.5599999999999999E-2</v>
      </c>
      <c r="Y42" s="73">
        <f t="shared" si="18"/>
        <v>23.282700000000002</v>
      </c>
      <c r="Z42" s="74" t="e">
        <f>VLOOKUP(A42,Enforcements!$C$19:$J$57,8,0)</f>
        <v>#N/A</v>
      </c>
      <c r="AA42" s="74" t="e">
        <f>VLOOKUP(A42,Enforcements!$C$19:$J$57,3,0)</f>
        <v>#N/A</v>
      </c>
    </row>
    <row r="43" spans="1:27" s="2" customFormat="1" x14ac:dyDescent="0.25">
      <c r="A43" s="60" t="s">
        <v>442</v>
      </c>
      <c r="B43" s="60">
        <v>4018</v>
      </c>
      <c r="C43" s="60" t="s">
        <v>62</v>
      </c>
      <c r="D43" s="60" t="s">
        <v>275</v>
      </c>
      <c r="E43" s="30">
        <v>42536.369317129633</v>
      </c>
      <c r="F43" s="30">
        <v>42536.373611111114</v>
      </c>
      <c r="G43" s="38">
        <v>6</v>
      </c>
      <c r="H43" s="30" t="s">
        <v>313</v>
      </c>
      <c r="I43" s="30">
        <v>42536.400185185186</v>
      </c>
      <c r="J43" s="60">
        <v>2</v>
      </c>
      <c r="K43" s="60" t="str">
        <f t="shared" si="20"/>
        <v>4017/4018</v>
      </c>
      <c r="L43" s="60" t="str">
        <f>VLOOKUP(A43,'Trips&amp;Operators'!$C$1:$E$10000,3,FALSE)</f>
        <v>ROCHA</v>
      </c>
      <c r="M43" s="12">
        <f t="shared" si="21"/>
        <v>2.6574074072414078E-2</v>
      </c>
      <c r="N43" s="13">
        <f t="shared" si="19"/>
        <v>38.266666664276272</v>
      </c>
      <c r="O43" s="13"/>
      <c r="P43" s="13"/>
      <c r="Q43" s="61"/>
      <c r="R43" s="61"/>
      <c r="T4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08:50:49-0600',mode:absolute,to:'2016-06-15 09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3" s="73" t="str">
        <f t="shared" si="15"/>
        <v>N</v>
      </c>
      <c r="V43" s="73">
        <f t="shared" si="22"/>
        <v>1</v>
      </c>
      <c r="W43" s="73">
        <f t="shared" si="16"/>
        <v>4.4600000000000001E-2</v>
      </c>
      <c r="X43" s="73">
        <f t="shared" si="17"/>
        <v>23.3276</v>
      </c>
      <c r="Y43" s="73">
        <f t="shared" si="18"/>
        <v>23.283000000000001</v>
      </c>
      <c r="Z43" s="74">
        <f>VLOOKUP(A43,Enforcements!$C$19:$J$57,8,0)</f>
        <v>233491</v>
      </c>
      <c r="AA43" s="74" t="str">
        <f>VLOOKUP(A43,Enforcements!$C$19:$J$57,3,0)</f>
        <v>TRACK WARRANT AUTHORITY</v>
      </c>
    </row>
    <row r="44" spans="1:27" s="2" customFormat="1" x14ac:dyDescent="0.25">
      <c r="A44" s="60" t="s">
        <v>432</v>
      </c>
      <c r="B44" s="60">
        <v>4017</v>
      </c>
      <c r="C44" s="60" t="s">
        <v>62</v>
      </c>
      <c r="D44" s="60" t="s">
        <v>498</v>
      </c>
      <c r="E44" s="30">
        <v>42536.411180555559</v>
      </c>
      <c r="F44" s="30">
        <v>42536.412581018521</v>
      </c>
      <c r="G44" s="38">
        <v>2</v>
      </c>
      <c r="H44" s="30" t="s">
        <v>82</v>
      </c>
      <c r="I44" s="30">
        <v>42536.439722222225</v>
      </c>
      <c r="J44" s="60">
        <v>0</v>
      </c>
      <c r="K44" s="60" t="str">
        <f t="shared" si="20"/>
        <v>4017/4018</v>
      </c>
      <c r="L44" s="60" t="str">
        <f>VLOOKUP(A44,'Trips&amp;Operators'!$C$1:$E$10000,3,FALSE)</f>
        <v>ROCHA</v>
      </c>
      <c r="M44" s="12">
        <f t="shared" si="21"/>
        <v>2.7141203703649808E-2</v>
      </c>
      <c r="N44" s="13">
        <f t="shared" si="19"/>
        <v>39.083333333255723</v>
      </c>
      <c r="O44" s="13"/>
      <c r="P44" s="13"/>
      <c r="Q44" s="61"/>
      <c r="R44" s="61"/>
      <c r="T4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09:51:06-0600',mode:absolute,to:'2016-06-15 10:34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4" s="73" t="str">
        <f t="shared" si="15"/>
        <v>N</v>
      </c>
      <c r="V44" s="73">
        <f t="shared" si="22"/>
        <v>1</v>
      </c>
      <c r="W44" s="73">
        <f t="shared" si="16"/>
        <v>23.2971</v>
      </c>
      <c r="X44" s="73">
        <f t="shared" si="17"/>
        <v>1.43E-2</v>
      </c>
      <c r="Y44" s="73">
        <f t="shared" si="18"/>
        <v>23.282800000000002</v>
      </c>
      <c r="Z44" s="74" t="e">
        <f>VLOOKUP(A44,Enforcements!$C$19:$J$57,8,0)</f>
        <v>#N/A</v>
      </c>
      <c r="AA44" s="74" t="e">
        <f>VLOOKUP(A44,Enforcements!$C$19:$J$57,3,0)</f>
        <v>#N/A</v>
      </c>
    </row>
    <row r="45" spans="1:27" s="2" customFormat="1" x14ac:dyDescent="0.25">
      <c r="A45" s="60" t="s">
        <v>405</v>
      </c>
      <c r="B45" s="60">
        <v>4040</v>
      </c>
      <c r="C45" s="60" t="s">
        <v>62</v>
      </c>
      <c r="D45" s="60" t="s">
        <v>273</v>
      </c>
      <c r="E45" s="30">
        <v>42536.380312499998</v>
      </c>
      <c r="F45" s="30">
        <v>42536.381203703706</v>
      </c>
      <c r="G45" s="38">
        <v>1</v>
      </c>
      <c r="H45" s="30" t="s">
        <v>309</v>
      </c>
      <c r="I45" s="30">
        <v>42536.412349537037</v>
      </c>
      <c r="J45" s="60">
        <v>1</v>
      </c>
      <c r="K45" s="60" t="str">
        <f t="shared" si="20"/>
        <v>4039/4040</v>
      </c>
      <c r="L45" s="60" t="str">
        <f>VLOOKUP(A45,'Trips&amp;Operators'!$C$1:$E$10000,3,FALSE)</f>
        <v>STARKS</v>
      </c>
      <c r="M45" s="12">
        <f t="shared" si="21"/>
        <v>3.1145833330811001E-2</v>
      </c>
      <c r="N45" s="13">
        <f t="shared" si="19"/>
        <v>44.849999996367842</v>
      </c>
      <c r="O45" s="13"/>
      <c r="P45" s="13"/>
      <c r="Q45" s="61"/>
      <c r="R45" s="61"/>
      <c r="T4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09:06:39-0600',mode:absolute,to:'2016-06-15 09:54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5" s="73" t="str">
        <f t="shared" si="15"/>
        <v>N</v>
      </c>
      <c r="V45" s="73">
        <f t="shared" si="22"/>
        <v>1</v>
      </c>
      <c r="W45" s="73">
        <f t="shared" si="16"/>
        <v>4.4699999999999997E-2</v>
      </c>
      <c r="X45" s="73">
        <f t="shared" si="17"/>
        <v>23.334</v>
      </c>
      <c r="Y45" s="73">
        <f t="shared" si="18"/>
        <v>23.289300000000001</v>
      </c>
      <c r="Z45" s="74">
        <f>VLOOKUP(A45,Enforcements!$C$19:$J$57,8,0)</f>
        <v>233491</v>
      </c>
      <c r="AA45" s="74" t="str">
        <f>VLOOKUP(A45,Enforcements!$C$19:$J$57,3,0)</f>
        <v>TRACK WARRANT AUTHORITY</v>
      </c>
    </row>
    <row r="46" spans="1:27" s="2" customFormat="1" ht="16.5" customHeight="1" x14ac:dyDescent="0.25">
      <c r="A46" s="60" t="s">
        <v>384</v>
      </c>
      <c r="B46" s="60">
        <v>4039</v>
      </c>
      <c r="C46" s="60" t="s">
        <v>62</v>
      </c>
      <c r="D46" s="60" t="s">
        <v>499</v>
      </c>
      <c r="E46" s="30">
        <v>42536.418668981481</v>
      </c>
      <c r="F46" s="30">
        <v>42536.419606481482</v>
      </c>
      <c r="G46" s="38">
        <v>1</v>
      </c>
      <c r="H46" s="30" t="s">
        <v>500</v>
      </c>
      <c r="I46" s="30">
        <v>42536.452465277776</v>
      </c>
      <c r="J46" s="60">
        <v>0</v>
      </c>
      <c r="K46" s="60" t="str">
        <f t="shared" si="20"/>
        <v>4039/4040</v>
      </c>
      <c r="L46" s="60" t="str">
        <f>VLOOKUP(A46,'Trips&amp;Operators'!$C$1:$E$10000,3,FALSE)</f>
        <v>STARKS</v>
      </c>
      <c r="M46" s="12">
        <f t="shared" si="21"/>
        <v>3.2858796294021886E-2</v>
      </c>
      <c r="N46" s="13">
        <f t="shared" si="19"/>
        <v>47.316666663391516</v>
      </c>
      <c r="O46" s="13"/>
      <c r="P46" s="13"/>
      <c r="Q46" s="61"/>
      <c r="R46" s="61"/>
      <c r="T4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10:01:53-0600',mode:absolute,to:'2016-06-15 10:52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6" s="73" t="str">
        <f t="shared" si="15"/>
        <v>N</v>
      </c>
      <c r="V46" s="73">
        <f t="shared" si="22"/>
        <v>1</v>
      </c>
      <c r="W46" s="73">
        <f t="shared" si="16"/>
        <v>23.301500000000001</v>
      </c>
      <c r="X46" s="73">
        <f t="shared" si="17"/>
        <v>8.9999999999999993E-3</v>
      </c>
      <c r="Y46" s="73">
        <f t="shared" si="18"/>
        <v>23.2925</v>
      </c>
      <c r="Z46" s="74" t="e">
        <f>VLOOKUP(A46,Enforcements!$C$19:$J$57,8,0)</f>
        <v>#N/A</v>
      </c>
      <c r="AA46" s="74" t="e">
        <f>VLOOKUP(A46,Enforcements!$C$19:$J$57,3,0)</f>
        <v>#N/A</v>
      </c>
    </row>
    <row r="47" spans="1:27" s="2" customFormat="1" ht="16.5" customHeight="1" x14ac:dyDescent="0.25">
      <c r="A47" s="60" t="s">
        <v>341</v>
      </c>
      <c r="B47" s="60">
        <v>4029</v>
      </c>
      <c r="C47" s="60" t="s">
        <v>62</v>
      </c>
      <c r="D47" s="60" t="s">
        <v>85</v>
      </c>
      <c r="E47" s="30">
        <v>42536.392256944448</v>
      </c>
      <c r="F47" s="30">
        <v>42536.396006944444</v>
      </c>
      <c r="G47" s="38">
        <v>5</v>
      </c>
      <c r="H47" s="30" t="s">
        <v>501</v>
      </c>
      <c r="I47" s="30">
        <v>42536.421365740738</v>
      </c>
      <c r="J47" s="60">
        <v>0</v>
      </c>
      <c r="K47" s="60" t="str">
        <f t="shared" si="20"/>
        <v>4029/4030</v>
      </c>
      <c r="L47" s="60" t="str">
        <f>VLOOKUP(A47,'Trips&amp;Operators'!$C$1:$E$10000,3,FALSE)</f>
        <v>GEBRETEKLE</v>
      </c>
      <c r="M47" s="12">
        <f t="shared" si="21"/>
        <v>2.5358796294312924E-2</v>
      </c>
      <c r="N47" s="13">
        <f t="shared" si="19"/>
        <v>36.516666663810611</v>
      </c>
      <c r="O47" s="13"/>
      <c r="P47" s="13"/>
      <c r="Q47" s="61"/>
      <c r="R47" s="61"/>
      <c r="T4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09:23:51-0600',mode:absolute,to:'2016-06-15 10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47" s="73" t="str">
        <f t="shared" si="15"/>
        <v>N</v>
      </c>
      <c r="V47" s="73">
        <f t="shared" si="22"/>
        <v>1</v>
      </c>
      <c r="W47" s="73">
        <f t="shared" si="16"/>
        <v>4.5699999999999998E-2</v>
      </c>
      <c r="X47" s="73">
        <f t="shared" si="17"/>
        <v>23.311699999999998</v>
      </c>
      <c r="Y47" s="73">
        <f t="shared" si="18"/>
        <v>23.265999999999998</v>
      </c>
      <c r="Z47" s="74" t="e">
        <f>VLOOKUP(A47,Enforcements!$C$19:$J$57,8,0)</f>
        <v>#N/A</v>
      </c>
      <c r="AA47" s="74" t="e">
        <f>VLOOKUP(A47,Enforcements!$C$19:$J$57,3,0)</f>
        <v>#N/A</v>
      </c>
    </row>
    <row r="48" spans="1:27" s="2" customFormat="1" x14ac:dyDescent="0.25">
      <c r="A48" s="60" t="s">
        <v>435</v>
      </c>
      <c r="B48" s="60">
        <v>4030</v>
      </c>
      <c r="C48" s="60" t="s">
        <v>62</v>
      </c>
      <c r="D48" s="60" t="s">
        <v>119</v>
      </c>
      <c r="E48" s="30">
        <v>42536.428206018521</v>
      </c>
      <c r="F48" s="30">
        <v>42536.429259259261</v>
      </c>
      <c r="G48" s="38">
        <v>1</v>
      </c>
      <c r="H48" s="30" t="s">
        <v>87</v>
      </c>
      <c r="I48" s="30">
        <v>42536.462175925924</v>
      </c>
      <c r="J48" s="60">
        <v>0</v>
      </c>
      <c r="K48" s="60" t="str">
        <f t="shared" si="20"/>
        <v>4029/4030</v>
      </c>
      <c r="L48" s="60" t="str">
        <f>VLOOKUP(A48,'Trips&amp;Operators'!$C$1:$E$10000,3,FALSE)</f>
        <v>GEBRETEKLE</v>
      </c>
      <c r="M48" s="12">
        <f t="shared" si="21"/>
        <v>3.2916666663368233E-2</v>
      </c>
      <c r="N48" s="13">
        <f t="shared" si="19"/>
        <v>47.399999995250255</v>
      </c>
      <c r="O48" s="13"/>
      <c r="P48" s="13"/>
      <c r="Q48" s="61"/>
      <c r="R48" s="61"/>
      <c r="T4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10:15:37-0600',mode:absolute,to:'2016-06-15 11:06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48" s="73" t="str">
        <f t="shared" si="15"/>
        <v>N</v>
      </c>
      <c r="V48" s="73">
        <f t="shared" si="22"/>
        <v>1</v>
      </c>
      <c r="W48" s="73">
        <f t="shared" si="16"/>
        <v>23.297499999999999</v>
      </c>
      <c r="X48" s="73">
        <f t="shared" si="17"/>
        <v>1.41E-2</v>
      </c>
      <c r="Y48" s="73">
        <f t="shared" si="18"/>
        <v>23.2834</v>
      </c>
      <c r="Z48" s="74" t="e">
        <f>VLOOKUP(A48,Enforcements!$C$19:$J$57,8,0)</f>
        <v>#N/A</v>
      </c>
      <c r="AA48" s="74" t="e">
        <f>VLOOKUP(A48,Enforcements!$C$19:$J$57,3,0)</f>
        <v>#N/A</v>
      </c>
    </row>
    <row r="49" spans="1:27" s="2" customFormat="1" x14ac:dyDescent="0.25">
      <c r="A49" s="60" t="s">
        <v>381</v>
      </c>
      <c r="B49" s="60">
        <v>4025</v>
      </c>
      <c r="C49" s="60" t="s">
        <v>62</v>
      </c>
      <c r="D49" s="60" t="s">
        <v>502</v>
      </c>
      <c r="E49" s="30">
        <v>42536.402731481481</v>
      </c>
      <c r="F49" s="30">
        <v>42536.403877314813</v>
      </c>
      <c r="G49" s="38">
        <v>1</v>
      </c>
      <c r="H49" s="30" t="s">
        <v>503</v>
      </c>
      <c r="I49" s="30">
        <v>42536.433217592596</v>
      </c>
      <c r="J49" s="60">
        <v>0</v>
      </c>
      <c r="K49" s="60" t="str">
        <f t="shared" si="20"/>
        <v>4025/4026</v>
      </c>
      <c r="L49" s="60" t="str">
        <f>VLOOKUP(A49,'Trips&amp;Operators'!$C$1:$E$10000,3,FALSE)</f>
        <v>YANAI</v>
      </c>
      <c r="M49" s="12">
        <f t="shared" si="21"/>
        <v>2.9340277782466728E-2</v>
      </c>
      <c r="N49" s="13">
        <f t="shared" si="19"/>
        <v>42.250000006752089</v>
      </c>
      <c r="O49" s="13"/>
      <c r="P49" s="13"/>
      <c r="Q49" s="61"/>
      <c r="R49" s="61"/>
      <c r="T4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09:38:56-0600',mode:absolute,to:'2016-06-15 10:24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9" s="73" t="str">
        <f t="shared" si="15"/>
        <v>N</v>
      </c>
      <c r="V49" s="73">
        <f t="shared" si="22"/>
        <v>1</v>
      </c>
      <c r="W49" s="73">
        <f t="shared" si="16"/>
        <v>4.8800000000000003E-2</v>
      </c>
      <c r="X49" s="73">
        <f t="shared" si="17"/>
        <v>23.3323</v>
      </c>
      <c r="Y49" s="73">
        <f t="shared" si="18"/>
        <v>23.2835</v>
      </c>
      <c r="Z49" s="74" t="e">
        <f>VLOOKUP(A49,Enforcements!$C$19:$J$57,8,0)</f>
        <v>#N/A</v>
      </c>
      <c r="AA49" s="74" t="e">
        <f>VLOOKUP(A49,Enforcements!$C$19:$J$57,3,0)</f>
        <v>#N/A</v>
      </c>
    </row>
    <row r="50" spans="1:27" s="2" customFormat="1" x14ac:dyDescent="0.25">
      <c r="A50" s="60" t="s">
        <v>404</v>
      </c>
      <c r="B50" s="60">
        <v>4026</v>
      </c>
      <c r="C50" s="60" t="s">
        <v>62</v>
      </c>
      <c r="D50" s="60" t="s">
        <v>287</v>
      </c>
      <c r="E50" s="30">
        <v>42536.438657407409</v>
      </c>
      <c r="F50" s="30">
        <v>42536.440150462964</v>
      </c>
      <c r="G50" s="38">
        <v>2</v>
      </c>
      <c r="H50" s="30" t="s">
        <v>73</v>
      </c>
      <c r="I50" s="30">
        <v>42536.471724537034</v>
      </c>
      <c r="J50" s="60">
        <v>0</v>
      </c>
      <c r="K50" s="60" t="str">
        <f t="shared" si="20"/>
        <v>4025/4026</v>
      </c>
      <c r="L50" s="60" t="str">
        <f>VLOOKUP(A50,'Trips&amp;Operators'!$C$1:$E$10000,3,FALSE)</f>
        <v>YANAI</v>
      </c>
      <c r="M50" s="12">
        <f t="shared" si="21"/>
        <v>3.1574074069794733E-2</v>
      </c>
      <c r="N50" s="13">
        <f t="shared" si="19"/>
        <v>45.466666660504416</v>
      </c>
      <c r="O50" s="13"/>
      <c r="P50" s="13"/>
      <c r="Q50" s="61"/>
      <c r="R50" s="61"/>
      <c r="T5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10:30:40-0600',mode:absolute,to:'2016-06-15 11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50" s="73" t="str">
        <f t="shared" si="15"/>
        <v>N</v>
      </c>
      <c r="V50" s="73">
        <f t="shared" si="22"/>
        <v>1</v>
      </c>
      <c r="W50" s="73">
        <f t="shared" si="16"/>
        <v>23.299299999999999</v>
      </c>
      <c r="X50" s="73">
        <f t="shared" si="17"/>
        <v>1.47E-2</v>
      </c>
      <c r="Y50" s="73">
        <f t="shared" si="18"/>
        <v>23.284599999999998</v>
      </c>
      <c r="Z50" s="74" t="e">
        <f>VLOOKUP(A50,Enforcements!$C$19:$J$57,8,0)</f>
        <v>#N/A</v>
      </c>
      <c r="AA50" s="74" t="e">
        <f>VLOOKUP(A50,Enforcements!$C$19:$J$57,3,0)</f>
        <v>#N/A</v>
      </c>
    </row>
    <row r="51" spans="1:27" s="2" customFormat="1" x14ac:dyDescent="0.25">
      <c r="A51" s="60" t="s">
        <v>382</v>
      </c>
      <c r="B51" s="60">
        <v>4020</v>
      </c>
      <c r="C51" s="60" t="s">
        <v>62</v>
      </c>
      <c r="D51" s="60" t="s">
        <v>64</v>
      </c>
      <c r="E51" s="30">
        <v>42536.411574074074</v>
      </c>
      <c r="F51" s="30">
        <v>42536.412962962961</v>
      </c>
      <c r="G51" s="38">
        <v>1</v>
      </c>
      <c r="H51" s="30" t="s">
        <v>319</v>
      </c>
      <c r="I51" s="30">
        <v>42536.442083333335</v>
      </c>
      <c r="J51" s="60">
        <v>0</v>
      </c>
      <c r="K51" s="60" t="str">
        <f t="shared" si="20"/>
        <v>4019/4020</v>
      </c>
      <c r="L51" s="60" t="str">
        <f>VLOOKUP(A51,'Trips&amp;Operators'!$C$1:$E$10000,3,FALSE)</f>
        <v>ACKERMAN</v>
      </c>
      <c r="M51" s="12">
        <f t="shared" si="21"/>
        <v>2.9120370374585036E-2</v>
      </c>
      <c r="N51" s="13">
        <f t="shared" si="19"/>
        <v>41.933333339402452</v>
      </c>
      <c r="O51" s="13"/>
      <c r="P51" s="13"/>
      <c r="Q51" s="61"/>
      <c r="R51" s="61"/>
      <c r="T5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09:51:40-0600',mode:absolute,to:'2016-06-15 10:37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1" s="73" t="str">
        <f t="shared" si="15"/>
        <v>N</v>
      </c>
      <c r="V51" s="73">
        <f t="shared" si="22"/>
        <v>1</v>
      </c>
      <c r="W51" s="73">
        <f t="shared" si="16"/>
        <v>4.5100000000000001E-2</v>
      </c>
      <c r="X51" s="73">
        <f t="shared" si="17"/>
        <v>23.330500000000001</v>
      </c>
      <c r="Y51" s="73">
        <f t="shared" si="18"/>
        <v>23.285399999999999</v>
      </c>
      <c r="Z51" s="74" t="e">
        <f>VLOOKUP(A51,Enforcements!$C$19:$J$57,8,0)</f>
        <v>#N/A</v>
      </c>
      <c r="AA51" s="74" t="e">
        <f>VLOOKUP(A51,Enforcements!$C$19:$J$57,3,0)</f>
        <v>#N/A</v>
      </c>
    </row>
    <row r="52" spans="1:27" s="2" customFormat="1" x14ac:dyDescent="0.25">
      <c r="A52" s="60" t="s">
        <v>388</v>
      </c>
      <c r="B52" s="60">
        <v>4019</v>
      </c>
      <c r="C52" s="60" t="s">
        <v>62</v>
      </c>
      <c r="D52" s="60" t="s">
        <v>323</v>
      </c>
      <c r="E52" s="30">
        <v>42536.450104166666</v>
      </c>
      <c r="F52" s="30">
        <v>42536.451192129629</v>
      </c>
      <c r="G52" s="38">
        <v>1</v>
      </c>
      <c r="H52" s="30" t="s">
        <v>65</v>
      </c>
      <c r="I52" s="30">
        <v>42536.483287037037</v>
      </c>
      <c r="J52" s="60">
        <v>1</v>
      </c>
      <c r="K52" s="60" t="str">
        <f t="shared" si="20"/>
        <v>4019/4020</v>
      </c>
      <c r="L52" s="60" t="str">
        <f>VLOOKUP(A52,'Trips&amp;Operators'!$C$1:$E$10000,3,FALSE)</f>
        <v>ACKERMAN</v>
      </c>
      <c r="M52" s="12">
        <f t="shared" si="21"/>
        <v>3.2094907408463769E-2</v>
      </c>
      <c r="N52" s="13">
        <f t="shared" si="19"/>
        <v>46.216666668187827</v>
      </c>
      <c r="O52" s="13"/>
      <c r="P52" s="13"/>
      <c r="Q52" s="61"/>
      <c r="R52" s="61"/>
      <c r="T5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10:47:09-0600',mode:absolute,to:'2016-06-15 11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2" s="73" t="str">
        <f t="shared" si="15"/>
        <v>N</v>
      </c>
      <c r="V52" s="73">
        <f t="shared" si="22"/>
        <v>1</v>
      </c>
      <c r="W52" s="73">
        <f t="shared" si="16"/>
        <v>23.298400000000001</v>
      </c>
      <c r="X52" s="73">
        <f t="shared" si="17"/>
        <v>1.52E-2</v>
      </c>
      <c r="Y52" s="73">
        <f t="shared" si="18"/>
        <v>23.283200000000001</v>
      </c>
      <c r="Z52" s="74">
        <f>VLOOKUP(A52,Enforcements!$C$19:$J$57,8,0)</f>
        <v>1</v>
      </c>
      <c r="AA52" s="74" t="str">
        <f>VLOOKUP(A52,Enforcements!$C$19:$J$57,3,0)</f>
        <v>TRACK WARRANT AUTHORITY</v>
      </c>
    </row>
    <row r="53" spans="1:27" s="90" customFormat="1" x14ac:dyDescent="0.25">
      <c r="A53" s="60" t="s">
        <v>386</v>
      </c>
      <c r="B53" s="60">
        <v>4024</v>
      </c>
      <c r="C53" s="60" t="s">
        <v>62</v>
      </c>
      <c r="D53" s="60" t="s">
        <v>85</v>
      </c>
      <c r="E53" s="30">
        <v>42536.425069444442</v>
      </c>
      <c r="F53" s="30">
        <v>42536.426296296297</v>
      </c>
      <c r="G53" s="38">
        <v>1</v>
      </c>
      <c r="H53" s="30" t="s">
        <v>79</v>
      </c>
      <c r="I53" s="30">
        <v>42536.453541666669</v>
      </c>
      <c r="J53" s="60">
        <v>2</v>
      </c>
      <c r="K53" s="60" t="str">
        <f t="shared" si="20"/>
        <v>4023/4024</v>
      </c>
      <c r="L53" s="60" t="str">
        <f>VLOOKUP(A53,'Trips&amp;Operators'!$C$1:$E$10000,3,FALSE)</f>
        <v>SANTIZO</v>
      </c>
      <c r="M53" s="12">
        <f t="shared" si="21"/>
        <v>2.7245370372838806E-2</v>
      </c>
      <c r="N53" s="13">
        <f t="shared" si="19"/>
        <v>39.233333336887881</v>
      </c>
      <c r="O53" s="13"/>
      <c r="P53" s="13"/>
      <c r="Q53" s="61"/>
      <c r="R53" s="61"/>
      <c r="S53" s="2"/>
      <c r="T5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10:11:06-0600',mode:absolute,to:'2016-06-15 10:54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3" s="73" t="str">
        <f t="shared" si="15"/>
        <v>N</v>
      </c>
      <c r="V53" s="73">
        <f t="shared" si="22"/>
        <v>1</v>
      </c>
      <c r="W53" s="73">
        <f t="shared" si="16"/>
        <v>4.5699999999999998E-2</v>
      </c>
      <c r="X53" s="73">
        <f t="shared" si="17"/>
        <v>23.331399999999999</v>
      </c>
      <c r="Y53" s="73">
        <f t="shared" si="18"/>
        <v>23.285699999999999</v>
      </c>
      <c r="Z53" s="74">
        <f>VLOOKUP(A53,Enforcements!$C$19:$J$57,8,0)</f>
        <v>144300</v>
      </c>
      <c r="AA53" s="74" t="str">
        <f>VLOOKUP(A53,Enforcements!$C$19:$J$57,3,0)</f>
        <v>SIGNAL</v>
      </c>
    </row>
    <row r="54" spans="1:27" s="2" customFormat="1" x14ac:dyDescent="0.25">
      <c r="A54" s="60" t="s">
        <v>463</v>
      </c>
      <c r="B54" s="60">
        <v>4023</v>
      </c>
      <c r="C54" s="60" t="s">
        <v>62</v>
      </c>
      <c r="D54" s="60" t="s">
        <v>286</v>
      </c>
      <c r="E54" s="30">
        <v>42536.463738425926</v>
      </c>
      <c r="F54" s="30">
        <v>42536.464699074073</v>
      </c>
      <c r="G54" s="38">
        <v>1</v>
      </c>
      <c r="H54" s="30" t="s">
        <v>98</v>
      </c>
      <c r="I54" s="30">
        <v>42536.491898148146</v>
      </c>
      <c r="J54" s="60">
        <v>1</v>
      </c>
      <c r="K54" s="60" t="str">
        <f t="shared" si="20"/>
        <v>4023/4024</v>
      </c>
      <c r="L54" s="60" t="str">
        <f>VLOOKUP(A54,'Trips&amp;Operators'!$C$1:$E$10000,3,FALSE)</f>
        <v>SANTIZO</v>
      </c>
      <c r="M54" s="12">
        <f t="shared" si="21"/>
        <v>2.7199074072996154E-2</v>
      </c>
      <c r="N54" s="13">
        <f t="shared" si="19"/>
        <v>39.166666665114462</v>
      </c>
      <c r="O54" s="13"/>
      <c r="P54" s="13"/>
      <c r="Q54" s="61"/>
      <c r="R54" s="61"/>
      <c r="T5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11:06:47-0600',mode:absolute,to:'2016-06-15 11:49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4" s="73" t="str">
        <f t="shared" si="15"/>
        <v>N</v>
      </c>
      <c r="V54" s="73">
        <f t="shared" si="22"/>
        <v>1</v>
      </c>
      <c r="W54" s="73">
        <f t="shared" si="16"/>
        <v>23.300599999999999</v>
      </c>
      <c r="X54" s="73">
        <f t="shared" si="17"/>
        <v>1.54E-2</v>
      </c>
      <c r="Y54" s="73">
        <f t="shared" si="18"/>
        <v>23.2852</v>
      </c>
      <c r="Z54" s="74">
        <f>VLOOKUP(A54,Enforcements!$C$19:$J$57,8,0)</f>
        <v>1</v>
      </c>
      <c r="AA54" s="74" t="str">
        <f>VLOOKUP(A54,Enforcements!$C$19:$J$57,3,0)</f>
        <v>TRACK WARRANT AUTHORITY</v>
      </c>
    </row>
    <row r="55" spans="1:27" s="2" customFormat="1" ht="14.25" customHeight="1" x14ac:dyDescent="0.25">
      <c r="A55" s="60" t="s">
        <v>346</v>
      </c>
      <c r="B55" s="60">
        <v>4016</v>
      </c>
      <c r="C55" s="60" t="s">
        <v>62</v>
      </c>
      <c r="D55" s="60" t="s">
        <v>93</v>
      </c>
      <c r="E55" s="30">
        <v>42536.435879629629</v>
      </c>
      <c r="F55" s="30">
        <v>42536.437268518515</v>
      </c>
      <c r="G55" s="38">
        <v>2</v>
      </c>
      <c r="H55" s="30" t="s">
        <v>310</v>
      </c>
      <c r="I55" s="30">
        <v>42536.464965277781</v>
      </c>
      <c r="J55" s="60">
        <v>1</v>
      </c>
      <c r="K55" s="60" t="str">
        <f t="shared" si="20"/>
        <v>4015/4016</v>
      </c>
      <c r="L55" s="60" t="str">
        <f>VLOOKUP(A55,'Trips&amp;Operators'!$C$1:$E$10000,3,FALSE)</f>
        <v>BRANNON</v>
      </c>
      <c r="M55" s="12">
        <f t="shared" si="21"/>
        <v>2.7696759265381843E-2</v>
      </c>
      <c r="N55" s="13">
        <f t="shared" si="19"/>
        <v>39.883333342149854</v>
      </c>
      <c r="O55" s="13"/>
      <c r="P55" s="13"/>
      <c r="Q55" s="61"/>
      <c r="R55" s="61"/>
      <c r="T5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10:26:40-0600',mode:absolute,to:'2016-06-15 11:10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5" s="73" t="str">
        <f t="shared" si="15"/>
        <v>N</v>
      </c>
      <c r="V55" s="73">
        <f t="shared" si="22"/>
        <v>1</v>
      </c>
      <c r="W55" s="73">
        <f t="shared" si="16"/>
        <v>4.53E-2</v>
      </c>
      <c r="X55" s="73">
        <f t="shared" si="17"/>
        <v>23.3293</v>
      </c>
      <c r="Y55" s="73">
        <f t="shared" si="18"/>
        <v>23.283999999999999</v>
      </c>
      <c r="Z55" s="74">
        <f>VLOOKUP(A55,Enforcements!$C$19:$J$57,8,0)</f>
        <v>233491</v>
      </c>
      <c r="AA55" s="74" t="str">
        <f>VLOOKUP(A55,Enforcements!$C$19:$J$57,3,0)</f>
        <v>TRACK WARRANT AUTHORITY</v>
      </c>
    </row>
    <row r="56" spans="1:27" s="2" customFormat="1" x14ac:dyDescent="0.25">
      <c r="A56" s="60" t="s">
        <v>392</v>
      </c>
      <c r="B56" s="60">
        <v>4015</v>
      </c>
      <c r="C56" s="60" t="s">
        <v>62</v>
      </c>
      <c r="D56" s="60" t="s">
        <v>115</v>
      </c>
      <c r="E56" s="30">
        <v>42536.473773148151</v>
      </c>
      <c r="F56" s="30">
        <v>42536.474965277775</v>
      </c>
      <c r="G56" s="38">
        <v>1</v>
      </c>
      <c r="H56" s="30" t="s">
        <v>88</v>
      </c>
      <c r="I56" s="30">
        <v>42536.503587962965</v>
      </c>
      <c r="J56" s="60">
        <v>1</v>
      </c>
      <c r="K56" s="60" t="str">
        <f t="shared" si="20"/>
        <v>4015/4016</v>
      </c>
      <c r="L56" s="60" t="str">
        <f>VLOOKUP(A56,'Trips&amp;Operators'!$C$1:$E$10000,3,FALSE)</f>
        <v>BRANNON</v>
      </c>
      <c r="M56" s="12">
        <f t="shared" si="21"/>
        <v>2.8622685189475305E-2</v>
      </c>
      <c r="N56" s="13">
        <f t="shared" si="19"/>
        <v>41.21666667284444</v>
      </c>
      <c r="O56" s="13"/>
      <c r="P56" s="13"/>
      <c r="Q56" s="61"/>
      <c r="R56" s="61"/>
      <c r="T5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11:21:14-0600',mode:absolute,to:'2016-06-15 12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6" s="73" t="str">
        <f t="shared" si="15"/>
        <v>N</v>
      </c>
      <c r="V56" s="73">
        <f t="shared" si="22"/>
        <v>1</v>
      </c>
      <c r="W56" s="73">
        <f t="shared" si="16"/>
        <v>23.298200000000001</v>
      </c>
      <c r="X56" s="73">
        <f t="shared" si="17"/>
        <v>1.5599999999999999E-2</v>
      </c>
      <c r="Y56" s="73">
        <f t="shared" si="18"/>
        <v>23.282600000000002</v>
      </c>
      <c r="Z56" s="74">
        <f>VLOOKUP(A56,Enforcements!$C$19:$J$57,8,0)</f>
        <v>1</v>
      </c>
      <c r="AA56" s="74" t="str">
        <f>VLOOKUP(A56,Enforcements!$C$19:$J$57,3,0)</f>
        <v>TRACK WARRANT AUTHORITY</v>
      </c>
    </row>
    <row r="57" spans="1:27" s="2" customFormat="1" x14ac:dyDescent="0.25">
      <c r="A57" s="60" t="s">
        <v>402</v>
      </c>
      <c r="B57" s="60">
        <v>4018</v>
      </c>
      <c r="C57" s="60" t="s">
        <v>62</v>
      </c>
      <c r="D57" s="60" t="s">
        <v>328</v>
      </c>
      <c r="E57" s="30">
        <v>42536.442129629628</v>
      </c>
      <c r="F57" s="30">
        <v>42536.443935185183</v>
      </c>
      <c r="G57" s="38">
        <v>2</v>
      </c>
      <c r="H57" s="30" t="s">
        <v>118</v>
      </c>
      <c r="I57" s="30">
        <v>42536.473680555559</v>
      </c>
      <c r="J57" s="60">
        <v>0</v>
      </c>
      <c r="K57" s="60" t="str">
        <f t="shared" si="20"/>
        <v>4017/4018</v>
      </c>
      <c r="L57" s="60" t="str">
        <f>VLOOKUP(A57,'Trips&amp;Operators'!$C$1:$E$10000,3,FALSE)</f>
        <v>RIVERA</v>
      </c>
      <c r="M57" s="12">
        <f t="shared" si="21"/>
        <v>2.9745370375167113E-2</v>
      </c>
      <c r="N57" s="13">
        <f t="shared" si="19"/>
        <v>42.833333340240642</v>
      </c>
      <c r="O57" s="13"/>
      <c r="P57" s="13"/>
      <c r="Q57" s="61"/>
      <c r="R57" s="61"/>
      <c r="T5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10:35:40-0600',mode:absolute,to:'2016-06-15 11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7" s="73" t="str">
        <f t="shared" si="15"/>
        <v>N</v>
      </c>
      <c r="V57" s="73">
        <f t="shared" si="22"/>
        <v>1</v>
      </c>
      <c r="W57" s="73">
        <f t="shared" si="16"/>
        <v>4.7500000000000001E-2</v>
      </c>
      <c r="X57" s="73">
        <f t="shared" si="17"/>
        <v>23.331499999999998</v>
      </c>
      <c r="Y57" s="73">
        <f t="shared" si="18"/>
        <v>23.283999999999999</v>
      </c>
      <c r="Z57" s="74" t="e">
        <f>VLOOKUP(A57,Enforcements!$C$19:$J$57,8,0)</f>
        <v>#N/A</v>
      </c>
      <c r="AA57" s="74" t="e">
        <f>VLOOKUP(A57,Enforcements!$C$19:$J$57,3,0)</f>
        <v>#N/A</v>
      </c>
    </row>
    <row r="58" spans="1:27" s="2" customFormat="1" x14ac:dyDescent="0.25">
      <c r="A58" s="60" t="s">
        <v>334</v>
      </c>
      <c r="B58" s="60">
        <v>4017</v>
      </c>
      <c r="C58" s="60" t="s">
        <v>62</v>
      </c>
      <c r="D58" s="60" t="s">
        <v>86</v>
      </c>
      <c r="E58" s="30">
        <v>42536.479641203703</v>
      </c>
      <c r="F58" s="30">
        <v>42536.481145833335</v>
      </c>
      <c r="G58" s="38">
        <v>2</v>
      </c>
      <c r="H58" s="30" t="s">
        <v>65</v>
      </c>
      <c r="I58" s="30">
        <v>42536.514236111114</v>
      </c>
      <c r="J58" s="60">
        <v>0</v>
      </c>
      <c r="K58" s="60" t="str">
        <f t="shared" si="20"/>
        <v>4017/4018</v>
      </c>
      <c r="L58" s="60" t="str">
        <f>VLOOKUP(A58,'Trips&amp;Operators'!$C$1:$E$10000,3,FALSE)</f>
        <v>RIVERA</v>
      </c>
      <c r="M58" s="12">
        <f t="shared" si="21"/>
        <v>3.309027777868323E-2</v>
      </c>
      <c r="N58" s="13">
        <f t="shared" si="19"/>
        <v>47.650000001303852</v>
      </c>
      <c r="O58" s="13"/>
      <c r="P58" s="13"/>
      <c r="Q58" s="61"/>
      <c r="R58" s="61"/>
      <c r="T58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11:29:41-0600',mode:absolute,to:'2016-06-15 12:21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8" s="73" t="str">
        <f t="shared" si="15"/>
        <v>N</v>
      </c>
      <c r="V58" s="73">
        <f t="shared" si="22"/>
        <v>1</v>
      </c>
      <c r="W58" s="73">
        <f t="shared" si="16"/>
        <v>23.299099999999999</v>
      </c>
      <c r="X58" s="73">
        <f t="shared" si="17"/>
        <v>1.52E-2</v>
      </c>
      <c r="Y58" s="73">
        <f t="shared" si="18"/>
        <v>23.283899999999999</v>
      </c>
      <c r="Z58" s="74" t="e">
        <f>VLOOKUP(A58,Enforcements!$C$19:$J$57,8,0)</f>
        <v>#N/A</v>
      </c>
      <c r="AA58" s="74" t="e">
        <f>VLOOKUP(A58,Enforcements!$C$19:$J$57,3,0)</f>
        <v>#N/A</v>
      </c>
    </row>
    <row r="59" spans="1:27" s="2" customFormat="1" x14ac:dyDescent="0.25">
      <c r="A59" s="60" t="s">
        <v>446</v>
      </c>
      <c r="B59" s="60">
        <v>4040</v>
      </c>
      <c r="C59" s="60" t="s">
        <v>62</v>
      </c>
      <c r="D59" s="60" t="s">
        <v>479</v>
      </c>
      <c r="E59" s="30">
        <v>42536.456076388888</v>
      </c>
      <c r="F59" s="30">
        <v>42536.456805555557</v>
      </c>
      <c r="G59" s="38">
        <v>1</v>
      </c>
      <c r="H59" s="30" t="s">
        <v>290</v>
      </c>
      <c r="I59" s="30">
        <v>42536.483229166668</v>
      </c>
      <c r="J59" s="60">
        <v>1</v>
      </c>
      <c r="K59" s="60" t="str">
        <f t="shared" si="20"/>
        <v>4039/4040</v>
      </c>
      <c r="L59" s="60" t="str">
        <f>VLOOKUP(A59,'Trips&amp;Operators'!$C$1:$E$10000,3,FALSE)</f>
        <v>ROCHA</v>
      </c>
      <c r="M59" s="12">
        <f t="shared" si="21"/>
        <v>2.6423611110658385E-2</v>
      </c>
      <c r="N59" s="13">
        <f t="shared" si="19"/>
        <v>38.049999999348074</v>
      </c>
      <c r="O59" s="13"/>
      <c r="P59" s="13"/>
      <c r="Q59" s="61"/>
      <c r="R59" s="61"/>
      <c r="T59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10:55:45-0600',mode:absolute,to:'2016-06-15 11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59" s="73" t="str">
        <f t="shared" si="15"/>
        <v>N</v>
      </c>
      <c r="V59" s="73">
        <f t="shared" si="22"/>
        <v>1</v>
      </c>
      <c r="W59" s="73">
        <f t="shared" si="16"/>
        <v>4.02E-2</v>
      </c>
      <c r="X59" s="73">
        <f t="shared" si="17"/>
        <v>23.3307</v>
      </c>
      <c r="Y59" s="73">
        <f t="shared" si="18"/>
        <v>23.290500000000002</v>
      </c>
      <c r="Z59" s="74">
        <f>VLOOKUP(A59,Enforcements!$C$19:$J$57,8,0)</f>
        <v>233491</v>
      </c>
      <c r="AA59" s="74" t="str">
        <f>VLOOKUP(A59,Enforcements!$C$19:$J$57,3,0)</f>
        <v>TRACK WARRANT AUTHORITY</v>
      </c>
    </row>
    <row r="60" spans="1:27" s="2" customFormat="1" x14ac:dyDescent="0.25">
      <c r="A60" s="60" t="s">
        <v>394</v>
      </c>
      <c r="B60" s="60">
        <v>4039</v>
      </c>
      <c r="C60" s="60" t="s">
        <v>62</v>
      </c>
      <c r="D60" s="60" t="s">
        <v>312</v>
      </c>
      <c r="E60" s="30">
        <v>42536.488912037035</v>
      </c>
      <c r="F60" s="30">
        <v>42536.490185185183</v>
      </c>
      <c r="G60" s="38">
        <v>1</v>
      </c>
      <c r="H60" s="30" t="s">
        <v>82</v>
      </c>
      <c r="I60" s="30">
        <v>42536.523993055554</v>
      </c>
      <c r="J60" s="60">
        <v>1</v>
      </c>
      <c r="K60" s="60" t="str">
        <f t="shared" si="20"/>
        <v>4039/4040</v>
      </c>
      <c r="L60" s="60" t="str">
        <f>VLOOKUP(A60,'Trips&amp;Operators'!$C$1:$E$10000,3,FALSE)</f>
        <v>ROCHA</v>
      </c>
      <c r="M60" s="12">
        <f t="shared" si="21"/>
        <v>3.3807870371674653E-2</v>
      </c>
      <c r="N60" s="13">
        <f t="shared" si="19"/>
        <v>48.683333335211501</v>
      </c>
      <c r="O60" s="13"/>
      <c r="P60" s="13"/>
      <c r="Q60" s="61"/>
      <c r="R60" s="61"/>
      <c r="T60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11:43:02-0600',mode:absolute,to:'2016-06-15 12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0" s="73" t="str">
        <f t="shared" si="15"/>
        <v>N</v>
      </c>
      <c r="V60" s="73">
        <f t="shared" si="22"/>
        <v>1</v>
      </c>
      <c r="W60" s="73">
        <f t="shared" si="16"/>
        <v>23.3001</v>
      </c>
      <c r="X60" s="73">
        <f t="shared" si="17"/>
        <v>1.43E-2</v>
      </c>
      <c r="Y60" s="73">
        <f t="shared" si="18"/>
        <v>23.285800000000002</v>
      </c>
      <c r="Z60" s="74">
        <f>VLOOKUP(A60,Enforcements!$C$19:$J$57,8,0)</f>
        <v>1</v>
      </c>
      <c r="AA60" s="74" t="str">
        <f>VLOOKUP(A60,Enforcements!$C$19:$J$57,3,0)</f>
        <v>TRACK WARRANT AUTHORITY</v>
      </c>
    </row>
    <row r="61" spans="1:27" s="2" customFormat="1" x14ac:dyDescent="0.25">
      <c r="A61" s="60" t="s">
        <v>425</v>
      </c>
      <c r="B61" s="60">
        <v>4029</v>
      </c>
      <c r="C61" s="60" t="s">
        <v>62</v>
      </c>
      <c r="D61" s="60" t="s">
        <v>292</v>
      </c>
      <c r="E61" s="30">
        <v>42536.46702546296</v>
      </c>
      <c r="F61" s="30">
        <v>42536.468402777777</v>
      </c>
      <c r="G61" s="38">
        <v>1</v>
      </c>
      <c r="H61" s="30" t="s">
        <v>327</v>
      </c>
      <c r="I61" s="30">
        <v>42536.496122685188</v>
      </c>
      <c r="J61" s="60">
        <v>2</v>
      </c>
      <c r="K61" s="60" t="str">
        <f t="shared" si="20"/>
        <v>4029/4030</v>
      </c>
      <c r="L61" s="60" t="str">
        <f>VLOOKUP(A61,'Trips&amp;Operators'!$C$1:$E$10000,3,FALSE)</f>
        <v>BRABO</v>
      </c>
      <c r="M61" s="12">
        <f t="shared" si="21"/>
        <v>2.771990741166519E-2</v>
      </c>
      <c r="N61" s="13">
        <f t="shared" si="19"/>
        <v>39.916666672797874</v>
      </c>
      <c r="O61" s="13"/>
      <c r="P61" s="13"/>
      <c r="Q61" s="61"/>
      <c r="R61" s="61"/>
      <c r="T61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11:11:31-0600',mode:absolute,to:'2016-06-15 11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61" s="73" t="str">
        <f t="shared" si="15"/>
        <v>N</v>
      </c>
      <c r="V61" s="73">
        <f t="shared" si="22"/>
        <v>1</v>
      </c>
      <c r="W61" s="73">
        <f t="shared" si="16"/>
        <v>4.4900000000000002E-2</v>
      </c>
      <c r="X61" s="73">
        <f t="shared" si="17"/>
        <v>23.327200000000001</v>
      </c>
      <c r="Y61" s="73">
        <f t="shared" si="18"/>
        <v>23.282300000000003</v>
      </c>
      <c r="Z61" s="74" t="e">
        <f>VLOOKUP(A61,Enforcements!$C$19:$J$57,8,0)</f>
        <v>#N/A</v>
      </c>
      <c r="AA61" s="74" t="e">
        <f>VLOOKUP(A61,Enforcements!$C$19:$J$57,3,0)</f>
        <v>#N/A</v>
      </c>
    </row>
    <row r="62" spans="1:27" s="2" customFormat="1" x14ac:dyDescent="0.25">
      <c r="A62" s="60" t="s">
        <v>344</v>
      </c>
      <c r="B62" s="60">
        <v>4030</v>
      </c>
      <c r="C62" s="60" t="s">
        <v>62</v>
      </c>
      <c r="D62" s="60" t="s">
        <v>66</v>
      </c>
      <c r="E62" s="30">
        <v>42536.500810185185</v>
      </c>
      <c r="F62" s="30">
        <v>42536.502303240741</v>
      </c>
      <c r="G62" s="38">
        <v>2</v>
      </c>
      <c r="H62" s="30" t="s">
        <v>75</v>
      </c>
      <c r="I62" s="30">
        <v>42536.534074074072</v>
      </c>
      <c r="J62" s="60">
        <v>1</v>
      </c>
      <c r="K62" s="60" t="str">
        <f t="shared" si="20"/>
        <v>4029/4030</v>
      </c>
      <c r="L62" s="60" t="str">
        <f>VLOOKUP(A62,'Trips&amp;Operators'!$C$1:$E$10000,3,FALSE)</f>
        <v>BRABO</v>
      </c>
      <c r="M62" s="12">
        <f t="shared" si="21"/>
        <v>3.1770833331393078E-2</v>
      </c>
      <c r="N62" s="13">
        <f t="shared" si="19"/>
        <v>45.749999997206032</v>
      </c>
      <c r="O62" s="13"/>
      <c r="P62" s="13"/>
      <c r="Q62" s="61"/>
      <c r="R62" s="61"/>
      <c r="T62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12:00:10-0600',mode:absolute,to:'2016-06-15 12:50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62" s="73" t="str">
        <f t="shared" si="15"/>
        <v>N</v>
      </c>
      <c r="V62" s="73">
        <f t="shared" si="22"/>
        <v>1</v>
      </c>
      <c r="W62" s="73">
        <f t="shared" si="16"/>
        <v>23.299399999999999</v>
      </c>
      <c r="X62" s="73">
        <f t="shared" si="17"/>
        <v>1.6E-2</v>
      </c>
      <c r="Y62" s="73">
        <f t="shared" si="18"/>
        <v>23.2834</v>
      </c>
      <c r="Z62" s="74">
        <f>VLOOKUP(A62,Enforcements!$C$19:$J$57,8,0)</f>
        <v>191723</v>
      </c>
      <c r="AA62" s="74" t="str">
        <f>VLOOKUP(A62,Enforcements!$C$19:$J$57,3,0)</f>
        <v>SIGNAL</v>
      </c>
    </row>
    <row r="63" spans="1:27" s="2" customFormat="1" x14ac:dyDescent="0.25">
      <c r="A63" s="60" t="s">
        <v>390</v>
      </c>
      <c r="B63" s="60">
        <v>4025</v>
      </c>
      <c r="C63" s="60" t="s">
        <v>62</v>
      </c>
      <c r="D63" s="60" t="s">
        <v>292</v>
      </c>
      <c r="E63" s="30">
        <v>42536.473726851851</v>
      </c>
      <c r="F63" s="30">
        <v>42536.47483796296</v>
      </c>
      <c r="G63" s="38">
        <v>1</v>
      </c>
      <c r="H63" s="30" t="s">
        <v>308</v>
      </c>
      <c r="I63" s="30">
        <v>42536.506319444445</v>
      </c>
      <c r="J63" s="60">
        <v>0</v>
      </c>
      <c r="K63" s="60" t="str">
        <f t="shared" si="20"/>
        <v>4025/4026</v>
      </c>
      <c r="L63" s="60" t="str">
        <f>VLOOKUP(A63,'Trips&amp;Operators'!$C$1:$E$10000,3,FALSE)</f>
        <v>BONDS</v>
      </c>
      <c r="M63" s="12">
        <f t="shared" si="21"/>
        <v>3.1481481484661344E-2</v>
      </c>
      <c r="N63" s="13">
        <f t="shared" si="19"/>
        <v>45.333333337912336</v>
      </c>
      <c r="O63" s="13"/>
      <c r="P63" s="13"/>
      <c r="Q63" s="61"/>
      <c r="R63" s="61"/>
      <c r="T63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11:21:10-0600',mode:absolute,to:'2016-06-15 12:10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3" s="73" t="str">
        <f t="shared" si="15"/>
        <v>N</v>
      </c>
      <c r="V63" s="73">
        <f t="shared" si="22"/>
        <v>1</v>
      </c>
      <c r="W63" s="73">
        <f t="shared" si="16"/>
        <v>4.4900000000000002E-2</v>
      </c>
      <c r="X63" s="73">
        <f t="shared" si="17"/>
        <v>23.332999999999998</v>
      </c>
      <c r="Y63" s="73">
        <f t="shared" si="18"/>
        <v>23.2881</v>
      </c>
      <c r="Z63" s="74" t="e">
        <f>VLOOKUP(A63,Enforcements!$C$19:$J$57,8,0)</f>
        <v>#N/A</v>
      </c>
      <c r="AA63" s="74" t="e">
        <f>VLOOKUP(A63,Enforcements!$C$19:$J$57,3,0)</f>
        <v>#N/A</v>
      </c>
    </row>
    <row r="64" spans="1:27" s="2" customFormat="1" x14ac:dyDescent="0.25">
      <c r="A64" s="60" t="s">
        <v>400</v>
      </c>
      <c r="B64" s="60">
        <v>4026</v>
      </c>
      <c r="C64" s="60" t="s">
        <v>62</v>
      </c>
      <c r="D64" s="60" t="s">
        <v>285</v>
      </c>
      <c r="E64" s="30">
        <v>42536.51158564815</v>
      </c>
      <c r="F64" s="30">
        <v>42536.512673611112</v>
      </c>
      <c r="G64" s="38">
        <v>1</v>
      </c>
      <c r="H64" s="30" t="s">
        <v>87</v>
      </c>
      <c r="I64" s="30">
        <v>42536.546261574076</v>
      </c>
      <c r="J64" s="60">
        <v>0</v>
      </c>
      <c r="K64" s="60" t="str">
        <f t="shared" si="20"/>
        <v>4025/4026</v>
      </c>
      <c r="L64" s="60" t="str">
        <f>VLOOKUP(A64,'Trips&amp;Operators'!$C$1:$E$10000,3,FALSE)</f>
        <v>BONDS</v>
      </c>
      <c r="M64" s="12">
        <f t="shared" si="21"/>
        <v>3.3587962963792961E-2</v>
      </c>
      <c r="N64" s="13">
        <f t="shared" si="19"/>
        <v>48.366666667861864</v>
      </c>
      <c r="O64" s="13"/>
      <c r="P64" s="13"/>
      <c r="Q64" s="61"/>
      <c r="R64" s="61"/>
      <c r="T64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12:15:41-0600',mode:absolute,to:'2016-06-15 13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4" s="73" t="str">
        <f t="shared" si="15"/>
        <v>N</v>
      </c>
      <c r="V64" s="73">
        <f t="shared" si="22"/>
        <v>1</v>
      </c>
      <c r="W64" s="73">
        <f t="shared" si="16"/>
        <v>23.299199999999999</v>
      </c>
      <c r="X64" s="73">
        <f t="shared" si="17"/>
        <v>1.41E-2</v>
      </c>
      <c r="Y64" s="73">
        <f t="shared" si="18"/>
        <v>23.2851</v>
      </c>
      <c r="Z64" s="74" t="e">
        <f>VLOOKUP(A64,Enforcements!$C$19:$J$57,8,0)</f>
        <v>#N/A</v>
      </c>
      <c r="AA64" s="74" t="e">
        <f>VLOOKUP(A64,Enforcements!$C$19:$J$57,3,0)</f>
        <v>#N/A</v>
      </c>
    </row>
    <row r="65" spans="1:27" s="2" customFormat="1" x14ac:dyDescent="0.25">
      <c r="A65" s="60" t="s">
        <v>336</v>
      </c>
      <c r="B65" s="60">
        <v>4020</v>
      </c>
      <c r="C65" s="60" t="s">
        <v>62</v>
      </c>
      <c r="D65" s="60" t="s">
        <v>292</v>
      </c>
      <c r="E65" s="30">
        <v>42536.486215277779</v>
      </c>
      <c r="F65" s="30">
        <v>42536.487557870372</v>
      </c>
      <c r="G65" s="38">
        <v>1</v>
      </c>
      <c r="H65" s="30" t="s">
        <v>504</v>
      </c>
      <c r="I65" s="30">
        <v>42536.515879629631</v>
      </c>
      <c r="J65" s="60">
        <v>0</v>
      </c>
      <c r="K65" s="60" t="str">
        <f t="shared" si="20"/>
        <v>4019/4020</v>
      </c>
      <c r="L65" s="60" t="str">
        <f>VLOOKUP(A65,'Trips&amp;Operators'!$C$1:$E$10000,3,FALSE)</f>
        <v>MAYBERRY</v>
      </c>
      <c r="M65" s="12">
        <f t="shared" si="21"/>
        <v>2.8321759258687962E-2</v>
      </c>
      <c r="N65" s="13">
        <f t="shared" si="19"/>
        <v>40.783333332510665</v>
      </c>
      <c r="O65" s="13"/>
      <c r="P65" s="13"/>
      <c r="Q65" s="61"/>
      <c r="R65" s="61"/>
      <c r="T65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11:39:09-0600',mode:absolute,to:'2016-06-15 12:23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65" s="73" t="str">
        <f t="shared" si="15"/>
        <v>N</v>
      </c>
      <c r="V65" s="73">
        <f t="shared" si="22"/>
        <v>1</v>
      </c>
      <c r="W65" s="73">
        <f t="shared" si="16"/>
        <v>4.4900000000000002E-2</v>
      </c>
      <c r="X65" s="73">
        <f t="shared" si="17"/>
        <v>23.326799999999999</v>
      </c>
      <c r="Y65" s="73">
        <f t="shared" si="18"/>
        <v>23.2819</v>
      </c>
      <c r="Z65" s="74" t="e">
        <f>VLOOKUP(A65,Enforcements!$C$19:$J$57,8,0)</f>
        <v>#N/A</v>
      </c>
      <c r="AA65" s="74" t="e">
        <f>VLOOKUP(A65,Enforcements!$C$19:$J$57,3,0)</f>
        <v>#N/A</v>
      </c>
    </row>
    <row r="66" spans="1:27" s="2" customFormat="1" x14ac:dyDescent="0.25">
      <c r="A66" s="60" t="s">
        <v>469</v>
      </c>
      <c r="B66" s="60">
        <v>4019</v>
      </c>
      <c r="C66" s="60" t="s">
        <v>62</v>
      </c>
      <c r="D66" s="60" t="s">
        <v>253</v>
      </c>
      <c r="E66" s="30">
        <v>42536.517199074071</v>
      </c>
      <c r="F66" s="30">
        <v>42536.518680555557</v>
      </c>
      <c r="G66" s="38">
        <v>2</v>
      </c>
      <c r="H66" s="30" t="s">
        <v>89</v>
      </c>
      <c r="I66" s="30">
        <v>42536.557083333333</v>
      </c>
      <c r="J66" s="60">
        <v>0</v>
      </c>
      <c r="K66" s="60" t="str">
        <f t="shared" si="20"/>
        <v>4019/4020</v>
      </c>
      <c r="L66" s="60" t="str">
        <f>VLOOKUP(A66,'Trips&amp;Operators'!$C$1:$E$10000,3,FALSE)</f>
        <v>MAYBERRY</v>
      </c>
      <c r="M66" s="12">
        <f t="shared" si="21"/>
        <v>3.8402777776354924E-2</v>
      </c>
      <c r="N66" s="13">
        <f t="shared" si="19"/>
        <v>55.29999999795109</v>
      </c>
      <c r="O66" s="13"/>
      <c r="P66" s="13"/>
      <c r="Q66" s="61"/>
      <c r="R66" s="61"/>
      <c r="T66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12:23:46-0600',mode:absolute,to:'2016-06-15 13:23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66" s="73" t="str">
        <f t="shared" si="15"/>
        <v>N</v>
      </c>
      <c r="V66" s="73">
        <f t="shared" si="22"/>
        <v>1</v>
      </c>
      <c r="W66" s="73">
        <f t="shared" si="16"/>
        <v>23.298100000000002</v>
      </c>
      <c r="X66" s="73">
        <f t="shared" si="17"/>
        <v>1.49E-2</v>
      </c>
      <c r="Y66" s="73">
        <f t="shared" si="18"/>
        <v>23.283200000000001</v>
      </c>
      <c r="Z66" s="74" t="e">
        <f>VLOOKUP(A66,Enforcements!$C$19:$J$57,8,0)</f>
        <v>#N/A</v>
      </c>
      <c r="AA66" s="74" t="e">
        <f>VLOOKUP(A66,Enforcements!$C$19:$J$57,3,0)</f>
        <v>#N/A</v>
      </c>
    </row>
    <row r="67" spans="1:27" s="2" customFormat="1" x14ac:dyDescent="0.25">
      <c r="A67" s="60" t="s">
        <v>443</v>
      </c>
      <c r="B67" s="60">
        <v>4024</v>
      </c>
      <c r="C67" s="60" t="s">
        <v>62</v>
      </c>
      <c r="D67" s="60" t="s">
        <v>316</v>
      </c>
      <c r="E67" s="30">
        <v>42536.497453703705</v>
      </c>
      <c r="F67" s="30">
        <v>42536.498425925929</v>
      </c>
      <c r="G67" s="38">
        <v>1</v>
      </c>
      <c r="H67" s="30" t="s">
        <v>505</v>
      </c>
      <c r="I67" s="30">
        <v>42536.525219907409</v>
      </c>
      <c r="J67" s="60">
        <v>0</v>
      </c>
      <c r="K67" s="60" t="str">
        <f t="shared" ref="K67:K98" si="23">IF(ISEVEN(B67),(B67-1)&amp;"/"&amp;B67,B67&amp;"/"&amp;(B67+1))</f>
        <v>4023/4024</v>
      </c>
      <c r="L67" s="60" t="str">
        <f>VLOOKUP(A67,'Trips&amp;Operators'!$C$1:$E$10000,3,FALSE)</f>
        <v>SANTIZO</v>
      </c>
      <c r="M67" s="12">
        <f t="shared" ref="M67:M98" si="24">I67-F67</f>
        <v>2.679398148029577E-2</v>
      </c>
      <c r="N67" s="13">
        <f t="shared" si="19"/>
        <v>38.583333331625909</v>
      </c>
      <c r="O67" s="13"/>
      <c r="P67" s="13"/>
      <c r="Q67" s="61"/>
      <c r="R67" s="61"/>
      <c r="T67" s="73" t="str">
        <f t="shared" si="14"/>
        <v>https://search-rtdc-monitor-bjffxe2xuh6vdkpspy63sjmuny.us-east-1.es.amazonaws.com/_plugin/kibana/#/discover/Steve-Slow-Train-Analysis-(2080s-and-2083s)?_g=(refreshInterval:(display:Off,section:0,value:0),time:(from:'2016-06-15 11:55:20-0600',mode:absolute,to:'2016-06-15 12:37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7" s="73" t="str">
        <f t="shared" si="15"/>
        <v>N</v>
      </c>
      <c r="V67" s="73">
        <f t="shared" ref="V67:V98" si="25">VALUE(LEFT(A67,3))-VALUE(LEFT(A66,3))</f>
        <v>1</v>
      </c>
      <c r="W67" s="73">
        <f t="shared" si="16"/>
        <v>4.7100000000000003E-2</v>
      </c>
      <c r="X67" s="73">
        <f t="shared" si="17"/>
        <v>23.330100000000002</v>
      </c>
      <c r="Y67" s="73">
        <f t="shared" si="18"/>
        <v>23.283000000000001</v>
      </c>
      <c r="Z67" s="74" t="e">
        <f>VLOOKUP(A67,Enforcements!$C$19:$J$57,8,0)</f>
        <v>#N/A</v>
      </c>
      <c r="AA67" s="74" t="e">
        <f>VLOOKUP(A67,Enforcements!$C$19:$J$57,3,0)</f>
        <v>#N/A</v>
      </c>
    </row>
    <row r="68" spans="1:27" s="2" customFormat="1" x14ac:dyDescent="0.25">
      <c r="A68" s="60" t="s">
        <v>342</v>
      </c>
      <c r="B68" s="60">
        <v>4023</v>
      </c>
      <c r="C68" s="60" t="s">
        <v>62</v>
      </c>
      <c r="D68" s="60" t="s">
        <v>307</v>
      </c>
      <c r="E68" s="30">
        <v>42536.534884259258</v>
      </c>
      <c r="F68" s="30">
        <v>42536.535879629628</v>
      </c>
      <c r="G68" s="38">
        <v>1</v>
      </c>
      <c r="H68" s="30" t="s">
        <v>71</v>
      </c>
      <c r="I68" s="30">
        <v>42536.564444444448</v>
      </c>
      <c r="J68" s="60">
        <v>0</v>
      </c>
      <c r="K68" s="60" t="str">
        <f t="shared" si="23"/>
        <v>4023/4024</v>
      </c>
      <c r="L68" s="60" t="str">
        <f>VLOOKUP(A68,'Trips&amp;Operators'!$C$1:$E$10000,3,FALSE)</f>
        <v>SANTIZO</v>
      </c>
      <c r="M68" s="12">
        <f t="shared" si="24"/>
        <v>2.8564814820128959E-2</v>
      </c>
      <c r="N68" s="13">
        <f t="shared" si="19"/>
        <v>41.1333333409857</v>
      </c>
      <c r="O68" s="13"/>
      <c r="P68" s="13"/>
      <c r="Q68" s="61"/>
      <c r="R68" s="61"/>
      <c r="T68" s="73" t="str">
        <f t="shared" ref="T68:T74" si="26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https://search-rtdc-monitor-bjffxe2xuh6vdkpspy63sjmuny.us-east-1.es.amazonaws.com/_plugin/kibana/#/discover/Steve-Slow-Train-Analysis-(2080s-and-2083s)?_g=(refreshInterval:(display:Off,section:0,value:0),time:(from:'2016-06-15 12:49:14-0600',mode:absolute,to:'2016-06-15 13:33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8" s="73" t="str">
        <f t="shared" ref="U68:U74" si="27">IF(Y68&lt;23,"Y","N")</f>
        <v>N</v>
      </c>
      <c r="V68" s="73">
        <f t="shared" si="25"/>
        <v>1</v>
      </c>
      <c r="W68" s="73">
        <f t="shared" ref="W68:W74" si="28">RIGHT(D68,LEN(D68)-4)/10000</f>
        <v>23.298999999999999</v>
      </c>
      <c r="X68" s="73">
        <f t="shared" ref="X68:X74" si="29">RIGHT(H68,LEN(H68)-4)/10000</f>
        <v>1.4999999999999999E-2</v>
      </c>
      <c r="Y68" s="73">
        <f t="shared" ref="Y68:Y74" si="30">ABS(X68-W68)</f>
        <v>23.283999999999999</v>
      </c>
      <c r="Z68" s="74" t="e">
        <f>VLOOKUP(A68,Enforcements!$C$19:$J$57,8,0)</f>
        <v>#N/A</v>
      </c>
      <c r="AA68" s="74" t="e">
        <f>VLOOKUP(A68,Enforcements!$C$19:$J$57,3,0)</f>
        <v>#N/A</v>
      </c>
    </row>
    <row r="69" spans="1:27" s="2" customFormat="1" x14ac:dyDescent="0.25">
      <c r="A69" s="60" t="s">
        <v>337</v>
      </c>
      <c r="B69" s="60">
        <v>4016</v>
      </c>
      <c r="C69" s="60" t="s">
        <v>62</v>
      </c>
      <c r="D69" s="60" t="s">
        <v>275</v>
      </c>
      <c r="E69" s="30">
        <v>42536.507581018515</v>
      </c>
      <c r="F69" s="30">
        <v>42536.509293981479</v>
      </c>
      <c r="G69" s="38">
        <v>2</v>
      </c>
      <c r="H69" s="30" t="s">
        <v>503</v>
      </c>
      <c r="I69" s="30">
        <v>42536.539710648147</v>
      </c>
      <c r="J69" s="60">
        <v>2</v>
      </c>
      <c r="K69" s="60" t="str">
        <f t="shared" si="23"/>
        <v>4015/4016</v>
      </c>
      <c r="L69" s="60" t="str">
        <f>VLOOKUP(A69,'Trips&amp;Operators'!$C$1:$E$10000,3,FALSE)</f>
        <v>STEWART</v>
      </c>
      <c r="M69" s="12">
        <f t="shared" si="24"/>
        <v>3.0416666668315884E-2</v>
      </c>
      <c r="N69" s="13">
        <f t="shared" si="19"/>
        <v>43.800000002374873</v>
      </c>
      <c r="O69" s="13"/>
      <c r="P69" s="13"/>
      <c r="Q69" s="61"/>
      <c r="R69" s="61"/>
      <c r="T69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https://search-rtdc-monitor-bjffxe2xuh6vdkpspy63sjmuny.us-east-1.es.amazonaws.com/_plugin/kibana/#/discover/Steve-Slow-Train-Analysis-(2080s-and-2083s)?_g=(refreshInterval:(display:Off,section:0,value:0),time:(from:'2016-06-15 12:09:55-0600',mode:absolute,to:'2016-06-15 12:58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9" s="73" t="str">
        <f t="shared" si="27"/>
        <v>N</v>
      </c>
      <c r="V69" s="73">
        <f t="shared" si="25"/>
        <v>1</v>
      </c>
      <c r="W69" s="73">
        <f t="shared" si="28"/>
        <v>4.4600000000000001E-2</v>
      </c>
      <c r="X69" s="73">
        <f t="shared" si="29"/>
        <v>23.3323</v>
      </c>
      <c r="Y69" s="73">
        <f t="shared" si="30"/>
        <v>23.287700000000001</v>
      </c>
      <c r="Z69" s="74" t="e">
        <f>VLOOKUP(A69,Enforcements!$C$19:$J$57,8,0)</f>
        <v>#N/A</v>
      </c>
      <c r="AA69" s="74" t="e">
        <f>VLOOKUP(A69,Enforcements!$C$19:$J$57,3,0)</f>
        <v>#N/A</v>
      </c>
    </row>
    <row r="70" spans="1:27" s="2" customFormat="1" x14ac:dyDescent="0.25">
      <c r="A70" s="60" t="s">
        <v>395</v>
      </c>
      <c r="B70" s="60">
        <v>4015</v>
      </c>
      <c r="C70" s="60" t="s">
        <v>62</v>
      </c>
      <c r="D70" s="60" t="s">
        <v>478</v>
      </c>
      <c r="E70" s="30">
        <v>42536.546932870369</v>
      </c>
      <c r="F70" s="30">
        <v>42536.548368055555</v>
      </c>
      <c r="G70" s="38">
        <v>2</v>
      </c>
      <c r="H70" s="30" t="s">
        <v>65</v>
      </c>
      <c r="I70" s="30">
        <v>42536.579606481479</v>
      </c>
      <c r="J70" s="60">
        <v>4</v>
      </c>
      <c r="K70" s="60" t="str">
        <f t="shared" si="23"/>
        <v>4015/4016</v>
      </c>
      <c r="L70" s="60" t="str">
        <f>VLOOKUP(A70,'Trips&amp;Operators'!$C$1:$E$10000,3,FALSE)</f>
        <v>STEWART</v>
      </c>
      <c r="M70" s="12">
        <f t="shared" si="24"/>
        <v>3.1238425923220348E-2</v>
      </c>
      <c r="N70" s="13">
        <f t="shared" si="19"/>
        <v>44.983333329437301</v>
      </c>
      <c r="O70" s="13"/>
      <c r="P70" s="13"/>
      <c r="Q70" s="61"/>
      <c r="R70" s="61"/>
      <c r="T70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https://search-rtdc-monitor-bjffxe2xuh6vdkpspy63sjmuny.us-east-1.es.amazonaws.com/_plugin/kibana/#/discover/Steve-Slow-Train-Analysis-(2080s-and-2083s)?_g=(refreshInterval:(display:Off,section:0,value:0),time:(from:'2016-06-15 13:06:35-0600',mode:absolute,to:'2016-06-15 13:55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70" s="73" t="str">
        <f t="shared" si="27"/>
        <v>N</v>
      </c>
      <c r="V70" s="73">
        <f t="shared" si="25"/>
        <v>1</v>
      </c>
      <c r="W70" s="73">
        <f t="shared" si="28"/>
        <v>23.297899999999998</v>
      </c>
      <c r="X70" s="73">
        <f t="shared" si="29"/>
        <v>1.52E-2</v>
      </c>
      <c r="Y70" s="73">
        <f t="shared" si="30"/>
        <v>23.282699999999998</v>
      </c>
      <c r="Z70" s="74">
        <f>VLOOKUP(A70,Enforcements!$C$19:$J$57,8,0)</f>
        <v>1</v>
      </c>
      <c r="AA70" s="74" t="str">
        <f>VLOOKUP(A70,Enforcements!$C$19:$J$57,3,0)</f>
        <v>TRACK WARRANT AUTHORITY</v>
      </c>
    </row>
    <row r="71" spans="1:27" s="2" customFormat="1" x14ac:dyDescent="0.25">
      <c r="A71" s="60" t="s">
        <v>376</v>
      </c>
      <c r="B71" s="60">
        <v>4018</v>
      </c>
      <c r="C71" s="60" t="s">
        <v>62</v>
      </c>
      <c r="D71" s="60" t="s">
        <v>294</v>
      </c>
      <c r="E71" s="30">
        <v>42536.515960648147</v>
      </c>
      <c r="F71" s="30">
        <v>42536.51699074074</v>
      </c>
      <c r="G71" s="38">
        <v>1</v>
      </c>
      <c r="H71" s="30" t="s">
        <v>96</v>
      </c>
      <c r="I71" s="30">
        <v>42536.546458333331</v>
      </c>
      <c r="J71" s="60">
        <v>0</v>
      </c>
      <c r="K71" s="60" t="str">
        <f t="shared" si="23"/>
        <v>4017/4018</v>
      </c>
      <c r="L71" s="60" t="str">
        <f>VLOOKUP(A71,'Trips&amp;Operators'!$C$1:$E$10000,3,FALSE)</f>
        <v>RIVERA</v>
      </c>
      <c r="M71" s="12">
        <f t="shared" si="24"/>
        <v>2.9467592590663116E-2</v>
      </c>
      <c r="N71" s="13">
        <f t="shared" si="19"/>
        <v>42.433333330554888</v>
      </c>
      <c r="O71" s="13"/>
      <c r="P71" s="13"/>
      <c r="Q71" s="61"/>
      <c r="R71" s="61"/>
      <c r="T71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https://search-rtdc-monitor-bjffxe2xuh6vdkpspy63sjmuny.us-east-1.es.amazonaws.com/_plugin/kibana/#/discover/Steve-Slow-Train-Analysis-(2080s-and-2083s)?_g=(refreshInterval:(display:Off,section:0,value:0),time:(from:'2016-06-15 12:21:59-0600',mode:absolute,to:'2016-06-15 13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71" s="73" t="str">
        <f t="shared" si="27"/>
        <v>N</v>
      </c>
      <c r="V71" s="73">
        <f t="shared" si="25"/>
        <v>1</v>
      </c>
      <c r="W71" s="73">
        <f t="shared" si="28"/>
        <v>4.7800000000000002E-2</v>
      </c>
      <c r="X71" s="73">
        <f t="shared" si="29"/>
        <v>23.331099999999999</v>
      </c>
      <c r="Y71" s="73">
        <f t="shared" si="30"/>
        <v>23.283300000000001</v>
      </c>
      <c r="Z71" s="74" t="e">
        <f>VLOOKUP(A71,Enforcements!$C$19:$J$57,8,0)</f>
        <v>#N/A</v>
      </c>
      <c r="AA71" s="74" t="e">
        <f>VLOOKUP(A71,Enforcements!$C$19:$J$57,3,0)</f>
        <v>#N/A</v>
      </c>
    </row>
    <row r="72" spans="1:27" s="2" customFormat="1" x14ac:dyDescent="0.25">
      <c r="A72" s="60" t="s">
        <v>398</v>
      </c>
      <c r="B72" s="60">
        <v>4017</v>
      </c>
      <c r="C72" s="60" t="s">
        <v>62</v>
      </c>
      <c r="D72" s="60" t="s">
        <v>285</v>
      </c>
      <c r="E72" s="30">
        <v>42536.554224537038</v>
      </c>
      <c r="F72" s="30">
        <v>42536.555150462962</v>
      </c>
      <c r="G72" s="38">
        <v>1</v>
      </c>
      <c r="H72" s="30" t="s">
        <v>87</v>
      </c>
      <c r="I72" s="30">
        <v>42536.589548611111</v>
      </c>
      <c r="J72" s="60">
        <v>0</v>
      </c>
      <c r="K72" s="60" t="str">
        <f t="shared" si="23"/>
        <v>4017/4018</v>
      </c>
      <c r="L72" s="60" t="str">
        <f>VLOOKUP(A72,'Trips&amp;Operators'!$C$1:$E$10000,3,FALSE)</f>
        <v>RIVERA</v>
      </c>
      <c r="M72" s="12">
        <f t="shared" si="24"/>
        <v>3.439814814919373E-2</v>
      </c>
      <c r="N72" s="13">
        <f t="shared" si="19"/>
        <v>49.533333334838971</v>
      </c>
      <c r="O72" s="13"/>
      <c r="P72" s="13"/>
      <c r="Q72" s="61"/>
      <c r="R72" s="61"/>
      <c r="T72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https://search-rtdc-monitor-bjffxe2xuh6vdkpspy63sjmuny.us-east-1.es.amazonaws.com/_plugin/kibana/#/discover/Steve-Slow-Train-Analysis-(2080s-and-2083s)?_g=(refreshInterval:(display:Off,section:0,value:0),time:(from:'2016-06-15 13:17:05-0600',mode:absolute,to:'2016-06-15 14:09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72" s="73" t="str">
        <f t="shared" si="27"/>
        <v>N</v>
      </c>
      <c r="V72" s="73">
        <f t="shared" si="25"/>
        <v>1</v>
      </c>
      <c r="W72" s="73">
        <f t="shared" si="28"/>
        <v>23.299199999999999</v>
      </c>
      <c r="X72" s="73">
        <f t="shared" si="29"/>
        <v>1.41E-2</v>
      </c>
      <c r="Y72" s="73">
        <f t="shared" si="30"/>
        <v>23.2851</v>
      </c>
      <c r="Z72" s="74" t="e">
        <f>VLOOKUP(A72,Enforcements!$C$19:$J$57,8,0)</f>
        <v>#N/A</v>
      </c>
      <c r="AA72" s="74" t="e">
        <f>VLOOKUP(A72,Enforcements!$C$19:$J$57,3,0)</f>
        <v>#N/A</v>
      </c>
    </row>
    <row r="73" spans="1:27" s="2" customFormat="1" x14ac:dyDescent="0.25">
      <c r="A73" s="60" t="s">
        <v>397</v>
      </c>
      <c r="B73" s="60">
        <v>4040</v>
      </c>
      <c r="C73" s="60" t="s">
        <v>62</v>
      </c>
      <c r="D73" s="60" t="s">
        <v>85</v>
      </c>
      <c r="E73" s="30">
        <v>42536.527326388888</v>
      </c>
      <c r="F73" s="30">
        <v>42536.529224537036</v>
      </c>
      <c r="G73" s="38">
        <v>2</v>
      </c>
      <c r="H73" s="30" t="s">
        <v>270</v>
      </c>
      <c r="I73" s="30">
        <v>42536.556886574072</v>
      </c>
      <c r="J73" s="60">
        <v>0</v>
      </c>
      <c r="K73" s="60" t="str">
        <f t="shared" si="23"/>
        <v>4039/4040</v>
      </c>
      <c r="L73" s="60" t="str">
        <f>VLOOKUP(A73,'Trips&amp;Operators'!$C$1:$E$10000,3,FALSE)</f>
        <v>BEAM</v>
      </c>
      <c r="M73" s="12">
        <f t="shared" si="24"/>
        <v>2.7662037035042886E-2</v>
      </c>
      <c r="N73" s="13">
        <f t="shared" si="19"/>
        <v>39.833333330461755</v>
      </c>
      <c r="O73" s="13"/>
      <c r="P73" s="13"/>
      <c r="Q73" s="61"/>
      <c r="R73" s="61"/>
      <c r="T73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https://search-rtdc-monitor-bjffxe2xuh6vdkpspy63sjmuny.us-east-1.es.amazonaws.com/_plugin/kibana/#/discover/Steve-Slow-Train-Analysis-(2080s-and-2083s)?_g=(refreshInterval:(display:Off,section:0,value:0),time:(from:'2016-06-15 12:38:21-0600',mode:absolute,to:'2016-06-15 13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3" s="73" t="str">
        <f t="shared" si="27"/>
        <v>N</v>
      </c>
      <c r="V73" s="73">
        <f t="shared" si="25"/>
        <v>1</v>
      </c>
      <c r="W73" s="73">
        <f t="shared" si="28"/>
        <v>4.5699999999999998E-2</v>
      </c>
      <c r="X73" s="73">
        <f t="shared" si="29"/>
        <v>23.331700000000001</v>
      </c>
      <c r="Y73" s="73">
        <f t="shared" si="30"/>
        <v>23.286000000000001</v>
      </c>
      <c r="Z73" s="74" t="e">
        <f>VLOOKUP(A73,Enforcements!$C$19:$J$57,8,0)</f>
        <v>#N/A</v>
      </c>
      <c r="AA73" s="74" t="e">
        <f>VLOOKUP(A73,Enforcements!$C$19:$J$57,3,0)</f>
        <v>#N/A</v>
      </c>
    </row>
    <row r="74" spans="1:27" s="2" customFormat="1" x14ac:dyDescent="0.25">
      <c r="A74" s="60" t="s">
        <v>456</v>
      </c>
      <c r="B74" s="60">
        <v>4039</v>
      </c>
      <c r="C74" s="60" t="s">
        <v>62</v>
      </c>
      <c r="D74" s="60" t="s">
        <v>287</v>
      </c>
      <c r="E74" s="30">
        <v>42536.566747685189</v>
      </c>
      <c r="F74" s="30">
        <v>42536.567754629628</v>
      </c>
      <c r="G74" s="38">
        <v>1</v>
      </c>
      <c r="H74" s="30" t="s">
        <v>71</v>
      </c>
      <c r="I74" s="30">
        <v>42536.596643518518</v>
      </c>
      <c r="J74" s="60">
        <v>0</v>
      </c>
      <c r="K74" s="60" t="str">
        <f t="shared" si="23"/>
        <v>4039/4040</v>
      </c>
      <c r="L74" s="60" t="str">
        <f>VLOOKUP(A74,'Trips&amp;Operators'!$C$1:$E$10000,3,FALSE)</f>
        <v>BEAM</v>
      </c>
      <c r="M74" s="12">
        <f t="shared" si="24"/>
        <v>2.8888888889923692E-2</v>
      </c>
      <c r="N74" s="13">
        <f t="shared" si="19"/>
        <v>41.600000001490116</v>
      </c>
      <c r="O74" s="13"/>
      <c r="P74" s="13"/>
      <c r="Q74" s="61"/>
      <c r="R74" s="61"/>
      <c r="T74" s="73" t="str">
        <f t="shared" si="26"/>
        <v>https://search-rtdc-monitor-bjffxe2xuh6vdkpspy63sjmuny.us-east-1.es.amazonaws.com/_plugin/kibana/#/discover/Steve-Slow-Train-Analysis-(2080s-and-2083s)?_g=(refreshInterval:(display:Off,section:0,value:0),time:(from:'2016-06-15 13:35:07-0600',mode:absolute,to:'2016-06-15 14:20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4" s="73" t="str">
        <f t="shared" si="27"/>
        <v>N</v>
      </c>
      <c r="V74" s="73">
        <f t="shared" si="25"/>
        <v>1</v>
      </c>
      <c r="W74" s="73">
        <f t="shared" si="28"/>
        <v>23.299299999999999</v>
      </c>
      <c r="X74" s="73">
        <f t="shared" si="29"/>
        <v>1.4999999999999999E-2</v>
      </c>
      <c r="Y74" s="73">
        <f t="shared" si="30"/>
        <v>23.284299999999998</v>
      </c>
      <c r="Z74" s="74" t="e">
        <f>VLOOKUP(A74,Enforcements!$C$19:$J$57,8,0)</f>
        <v>#N/A</v>
      </c>
      <c r="AA74" s="74" t="e">
        <f>VLOOKUP(A74,Enforcements!$C$19:$J$57,3,0)</f>
        <v>#N/A</v>
      </c>
    </row>
    <row r="75" spans="1:27" s="2" customFormat="1" x14ac:dyDescent="0.25">
      <c r="A75" s="60" t="s">
        <v>361</v>
      </c>
      <c r="B75" s="60">
        <v>4029</v>
      </c>
      <c r="C75" s="60"/>
      <c r="D75" s="60"/>
      <c r="E75" s="30"/>
      <c r="F75" s="30">
        <v>42536.54042824074</v>
      </c>
      <c r="G75" s="38"/>
      <c r="H75" s="30"/>
      <c r="I75" s="30">
        <v>42536.542870370373</v>
      </c>
      <c r="J75" s="60"/>
      <c r="K75" s="60" t="str">
        <f t="shared" si="23"/>
        <v>4029/4030</v>
      </c>
      <c r="L75" s="60" t="str">
        <f>VLOOKUP(A75,'Trips&amp;Operators'!$C$1:$E$10000,3,FALSE)</f>
        <v>LOZA</v>
      </c>
      <c r="M75" s="12">
        <f t="shared" si="24"/>
        <v>2.4421296329819597E-3</v>
      </c>
      <c r="N75" s="13"/>
      <c r="O75" s="13"/>
      <c r="P75" s="13">
        <f>24*60*SUM($M75:$M75)</f>
        <v>3.516666671494022</v>
      </c>
      <c r="Q75" s="61"/>
      <c r="R75" s="61" t="s">
        <v>566</v>
      </c>
      <c r="T75" s="73" t="e">
        <f t="shared" ref="T75:T78" si="31"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#VALUE!</v>
      </c>
      <c r="U75" s="73" t="e">
        <f t="shared" ref="U75:U78" si="32">IF(Y75&lt;23,"Y","N")</f>
        <v>#VALUE!</v>
      </c>
      <c r="V75" s="73">
        <f t="shared" si="25"/>
        <v>1</v>
      </c>
      <c r="W75" s="73" t="e">
        <f t="shared" ref="W75:W78" si="33">RIGHT(D75,LEN(D75)-4)/10000</f>
        <v>#VALUE!</v>
      </c>
      <c r="X75" s="73" t="e">
        <f t="shared" ref="X75:X78" si="34">RIGHT(H75,LEN(H75)-4)/10000</f>
        <v>#VALUE!</v>
      </c>
      <c r="Y75" s="73" t="e">
        <f t="shared" ref="Y75:Y78" si="35">ABS(X75-W75)</f>
        <v>#VALUE!</v>
      </c>
      <c r="Z75" s="74"/>
      <c r="AA75" s="74"/>
    </row>
    <row r="76" spans="1:27" s="2" customFormat="1" x14ac:dyDescent="0.25">
      <c r="A76" s="60" t="s">
        <v>444</v>
      </c>
      <c r="B76" s="60">
        <v>4030</v>
      </c>
      <c r="C76" s="60"/>
      <c r="D76" s="60"/>
      <c r="E76" s="30"/>
      <c r="F76" s="30">
        <v>42536.578553240739</v>
      </c>
      <c r="G76" s="38"/>
      <c r="H76" s="30"/>
      <c r="I76" s="30">
        <v>42536.640347222223</v>
      </c>
      <c r="J76" s="60"/>
      <c r="K76" s="60" t="str">
        <f t="shared" si="23"/>
        <v>4029/4030</v>
      </c>
      <c r="L76" s="60" t="str">
        <f>VLOOKUP(A76,'Trips&amp;Operators'!$C$1:$E$10000,3,FALSE)</f>
        <v>LOZA</v>
      </c>
      <c r="M76" s="12">
        <f t="shared" si="24"/>
        <v>6.179398148378823E-2</v>
      </c>
      <c r="N76" s="13"/>
      <c r="O76" s="13"/>
      <c r="P76" s="13">
        <f>24*60*SUM($M76:$M76)</f>
        <v>88.983333336655051</v>
      </c>
      <c r="Q76" s="61"/>
      <c r="R76" s="61" t="s">
        <v>329</v>
      </c>
      <c r="T76" s="73" t="e">
        <f t="shared" si="31"/>
        <v>#VALUE!</v>
      </c>
      <c r="U76" s="73" t="e">
        <f t="shared" si="32"/>
        <v>#VALUE!</v>
      </c>
      <c r="V76" s="73">
        <f t="shared" si="25"/>
        <v>1</v>
      </c>
      <c r="W76" s="73" t="e">
        <f t="shared" si="33"/>
        <v>#VALUE!</v>
      </c>
      <c r="X76" s="73" t="e">
        <f t="shared" si="34"/>
        <v>#VALUE!</v>
      </c>
      <c r="Y76" s="73" t="e">
        <f t="shared" si="35"/>
        <v>#VALUE!</v>
      </c>
      <c r="Z76" s="74"/>
      <c r="AA76" s="74"/>
    </row>
    <row r="77" spans="1:27" s="2" customFormat="1" x14ac:dyDescent="0.25">
      <c r="A77" s="60" t="s">
        <v>396</v>
      </c>
      <c r="B77" s="60">
        <v>4025</v>
      </c>
      <c r="C77" s="60" t="s">
        <v>62</v>
      </c>
      <c r="D77" s="60" t="s">
        <v>320</v>
      </c>
      <c r="E77" s="30">
        <v>42536.547731481478</v>
      </c>
      <c r="F77" s="30">
        <v>42536.548634259256</v>
      </c>
      <c r="G77" s="38">
        <v>1</v>
      </c>
      <c r="H77" s="30" t="s">
        <v>289</v>
      </c>
      <c r="I77" s="30">
        <v>42536.577916666669</v>
      </c>
      <c r="J77" s="60">
        <v>1</v>
      </c>
      <c r="K77" s="60" t="str">
        <f t="shared" si="23"/>
        <v>4025/4026</v>
      </c>
      <c r="L77" s="60" t="str">
        <f>VLOOKUP(A77,'Trips&amp;Operators'!$C$1:$E$10000,3,FALSE)</f>
        <v>BONDS</v>
      </c>
      <c r="M77" s="12">
        <f t="shared" si="24"/>
        <v>2.9282407413120382E-2</v>
      </c>
      <c r="N77" s="13">
        <f t="shared" ref="N77:N83" si="36">24*60*SUM($M77:$M77)</f>
        <v>42.166666674893349</v>
      </c>
      <c r="O77" s="13"/>
      <c r="P77" s="13"/>
      <c r="Q77" s="61"/>
      <c r="R77" s="61"/>
      <c r="T77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https://search-rtdc-monitor-bjffxe2xuh6vdkpspy63sjmuny.us-east-1.es.amazonaws.com/_plugin/kibana/#/discover/Steve-Slow-Train-Analysis-(2080s-and-2083s)?_g=(refreshInterval:(display:Off,section:0,value:0),time:(from:'2016-06-15 13:07:44-0600',mode:absolute,to:'2016-06-15 13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7" s="73" t="str">
        <f t="shared" si="32"/>
        <v>N</v>
      </c>
      <c r="V77" s="73">
        <f t="shared" si="25"/>
        <v>1</v>
      </c>
      <c r="W77" s="73">
        <f t="shared" si="33"/>
        <v>4.3799999999999999E-2</v>
      </c>
      <c r="X77" s="73">
        <f t="shared" si="34"/>
        <v>23.330200000000001</v>
      </c>
      <c r="Y77" s="73">
        <f t="shared" si="35"/>
        <v>23.2864</v>
      </c>
      <c r="Z77" s="74" t="e">
        <f>VLOOKUP(A77,Enforcements!$C$19:$J$57,8,0)</f>
        <v>#N/A</v>
      </c>
      <c r="AA77" s="74" t="e">
        <f>VLOOKUP(A77,Enforcements!$C$19:$J$57,3,0)</f>
        <v>#N/A</v>
      </c>
    </row>
    <row r="78" spans="1:27" s="2" customFormat="1" x14ac:dyDescent="0.25">
      <c r="A78" s="60" t="s">
        <v>389</v>
      </c>
      <c r="B78" s="60">
        <v>4026</v>
      </c>
      <c r="C78" s="60" t="s">
        <v>62</v>
      </c>
      <c r="D78" s="60" t="s">
        <v>74</v>
      </c>
      <c r="E78" s="30">
        <v>42536.58520833333</v>
      </c>
      <c r="F78" s="30">
        <v>42536.586030092592</v>
      </c>
      <c r="G78" s="38">
        <v>1</v>
      </c>
      <c r="H78" s="30" t="s">
        <v>305</v>
      </c>
      <c r="I78" s="30">
        <v>42536.620092592595</v>
      </c>
      <c r="J78" s="60">
        <v>0</v>
      </c>
      <c r="K78" s="60" t="str">
        <f t="shared" si="23"/>
        <v>4025/4026</v>
      </c>
      <c r="L78" s="60" t="str">
        <f>VLOOKUP(A78,'Trips&amp;Operators'!$C$1:$E$10000,3,FALSE)</f>
        <v>BONDS</v>
      </c>
      <c r="M78" s="12">
        <f t="shared" si="24"/>
        <v>3.4062500002619345E-2</v>
      </c>
      <c r="N78" s="13">
        <f t="shared" si="36"/>
        <v>49.050000003771856</v>
      </c>
      <c r="O78" s="13"/>
      <c r="P78" s="13"/>
      <c r="Q78" s="61"/>
      <c r="R78" s="61"/>
      <c r="T78" s="73" t="str">
        <f t="shared" si="31"/>
        <v>https://search-rtdc-monitor-bjffxe2xuh6vdkpspy63sjmuny.us-east-1.es.amazonaws.com/_plugin/kibana/#/discover/Steve-Slow-Train-Analysis-(2080s-and-2083s)?_g=(refreshInterval:(display:Off,section:0,value:0),time:(from:'2016-06-15 14:01:42-0600',mode:absolute,to:'2016-06-15 14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8" s="73" t="str">
        <f t="shared" si="32"/>
        <v>N</v>
      </c>
      <c r="V78" s="73">
        <f t="shared" si="25"/>
        <v>1</v>
      </c>
      <c r="W78" s="73">
        <f t="shared" si="33"/>
        <v>23.299600000000002</v>
      </c>
      <c r="X78" s="73">
        <f t="shared" si="34"/>
        <v>1.38E-2</v>
      </c>
      <c r="Y78" s="73">
        <f t="shared" si="35"/>
        <v>23.285800000000002</v>
      </c>
      <c r="Z78" s="74" t="e">
        <f>VLOOKUP(A78,Enforcements!$C$19:$J$57,8,0)</f>
        <v>#N/A</v>
      </c>
      <c r="AA78" s="74" t="e">
        <f>VLOOKUP(A78,Enforcements!$C$19:$J$57,3,0)</f>
        <v>#N/A</v>
      </c>
    </row>
    <row r="79" spans="1:27" s="2" customFormat="1" x14ac:dyDescent="0.25">
      <c r="A79" s="60" t="s">
        <v>343</v>
      </c>
      <c r="B79" s="60">
        <v>4020</v>
      </c>
      <c r="C79" s="60" t="s">
        <v>62</v>
      </c>
      <c r="D79" s="60" t="s">
        <v>85</v>
      </c>
      <c r="E79" s="30">
        <v>42536.559108796297</v>
      </c>
      <c r="F79" s="30">
        <v>42536.560081018521</v>
      </c>
      <c r="G79" s="38">
        <v>1</v>
      </c>
      <c r="H79" s="30" t="s">
        <v>506</v>
      </c>
      <c r="I79" s="30">
        <v>42536.589594907404</v>
      </c>
      <c r="J79" s="60">
        <v>0</v>
      </c>
      <c r="K79" s="60" t="str">
        <f t="shared" si="23"/>
        <v>4019/4020</v>
      </c>
      <c r="L79" s="60" t="str">
        <f>VLOOKUP(A79,'Trips&amp;Operators'!$C$1:$E$10000,3,FALSE)</f>
        <v>MAYBERRY</v>
      </c>
      <c r="M79" s="12">
        <f t="shared" si="24"/>
        <v>2.9513888883229811E-2</v>
      </c>
      <c r="N79" s="13">
        <f t="shared" si="36"/>
        <v>42.499999991850927</v>
      </c>
      <c r="O79" s="13"/>
      <c r="P79" s="13"/>
      <c r="Q79" s="61"/>
      <c r="R79" s="61"/>
      <c r="T79" s="73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https://search-rtdc-monitor-bjffxe2xuh6vdkpspy63sjmuny.us-east-1.es.amazonaws.com/_plugin/kibana/#/discover/Steve-Slow-Train-Analysis-(2080s-and-2083s)?_g=(refreshInterval:(display:Off,section:0,value:0),time:(from:'2016-06-15 13:24:07-0600',mode:absolute,to:'2016-06-15 14:10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9" s="73" t="str">
        <f>IF(Y79&lt;23,"Y","N")</f>
        <v>N</v>
      </c>
      <c r="V79" s="73">
        <f t="shared" si="25"/>
        <v>1</v>
      </c>
      <c r="W79" s="73">
        <f>RIGHT(D79,LEN(D79)-4)/10000</f>
        <v>4.5699999999999998E-2</v>
      </c>
      <c r="X79" s="73">
        <f>RIGHT(H79,LEN(H79)-4)/10000</f>
        <v>23.3291</v>
      </c>
      <c r="Y79" s="73">
        <f>ABS(X79-W79)</f>
        <v>23.2834</v>
      </c>
      <c r="Z79" s="74" t="e">
        <f>VLOOKUP(A79,Enforcements!$C$19:$J$57,8,0)</f>
        <v>#N/A</v>
      </c>
      <c r="AA79" s="74" t="e">
        <f>VLOOKUP(A79,Enforcements!$C$19:$J$57,3,0)</f>
        <v>#N/A</v>
      </c>
    </row>
    <row r="80" spans="1:27" s="2" customFormat="1" x14ac:dyDescent="0.25">
      <c r="A80" s="60" t="s">
        <v>431</v>
      </c>
      <c r="B80" s="60">
        <v>4019</v>
      </c>
      <c r="C80" s="60" t="s">
        <v>62</v>
      </c>
      <c r="D80" s="60" t="s">
        <v>80</v>
      </c>
      <c r="E80" s="30">
        <v>42536.597418981481</v>
      </c>
      <c r="F80" s="30">
        <v>42536.598483796297</v>
      </c>
      <c r="G80" s="38">
        <v>1</v>
      </c>
      <c r="H80" s="30" t="s">
        <v>250</v>
      </c>
      <c r="I80" s="30">
        <v>42536.631493055553</v>
      </c>
      <c r="J80" s="60">
        <v>1</v>
      </c>
      <c r="K80" s="60" t="str">
        <f t="shared" si="23"/>
        <v>4019/4020</v>
      </c>
      <c r="L80" s="60" t="str">
        <f>VLOOKUP(A80,'Trips&amp;Operators'!$C$1:$E$10000,3,FALSE)</f>
        <v>MAYBERRY</v>
      </c>
      <c r="M80" s="12">
        <f t="shared" si="24"/>
        <v>3.3009259255777579E-2</v>
      </c>
      <c r="N80" s="13">
        <f t="shared" si="36"/>
        <v>47.533333328319713</v>
      </c>
      <c r="O80" s="13"/>
      <c r="P80" s="13"/>
      <c r="Q80" s="61"/>
      <c r="R80" s="61"/>
      <c r="T80" s="73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https://search-rtdc-monitor-bjffxe2xuh6vdkpspy63sjmuny.us-east-1.es.amazonaws.com/_plugin/kibana/#/discover/Steve-Slow-Train-Analysis-(2080s-and-2083s)?_g=(refreshInterval:(display:Off,section:0,value:0),time:(from:'2016-06-15 14:19:17-0600',mode:absolute,to:'2016-06-15 15:10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0" s="73" t="str">
        <f>IF(Y80&lt;23,"Y","N")</f>
        <v>N</v>
      </c>
      <c r="V80" s="73">
        <f t="shared" si="25"/>
        <v>1</v>
      </c>
      <c r="W80" s="73">
        <f>RIGHT(D80,LEN(D80)-4)/10000</f>
        <v>23.297699999999999</v>
      </c>
      <c r="X80" s="73">
        <f>RIGHT(H80,LEN(H80)-4)/10000</f>
        <v>1.61E-2</v>
      </c>
      <c r="Y80" s="73">
        <f>ABS(X80-W80)</f>
        <v>23.281599999999997</v>
      </c>
      <c r="Z80" s="74" t="e">
        <f>VLOOKUP(A80,Enforcements!$C$19:$J$57,8,0)</f>
        <v>#N/A</v>
      </c>
      <c r="AA80" s="74" t="e">
        <f>VLOOKUP(A80,Enforcements!$C$19:$J$57,3,0)</f>
        <v>#N/A</v>
      </c>
    </row>
    <row r="81" spans="1:27" s="2" customFormat="1" x14ac:dyDescent="0.25">
      <c r="A81" s="60" t="s">
        <v>391</v>
      </c>
      <c r="B81" s="60">
        <v>4024</v>
      </c>
      <c r="C81" s="60" t="s">
        <v>62</v>
      </c>
      <c r="D81" s="60" t="s">
        <v>93</v>
      </c>
      <c r="E81" s="30">
        <v>42536.569895833331</v>
      </c>
      <c r="F81" s="30">
        <v>42536.570821759262</v>
      </c>
      <c r="G81" s="38">
        <v>1</v>
      </c>
      <c r="H81" s="30" t="s">
        <v>274</v>
      </c>
      <c r="I81" s="30">
        <v>42536.598009259258</v>
      </c>
      <c r="J81" s="60">
        <v>0</v>
      </c>
      <c r="K81" s="60" t="str">
        <f t="shared" si="23"/>
        <v>4023/4024</v>
      </c>
      <c r="L81" s="60" t="str">
        <f>VLOOKUP(A81,'Trips&amp;Operators'!$C$1:$E$10000,3,FALSE)</f>
        <v>SANTIZO</v>
      </c>
      <c r="M81" s="12">
        <f t="shared" si="24"/>
        <v>2.7187499996216502E-2</v>
      </c>
      <c r="N81" s="13">
        <f t="shared" si="36"/>
        <v>39.149999994551763</v>
      </c>
      <c r="O81" s="13"/>
      <c r="P81" s="13"/>
      <c r="Q81" s="61"/>
      <c r="R81" s="61"/>
      <c r="T81" s="73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https://search-rtdc-monitor-bjffxe2xuh6vdkpspy63sjmuny.us-east-1.es.amazonaws.com/_plugin/kibana/#/discover/Steve-Slow-Train-Analysis-(2080s-and-2083s)?_g=(refreshInterval:(display:Off,section:0,value:0),time:(from:'2016-06-15 13:39:39-0600',mode:absolute,to:'2016-06-15 14:22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1" s="73" t="str">
        <f>IF(Y81&lt;23,"Y","N")</f>
        <v>N</v>
      </c>
      <c r="V81" s="73">
        <f t="shared" si="25"/>
        <v>1</v>
      </c>
      <c r="W81" s="73">
        <f>RIGHT(D81,LEN(D81)-4)/10000</f>
        <v>4.53E-2</v>
      </c>
      <c r="X81" s="73">
        <f>RIGHT(H81,LEN(H81)-4)/10000</f>
        <v>23.328900000000001</v>
      </c>
      <c r="Y81" s="73">
        <f>ABS(X81-W81)</f>
        <v>23.2836</v>
      </c>
      <c r="Z81" s="74" t="e">
        <f>VLOOKUP(A81,Enforcements!$C$19:$J$57,8,0)</f>
        <v>#N/A</v>
      </c>
      <c r="AA81" s="74" t="e">
        <f>VLOOKUP(A81,Enforcements!$C$19:$J$57,3,0)</f>
        <v>#N/A</v>
      </c>
    </row>
    <row r="82" spans="1:27" s="2" customFormat="1" x14ac:dyDescent="0.25">
      <c r="A82" s="60" t="s">
        <v>422</v>
      </c>
      <c r="B82" s="60">
        <v>4023</v>
      </c>
      <c r="C82" s="60" t="s">
        <v>62</v>
      </c>
      <c r="D82" s="60" t="s">
        <v>507</v>
      </c>
      <c r="E82" s="30">
        <v>42536.608958333331</v>
      </c>
      <c r="F82" s="30">
        <v>42536.609664351854</v>
      </c>
      <c r="G82" s="38">
        <v>1</v>
      </c>
      <c r="H82" s="30" t="s">
        <v>496</v>
      </c>
      <c r="I82" s="30">
        <v>42536.63784722222</v>
      </c>
      <c r="J82" s="60">
        <v>0</v>
      </c>
      <c r="K82" s="60" t="str">
        <f t="shared" si="23"/>
        <v>4023/4024</v>
      </c>
      <c r="L82" s="60" t="str">
        <f>VLOOKUP(A82,'Trips&amp;Operators'!$C$1:$E$10000,3,FALSE)</f>
        <v>SANTIZO</v>
      </c>
      <c r="M82" s="12">
        <f t="shared" si="24"/>
        <v>2.8182870366435964E-2</v>
      </c>
      <c r="N82" s="13">
        <f t="shared" si="36"/>
        <v>40.583333327667788</v>
      </c>
      <c r="O82" s="13"/>
      <c r="P82" s="13"/>
      <c r="Q82" s="61"/>
      <c r="R82" s="61"/>
      <c r="T82" s="73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https://search-rtdc-monitor-bjffxe2xuh6vdkpspy63sjmuny.us-east-1.es.amazonaws.com/_plugin/kibana/#/discover/Steve-Slow-Train-Analysis-(2080s-and-2083s)?_g=(refreshInterval:(display:Off,section:0,value:0),time:(from:'2016-06-15 14:35:54-0600',mode:absolute,to:'2016-06-15 15:19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2" s="73" t="str">
        <f>IF(Y82&lt;23,"Y","N")</f>
        <v>N</v>
      </c>
      <c r="V82" s="73">
        <f t="shared" si="25"/>
        <v>1</v>
      </c>
      <c r="W82" s="73">
        <f>RIGHT(D82,LEN(D82)-4)/10000</f>
        <v>23.2974</v>
      </c>
      <c r="X82" s="73">
        <f>RIGHT(H82,LEN(H82)-4)/10000</f>
        <v>1.6299999999999999E-2</v>
      </c>
      <c r="Y82" s="73">
        <f>ABS(X82-W82)</f>
        <v>23.281099999999999</v>
      </c>
      <c r="Z82" s="74" t="e">
        <f>VLOOKUP(A82,Enforcements!$C$19:$J$57,8,0)</f>
        <v>#N/A</v>
      </c>
      <c r="AA82" s="74" t="e">
        <f>VLOOKUP(A82,Enforcements!$C$19:$J$57,3,0)</f>
        <v>#N/A</v>
      </c>
    </row>
    <row r="83" spans="1:27" s="2" customFormat="1" x14ac:dyDescent="0.25">
      <c r="A83" s="60" t="s">
        <v>332</v>
      </c>
      <c r="B83" s="60">
        <v>4016</v>
      </c>
      <c r="C83" s="60" t="s">
        <v>62</v>
      </c>
      <c r="D83" s="60" t="s">
        <v>497</v>
      </c>
      <c r="E83" s="30">
        <v>42536.583009259259</v>
      </c>
      <c r="F83" s="30">
        <v>42536.584166666667</v>
      </c>
      <c r="G83" s="38">
        <v>1</v>
      </c>
      <c r="H83" s="30" t="s">
        <v>508</v>
      </c>
      <c r="I83" s="30">
        <v>42536.616377314815</v>
      </c>
      <c r="J83" s="60">
        <v>0</v>
      </c>
      <c r="K83" s="60" t="str">
        <f t="shared" si="23"/>
        <v>4015/4016</v>
      </c>
      <c r="L83" s="60" t="str">
        <f>VLOOKUP(A83,'Trips&amp;Operators'!$C$1:$E$10000,3,FALSE)</f>
        <v>STEWART</v>
      </c>
      <c r="M83" s="12">
        <f t="shared" si="24"/>
        <v>3.2210648147156462E-2</v>
      </c>
      <c r="N83" s="13">
        <f t="shared" si="36"/>
        <v>46.383333331905305</v>
      </c>
      <c r="O83" s="13"/>
      <c r="P83" s="13"/>
      <c r="Q83" s="61"/>
      <c r="R83" s="61"/>
      <c r="T83" s="73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https://search-rtdc-monitor-bjffxe2xuh6vdkpspy63sjmuny.us-east-1.es.amazonaws.com/_plugin/kibana/#/discover/Steve-Slow-Train-Analysis-(2080s-and-2083s)?_g=(refreshInterval:(display:Off,section:0,value:0),time:(from:'2016-06-15 13:58:32-0600',mode:absolute,to:'2016-06-15 14:48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3" s="73" t="str">
        <f>IF(Y83&lt;23,"Y","N")</f>
        <v>N</v>
      </c>
      <c r="V83" s="73">
        <f t="shared" si="25"/>
        <v>1</v>
      </c>
      <c r="W83" s="73">
        <f>RIGHT(D83,LEN(D83)-4)/10000</f>
        <v>4.6899999999999997E-2</v>
      </c>
      <c r="X83" s="73">
        <f>RIGHT(H83,LEN(H83)-4)/10000</f>
        <v>23.3263</v>
      </c>
      <c r="Y83" s="73">
        <f>ABS(X83-W83)</f>
        <v>23.279399999999999</v>
      </c>
      <c r="Z83" s="74" t="e">
        <f>VLOOKUP(A83,Enforcements!$C$19:$J$57,8,0)</f>
        <v>#N/A</v>
      </c>
      <c r="AA83" s="74" t="e">
        <f>VLOOKUP(A83,Enforcements!$C$19:$J$57,3,0)</f>
        <v>#N/A</v>
      </c>
    </row>
    <row r="84" spans="1:27" s="2" customFormat="1" x14ac:dyDescent="0.25">
      <c r="A84" s="60" t="s">
        <v>366</v>
      </c>
      <c r="B84" s="60">
        <v>4015</v>
      </c>
      <c r="C84" s="60"/>
      <c r="D84" s="60"/>
      <c r="E84" s="30"/>
      <c r="F84" s="30">
        <v>42536.624108796299</v>
      </c>
      <c r="G84" s="38"/>
      <c r="H84" s="30"/>
      <c r="I84" s="30">
        <v>42536.663819444446</v>
      </c>
      <c r="J84" s="60"/>
      <c r="K84" s="60" t="str">
        <f t="shared" si="23"/>
        <v>4015/4016</v>
      </c>
      <c r="L84" s="60" t="str">
        <f>VLOOKUP(A84,'Trips&amp;Operators'!$C$1:$E$10000,3,FALSE)</f>
        <v>STEWART</v>
      </c>
      <c r="M84" s="12">
        <f t="shared" si="24"/>
        <v>3.9710648146865424E-2</v>
      </c>
      <c r="N84" s="13"/>
      <c r="O84" s="13"/>
      <c r="P84" s="13">
        <f>24*60*SUM($M84:$M84)</f>
        <v>57.18333333148621</v>
      </c>
      <c r="Q84" s="61"/>
      <c r="R84" s="61" t="s">
        <v>329</v>
      </c>
      <c r="T84" s="73" t="e">
        <f t="shared" ref="T84:T86" si="37"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#VALUE!</v>
      </c>
      <c r="U84" s="73" t="e">
        <f t="shared" ref="U84:U86" si="38">IF(Y84&lt;23,"Y","N")</f>
        <v>#VALUE!</v>
      </c>
      <c r="V84" s="73">
        <f t="shared" si="25"/>
        <v>1</v>
      </c>
      <c r="W84" s="73" t="e">
        <f t="shared" ref="W84:W86" si="39">RIGHT(D84,LEN(D84)-4)/10000</f>
        <v>#VALUE!</v>
      </c>
      <c r="X84" s="73" t="e">
        <f t="shared" ref="X84:X86" si="40">RIGHT(H84,LEN(H84)-4)/10000</f>
        <v>#VALUE!</v>
      </c>
      <c r="Y84" s="73" t="e">
        <f t="shared" ref="Y84:Y86" si="41">ABS(X84-W84)</f>
        <v>#VALUE!</v>
      </c>
      <c r="Z84" s="74"/>
      <c r="AA84" s="74"/>
    </row>
    <row r="85" spans="1:27" s="2" customFormat="1" x14ac:dyDescent="0.25">
      <c r="A85" s="60" t="s">
        <v>445</v>
      </c>
      <c r="B85" s="60">
        <v>4018</v>
      </c>
      <c r="C85" s="60" t="s">
        <v>62</v>
      </c>
      <c r="D85" s="60" t="s">
        <v>64</v>
      </c>
      <c r="E85" s="30">
        <v>42536.591122685182</v>
      </c>
      <c r="F85" s="30">
        <v>42536.592245370368</v>
      </c>
      <c r="G85" s="38">
        <v>1</v>
      </c>
      <c r="H85" s="30" t="s">
        <v>289</v>
      </c>
      <c r="I85" s="30">
        <v>42536.619733796295</v>
      </c>
      <c r="J85" s="60">
        <v>0</v>
      </c>
      <c r="K85" s="60" t="str">
        <f t="shared" si="23"/>
        <v>4017/4018</v>
      </c>
      <c r="L85" s="60" t="str">
        <f>VLOOKUP(A85,'Trips&amp;Operators'!$C$1:$E$10000,3,FALSE)</f>
        <v>RIVERA</v>
      </c>
      <c r="M85" s="12">
        <f t="shared" si="24"/>
        <v>2.7488425927003846E-2</v>
      </c>
      <c r="N85" s="13">
        <f t="shared" ref="N85:N92" si="42">24*60*SUM($M85:$M85)</f>
        <v>39.583333334885538</v>
      </c>
      <c r="O85" s="13"/>
      <c r="P85" s="13"/>
      <c r="Q85" s="61"/>
      <c r="R85" s="61"/>
      <c r="T85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https://search-rtdc-monitor-bjffxe2xuh6vdkpspy63sjmuny.us-east-1.es.amazonaws.com/_plugin/kibana/#/discover/Steve-Slow-Train-Analysis-(2080s-and-2083s)?_g=(refreshInterval:(display:Off,section:0,value:0),time:(from:'2016-06-15 14:10:13-0600',mode:absolute,to:'2016-06-15 14:53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5" s="73" t="str">
        <f t="shared" si="38"/>
        <v>N</v>
      </c>
      <c r="V85" s="73">
        <f t="shared" si="25"/>
        <v>1</v>
      </c>
      <c r="W85" s="73">
        <f t="shared" si="39"/>
        <v>4.5100000000000001E-2</v>
      </c>
      <c r="X85" s="73">
        <f t="shared" si="40"/>
        <v>23.330200000000001</v>
      </c>
      <c r="Y85" s="73">
        <f t="shared" si="41"/>
        <v>23.2851</v>
      </c>
      <c r="Z85" s="74" t="e">
        <f>VLOOKUP(A85,Enforcements!$C$19:$J$57,8,0)</f>
        <v>#N/A</v>
      </c>
      <c r="AA85" s="74" t="e">
        <f>VLOOKUP(A85,Enforcements!$C$19:$J$57,3,0)</f>
        <v>#N/A</v>
      </c>
    </row>
    <row r="86" spans="1:27" s="2" customFormat="1" x14ac:dyDescent="0.25">
      <c r="A86" s="60" t="s">
        <v>362</v>
      </c>
      <c r="B86" s="60">
        <v>4017</v>
      </c>
      <c r="C86" s="60" t="s">
        <v>62</v>
      </c>
      <c r="D86" s="60" t="s">
        <v>287</v>
      </c>
      <c r="E86" s="30">
        <v>42536.629652777781</v>
      </c>
      <c r="F86" s="30">
        <v>42536.630532407406</v>
      </c>
      <c r="G86" s="38">
        <v>1</v>
      </c>
      <c r="H86" s="30" t="s">
        <v>63</v>
      </c>
      <c r="I86" s="30">
        <v>42536.663981481484</v>
      </c>
      <c r="J86" s="60">
        <v>0</v>
      </c>
      <c r="K86" s="60" t="str">
        <f t="shared" si="23"/>
        <v>4017/4018</v>
      </c>
      <c r="L86" s="60" t="str">
        <f>VLOOKUP(A86,'Trips&amp;Operators'!$C$1:$E$10000,3,FALSE)</f>
        <v>RIVERA</v>
      </c>
      <c r="M86" s="12">
        <f t="shared" si="24"/>
        <v>3.3449074078816921E-2</v>
      </c>
      <c r="N86" s="13">
        <f t="shared" si="42"/>
        <v>48.166666673496366</v>
      </c>
      <c r="O86" s="13"/>
      <c r="P86" s="13"/>
      <c r="Q86" s="61"/>
      <c r="R86" s="61"/>
      <c r="T86" s="73" t="str">
        <f t="shared" si="37"/>
        <v>https://search-rtdc-monitor-bjffxe2xuh6vdkpspy63sjmuny.us-east-1.es.amazonaws.com/_plugin/kibana/#/discover/Steve-Slow-Train-Analysis-(2080s-and-2083s)?_g=(refreshInterval:(display:Off,section:0,value:0),time:(from:'2016-06-15 15:05:42-0600',mode:absolute,to:'2016-06-15 15:57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6" s="73" t="str">
        <f t="shared" si="38"/>
        <v>N</v>
      </c>
      <c r="V86" s="73">
        <f t="shared" si="25"/>
        <v>1</v>
      </c>
      <c r="W86" s="73">
        <f t="shared" si="39"/>
        <v>23.299299999999999</v>
      </c>
      <c r="X86" s="73">
        <f t="shared" si="40"/>
        <v>1.4500000000000001E-2</v>
      </c>
      <c r="Y86" s="73">
        <f t="shared" si="41"/>
        <v>23.284799999999997</v>
      </c>
      <c r="Z86" s="74" t="e">
        <f>VLOOKUP(A86,Enforcements!$C$19:$J$57,8,0)</f>
        <v>#N/A</v>
      </c>
      <c r="AA86" s="74" t="e">
        <f>VLOOKUP(A86,Enforcements!$C$19:$J$57,3,0)</f>
        <v>#N/A</v>
      </c>
    </row>
    <row r="87" spans="1:27" s="2" customFormat="1" x14ac:dyDescent="0.25">
      <c r="A87" s="60" t="s">
        <v>415</v>
      </c>
      <c r="B87" s="60">
        <v>4040</v>
      </c>
      <c r="C87" s="60" t="s">
        <v>62</v>
      </c>
      <c r="D87" s="60" t="s">
        <v>104</v>
      </c>
      <c r="E87" s="30">
        <v>42536.600069444445</v>
      </c>
      <c r="F87" s="30">
        <v>42536.600949074076</v>
      </c>
      <c r="G87" s="38">
        <v>1</v>
      </c>
      <c r="H87" s="30" t="s">
        <v>324</v>
      </c>
      <c r="I87" s="30">
        <v>42536.631631944445</v>
      </c>
      <c r="J87" s="60">
        <v>0</v>
      </c>
      <c r="K87" s="60" t="str">
        <f t="shared" si="23"/>
        <v>4039/4040</v>
      </c>
      <c r="L87" s="60" t="str">
        <f>VLOOKUP(A87,'Trips&amp;Operators'!$C$1:$E$10000,3,FALSE)</f>
        <v>BEAM</v>
      </c>
      <c r="M87" s="12">
        <f t="shared" si="24"/>
        <v>3.068287036876427E-2</v>
      </c>
      <c r="N87" s="13">
        <f t="shared" si="42"/>
        <v>44.183333331020549</v>
      </c>
      <c r="O87" s="13"/>
      <c r="P87" s="13"/>
      <c r="Q87" s="61"/>
      <c r="R87" s="61"/>
      <c r="T87" s="73" t="str">
        <f t="shared" ref="T87:T104" si="43"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https://search-rtdc-monitor-bjffxe2xuh6vdkpspy63sjmuny.us-east-1.es.amazonaws.com/_plugin/kibana/#/discover/Steve-Slow-Train-Analysis-(2080s-and-2083s)?_g=(refreshInterval:(display:Off,section:0,value:0),time:(from:'2016-06-15 14:23:06-0600',mode:absolute,to:'2016-06-15 15:10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87" s="73" t="str">
        <f t="shared" ref="U87:U104" si="44">IF(Y87&lt;23,"Y","N")</f>
        <v>N</v>
      </c>
      <c r="V87" s="73">
        <f t="shared" si="25"/>
        <v>1</v>
      </c>
      <c r="W87" s="73">
        <f t="shared" ref="W87:W104" si="45">RIGHT(D87,LEN(D87)-4)/10000</f>
        <v>4.58E-2</v>
      </c>
      <c r="X87" s="73">
        <f t="shared" ref="X87:X104" si="46">RIGHT(H87,LEN(H87)-4)/10000</f>
        <v>23.329699999999999</v>
      </c>
      <c r="Y87" s="73">
        <f t="shared" ref="Y87:Y104" si="47">ABS(X87-W87)</f>
        <v>23.283899999999999</v>
      </c>
      <c r="Z87" s="74" t="e">
        <f>VLOOKUP(A87,Enforcements!$C$19:$J$57,8,0)</f>
        <v>#N/A</v>
      </c>
      <c r="AA87" s="74" t="e">
        <f>VLOOKUP(A87,Enforcements!$C$19:$J$57,3,0)</f>
        <v>#N/A</v>
      </c>
    </row>
    <row r="88" spans="1:27" s="2" customFormat="1" x14ac:dyDescent="0.25">
      <c r="A88" s="60" t="s">
        <v>447</v>
      </c>
      <c r="B88" s="60">
        <v>4039</v>
      </c>
      <c r="C88" s="60" t="s">
        <v>62</v>
      </c>
      <c r="D88" s="60" t="s">
        <v>95</v>
      </c>
      <c r="E88" s="30">
        <v>42536.640277777777</v>
      </c>
      <c r="F88" s="30">
        <v>42536.641817129632</v>
      </c>
      <c r="G88" s="38">
        <v>2</v>
      </c>
      <c r="H88" s="30" t="s">
        <v>509</v>
      </c>
      <c r="I88" s="30">
        <v>42536.6716087963</v>
      </c>
      <c r="J88" s="60">
        <v>2</v>
      </c>
      <c r="K88" s="60" t="str">
        <f t="shared" si="23"/>
        <v>4039/4040</v>
      </c>
      <c r="L88" s="60" t="str">
        <f>VLOOKUP(A88,'Trips&amp;Operators'!$C$1:$E$10000,3,FALSE)</f>
        <v>BEAM</v>
      </c>
      <c r="M88" s="12">
        <f t="shared" si="24"/>
        <v>2.9791666667733807E-2</v>
      </c>
      <c r="N88" s="13">
        <f t="shared" si="42"/>
        <v>42.900000001536682</v>
      </c>
      <c r="O88" s="13"/>
      <c r="P88" s="13"/>
      <c r="Q88" s="61"/>
      <c r="R88" s="61"/>
      <c r="T88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https://search-rtdc-monitor-bjffxe2xuh6vdkpspy63sjmuny.us-east-1.es.amazonaws.com/_plugin/kibana/#/discover/Steve-Slow-Train-Analysis-(2080s-and-2083s)?_g=(refreshInterval:(display:Off,section:0,value:0),time:(from:'2016-06-15 15:21:00-0600',mode:absolute,to:'2016-06-15 16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88" s="73" t="str">
        <f t="shared" si="44"/>
        <v>N</v>
      </c>
      <c r="V88" s="73">
        <f t="shared" si="25"/>
        <v>1</v>
      </c>
      <c r="W88" s="73">
        <f t="shared" si="45"/>
        <v>23.297799999999999</v>
      </c>
      <c r="X88" s="73">
        <f t="shared" si="46"/>
        <v>1.3899999999999999E-2</v>
      </c>
      <c r="Y88" s="73">
        <f t="shared" si="47"/>
        <v>23.283899999999999</v>
      </c>
      <c r="Z88" s="74">
        <f>VLOOKUP(A88,Enforcements!$C$19:$J$57,8,0)</f>
        <v>183829</v>
      </c>
      <c r="AA88" s="74" t="str">
        <f>VLOOKUP(A88,Enforcements!$C$19:$J$57,3,0)</f>
        <v>PERMANENT SPEED RESTRICTION</v>
      </c>
    </row>
    <row r="89" spans="1:27" s="2" customFormat="1" x14ac:dyDescent="0.25">
      <c r="A89" s="60" t="s">
        <v>403</v>
      </c>
      <c r="B89" s="60">
        <v>4007</v>
      </c>
      <c r="C89" s="60" t="s">
        <v>62</v>
      </c>
      <c r="D89" s="60" t="s">
        <v>292</v>
      </c>
      <c r="E89" s="30">
        <v>42536.616851851853</v>
      </c>
      <c r="F89" s="30">
        <v>42536.617835648147</v>
      </c>
      <c r="G89" s="38">
        <v>1</v>
      </c>
      <c r="H89" s="30" t="s">
        <v>503</v>
      </c>
      <c r="I89" s="30">
        <v>42536.647118055553</v>
      </c>
      <c r="J89" s="60">
        <v>0</v>
      </c>
      <c r="K89" s="60" t="str">
        <f t="shared" si="23"/>
        <v>4007/4008</v>
      </c>
      <c r="L89" s="60" t="str">
        <f>VLOOKUP(A89,'Trips&amp;Operators'!$C$1:$E$10000,3,FALSE)</f>
        <v>LOZA</v>
      </c>
      <c r="M89" s="12">
        <f t="shared" si="24"/>
        <v>2.9282407405844424E-2</v>
      </c>
      <c r="N89" s="13">
        <f t="shared" si="42"/>
        <v>42.16666666441597</v>
      </c>
      <c r="O89" s="13"/>
      <c r="P89" s="13"/>
      <c r="Q89" s="61"/>
      <c r="R89" s="61"/>
      <c r="T89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https://search-rtdc-monitor-bjffxe2xuh6vdkpspy63sjmuny.us-east-1.es.amazonaws.com/_plugin/kibana/#/discover/Steve-Slow-Train-Analysis-(2080s-and-2083s)?_g=(refreshInterval:(display:Off,section:0,value:0),time:(from:'2016-06-15 14:47:16-0600',mode:absolute,to:'2016-06-15 15:32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U89" s="73" t="str">
        <f t="shared" si="44"/>
        <v>N</v>
      </c>
      <c r="V89" s="73">
        <f t="shared" si="25"/>
        <v>1</v>
      </c>
      <c r="W89" s="73">
        <f t="shared" si="45"/>
        <v>4.4900000000000002E-2</v>
      </c>
      <c r="X89" s="73">
        <f t="shared" si="46"/>
        <v>23.3323</v>
      </c>
      <c r="Y89" s="73">
        <f t="shared" si="47"/>
        <v>23.287400000000002</v>
      </c>
      <c r="Z89" s="74" t="e">
        <f>VLOOKUP(A89,Enforcements!$C$19:$J$57,8,0)</f>
        <v>#N/A</v>
      </c>
      <c r="AA89" s="74" t="e">
        <f>VLOOKUP(A89,Enforcements!$C$19:$J$57,3,0)</f>
        <v>#N/A</v>
      </c>
    </row>
    <row r="90" spans="1:27" s="2" customFormat="1" x14ac:dyDescent="0.25">
      <c r="A90" s="60" t="s">
        <v>413</v>
      </c>
      <c r="B90" s="60">
        <v>4008</v>
      </c>
      <c r="C90" s="60" t="s">
        <v>62</v>
      </c>
      <c r="D90" s="60" t="s">
        <v>269</v>
      </c>
      <c r="E90" s="30">
        <v>42536.653865740744</v>
      </c>
      <c r="F90" s="30">
        <v>42536.654618055552</v>
      </c>
      <c r="G90" s="38">
        <v>1</v>
      </c>
      <c r="H90" s="30" t="s">
        <v>98</v>
      </c>
      <c r="I90" s="30">
        <v>42536.687685185185</v>
      </c>
      <c r="J90" s="60">
        <v>0</v>
      </c>
      <c r="K90" s="60" t="str">
        <f t="shared" si="23"/>
        <v>4007/4008</v>
      </c>
      <c r="L90" s="60" t="str">
        <f>VLOOKUP(A90,'Trips&amp;Operators'!$C$1:$E$10000,3,FALSE)</f>
        <v>LOZA</v>
      </c>
      <c r="M90" s="12">
        <f t="shared" si="24"/>
        <v>3.3067129632399883E-2</v>
      </c>
      <c r="N90" s="13">
        <f t="shared" si="42"/>
        <v>47.616666670655832</v>
      </c>
      <c r="O90" s="13"/>
      <c r="P90" s="13"/>
      <c r="Q90" s="61"/>
      <c r="R90" s="61"/>
      <c r="T90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https://search-rtdc-monitor-bjffxe2xuh6vdkpspy63sjmuny.us-east-1.es.amazonaws.com/_plugin/kibana/#/discover/Steve-Slow-Train-Analysis-(2080s-and-2083s)?_g=(refreshInterval:(display:Off,section:0,value:0),time:(from:'2016-06-15 15:40:34-0600',mode:absolute,to:'2016-06-15 16:31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U90" s="73" t="str">
        <f t="shared" si="44"/>
        <v>N</v>
      </c>
      <c r="V90" s="73">
        <f t="shared" si="25"/>
        <v>1</v>
      </c>
      <c r="W90" s="73">
        <f t="shared" si="45"/>
        <v>23.2987</v>
      </c>
      <c r="X90" s="73">
        <f t="shared" si="46"/>
        <v>1.54E-2</v>
      </c>
      <c r="Y90" s="73">
        <f t="shared" si="47"/>
        <v>23.283300000000001</v>
      </c>
      <c r="Z90" s="74" t="e">
        <f>VLOOKUP(A90,Enforcements!$C$19:$J$57,8,0)</f>
        <v>#N/A</v>
      </c>
      <c r="AA90" s="74" t="e">
        <f>VLOOKUP(A90,Enforcements!$C$19:$J$57,3,0)</f>
        <v>#N/A</v>
      </c>
    </row>
    <row r="91" spans="1:27" s="2" customFormat="1" x14ac:dyDescent="0.25">
      <c r="A91" s="60" t="s">
        <v>387</v>
      </c>
      <c r="B91" s="60">
        <v>4025</v>
      </c>
      <c r="C91" s="60" t="s">
        <v>62</v>
      </c>
      <c r="D91" s="60" t="s">
        <v>273</v>
      </c>
      <c r="E91" s="30">
        <v>42536.621562499997</v>
      </c>
      <c r="F91" s="30">
        <v>42536.622557870367</v>
      </c>
      <c r="G91" s="38">
        <v>1</v>
      </c>
      <c r="H91" s="30" t="s">
        <v>510</v>
      </c>
      <c r="I91" s="30">
        <v>42536.651979166665</v>
      </c>
      <c r="J91" s="60">
        <v>1</v>
      </c>
      <c r="K91" s="60" t="str">
        <f t="shared" si="23"/>
        <v>4025/4026</v>
      </c>
      <c r="L91" s="60" t="str">
        <f>VLOOKUP(A91,'Trips&amp;Operators'!$C$1:$E$10000,3,FALSE)</f>
        <v>BONDS</v>
      </c>
      <c r="M91" s="12">
        <f t="shared" si="24"/>
        <v>2.9421296298096422E-2</v>
      </c>
      <c r="N91" s="13">
        <f t="shared" si="42"/>
        <v>42.366666669258848</v>
      </c>
      <c r="O91" s="13"/>
      <c r="P91" s="13"/>
      <c r="Q91" s="61"/>
      <c r="R91" s="61"/>
      <c r="T91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https://search-rtdc-monitor-bjffxe2xuh6vdkpspy63sjmuny.us-east-1.es.amazonaws.com/_plugin/kibana/#/discover/Steve-Slow-Train-Analysis-(2080s-and-2083s)?_g=(refreshInterval:(display:Off,section:0,value:0),time:(from:'2016-06-15 14:54:03-0600',mode:absolute,to:'2016-06-15 15:39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1" s="73" t="str">
        <f t="shared" si="44"/>
        <v>N</v>
      </c>
      <c r="V91" s="73">
        <f t="shared" si="25"/>
        <v>1</v>
      </c>
      <c r="W91" s="73">
        <f t="shared" si="45"/>
        <v>4.4699999999999997E-2</v>
      </c>
      <c r="X91" s="73">
        <f t="shared" si="46"/>
        <v>23.3337</v>
      </c>
      <c r="Y91" s="73">
        <f t="shared" si="47"/>
        <v>23.289000000000001</v>
      </c>
      <c r="Z91" s="74" t="e">
        <f>VLOOKUP(A91,Enforcements!$C$19:$J$57,8,0)</f>
        <v>#N/A</v>
      </c>
      <c r="AA91" s="74" t="e">
        <f>VLOOKUP(A91,Enforcements!$C$19:$J$57,3,0)</f>
        <v>#N/A</v>
      </c>
    </row>
    <row r="92" spans="1:27" s="2" customFormat="1" x14ac:dyDescent="0.25">
      <c r="A92" s="60" t="s">
        <v>437</v>
      </c>
      <c r="B92" s="60">
        <v>4026</v>
      </c>
      <c r="C92" s="60" t="s">
        <v>62</v>
      </c>
      <c r="D92" s="60" t="s">
        <v>511</v>
      </c>
      <c r="E92" s="30">
        <v>42536.657731481479</v>
      </c>
      <c r="F92" s="30">
        <v>42536.658518518518</v>
      </c>
      <c r="G92" s="38">
        <v>1</v>
      </c>
      <c r="H92" s="30" t="s">
        <v>512</v>
      </c>
      <c r="I92" s="30">
        <v>42536.693668981483</v>
      </c>
      <c r="J92" s="60">
        <v>1</v>
      </c>
      <c r="K92" s="60" t="str">
        <f t="shared" si="23"/>
        <v>4025/4026</v>
      </c>
      <c r="L92" s="60" t="str">
        <f>VLOOKUP(A92,'Trips&amp;Operators'!$C$1:$E$10000,3,FALSE)</f>
        <v>BONDS</v>
      </c>
      <c r="M92" s="12">
        <f t="shared" si="24"/>
        <v>3.5150462965248153E-2</v>
      </c>
      <c r="N92" s="13">
        <f t="shared" si="42"/>
        <v>50.61666666995734</v>
      </c>
      <c r="O92" s="13"/>
      <c r="P92" s="13"/>
      <c r="Q92" s="61"/>
      <c r="R92" s="61"/>
      <c r="T92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https://search-rtdc-monitor-bjffxe2xuh6vdkpspy63sjmuny.us-east-1.es.amazonaws.com/_plugin/kibana/#/discover/Steve-Slow-Train-Analysis-(2080s-and-2083s)?_g=(refreshInterval:(display:Off,section:0,value:0),time:(from:'2016-06-15 15:46:08-0600',mode:absolute,to:'2016-06-15 16:39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2" s="73" t="str">
        <f t="shared" si="44"/>
        <v>N</v>
      </c>
      <c r="V92" s="73">
        <f t="shared" si="25"/>
        <v>1</v>
      </c>
      <c r="W92" s="73">
        <f t="shared" si="45"/>
        <v>23.3003</v>
      </c>
      <c r="X92" s="73">
        <f t="shared" si="46"/>
        <v>1.8499999999999999E-2</v>
      </c>
      <c r="Y92" s="73">
        <f t="shared" si="47"/>
        <v>23.2818</v>
      </c>
      <c r="Z92" s="74">
        <f>VLOOKUP(A92,Enforcements!$C$19:$J$57,8,0)</f>
        <v>1</v>
      </c>
      <c r="AA92" s="74" t="str">
        <f>VLOOKUP(A92,Enforcements!$C$19:$J$57,3,0)</f>
        <v>TRACK WARRANT AUTHORITY</v>
      </c>
    </row>
    <row r="93" spans="1:27" s="2" customFormat="1" x14ac:dyDescent="0.25">
      <c r="A93" s="60" t="s">
        <v>364</v>
      </c>
      <c r="B93" s="60">
        <v>4020</v>
      </c>
      <c r="C93" s="60" t="s">
        <v>62</v>
      </c>
      <c r="D93" s="60" t="s">
        <v>513</v>
      </c>
      <c r="E93" s="30">
        <v>42536.633136574077</v>
      </c>
      <c r="F93" s="30">
        <v>42536.634386574071</v>
      </c>
      <c r="G93" s="38">
        <v>1</v>
      </c>
      <c r="H93" s="30" t="s">
        <v>514</v>
      </c>
      <c r="I93" s="30">
        <v>42536.643958333334</v>
      </c>
      <c r="J93" s="60">
        <v>0</v>
      </c>
      <c r="K93" s="60" t="str">
        <f t="shared" si="23"/>
        <v>4019/4020</v>
      </c>
      <c r="L93" s="60" t="str">
        <f>VLOOKUP(A93,'Trips&amp;Operators'!$C$1:$E$10000,3,FALSE)</f>
        <v>MAYBERRY</v>
      </c>
      <c r="M93" s="12">
        <f t="shared" si="24"/>
        <v>9.5717592630535364E-3</v>
      </c>
      <c r="N93" s="13"/>
      <c r="O93" s="13"/>
      <c r="P93" s="13">
        <f>24*60*SUM($M93:$M94)</f>
        <v>41.416666667209938</v>
      </c>
      <c r="Q93" s="61"/>
      <c r="R93" s="61" t="s">
        <v>329</v>
      </c>
      <c r="T93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https://search-rtdc-monitor-bjffxe2xuh6vdkpspy63sjmuny.us-east-1.es.amazonaws.com/_plugin/kibana/#/discover/Steve-Slow-Train-Analysis-(2080s-and-2083s)?_g=(refreshInterval:(display:Off,section:0,value:0),time:(from:'2016-06-15 15:10:43-0600',mode:absolute,to:'2016-06-15 15:28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3" s="73" t="str">
        <f t="shared" si="44"/>
        <v>Y</v>
      </c>
      <c r="V93" s="73">
        <f t="shared" si="25"/>
        <v>1</v>
      </c>
      <c r="W93" s="73">
        <f t="shared" si="45"/>
        <v>4.3499999999999997E-2</v>
      </c>
      <c r="X93" s="73">
        <f t="shared" si="46"/>
        <v>4.8353000000000002</v>
      </c>
      <c r="Y93" s="73">
        <f t="shared" si="47"/>
        <v>4.7918000000000003</v>
      </c>
      <c r="Z93" s="74">
        <f>VLOOKUP(A93,Enforcements!$C$19:$J$57,8,0)</f>
        <v>233491</v>
      </c>
      <c r="AA93" s="74" t="str">
        <f>VLOOKUP(A93,Enforcements!$C$19:$J$57,3,0)</f>
        <v>TRACK WARRANT AUTHORITY</v>
      </c>
    </row>
    <row r="94" spans="1:27" s="2" customFormat="1" x14ac:dyDescent="0.25">
      <c r="A94" s="60" t="s">
        <v>364</v>
      </c>
      <c r="B94" s="60">
        <v>4020</v>
      </c>
      <c r="C94" s="60" t="s">
        <v>62</v>
      </c>
      <c r="D94" s="60" t="s">
        <v>515</v>
      </c>
      <c r="E94" s="30">
        <v>42536.648206018515</v>
      </c>
      <c r="F94" s="30">
        <v>42536.648912037039</v>
      </c>
      <c r="G94" s="38">
        <v>1</v>
      </c>
      <c r="H94" s="30" t="s">
        <v>516</v>
      </c>
      <c r="I94" s="30">
        <v>42536.66810185185</v>
      </c>
      <c r="J94" s="60">
        <v>1</v>
      </c>
      <c r="K94" s="60" t="str">
        <f t="shared" si="23"/>
        <v>4019/4020</v>
      </c>
      <c r="L94" s="60" t="str">
        <f>VLOOKUP(A94,'Trips&amp;Operators'!$C$1:$E$10000,3,FALSE)</f>
        <v>MAYBERRY</v>
      </c>
      <c r="M94" s="12">
        <f t="shared" si="24"/>
        <v>1.918981481139781E-2</v>
      </c>
      <c r="N94" s="13"/>
      <c r="O94" s="13"/>
      <c r="P94" s="13"/>
      <c r="Q94" s="61"/>
      <c r="R94" s="61"/>
      <c r="T94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https://search-rtdc-monitor-bjffxe2xuh6vdkpspy63sjmuny.us-east-1.es.amazonaws.com/_plugin/kibana/#/discover/Steve-Slow-Train-Analysis-(2080s-and-2083s)?_g=(refreshInterval:(display:Off,section:0,value:0),time:(from:'2016-06-15 15:32:25-0600',mode:absolute,to:'2016-06-15 16:03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4" s="73" t="str">
        <f t="shared" si="44"/>
        <v>Y</v>
      </c>
      <c r="V94" s="73">
        <f t="shared" si="25"/>
        <v>0</v>
      </c>
      <c r="W94" s="73">
        <f t="shared" si="45"/>
        <v>6.4676999999999998</v>
      </c>
      <c r="X94" s="73">
        <f t="shared" si="46"/>
        <v>23.322099999999999</v>
      </c>
      <c r="Y94" s="73">
        <f t="shared" si="47"/>
        <v>16.854399999999998</v>
      </c>
      <c r="Z94" s="74">
        <f>VLOOKUP(A94,Enforcements!$C$19:$J$57,8,0)</f>
        <v>233491</v>
      </c>
      <c r="AA94" s="74" t="str">
        <f>VLOOKUP(A94,Enforcements!$C$19:$J$57,3,0)</f>
        <v>TRACK WARRANT AUTHORITY</v>
      </c>
    </row>
    <row r="95" spans="1:27" s="2" customFormat="1" x14ac:dyDescent="0.25">
      <c r="A95" s="60" t="s">
        <v>439</v>
      </c>
      <c r="B95" s="60">
        <v>4019</v>
      </c>
      <c r="C95" s="60" t="s">
        <v>62</v>
      </c>
      <c r="D95" s="60" t="s">
        <v>517</v>
      </c>
      <c r="E95" s="30">
        <v>42536.670254629629</v>
      </c>
      <c r="F95" s="30">
        <v>42536.671516203707</v>
      </c>
      <c r="G95" s="38">
        <v>1</v>
      </c>
      <c r="H95" s="30" t="s">
        <v>518</v>
      </c>
      <c r="I95" s="30">
        <v>42536.702106481483</v>
      </c>
      <c r="J95" s="60">
        <v>1</v>
      </c>
      <c r="K95" s="60" t="str">
        <f t="shared" si="23"/>
        <v>4019/4020</v>
      </c>
      <c r="L95" s="60" t="str">
        <f>VLOOKUP(A95,'Trips&amp;Operators'!$C$1:$E$10000,3,FALSE)</f>
        <v>MAYBERRY</v>
      </c>
      <c r="M95" s="12">
        <f t="shared" si="24"/>
        <v>3.0590277776354924E-2</v>
      </c>
      <c r="N95" s="13">
        <f>24*60*SUM($M95:$M95)</f>
        <v>44.04999999795109</v>
      </c>
      <c r="O95" s="13"/>
      <c r="P95" s="13"/>
      <c r="Q95" s="61"/>
      <c r="R95" s="61"/>
      <c r="T95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https://search-rtdc-monitor-bjffxe2xuh6vdkpspy63sjmuny.us-east-1.es.amazonaws.com/_plugin/kibana/#/discover/Steve-Slow-Train-Analysis-(2080s-and-2083s)?_g=(refreshInterval:(display:Off,section:0,value:0),time:(from:'2016-06-15 16:04:10-0600',mode:absolute,to:'2016-06-15 16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95" s="73" t="str">
        <f t="shared" si="44"/>
        <v>N</v>
      </c>
      <c r="V95" s="73">
        <f t="shared" si="25"/>
        <v>1</v>
      </c>
      <c r="W95" s="73">
        <f t="shared" si="45"/>
        <v>23.290800000000001</v>
      </c>
      <c r="X95" s="73">
        <f t="shared" si="46"/>
        <v>2.3800000000000002E-2</v>
      </c>
      <c r="Y95" s="73">
        <f t="shared" si="47"/>
        <v>23.266999999999999</v>
      </c>
      <c r="Z95" s="74">
        <f>VLOOKUP(A95,Enforcements!$C$19:$J$57,8,0)</f>
        <v>1</v>
      </c>
      <c r="AA95" s="74" t="str">
        <f>VLOOKUP(A95,Enforcements!$C$19:$J$57,3,0)</f>
        <v>TRACK WARRANT AUTHORITY</v>
      </c>
    </row>
    <row r="96" spans="1:27" s="2" customFormat="1" x14ac:dyDescent="0.25">
      <c r="A96" s="60" t="s">
        <v>406</v>
      </c>
      <c r="B96" s="60">
        <v>4024</v>
      </c>
      <c r="C96" s="60" t="s">
        <v>62</v>
      </c>
      <c r="D96" s="60" t="s">
        <v>483</v>
      </c>
      <c r="E96" s="30">
        <v>42536.642789351848</v>
      </c>
      <c r="F96" s="30">
        <v>42536.64471064815</v>
      </c>
      <c r="G96" s="38">
        <v>2</v>
      </c>
      <c r="H96" s="30" t="s">
        <v>519</v>
      </c>
      <c r="I96" s="30">
        <v>42536.645127314812</v>
      </c>
      <c r="J96" s="60">
        <v>0</v>
      </c>
      <c r="K96" s="60" t="str">
        <f t="shared" si="23"/>
        <v>4023/4024</v>
      </c>
      <c r="L96" s="60" t="str">
        <f>VLOOKUP(A96,'Trips&amp;Operators'!$C$1:$E$10000,3,FALSE)</f>
        <v>SANTIZO</v>
      </c>
      <c r="M96" s="12">
        <f t="shared" si="24"/>
        <v>4.1666666220407933E-4</v>
      </c>
      <c r="N96" s="13"/>
      <c r="O96" s="13"/>
      <c r="P96" s="13">
        <f>24*60*SUM($M96:$M96)</f>
        <v>0.59999999357387424</v>
      </c>
      <c r="Q96" s="61"/>
      <c r="R96" s="61" t="s">
        <v>329</v>
      </c>
      <c r="T96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https://search-rtdc-monitor-bjffxe2xuh6vdkpspy63sjmuny.us-east-1.es.amazonaws.com/_plugin/kibana/#/discover/Steve-Slow-Train-Analysis-(2080s-and-2083s)?_g=(refreshInterval:(display:Off,section:0,value:0),time:(from:'2016-06-15 15:24:37-0600',mode:absolute,to:'2016-06-15 15:29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6" s="73" t="str">
        <f t="shared" si="44"/>
        <v>N</v>
      </c>
      <c r="V96" s="73">
        <f t="shared" si="25"/>
        <v>1</v>
      </c>
      <c r="W96" s="73">
        <f t="shared" si="45"/>
        <v>4.4200000000000003E-2</v>
      </c>
      <c r="X96" s="73">
        <f t="shared" si="46"/>
        <v>23.303000000000001</v>
      </c>
      <c r="Y96" s="73">
        <f t="shared" si="47"/>
        <v>23.258800000000001</v>
      </c>
      <c r="Z96" s="74" t="e">
        <f>VLOOKUP(A96,Enforcements!$C$19:$J$57,8,0)</f>
        <v>#N/A</v>
      </c>
      <c r="AA96" s="74" t="e">
        <f>VLOOKUP(A96,Enforcements!$C$19:$J$57,3,0)</f>
        <v>#N/A</v>
      </c>
    </row>
    <row r="97" spans="1:27" s="2" customFormat="1" x14ac:dyDescent="0.25">
      <c r="A97" s="60" t="s">
        <v>430</v>
      </c>
      <c r="B97" s="60">
        <v>4023</v>
      </c>
      <c r="C97" s="60" t="s">
        <v>62</v>
      </c>
      <c r="D97" s="60" t="s">
        <v>493</v>
      </c>
      <c r="E97" s="30">
        <v>42536.681435185186</v>
      </c>
      <c r="F97" s="30">
        <v>42536.682222222225</v>
      </c>
      <c r="G97" s="38">
        <v>1</v>
      </c>
      <c r="H97" s="30" t="s">
        <v>520</v>
      </c>
      <c r="I97" s="30">
        <v>42536.714282407411</v>
      </c>
      <c r="J97" s="60">
        <v>1</v>
      </c>
      <c r="K97" s="60" t="str">
        <f t="shared" si="23"/>
        <v>4023/4024</v>
      </c>
      <c r="L97" s="60" t="str">
        <f>VLOOKUP(A97,'Trips&amp;Operators'!$C$1:$E$10000,3,FALSE)</f>
        <v>SANTIZO</v>
      </c>
      <c r="M97" s="12">
        <f t="shared" si="24"/>
        <v>3.2060185185400769E-2</v>
      </c>
      <c r="N97" s="13">
        <f>24*60*SUM($M97:$M97)</f>
        <v>46.166666666977108</v>
      </c>
      <c r="O97" s="13"/>
      <c r="P97" s="13"/>
      <c r="Q97" s="61"/>
      <c r="R97" s="61"/>
      <c r="T97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https://search-rtdc-monitor-bjffxe2xuh6vdkpspy63sjmuny.us-east-1.es.amazonaws.com/_plugin/kibana/#/discover/Steve-Slow-Train-Analysis-(2080s-and-2083s)?_g=(refreshInterval:(display:Off,section:0,value:0),time:(from:'2016-06-15 16:20:16-0600',mode:absolute,to:'2016-06-15 17:09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7" s="73" t="str">
        <f t="shared" si="44"/>
        <v>N</v>
      </c>
      <c r="V97" s="73">
        <f t="shared" si="25"/>
        <v>1</v>
      </c>
      <c r="W97" s="73">
        <f t="shared" si="45"/>
        <v>23.299800000000001</v>
      </c>
      <c r="X97" s="73">
        <f t="shared" si="46"/>
        <v>2.1600000000000001E-2</v>
      </c>
      <c r="Y97" s="73">
        <f t="shared" si="47"/>
        <v>23.278200000000002</v>
      </c>
      <c r="Z97" s="74">
        <f>VLOOKUP(A97,Enforcements!$C$19:$J$57,8,0)</f>
        <v>1</v>
      </c>
      <c r="AA97" s="74" t="str">
        <f>VLOOKUP(A97,Enforcements!$C$19:$J$57,3,0)</f>
        <v>TRACK WARRANT AUTHORITY</v>
      </c>
    </row>
    <row r="98" spans="1:27" s="2" customFormat="1" x14ac:dyDescent="0.25">
      <c r="A98" s="60" t="s">
        <v>418</v>
      </c>
      <c r="B98" s="60">
        <v>4029</v>
      </c>
      <c r="C98" s="60" t="s">
        <v>62</v>
      </c>
      <c r="D98" s="60" t="s">
        <v>85</v>
      </c>
      <c r="E98" s="30">
        <v>42536.643993055557</v>
      </c>
      <c r="F98" s="30">
        <v>42536.645266203705</v>
      </c>
      <c r="G98" s="38">
        <v>1</v>
      </c>
      <c r="H98" s="30" t="s">
        <v>521</v>
      </c>
      <c r="I98" s="30">
        <v>42536.669502314813</v>
      </c>
      <c r="J98" s="60">
        <v>2</v>
      </c>
      <c r="K98" s="60" t="str">
        <f t="shared" si="23"/>
        <v>4029/4030</v>
      </c>
      <c r="L98" s="60" t="str">
        <f>VLOOKUP(A98,'Trips&amp;Operators'!$C$1:$E$10000,3,FALSE)</f>
        <v>BRABO</v>
      </c>
      <c r="M98" s="12">
        <f t="shared" si="24"/>
        <v>2.4236111108621117E-2</v>
      </c>
      <c r="N98" s="13"/>
      <c r="O98" s="13"/>
      <c r="P98" s="13">
        <f>24*60*SUM($M98:$M99)</f>
        <v>59.616666657384485</v>
      </c>
      <c r="Q98" s="61"/>
      <c r="R98" s="61" t="s">
        <v>276</v>
      </c>
      <c r="T98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https://search-rtdc-monitor-bjffxe2xuh6vdkpspy63sjmuny.us-east-1.es.amazonaws.com/_plugin/kibana/#/discover/Steve-Slow-Train-Analysis-(2080s-and-2083s)?_g=(refreshInterval:(display:Off,section:0,value:0),time:(from:'2016-06-15 15:26:21-0600',mode:absolute,to:'2016-06-15 16:05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8" s="73" t="str">
        <f t="shared" si="44"/>
        <v>Y</v>
      </c>
      <c r="V98" s="73">
        <f t="shared" si="25"/>
        <v>1</v>
      </c>
      <c r="W98" s="73">
        <f t="shared" si="45"/>
        <v>4.5699999999999998E-2</v>
      </c>
      <c r="X98" s="73">
        <f t="shared" si="46"/>
        <v>8.1503999999999994</v>
      </c>
      <c r="Y98" s="73">
        <f t="shared" si="47"/>
        <v>8.1046999999999993</v>
      </c>
      <c r="Z98" s="74">
        <f>VLOOKUP(A98,Enforcements!$C$19:$J$57,8,0)</f>
        <v>81738</v>
      </c>
      <c r="AA98" s="74" t="str">
        <f>VLOOKUP(A98,Enforcements!$C$19:$J$57,3,0)</f>
        <v>SIGNAL</v>
      </c>
    </row>
    <row r="99" spans="1:27" s="2" customFormat="1" x14ac:dyDescent="0.25">
      <c r="A99" s="60" t="s">
        <v>418</v>
      </c>
      <c r="B99" s="60">
        <v>4029</v>
      </c>
      <c r="C99" s="60" t="s">
        <v>62</v>
      </c>
      <c r="D99" s="60" t="s">
        <v>522</v>
      </c>
      <c r="E99" s="30">
        <v>42536.670636574076</v>
      </c>
      <c r="F99" s="30">
        <v>42536.671388888892</v>
      </c>
      <c r="G99" s="38">
        <v>1</v>
      </c>
      <c r="H99" s="30" t="s">
        <v>523</v>
      </c>
      <c r="I99" s="30">
        <v>42536.68855324074</v>
      </c>
      <c r="J99" s="60">
        <v>0</v>
      </c>
      <c r="K99" s="60" t="str">
        <f t="shared" ref="K99:K135" si="48">IF(ISEVEN(B99),(B99-1)&amp;"/"&amp;B99,B99&amp;"/"&amp;(B99+1))</f>
        <v>4029/4030</v>
      </c>
      <c r="L99" s="60" t="str">
        <f>VLOOKUP(A99,'Trips&amp;Operators'!$C$1:$E$10000,3,FALSE)</f>
        <v>BRABO</v>
      </c>
      <c r="M99" s="12">
        <f t="shared" ref="M99:M135" si="49">I99-F99</f>
        <v>1.7164351847895887E-2</v>
      </c>
      <c r="N99" s="13"/>
      <c r="O99" s="13"/>
      <c r="P99" s="13"/>
      <c r="Q99" s="61"/>
      <c r="R99" s="61"/>
      <c r="T99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https://search-rtdc-monitor-bjffxe2xuh6vdkpspy63sjmuny.us-east-1.es.amazonaws.com/_plugin/kibana/#/discover/Steve-Slow-Train-Analysis-(2080s-and-2083s)?_g=(refreshInterval:(display:Off,section:0,value:0),time:(from:'2016-06-15 16:04:43-0600',mode:absolute,to:'2016-06-15 16:32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U99" s="73" t="str">
        <f t="shared" si="44"/>
        <v>Y</v>
      </c>
      <c r="V99" s="73">
        <f t="shared" ref="V99:V105" si="50">VALUE(LEFT(A99,3))-VALUE(LEFT(A98,3))</f>
        <v>0</v>
      </c>
      <c r="W99" s="73">
        <f t="shared" si="45"/>
        <v>8.6374999999999993</v>
      </c>
      <c r="X99" s="73">
        <f t="shared" si="46"/>
        <v>23.3278</v>
      </c>
      <c r="Y99" s="73">
        <f t="shared" si="47"/>
        <v>14.690300000000001</v>
      </c>
      <c r="Z99" s="74">
        <f>VLOOKUP(A99,Enforcements!$C$19:$J$57,8,0)</f>
        <v>81738</v>
      </c>
      <c r="AA99" s="74" t="str">
        <f>VLOOKUP(A99,Enforcements!$C$19:$J$57,3,0)</f>
        <v>SIGNAL</v>
      </c>
    </row>
    <row r="100" spans="1:27" s="2" customFormat="1" x14ac:dyDescent="0.25">
      <c r="A100" s="60" t="s">
        <v>347</v>
      </c>
      <c r="B100" s="60">
        <v>4030</v>
      </c>
      <c r="C100" s="60" t="s">
        <v>62</v>
      </c>
      <c r="D100" s="60" t="s">
        <v>524</v>
      </c>
      <c r="E100" s="30">
        <v>42536.694849537038</v>
      </c>
      <c r="F100" s="30">
        <v>42536.695763888885</v>
      </c>
      <c r="G100" s="38">
        <v>1</v>
      </c>
      <c r="H100" s="30" t="s">
        <v>525</v>
      </c>
      <c r="I100" s="30">
        <v>42536.715092592596</v>
      </c>
      <c r="J100" s="60">
        <v>0</v>
      </c>
      <c r="K100" s="60" t="str">
        <f t="shared" si="48"/>
        <v>4029/4030</v>
      </c>
      <c r="L100" s="60" t="str">
        <f>VLOOKUP(A100,'Trips&amp;Operators'!$C$1:$E$10000,3,FALSE)</f>
        <v>HAUSER</v>
      </c>
      <c r="M100" s="12">
        <f t="shared" si="49"/>
        <v>1.9328703710925765E-2</v>
      </c>
      <c r="N100" s="13"/>
      <c r="O100" s="13"/>
      <c r="P100" s="13">
        <f>24*60*SUM($M100:$M100)</f>
        <v>27.833333343733102</v>
      </c>
      <c r="Q100" s="61"/>
      <c r="R100" s="61" t="s">
        <v>561</v>
      </c>
      <c r="T100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https://search-rtdc-monitor-bjffxe2xuh6vdkpspy63sjmuny.us-east-1.es.amazonaws.com/_plugin/kibana/#/discover/Steve-Slow-Train-Analysis-(2080s-and-2083s)?_g=(refreshInterval:(display:Off,section:0,value:0),time:(from:'2016-06-15 16:39:35-0600',mode:absolute,to:'2016-06-15 17:10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U100" s="73" t="str">
        <f t="shared" si="44"/>
        <v>Y</v>
      </c>
      <c r="V100" s="73">
        <f t="shared" si="50"/>
        <v>1</v>
      </c>
      <c r="W100" s="73">
        <f t="shared" si="45"/>
        <v>23.295999999999999</v>
      </c>
      <c r="X100" s="73">
        <f t="shared" si="46"/>
        <v>6.3926999999999996</v>
      </c>
      <c r="Y100" s="73">
        <f t="shared" si="47"/>
        <v>16.903300000000002</v>
      </c>
      <c r="Z100" s="74" t="e">
        <f>VLOOKUP(A100,Enforcements!$C$19:$J$57,8,0)</f>
        <v>#N/A</v>
      </c>
      <c r="AA100" s="74" t="e">
        <f>VLOOKUP(A100,Enforcements!$C$19:$J$57,3,0)</f>
        <v>#N/A</v>
      </c>
    </row>
    <row r="101" spans="1:27" s="2" customFormat="1" x14ac:dyDescent="0.25">
      <c r="A101" s="60" t="s">
        <v>345</v>
      </c>
      <c r="B101" s="60">
        <v>4018</v>
      </c>
      <c r="C101" s="60" t="s">
        <v>62</v>
      </c>
      <c r="D101" s="60" t="s">
        <v>64</v>
      </c>
      <c r="E101" s="30">
        <v>42536.665671296294</v>
      </c>
      <c r="F101" s="30">
        <v>42536.666701388887</v>
      </c>
      <c r="G101" s="38">
        <v>1</v>
      </c>
      <c r="H101" s="30" t="s">
        <v>319</v>
      </c>
      <c r="I101" s="30">
        <v>42536.694085648145</v>
      </c>
      <c r="J101" s="60">
        <v>1</v>
      </c>
      <c r="K101" s="60" t="str">
        <f t="shared" si="48"/>
        <v>4017/4018</v>
      </c>
      <c r="L101" s="60" t="str">
        <f>VLOOKUP(A101,'Trips&amp;Operators'!$C$1:$E$10000,3,FALSE)</f>
        <v>RIVERA</v>
      </c>
      <c r="M101" s="12">
        <f t="shared" si="49"/>
        <v>2.7384259257814847E-2</v>
      </c>
      <c r="N101" s="13">
        <f>24*60*SUM($M101:$M101)</f>
        <v>39.43333333125338</v>
      </c>
      <c r="O101" s="13"/>
      <c r="P101" s="13"/>
      <c r="Q101" s="61"/>
      <c r="R101" s="61"/>
      <c r="T101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https://search-rtdc-monitor-bjffxe2xuh6vdkpspy63sjmuny.us-east-1.es.amazonaws.com/_plugin/kibana/#/discover/Steve-Slow-Train-Analysis-(2080s-and-2083s)?_g=(refreshInterval:(display:Off,section:0,value:0),time:(from:'2016-06-15 15:57:34-0600',mode:absolute,to:'2016-06-15 16:40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01" s="73" t="str">
        <f t="shared" si="44"/>
        <v>N</v>
      </c>
      <c r="V101" s="73">
        <f t="shared" si="50"/>
        <v>1</v>
      </c>
      <c r="W101" s="73">
        <f t="shared" si="45"/>
        <v>4.5100000000000001E-2</v>
      </c>
      <c r="X101" s="73">
        <f t="shared" si="46"/>
        <v>23.330500000000001</v>
      </c>
      <c r="Y101" s="73">
        <f t="shared" si="47"/>
        <v>23.285399999999999</v>
      </c>
      <c r="Z101" s="74">
        <f>VLOOKUP(A101,Enforcements!$C$19:$J$57,8,0)</f>
        <v>155600</v>
      </c>
      <c r="AA101" s="74" t="str">
        <f>VLOOKUP(A101,Enforcements!$C$19:$J$57,3,0)</f>
        <v>SIGNAL</v>
      </c>
    </row>
    <row r="102" spans="1:27" s="2" customFormat="1" x14ac:dyDescent="0.25">
      <c r="A102" s="60" t="s">
        <v>399</v>
      </c>
      <c r="B102" s="60">
        <v>4017</v>
      </c>
      <c r="C102" s="60" t="s">
        <v>62</v>
      </c>
      <c r="D102" s="60" t="s">
        <v>291</v>
      </c>
      <c r="E102" s="30">
        <v>42536.70103009259</v>
      </c>
      <c r="F102" s="30">
        <v>42536.705787037034</v>
      </c>
      <c r="G102" s="38">
        <v>1</v>
      </c>
      <c r="H102" s="30" t="s">
        <v>526</v>
      </c>
      <c r="I102" s="30">
        <v>42536.758067129631</v>
      </c>
      <c r="J102" s="60">
        <v>2</v>
      </c>
      <c r="K102" s="60" t="str">
        <f t="shared" si="48"/>
        <v>4017/4018</v>
      </c>
      <c r="L102" s="60" t="str">
        <f>VLOOKUP(A102,'Trips&amp;Operators'!$C$1:$E$10000,3,FALSE)</f>
        <v>RIVERA</v>
      </c>
      <c r="M102" s="12">
        <f t="shared" si="49"/>
        <v>5.2280092597356997E-2</v>
      </c>
      <c r="N102" s="13">
        <f>24*60*SUM($M102:$M102)</f>
        <v>75.283333340194076</v>
      </c>
      <c r="O102" s="13"/>
      <c r="P102" s="13"/>
      <c r="Q102" s="61"/>
      <c r="R102" s="61"/>
      <c r="T102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https://search-rtdc-monitor-bjffxe2xuh6vdkpspy63sjmuny.us-east-1.es.amazonaws.com/_plugin/kibana/#/discover/Steve-Slow-Train-Analysis-(2080s-and-2083s)?_g=(refreshInterval:(display:Off,section:0,value:0),time:(from:'2016-06-15 16:48:29-0600',mode:absolute,to:'2016-06-15 18:12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02" s="73" t="str">
        <f t="shared" si="44"/>
        <v>N</v>
      </c>
      <c r="V102" s="73">
        <f t="shared" si="50"/>
        <v>1</v>
      </c>
      <c r="W102" s="73">
        <f t="shared" si="45"/>
        <v>23.2986</v>
      </c>
      <c r="X102" s="73">
        <f t="shared" si="46"/>
        <v>8.7900000000000006E-2</v>
      </c>
      <c r="Y102" s="73">
        <f t="shared" si="47"/>
        <v>23.210699999999999</v>
      </c>
      <c r="Z102" s="74">
        <f>VLOOKUP(A102,Enforcements!$C$19:$J$57,8,0)</f>
        <v>127587</v>
      </c>
      <c r="AA102" s="74" t="str">
        <f>VLOOKUP(A102,Enforcements!$C$19:$J$57,3,0)</f>
        <v>SIGNAL</v>
      </c>
    </row>
    <row r="103" spans="1:27" s="2" customFormat="1" x14ac:dyDescent="0.25">
      <c r="A103" s="60" t="s">
        <v>461</v>
      </c>
      <c r="B103" s="60">
        <v>4040</v>
      </c>
      <c r="C103" s="60" t="s">
        <v>62</v>
      </c>
      <c r="D103" s="60" t="s">
        <v>64</v>
      </c>
      <c r="E103" s="30">
        <v>42536.673993055556</v>
      </c>
      <c r="F103" s="30">
        <v>42536.675057870372</v>
      </c>
      <c r="G103" s="38">
        <v>1</v>
      </c>
      <c r="H103" s="30" t="s">
        <v>315</v>
      </c>
      <c r="I103" s="30">
        <v>42536.702800925923</v>
      </c>
      <c r="J103" s="60">
        <v>0</v>
      </c>
      <c r="K103" s="60" t="str">
        <f t="shared" si="48"/>
        <v>4039/4040</v>
      </c>
      <c r="L103" s="60" t="str">
        <f>VLOOKUP(A103,'Trips&amp;Operators'!$C$1:$E$10000,3,FALSE)</f>
        <v>BEAM</v>
      </c>
      <c r="M103" s="12">
        <f t="shared" si="49"/>
        <v>2.774305555067258E-2</v>
      </c>
      <c r="N103" s="13">
        <f>24*60*SUM($M103:$M103)</f>
        <v>39.949999992968515</v>
      </c>
      <c r="O103" s="13"/>
      <c r="P103" s="13"/>
      <c r="Q103" s="61"/>
      <c r="R103" s="61"/>
      <c r="T103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https://search-rtdc-monitor-bjffxe2xuh6vdkpspy63sjmuny.us-east-1.es.amazonaws.com/_plugin/kibana/#/discover/Steve-Slow-Train-Analysis-(2080s-and-2083s)?_g=(refreshInterval:(display:Off,section:0,value:0),time:(from:'2016-06-15 16:09:33-0600',mode:absolute,to:'2016-06-15 16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3" s="73" t="str">
        <f t="shared" si="44"/>
        <v>N</v>
      </c>
      <c r="V103" s="73">
        <f t="shared" si="50"/>
        <v>1</v>
      </c>
      <c r="W103" s="73">
        <f t="shared" si="45"/>
        <v>4.5100000000000001E-2</v>
      </c>
      <c r="X103" s="73">
        <f t="shared" si="46"/>
        <v>23.328499999999998</v>
      </c>
      <c r="Y103" s="73">
        <f t="shared" si="47"/>
        <v>23.283399999999997</v>
      </c>
      <c r="Z103" s="74" t="e">
        <f>VLOOKUP(A103,Enforcements!$C$19:$J$57,8,0)</f>
        <v>#N/A</v>
      </c>
      <c r="AA103" s="74" t="e">
        <f>VLOOKUP(A103,Enforcements!$C$19:$J$57,3,0)</f>
        <v>#N/A</v>
      </c>
    </row>
    <row r="104" spans="1:27" s="2" customFormat="1" x14ac:dyDescent="0.25">
      <c r="A104" s="60" t="s">
        <v>363</v>
      </c>
      <c r="B104" s="60">
        <v>4039</v>
      </c>
      <c r="C104" s="60" t="s">
        <v>62</v>
      </c>
      <c r="D104" s="60" t="s">
        <v>527</v>
      </c>
      <c r="E104" s="30">
        <v>42536.710115740738</v>
      </c>
      <c r="F104" s="30">
        <v>42536.711122685185</v>
      </c>
      <c r="G104" s="38">
        <v>1</v>
      </c>
      <c r="H104" s="30" t="s">
        <v>528</v>
      </c>
      <c r="I104" s="30">
        <v>42536.76871527778</v>
      </c>
      <c r="J104" s="60">
        <v>0</v>
      </c>
      <c r="K104" s="60" t="str">
        <f t="shared" si="48"/>
        <v>4039/4040</v>
      </c>
      <c r="L104" s="60" t="str">
        <f>VLOOKUP(A104,'Trips&amp;Operators'!$C$1:$E$10000,3,FALSE)</f>
        <v>BEAM</v>
      </c>
      <c r="M104" s="12">
        <f t="shared" si="49"/>
        <v>5.7592592595028691E-2</v>
      </c>
      <c r="N104" s="13">
        <f>24*60*SUM($M104:$M104)</f>
        <v>82.933333336841315</v>
      </c>
      <c r="O104" s="13"/>
      <c r="P104" s="13"/>
      <c r="Q104" s="61"/>
      <c r="R104" s="61"/>
      <c r="T104" s="73" t="str">
        <f t="shared" si="43"/>
        <v>https://search-rtdc-monitor-bjffxe2xuh6vdkpspy63sjmuny.us-east-1.es.amazonaws.com/_plugin/kibana/#/discover/Steve-Slow-Train-Analysis-(2080s-and-2083s)?_g=(refreshInterval:(display:Off,section:0,value:0),time:(from:'2016-06-15 17:01:34-0600',mode:absolute,to:'2016-06-15 18:27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4" s="73" t="str">
        <f t="shared" si="44"/>
        <v>N</v>
      </c>
      <c r="V104" s="73">
        <f t="shared" si="50"/>
        <v>1</v>
      </c>
      <c r="W104" s="73">
        <f t="shared" si="45"/>
        <v>23.300999999999998</v>
      </c>
      <c r="X104" s="73">
        <f t="shared" si="46"/>
        <v>4.9099999999999998E-2</v>
      </c>
      <c r="Y104" s="73">
        <f t="shared" si="47"/>
        <v>23.251899999999999</v>
      </c>
      <c r="Z104" s="74" t="e">
        <f>VLOOKUP(A104,Enforcements!$C$19:$J$57,8,0)</f>
        <v>#N/A</v>
      </c>
      <c r="AA104" s="74" t="e">
        <f>VLOOKUP(A104,Enforcements!$C$19:$J$57,3,0)</f>
        <v>#N/A</v>
      </c>
    </row>
    <row r="105" spans="1:27" s="2" customFormat="1" x14ac:dyDescent="0.25">
      <c r="A105" s="60" t="s">
        <v>383</v>
      </c>
      <c r="B105" s="60">
        <v>4007</v>
      </c>
      <c r="C105" s="60"/>
      <c r="D105" s="60"/>
      <c r="E105" s="30"/>
      <c r="F105" s="30">
        <v>42536.68954861111</v>
      </c>
      <c r="G105" s="38"/>
      <c r="H105" s="30"/>
      <c r="I105" s="30">
        <v>42536.692337962966</v>
      </c>
      <c r="J105" s="60"/>
      <c r="K105" s="60" t="str">
        <f t="shared" si="48"/>
        <v>4007/4008</v>
      </c>
      <c r="L105" s="60" t="str">
        <f>VLOOKUP(A105,'Trips&amp;Operators'!$C$1:$E$10000,3,FALSE)</f>
        <v>LOZA</v>
      </c>
      <c r="M105" s="12">
        <f t="shared" si="49"/>
        <v>2.7893518563359976E-3</v>
      </c>
      <c r="N105" s="13"/>
      <c r="O105" s="13"/>
      <c r="P105" s="13">
        <f>24*60*SUM($M105:$M105)</f>
        <v>4.0166666731238365</v>
      </c>
      <c r="Q105" s="61"/>
      <c r="R105" s="61" t="s">
        <v>561</v>
      </c>
      <c r="T105" s="73" t="e">
        <f t="shared" ref="T105" si="51"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#VALUE!</v>
      </c>
      <c r="U105" s="73" t="e">
        <f t="shared" ref="U105" si="52">IF(Y105&lt;23,"Y","N")</f>
        <v>#VALUE!</v>
      </c>
      <c r="V105" s="73">
        <f t="shared" si="50"/>
        <v>1</v>
      </c>
      <c r="W105" s="73" t="e">
        <f t="shared" ref="W105" si="53">RIGHT(D105,LEN(D105)-4)/10000</f>
        <v>#VALUE!</v>
      </c>
      <c r="X105" s="73" t="e">
        <f t="shared" ref="X105" si="54">RIGHT(H105,LEN(H105)-4)/10000</f>
        <v>#VALUE!</v>
      </c>
      <c r="Y105" s="73" t="e">
        <f t="shared" ref="Y105" si="55">ABS(X105-W105)</f>
        <v>#VALUE!</v>
      </c>
      <c r="Z105" s="74" t="e">
        <f>VLOOKUP(A105,Enforcements!$C$19:$J$57,8,0)</f>
        <v>#N/A</v>
      </c>
      <c r="AA105" s="74"/>
    </row>
    <row r="106" spans="1:27" s="2" customFormat="1" x14ac:dyDescent="0.25">
      <c r="A106" s="60" t="s">
        <v>373</v>
      </c>
      <c r="B106" s="60">
        <v>4025</v>
      </c>
      <c r="C106" s="60" t="s">
        <v>62</v>
      </c>
      <c r="D106" s="60" t="s">
        <v>529</v>
      </c>
      <c r="E106" s="30">
        <v>42536.694953703707</v>
      </c>
      <c r="F106" s="30">
        <v>42536.695856481485</v>
      </c>
      <c r="G106" s="38">
        <v>1</v>
      </c>
      <c r="H106" s="30" t="s">
        <v>530</v>
      </c>
      <c r="I106" s="30">
        <v>42536.705277777779</v>
      </c>
      <c r="J106" s="60">
        <v>0</v>
      </c>
      <c r="K106" s="60" t="str">
        <f t="shared" si="48"/>
        <v>4025/4026</v>
      </c>
      <c r="L106" s="60" t="str">
        <f>VLOOKUP(A106,'Trips&amp;Operators'!$C$1:$E$10000,3,FALSE)</f>
        <v>BONDS</v>
      </c>
      <c r="M106" s="12">
        <f t="shared" si="49"/>
        <v>9.4212962940218858E-3</v>
      </c>
      <c r="N106" s="13"/>
      <c r="O106" s="13"/>
      <c r="P106" s="13">
        <f>24*60*SUM($M106:$M106)</f>
        <v>13.566666663391516</v>
      </c>
      <c r="Q106" s="61"/>
      <c r="R106" s="61" t="s">
        <v>564</v>
      </c>
      <c r="T106" s="73" t="str">
        <f t="shared" ref="T106:T131" si="56"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https://search-rtdc-monitor-bjffxe2xuh6vdkpspy63sjmuny.us-east-1.es.amazonaws.com/_plugin/kibana/#/discover/Steve-Slow-Train-Analysis-(2080s-and-2083s)?_g=(refreshInterval:(display:Off,section:0,value:0),time:(from:'2016-06-15 16:39:44-0600',mode:absolute,to:'2016-06-15 16:56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6" s="73" t="str">
        <f t="shared" ref="U106:U131" si="57">IF(Y106&lt;23,"Y","N")</f>
        <v>Y</v>
      </c>
      <c r="V106" s="73">
        <f>VALUE(LEFT(A106,3))-VALUE(LEFT('Missing Trips'!A16,3))</f>
        <v>-29</v>
      </c>
      <c r="W106" s="73">
        <f t="shared" ref="W106:W131" si="58">RIGHT(D106,LEN(D106)-4)/10000</f>
        <v>0.05</v>
      </c>
      <c r="X106" s="73">
        <f t="shared" ref="X106:X133" si="59">RIGHT(H106,LEN(H106)-4)/10000</f>
        <v>3.5202</v>
      </c>
      <c r="Y106" s="73">
        <f t="shared" ref="Y106:Y131" si="60">ABS(X106-W106)</f>
        <v>3.4702000000000002</v>
      </c>
      <c r="Z106" s="74" t="e">
        <f>VLOOKUP(A106,Enforcements!$C$19:$J$57,8,0)</f>
        <v>#N/A</v>
      </c>
      <c r="AA106" s="74" t="e">
        <f>VLOOKUP(A106,Enforcements!$C$19:$J$57,3,0)</f>
        <v>#N/A</v>
      </c>
    </row>
    <row r="107" spans="1:27" s="2" customFormat="1" x14ac:dyDescent="0.25">
      <c r="A107" s="60" t="s">
        <v>408</v>
      </c>
      <c r="B107" s="60">
        <v>4019</v>
      </c>
      <c r="C107" s="60" t="s">
        <v>62</v>
      </c>
      <c r="D107" s="60" t="s">
        <v>269</v>
      </c>
      <c r="E107" s="30">
        <v>42536.768148148149</v>
      </c>
      <c r="F107" s="30">
        <v>42536.769537037035</v>
      </c>
      <c r="G107" s="38">
        <v>1</v>
      </c>
      <c r="H107" s="30" t="s">
        <v>107</v>
      </c>
      <c r="I107" s="30">
        <v>42536.774421296293</v>
      </c>
      <c r="J107" s="60">
        <v>0</v>
      </c>
      <c r="K107" s="60" t="str">
        <f t="shared" si="48"/>
        <v>4019/4020</v>
      </c>
      <c r="L107" s="60" t="str">
        <f>VLOOKUP(A107,'Trips&amp;Operators'!$C$1:$E$10000,3,FALSE)</f>
        <v>MAYBERRY</v>
      </c>
      <c r="M107" s="12">
        <f t="shared" si="49"/>
        <v>4.8842592586879618E-3</v>
      </c>
      <c r="N107" s="13"/>
      <c r="O107" s="13"/>
      <c r="P107" s="13">
        <f>24*60*SUM($M107:$M107)</f>
        <v>7.0333333325106651</v>
      </c>
      <c r="Q107" s="61"/>
      <c r="R107" s="61" t="s">
        <v>564</v>
      </c>
      <c r="T107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18:25:08-0600',mode:absolute,to:'2016-06-15 18:36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7" s="73" t="str">
        <f t="shared" si="57"/>
        <v>Y</v>
      </c>
      <c r="V107" s="73" t="e">
        <f>VALUE(LEFT(A107,3))-VALUE(LEFT(#REF!,3))</f>
        <v>#REF!</v>
      </c>
      <c r="W107" s="73">
        <f t="shared" si="58"/>
        <v>23.2987</v>
      </c>
      <c r="X107" s="73">
        <f t="shared" si="59"/>
        <v>23.297599999999999</v>
      </c>
      <c r="Y107" s="73">
        <f t="shared" si="60"/>
        <v>1.1000000000009891E-3</v>
      </c>
      <c r="Z107" s="74" t="e">
        <f>VLOOKUP(A107,Enforcements!$C$19:$J$57,8,0)</f>
        <v>#N/A</v>
      </c>
      <c r="AA107" s="74" t="e">
        <f>VLOOKUP(A107,Enforcements!$C$19:$J$57,3,0)</f>
        <v>#N/A</v>
      </c>
    </row>
    <row r="108" spans="1:27" s="2" customFormat="1" x14ac:dyDescent="0.25">
      <c r="A108" s="60" t="s">
        <v>459</v>
      </c>
      <c r="B108" s="60">
        <v>4016</v>
      </c>
      <c r="C108" s="60" t="s">
        <v>62</v>
      </c>
      <c r="D108" s="60" t="s">
        <v>531</v>
      </c>
      <c r="E108" s="30">
        <v>42536.720775462964</v>
      </c>
      <c r="F108" s="30">
        <v>42536.722384259258</v>
      </c>
      <c r="G108" s="38">
        <v>2</v>
      </c>
      <c r="H108" s="30" t="s">
        <v>532</v>
      </c>
      <c r="I108" s="30">
        <v>42536.733449074076</v>
      </c>
      <c r="J108" s="60">
        <v>1</v>
      </c>
      <c r="K108" s="60" t="str">
        <f t="shared" si="48"/>
        <v>4015/4016</v>
      </c>
      <c r="L108" s="60" t="str">
        <f>VLOOKUP(A108,'Trips&amp;Operators'!$C$1:$E$10000,3,FALSE)</f>
        <v>STORY</v>
      </c>
      <c r="M108" s="12">
        <f t="shared" si="49"/>
        <v>1.1064814818382729E-2</v>
      </c>
      <c r="N108" s="13"/>
      <c r="O108" s="13"/>
      <c r="P108" s="13">
        <f>24*60*SUM($M108:$M108)</f>
        <v>15.93333333847113</v>
      </c>
      <c r="Q108" s="61"/>
      <c r="R108" s="61" t="s">
        <v>564</v>
      </c>
      <c r="T108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17:16:55-0600',mode:absolute,to:'2016-06-15 17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8" s="73" t="str">
        <f t="shared" si="57"/>
        <v>Y</v>
      </c>
      <c r="V108" s="73">
        <f t="shared" ref="V108:V131" si="61">VALUE(LEFT(A108,3))-VALUE(LEFT(A107,3))</f>
        <v>1</v>
      </c>
      <c r="W108" s="73">
        <f t="shared" si="58"/>
        <v>0.1515</v>
      </c>
      <c r="X108" s="73">
        <f t="shared" si="59"/>
        <v>0.2039</v>
      </c>
      <c r="Y108" s="73">
        <f t="shared" si="60"/>
        <v>5.2400000000000002E-2</v>
      </c>
      <c r="Z108" s="74">
        <f>VLOOKUP(A108,Enforcements!$C$19:$J$57,8,0)</f>
        <v>1692</v>
      </c>
      <c r="AA108" s="74" t="str">
        <f>VLOOKUP(A108,Enforcements!$C$19:$J$57,3,0)</f>
        <v>SIGNAL</v>
      </c>
    </row>
    <row r="109" spans="1:27" s="2" customFormat="1" x14ac:dyDescent="0.25">
      <c r="A109" s="60" t="s">
        <v>358</v>
      </c>
      <c r="B109" s="60">
        <v>4011</v>
      </c>
      <c r="C109" s="60" t="s">
        <v>62</v>
      </c>
      <c r="D109" s="60" t="s">
        <v>534</v>
      </c>
      <c r="E109" s="30">
        <v>42536.732997685183</v>
      </c>
      <c r="F109" s="30">
        <v>42536.733946759261</v>
      </c>
      <c r="G109" s="38">
        <v>1</v>
      </c>
      <c r="H109" s="30" t="s">
        <v>535</v>
      </c>
      <c r="I109" s="30">
        <v>42536.754548611112</v>
      </c>
      <c r="J109" s="60">
        <v>0</v>
      </c>
      <c r="K109" s="60" t="str">
        <f t="shared" si="48"/>
        <v>4011/4012</v>
      </c>
      <c r="L109" s="60" t="str">
        <f>VLOOKUP(A109,'Trips&amp;Operators'!$C$1:$E$10000,3,FALSE)</f>
        <v>STEWART</v>
      </c>
      <c r="M109" s="12">
        <f t="shared" si="49"/>
        <v>2.0601851851097308E-2</v>
      </c>
      <c r="N109" s="13"/>
      <c r="O109" s="13"/>
      <c r="P109" s="13">
        <f>24*60*SUM($M109:$M110)</f>
        <v>74.616666664369404</v>
      </c>
      <c r="Q109" s="61"/>
      <c r="R109" s="61" t="s">
        <v>564</v>
      </c>
      <c r="T109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17:34:31-0600',mode:absolute,to:'2016-06-15 18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9" s="73" t="str">
        <f t="shared" si="57"/>
        <v>Y</v>
      </c>
      <c r="V109" s="73">
        <f t="shared" si="61"/>
        <v>2</v>
      </c>
      <c r="W109" s="73">
        <f t="shared" si="58"/>
        <v>0.1186</v>
      </c>
      <c r="X109" s="73">
        <f t="shared" si="59"/>
        <v>1.9136</v>
      </c>
      <c r="Y109" s="73">
        <f t="shared" si="60"/>
        <v>1.7949999999999999</v>
      </c>
      <c r="Z109" s="74" t="e">
        <f>VLOOKUP(A109,Enforcements!$C$19:$J$57,8,0)</f>
        <v>#N/A</v>
      </c>
      <c r="AA109" s="74" t="e">
        <f>VLOOKUP(A109,Enforcements!$C$19:$J$57,3,0)</f>
        <v>#N/A</v>
      </c>
    </row>
    <row r="110" spans="1:27" s="2" customFormat="1" x14ac:dyDescent="0.25">
      <c r="A110" s="60" t="s">
        <v>358</v>
      </c>
      <c r="B110" s="60">
        <v>4011</v>
      </c>
      <c r="C110" s="60" t="s">
        <v>62</v>
      </c>
      <c r="D110" s="60" t="s">
        <v>533</v>
      </c>
      <c r="E110" s="30">
        <v>42536.766331018516</v>
      </c>
      <c r="F110" s="30">
        <v>42536.767418981479</v>
      </c>
      <c r="G110" s="38">
        <v>1</v>
      </c>
      <c r="H110" s="30" t="s">
        <v>315</v>
      </c>
      <c r="I110" s="30">
        <v>42536.798634259256</v>
      </c>
      <c r="J110" s="60">
        <v>0</v>
      </c>
      <c r="K110" s="60" t="str">
        <f t="shared" si="48"/>
        <v>4011/4012</v>
      </c>
      <c r="L110" s="60" t="str">
        <f>VLOOKUP(A110,'Trips&amp;Operators'!$C$1:$E$10000,3,FALSE)</f>
        <v>STEWART</v>
      </c>
      <c r="M110" s="12">
        <f t="shared" si="49"/>
        <v>3.1215277776937E-2</v>
      </c>
      <c r="N110" s="13"/>
      <c r="O110" s="13"/>
      <c r="P110" s="13"/>
      <c r="Q110" s="61"/>
      <c r="R110" s="61"/>
      <c r="T110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18:22:31-0600',mode:absolute,to:'2016-06-15 19:11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0" s="73" t="str">
        <f t="shared" si="57"/>
        <v>Y</v>
      </c>
      <c r="V110" s="73">
        <f t="shared" si="61"/>
        <v>0</v>
      </c>
      <c r="W110" s="73">
        <f t="shared" si="58"/>
        <v>1.0536000000000001</v>
      </c>
      <c r="X110" s="73">
        <f t="shared" si="59"/>
        <v>23.328499999999998</v>
      </c>
      <c r="Y110" s="73">
        <f t="shared" si="60"/>
        <v>22.274899999999999</v>
      </c>
      <c r="Z110" s="74" t="e">
        <f>VLOOKUP(A110,Enforcements!$C$19:$J$57,8,0)</f>
        <v>#N/A</v>
      </c>
      <c r="AA110" s="74" t="e">
        <f>VLOOKUP(A110,Enforcements!$C$19:$J$57,3,0)</f>
        <v>#N/A</v>
      </c>
    </row>
    <row r="111" spans="1:27" s="2" customFormat="1" x14ac:dyDescent="0.25">
      <c r="A111" s="60" t="s">
        <v>350</v>
      </c>
      <c r="B111" s="60">
        <v>4024</v>
      </c>
      <c r="C111" s="60" t="s">
        <v>62</v>
      </c>
      <c r="D111" s="60" t="s">
        <v>536</v>
      </c>
      <c r="E111" s="30">
        <v>42536.734722222223</v>
      </c>
      <c r="F111" s="30">
        <v>42536.73574074074</v>
      </c>
      <c r="G111" s="38">
        <v>1</v>
      </c>
      <c r="H111" s="30" t="s">
        <v>519</v>
      </c>
      <c r="I111" s="30">
        <v>42536.803263888891</v>
      </c>
      <c r="J111" s="60">
        <v>0</v>
      </c>
      <c r="K111" s="60" t="str">
        <f t="shared" si="48"/>
        <v>4023/4024</v>
      </c>
      <c r="L111" s="60" t="str">
        <f>VLOOKUP(A111,'Trips&amp;Operators'!$C$1:$E$10000,3,FALSE)</f>
        <v>LEVERE</v>
      </c>
      <c r="M111" s="12">
        <f t="shared" si="49"/>
        <v>6.752314815093996E-2</v>
      </c>
      <c r="N111" s="13"/>
      <c r="O111" s="13"/>
      <c r="P111" s="13">
        <f>24*60*SUM($M111:$M111)</f>
        <v>97.233333337353542</v>
      </c>
      <c r="Q111" s="61"/>
      <c r="R111" s="61" t="s">
        <v>564</v>
      </c>
      <c r="T111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17:37:00-0600',mode:absolute,to:'2016-06-15 19:17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1" s="73" t="str">
        <f t="shared" si="57"/>
        <v>N</v>
      </c>
      <c r="V111" s="73">
        <f t="shared" si="61"/>
        <v>2</v>
      </c>
      <c r="W111" s="73">
        <f t="shared" si="58"/>
        <v>5.4600000000000003E-2</v>
      </c>
      <c r="X111" s="73">
        <f t="shared" si="59"/>
        <v>23.303000000000001</v>
      </c>
      <c r="Y111" s="73">
        <f t="shared" si="60"/>
        <v>23.2484</v>
      </c>
      <c r="Z111" s="74" t="e">
        <f>VLOOKUP(A111,Enforcements!$C$19:$J$57,8,0)</f>
        <v>#N/A</v>
      </c>
      <c r="AA111" s="74" t="e">
        <f>VLOOKUP(A111,Enforcements!$C$19:$J$57,3,0)</f>
        <v>#N/A</v>
      </c>
    </row>
    <row r="112" spans="1:27" s="2" customFormat="1" x14ac:dyDescent="0.25">
      <c r="A112" s="60" t="s">
        <v>352</v>
      </c>
      <c r="B112" s="60">
        <v>4019</v>
      </c>
      <c r="C112" s="60" t="s">
        <v>62</v>
      </c>
      <c r="D112" s="60" t="s">
        <v>80</v>
      </c>
      <c r="E112" s="30">
        <v>42536.777245370373</v>
      </c>
      <c r="F112" s="30">
        <v>42536.778298611112</v>
      </c>
      <c r="G112" s="38">
        <v>1</v>
      </c>
      <c r="H112" s="30" t="s">
        <v>537</v>
      </c>
      <c r="I112" s="30">
        <v>42536.830057870371</v>
      </c>
      <c r="J112" s="60">
        <v>2</v>
      </c>
      <c r="K112" s="60" t="str">
        <f t="shared" si="48"/>
        <v>4019/4020</v>
      </c>
      <c r="L112" s="60" t="str">
        <f>VLOOKUP(A112,'Trips&amp;Operators'!$C$1:$E$10000,3,FALSE)</f>
        <v>MAYBERRY</v>
      </c>
      <c r="M112" s="12">
        <f t="shared" si="49"/>
        <v>5.1759259258687962E-2</v>
      </c>
      <c r="N112" s="13"/>
      <c r="O112" s="13"/>
      <c r="P112" s="13">
        <f>24*60*SUM($M112:$M112)</f>
        <v>74.533333332510665</v>
      </c>
      <c r="Q112" s="61"/>
      <c r="R112" s="61" t="s">
        <v>564</v>
      </c>
      <c r="T112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18:38:14-0600',mode:absolute,to:'2016-06-15 19:56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12" s="73" t="str">
        <f t="shared" si="57"/>
        <v>N</v>
      </c>
      <c r="V112" s="73">
        <f t="shared" si="61"/>
        <v>1</v>
      </c>
      <c r="W112" s="73">
        <f t="shared" si="58"/>
        <v>23.297699999999999</v>
      </c>
      <c r="X112" s="73">
        <f t="shared" si="59"/>
        <v>9.5600000000000004E-2</v>
      </c>
      <c r="Y112" s="73">
        <f t="shared" si="60"/>
        <v>23.202099999999998</v>
      </c>
      <c r="Z112" s="74">
        <f>VLOOKUP(A112,Enforcements!$C$19:$J$57,8,0)</f>
        <v>839</v>
      </c>
      <c r="AA112" s="74" t="str">
        <f>VLOOKUP(A112,Enforcements!$C$19:$J$57,3,0)</f>
        <v>TRACK WARRANT AUTHORITY</v>
      </c>
    </row>
    <row r="113" spans="1:27" s="2" customFormat="1" x14ac:dyDescent="0.25">
      <c r="A113" s="60" t="s">
        <v>450</v>
      </c>
      <c r="B113" s="60">
        <v>4012</v>
      </c>
      <c r="C113" s="60" t="s">
        <v>62</v>
      </c>
      <c r="D113" s="60" t="s">
        <v>538</v>
      </c>
      <c r="E113" s="30">
        <v>42536.805254629631</v>
      </c>
      <c r="F113" s="30">
        <v>42536.806493055556</v>
      </c>
      <c r="G113" s="38">
        <v>1</v>
      </c>
      <c r="H113" s="30" t="s">
        <v>88</v>
      </c>
      <c r="I113" s="30">
        <v>42536.853750000002</v>
      </c>
      <c r="J113" s="60">
        <v>0</v>
      </c>
      <c r="K113" s="60" t="str">
        <f t="shared" si="48"/>
        <v>4011/4012</v>
      </c>
      <c r="L113" s="60" t="str">
        <f>VLOOKUP(A113,'Trips&amp;Operators'!$C$1:$E$10000,3,FALSE)</f>
        <v>STEWART</v>
      </c>
      <c r="M113" s="12">
        <f t="shared" si="49"/>
        <v>4.7256944446417037E-2</v>
      </c>
      <c r="N113" s="13"/>
      <c r="O113" s="13"/>
      <c r="P113" s="13">
        <f>24*60*SUM($M113:$M113)</f>
        <v>68.050000002840534</v>
      </c>
      <c r="Q113" s="61"/>
      <c r="R113" s="61" t="s">
        <v>564</v>
      </c>
      <c r="T113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19:18:34-0600',mode:absolute,to:'2016-06-15 20:30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3" s="73" t="str">
        <f t="shared" si="57"/>
        <v>N</v>
      </c>
      <c r="V113" s="73">
        <f t="shared" si="61"/>
        <v>6</v>
      </c>
      <c r="W113" s="73">
        <f t="shared" si="58"/>
        <v>23.296199999999999</v>
      </c>
      <c r="X113" s="73">
        <f t="shared" si="59"/>
        <v>1.5599999999999999E-2</v>
      </c>
      <c r="Y113" s="73">
        <f t="shared" si="60"/>
        <v>23.2806</v>
      </c>
      <c r="Z113" s="74" t="e">
        <f>VLOOKUP(A113,Enforcements!$C$19:$J$57,8,0)</f>
        <v>#N/A</v>
      </c>
      <c r="AA113" s="74" t="e">
        <f>VLOOKUP(A113,Enforcements!$C$19:$J$57,3,0)</f>
        <v>#N/A</v>
      </c>
    </row>
    <row r="114" spans="1:27" s="2" customFormat="1" x14ac:dyDescent="0.25">
      <c r="A114" s="60" t="s">
        <v>438</v>
      </c>
      <c r="B114" s="60">
        <v>4018</v>
      </c>
      <c r="C114" s="60" t="s">
        <v>62</v>
      </c>
      <c r="D114" s="60" t="s">
        <v>539</v>
      </c>
      <c r="E114" s="30">
        <v>42536.785578703704</v>
      </c>
      <c r="F114" s="30">
        <v>42536.787199074075</v>
      </c>
      <c r="G114" s="38">
        <v>2</v>
      </c>
      <c r="H114" s="30" t="s">
        <v>540</v>
      </c>
      <c r="I114" s="30">
        <v>42536.788622685184</v>
      </c>
      <c r="J114" s="60">
        <v>0</v>
      </c>
      <c r="K114" s="60" t="str">
        <f t="shared" si="48"/>
        <v>4017/4018</v>
      </c>
      <c r="L114" s="60" t="str">
        <f>VLOOKUP(A114,'Trips&amp;Operators'!$C$1:$E$10000,3,FALSE)</f>
        <v>ADANE</v>
      </c>
      <c r="M114" s="12">
        <f t="shared" si="49"/>
        <v>1.4236111092031933E-3</v>
      </c>
      <c r="N114" s="13"/>
      <c r="O114" s="13"/>
      <c r="P114" s="13">
        <f>24*60*SUM($M114:$M114)</f>
        <v>2.0499999972525984</v>
      </c>
      <c r="Q114" s="61"/>
      <c r="R114" s="61" t="s">
        <v>564</v>
      </c>
      <c r="T114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18:50:14-0600',mode:absolute,to:'2016-06-15 18:56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4" s="73" t="str">
        <f t="shared" si="57"/>
        <v>N</v>
      </c>
      <c r="V114" s="73">
        <f t="shared" si="61"/>
        <v>1</v>
      </c>
      <c r="W114" s="73">
        <f t="shared" si="58"/>
        <v>0.1192</v>
      </c>
      <c r="X114" s="73">
        <f t="shared" si="59"/>
        <v>23.327999999999999</v>
      </c>
      <c r="Y114" s="73">
        <f t="shared" si="60"/>
        <v>23.2088</v>
      </c>
      <c r="Z114" s="74" t="e">
        <f>VLOOKUP(A114,Enforcements!$C$19:$J$57,8,0)</f>
        <v>#N/A</v>
      </c>
      <c r="AA114" s="74" t="e">
        <f>VLOOKUP(A114,Enforcements!$C$19:$J$57,3,0)</f>
        <v>#N/A</v>
      </c>
    </row>
    <row r="115" spans="1:27" s="2" customFormat="1" x14ac:dyDescent="0.25">
      <c r="A115" s="60" t="s">
        <v>458</v>
      </c>
      <c r="B115" s="60">
        <v>4023</v>
      </c>
      <c r="C115" s="60" t="s">
        <v>62</v>
      </c>
      <c r="D115" s="60" t="s">
        <v>541</v>
      </c>
      <c r="E115" s="30">
        <v>42536.825069444443</v>
      </c>
      <c r="F115" s="30">
        <v>42536.826435185183</v>
      </c>
      <c r="G115" s="38">
        <v>1</v>
      </c>
      <c r="H115" s="30" t="s">
        <v>542</v>
      </c>
      <c r="I115" s="30">
        <v>42536.865324074075</v>
      </c>
      <c r="J115" s="60">
        <v>0</v>
      </c>
      <c r="K115" s="60" t="str">
        <f t="shared" si="48"/>
        <v>4023/4024</v>
      </c>
      <c r="L115" s="60" t="str">
        <f>VLOOKUP(A115,'Trips&amp;Operators'!$C$1:$E$10000,3,FALSE)</f>
        <v>LEVERE</v>
      </c>
      <c r="M115" s="12">
        <f t="shared" si="49"/>
        <v>3.888888889196096E-2</v>
      </c>
      <c r="N115" s="13">
        <f t="shared" ref="N115:N134" si="62">24*60*SUM($M115:$M115)</f>
        <v>56.000000004423782</v>
      </c>
      <c r="O115" s="13"/>
      <c r="P115" s="13"/>
      <c r="Q115" s="61"/>
      <c r="R115" s="61"/>
      <c r="T115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19:47:06-0600',mode:absolute,to:'2016-06-15 20:47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5" s="73" t="str">
        <f t="shared" si="57"/>
        <v>N</v>
      </c>
      <c r="V115" s="73">
        <f t="shared" si="61"/>
        <v>1</v>
      </c>
      <c r="W115" s="73">
        <f t="shared" si="58"/>
        <v>23.271000000000001</v>
      </c>
      <c r="X115" s="73">
        <f t="shared" si="59"/>
        <v>0.1203</v>
      </c>
      <c r="Y115" s="73">
        <f t="shared" si="60"/>
        <v>23.150700000000001</v>
      </c>
      <c r="Z115" s="74" t="e">
        <f>VLOOKUP(A115,Enforcements!$C$19:$J$57,8,0)</f>
        <v>#N/A</v>
      </c>
      <c r="AA115" s="74" t="e">
        <f>VLOOKUP(A115,Enforcements!$C$19:$J$57,3,0)</f>
        <v>#N/A</v>
      </c>
    </row>
    <row r="116" spans="1:27" s="2" customFormat="1" x14ac:dyDescent="0.25">
      <c r="A116" s="60" t="s">
        <v>370</v>
      </c>
      <c r="B116" s="60">
        <v>4025</v>
      </c>
      <c r="C116" s="60" t="s">
        <v>62</v>
      </c>
      <c r="D116" s="60" t="s">
        <v>292</v>
      </c>
      <c r="E116" s="30">
        <v>42536.807002314818</v>
      </c>
      <c r="F116" s="30">
        <v>42536.808761574073</v>
      </c>
      <c r="G116" s="38">
        <v>2</v>
      </c>
      <c r="H116" s="30" t="s">
        <v>317</v>
      </c>
      <c r="I116" s="30">
        <v>42536.854803240742</v>
      </c>
      <c r="J116" s="60">
        <v>0</v>
      </c>
      <c r="K116" s="60" t="str">
        <f t="shared" si="48"/>
        <v>4025/4026</v>
      </c>
      <c r="L116" s="60" t="str">
        <f>VLOOKUP(A116,'Trips&amp;Operators'!$C$1:$E$10000,3,FALSE)</f>
        <v>BARTLETT</v>
      </c>
      <c r="M116" s="12">
        <f t="shared" si="49"/>
        <v>4.6041666668315884E-2</v>
      </c>
      <c r="N116" s="13">
        <f t="shared" si="62"/>
        <v>66.300000002374873</v>
      </c>
      <c r="O116" s="13"/>
      <c r="P116" s="13"/>
      <c r="Q116" s="61"/>
      <c r="R116" s="61"/>
      <c r="T116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19:21:05-0600',mode:absolute,to:'2016-06-15 20:31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6" s="73" t="str">
        <f t="shared" si="57"/>
        <v>N</v>
      </c>
      <c r="V116" s="73">
        <f t="shared" si="61"/>
        <v>1</v>
      </c>
      <c r="W116" s="73">
        <f t="shared" si="58"/>
        <v>4.4900000000000002E-2</v>
      </c>
      <c r="X116" s="73">
        <f t="shared" si="59"/>
        <v>23.3308</v>
      </c>
      <c r="Y116" s="73">
        <f t="shared" si="60"/>
        <v>23.285900000000002</v>
      </c>
      <c r="Z116" s="74" t="e">
        <f>VLOOKUP(A116,Enforcements!$C$19:$J$57,8,0)</f>
        <v>#N/A</v>
      </c>
      <c r="AA116" s="74" t="e">
        <f>VLOOKUP(A116,Enforcements!$C$19:$J$57,3,0)</f>
        <v>#N/A</v>
      </c>
    </row>
    <row r="117" spans="1:27" s="2" customFormat="1" x14ac:dyDescent="0.25">
      <c r="A117" s="60" t="s">
        <v>380</v>
      </c>
      <c r="B117" s="60">
        <v>4017</v>
      </c>
      <c r="C117" s="60" t="s">
        <v>62</v>
      </c>
      <c r="D117" s="60" t="s">
        <v>507</v>
      </c>
      <c r="E117" s="30">
        <v>42536.846585648149</v>
      </c>
      <c r="F117" s="30">
        <v>42536.848032407404</v>
      </c>
      <c r="G117" s="38">
        <v>2</v>
      </c>
      <c r="H117" s="30" t="s">
        <v>496</v>
      </c>
      <c r="I117" s="30">
        <v>42536.881828703707</v>
      </c>
      <c r="J117" s="60">
        <v>0</v>
      </c>
      <c r="K117" s="60" t="str">
        <f t="shared" si="48"/>
        <v>4017/4018</v>
      </c>
      <c r="L117" s="60" t="str">
        <f>VLOOKUP(A117,'Trips&amp;Operators'!$C$1:$E$10000,3,FALSE)</f>
        <v>ADANE</v>
      </c>
      <c r="M117" s="12">
        <f t="shared" si="49"/>
        <v>3.3796296302170958E-2</v>
      </c>
      <c r="N117" s="13">
        <f t="shared" si="62"/>
        <v>48.66666667512618</v>
      </c>
      <c r="O117" s="13"/>
      <c r="P117" s="13"/>
      <c r="Q117" s="61"/>
      <c r="R117" s="61"/>
      <c r="T117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20:18:05-0600',mode:absolute,to:'2016-06-15 21:10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7" s="73" t="str">
        <f t="shared" si="57"/>
        <v>N</v>
      </c>
      <c r="V117" s="73">
        <f t="shared" si="61"/>
        <v>1</v>
      </c>
      <c r="W117" s="73">
        <f t="shared" si="58"/>
        <v>23.2974</v>
      </c>
      <c r="X117" s="73">
        <f t="shared" si="59"/>
        <v>1.6299999999999999E-2</v>
      </c>
      <c r="Y117" s="73">
        <f t="shared" si="60"/>
        <v>23.281099999999999</v>
      </c>
      <c r="Z117" s="74" t="e">
        <f>VLOOKUP(A117,Enforcements!$C$19:$J$57,8,0)</f>
        <v>#N/A</v>
      </c>
      <c r="AA117" s="74" t="e">
        <f>VLOOKUP(A117,Enforcements!$C$19:$J$57,3,0)</f>
        <v>#N/A</v>
      </c>
    </row>
    <row r="118" spans="1:27" s="2" customFormat="1" x14ac:dyDescent="0.25">
      <c r="A118" s="60" t="s">
        <v>436</v>
      </c>
      <c r="B118" s="60">
        <v>4026</v>
      </c>
      <c r="C118" s="60" t="s">
        <v>62</v>
      </c>
      <c r="D118" s="60" t="s">
        <v>287</v>
      </c>
      <c r="E118" s="30">
        <v>42536.864722222221</v>
      </c>
      <c r="F118" s="30">
        <v>42536.866562499999</v>
      </c>
      <c r="G118" s="38">
        <v>2</v>
      </c>
      <c r="H118" s="30" t="s">
        <v>250</v>
      </c>
      <c r="I118" s="30">
        <v>42536.899467592593</v>
      </c>
      <c r="J118" s="60">
        <v>0</v>
      </c>
      <c r="K118" s="60" t="str">
        <f t="shared" si="48"/>
        <v>4025/4026</v>
      </c>
      <c r="L118" s="60" t="str">
        <f>VLOOKUP(A118,'Trips&amp;Operators'!$C$1:$E$10000,3,FALSE)</f>
        <v>BARTLETT</v>
      </c>
      <c r="M118" s="12">
        <f t="shared" si="49"/>
        <v>3.2905092593864538E-2</v>
      </c>
      <c r="N118" s="13">
        <f t="shared" si="62"/>
        <v>47.383333335164934</v>
      </c>
      <c r="O118" s="13"/>
      <c r="P118" s="13"/>
      <c r="Q118" s="61"/>
      <c r="R118" s="61"/>
      <c r="T118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20:44:12-0600',mode:absolute,to:'2016-06-15 21:36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18" s="73" t="str">
        <f t="shared" si="57"/>
        <v>N</v>
      </c>
      <c r="V118" s="73">
        <f t="shared" si="61"/>
        <v>2</v>
      </c>
      <c r="W118" s="73">
        <f t="shared" si="58"/>
        <v>23.299299999999999</v>
      </c>
      <c r="X118" s="73">
        <f t="shared" si="59"/>
        <v>1.61E-2</v>
      </c>
      <c r="Y118" s="73">
        <f t="shared" si="60"/>
        <v>23.283199999999997</v>
      </c>
      <c r="Z118" s="74" t="e">
        <f>VLOOKUP(A118,Enforcements!$C$19:$J$57,8,0)</f>
        <v>#N/A</v>
      </c>
      <c r="AA118" s="74" t="e">
        <f>VLOOKUP(A118,Enforcements!$C$19:$J$57,3,0)</f>
        <v>#N/A</v>
      </c>
    </row>
    <row r="119" spans="1:27" s="2" customFormat="1" x14ac:dyDescent="0.25">
      <c r="A119" s="60" t="s">
        <v>410</v>
      </c>
      <c r="B119" s="60">
        <v>4011</v>
      </c>
      <c r="C119" s="60" t="s">
        <v>62</v>
      </c>
      <c r="D119" s="60" t="s">
        <v>83</v>
      </c>
      <c r="E119" s="30">
        <v>42536.860115740739</v>
      </c>
      <c r="F119" s="30">
        <v>42536.861018518517</v>
      </c>
      <c r="G119" s="38">
        <v>1</v>
      </c>
      <c r="H119" s="30" t="s">
        <v>289</v>
      </c>
      <c r="I119" s="30">
        <v>42536.898333333331</v>
      </c>
      <c r="J119" s="60">
        <v>1</v>
      </c>
      <c r="K119" s="60" t="str">
        <f t="shared" si="48"/>
        <v>4011/4012</v>
      </c>
      <c r="L119" s="60" t="str">
        <f>VLOOKUP(A119,'Trips&amp;Operators'!$C$1:$E$10000,3,FALSE)</f>
        <v>STRICKLAND</v>
      </c>
      <c r="M119" s="12">
        <f t="shared" si="49"/>
        <v>3.7314814813726116E-2</v>
      </c>
      <c r="N119" s="13">
        <f t="shared" si="62"/>
        <v>53.733333331765607</v>
      </c>
      <c r="O119" s="13"/>
      <c r="P119" s="13"/>
      <c r="Q119" s="61"/>
      <c r="R119" s="61"/>
      <c r="T119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20:37:34-0600',mode:absolute,to:'2016-06-15 21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9" s="73" t="str">
        <f t="shared" si="57"/>
        <v>N</v>
      </c>
      <c r="V119" s="73">
        <f t="shared" si="61"/>
        <v>1</v>
      </c>
      <c r="W119" s="73">
        <f t="shared" si="58"/>
        <v>4.6199999999999998E-2</v>
      </c>
      <c r="X119" s="73">
        <f t="shared" si="59"/>
        <v>23.330200000000001</v>
      </c>
      <c r="Y119" s="73">
        <f t="shared" si="60"/>
        <v>23.284000000000002</v>
      </c>
      <c r="Z119" s="74">
        <f>VLOOKUP(A119,Enforcements!$C$19:$J$57,8,0)</f>
        <v>50746</v>
      </c>
      <c r="AA119" s="74" t="str">
        <f>VLOOKUP(A119,Enforcements!$C$19:$J$57,3,0)</f>
        <v>SIGNAL</v>
      </c>
    </row>
    <row r="120" spans="1:27" s="2" customFormat="1" x14ac:dyDescent="0.25">
      <c r="A120" s="60" t="s">
        <v>434</v>
      </c>
      <c r="B120" s="60">
        <v>4012</v>
      </c>
      <c r="C120" s="60" t="s">
        <v>62</v>
      </c>
      <c r="D120" s="60" t="s">
        <v>311</v>
      </c>
      <c r="E120" s="30">
        <v>42536.900613425925</v>
      </c>
      <c r="F120" s="30">
        <v>42536.902048611111</v>
      </c>
      <c r="G120" s="38">
        <v>2</v>
      </c>
      <c r="H120" s="30" t="s">
        <v>543</v>
      </c>
      <c r="I120" s="30">
        <v>42536.935370370367</v>
      </c>
      <c r="J120" s="60">
        <v>1</v>
      </c>
      <c r="K120" s="60" t="str">
        <f t="shared" si="48"/>
        <v>4011/4012</v>
      </c>
      <c r="L120" s="60" t="str">
        <f>VLOOKUP(A120,'Trips&amp;Operators'!$C$1:$E$10000,3,FALSE)</f>
        <v>STRICKLAND</v>
      </c>
      <c r="M120" s="12">
        <f t="shared" si="49"/>
        <v>3.3321759256068617E-2</v>
      </c>
      <c r="N120" s="13">
        <f t="shared" si="62"/>
        <v>47.983333328738809</v>
      </c>
      <c r="O120" s="13"/>
      <c r="P120" s="13"/>
      <c r="Q120" s="61"/>
      <c r="R120" s="61"/>
      <c r="T120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21:35:53-0600',mode:absolute,to:'2016-06-15 22:27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0" s="73" t="str">
        <f t="shared" si="57"/>
        <v>N</v>
      </c>
      <c r="V120" s="73">
        <f t="shared" si="61"/>
        <v>1</v>
      </c>
      <c r="W120" s="73">
        <f t="shared" si="58"/>
        <v>23.2972</v>
      </c>
      <c r="X120" s="73">
        <f t="shared" si="59"/>
        <v>1.21E-2</v>
      </c>
      <c r="Y120" s="73">
        <f t="shared" si="60"/>
        <v>23.2851</v>
      </c>
      <c r="Z120" s="74">
        <f>VLOOKUP(A120,Enforcements!$C$19:$J$57,8,0)</f>
        <v>232107</v>
      </c>
      <c r="AA120" s="74" t="str">
        <f>VLOOKUP(A120,Enforcements!$C$19:$J$57,3,0)</f>
        <v>PERMANENT SPEED RESTRICTION</v>
      </c>
    </row>
    <row r="121" spans="1:27" s="2" customFormat="1" x14ac:dyDescent="0.25">
      <c r="A121" s="60" t="s">
        <v>378</v>
      </c>
      <c r="B121" s="60">
        <v>4024</v>
      </c>
      <c r="C121" s="60" t="s">
        <v>62</v>
      </c>
      <c r="D121" s="60" t="s">
        <v>544</v>
      </c>
      <c r="E121" s="30">
        <v>42536.870405092595</v>
      </c>
      <c r="F121" s="30">
        <v>42536.871388888889</v>
      </c>
      <c r="G121" s="38">
        <v>1</v>
      </c>
      <c r="H121" s="30" t="s">
        <v>313</v>
      </c>
      <c r="I121" s="30">
        <v>42536.91337962963</v>
      </c>
      <c r="J121" s="60">
        <v>0</v>
      </c>
      <c r="K121" s="60" t="str">
        <f t="shared" si="48"/>
        <v>4023/4024</v>
      </c>
      <c r="L121" s="60" t="str">
        <f>VLOOKUP(A121,'Trips&amp;Operators'!$C$1:$E$10000,3,FALSE)</f>
        <v>LEVERE</v>
      </c>
      <c r="M121" s="12">
        <f t="shared" si="49"/>
        <v>4.1990740741312038E-2</v>
      </c>
      <c r="N121" s="13">
        <f t="shared" si="62"/>
        <v>60.466666667489335</v>
      </c>
      <c r="O121" s="13"/>
      <c r="P121" s="13"/>
      <c r="Q121" s="61"/>
      <c r="R121" s="61"/>
      <c r="T121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20:52:23-0600',mode:absolute,to:'2016-06-15 21:56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1" s="73" t="str">
        <f t="shared" si="57"/>
        <v>N</v>
      </c>
      <c r="V121" s="73">
        <f t="shared" si="61"/>
        <v>1</v>
      </c>
      <c r="W121" s="73">
        <f t="shared" si="58"/>
        <v>0.15279999999999999</v>
      </c>
      <c r="X121" s="73">
        <f t="shared" si="59"/>
        <v>23.3276</v>
      </c>
      <c r="Y121" s="73">
        <f t="shared" si="60"/>
        <v>23.174800000000001</v>
      </c>
      <c r="Z121" s="74" t="e">
        <f>VLOOKUP(A121,Enforcements!$C$19:$J$57,8,0)</f>
        <v>#N/A</v>
      </c>
      <c r="AA121" s="74" t="e">
        <f>VLOOKUP(A121,Enforcements!$C$19:$J$57,3,0)</f>
        <v>#N/A</v>
      </c>
    </row>
    <row r="122" spans="1:27" s="2" customFormat="1" x14ac:dyDescent="0.25">
      <c r="A122" s="60" t="s">
        <v>354</v>
      </c>
      <c r="B122" s="60">
        <v>4023</v>
      </c>
      <c r="C122" s="60" t="s">
        <v>62</v>
      </c>
      <c r="D122" s="60" t="s">
        <v>545</v>
      </c>
      <c r="E122" s="30">
        <v>42536.917222222219</v>
      </c>
      <c r="F122" s="30">
        <v>42536.918321759258</v>
      </c>
      <c r="G122" s="38">
        <v>1</v>
      </c>
      <c r="H122" s="30" t="s">
        <v>75</v>
      </c>
      <c r="I122" s="30">
        <v>42536.951435185183</v>
      </c>
      <c r="J122" s="60">
        <v>0</v>
      </c>
      <c r="K122" s="60" t="str">
        <f t="shared" si="48"/>
        <v>4023/4024</v>
      </c>
      <c r="L122" s="60" t="str">
        <f>VLOOKUP(A122,'Trips&amp;Operators'!$C$1:$E$10000,3,FALSE)</f>
        <v>LEVERE</v>
      </c>
      <c r="M122" s="12">
        <f t="shared" si="49"/>
        <v>3.3113425924966577E-2</v>
      </c>
      <c r="N122" s="13">
        <f t="shared" si="62"/>
        <v>47.683333331951872</v>
      </c>
      <c r="O122" s="13"/>
      <c r="P122" s="13"/>
      <c r="Q122" s="61"/>
      <c r="R122" s="61"/>
      <c r="T122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21:59:48-0600',mode:absolute,to:'2016-06-15 22:51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2" s="73" t="str">
        <f t="shared" si="57"/>
        <v>N</v>
      </c>
      <c r="V122" s="73">
        <f t="shared" si="61"/>
        <v>1</v>
      </c>
      <c r="W122" s="73">
        <f t="shared" si="58"/>
        <v>23.2959</v>
      </c>
      <c r="X122" s="73">
        <f t="shared" si="59"/>
        <v>1.6E-2</v>
      </c>
      <c r="Y122" s="73">
        <f t="shared" si="60"/>
        <v>23.279900000000001</v>
      </c>
      <c r="Z122" s="74" t="e">
        <f>VLOOKUP(A122,Enforcements!$C$19:$J$57,8,0)</f>
        <v>#N/A</v>
      </c>
      <c r="AA122" s="74" t="e">
        <f>VLOOKUP(A122,Enforcements!$C$19:$J$57,3,0)</f>
        <v>#N/A</v>
      </c>
    </row>
    <row r="123" spans="1:27" s="2" customFormat="1" x14ac:dyDescent="0.25">
      <c r="A123" s="60" t="s">
        <v>393</v>
      </c>
      <c r="B123" s="60">
        <v>4018</v>
      </c>
      <c r="C123" s="60" t="s">
        <v>62</v>
      </c>
      <c r="D123" s="60" t="s">
        <v>76</v>
      </c>
      <c r="E123" s="30">
        <v>42536.890636574077</v>
      </c>
      <c r="F123" s="30">
        <v>42536.892002314817</v>
      </c>
      <c r="G123" s="38">
        <v>1</v>
      </c>
      <c r="H123" s="30" t="s">
        <v>540</v>
      </c>
      <c r="I123" s="30">
        <v>42536.923773148148</v>
      </c>
      <c r="J123" s="60">
        <v>0</v>
      </c>
      <c r="K123" s="60" t="str">
        <f t="shared" si="48"/>
        <v>4017/4018</v>
      </c>
      <c r="L123" s="60" t="str">
        <f>VLOOKUP(A123,'Trips&amp;Operators'!$C$1:$E$10000,3,FALSE)</f>
        <v>ADANE</v>
      </c>
      <c r="M123" s="12">
        <f t="shared" si="49"/>
        <v>3.1770833331393078E-2</v>
      </c>
      <c r="N123" s="13">
        <f t="shared" si="62"/>
        <v>45.749999997206032</v>
      </c>
      <c r="O123" s="13"/>
      <c r="P123" s="13"/>
      <c r="Q123" s="61"/>
      <c r="R123" s="61"/>
      <c r="T123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21:21:31-0600',mode:absolute,to:'2016-06-15 22:11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23" s="73" t="str">
        <f t="shared" si="57"/>
        <v>N</v>
      </c>
      <c r="V123" s="73">
        <f t="shared" si="61"/>
        <v>1</v>
      </c>
      <c r="W123" s="73">
        <f t="shared" si="58"/>
        <v>4.5999999999999999E-2</v>
      </c>
      <c r="X123" s="73">
        <f t="shared" si="59"/>
        <v>23.327999999999999</v>
      </c>
      <c r="Y123" s="73">
        <f t="shared" si="60"/>
        <v>23.282</v>
      </c>
      <c r="Z123" s="74" t="e">
        <f>VLOOKUP(A123,Enforcements!$C$19:$J$57,8,0)</f>
        <v>#N/A</v>
      </c>
      <c r="AA123" s="74" t="e">
        <f>VLOOKUP(A123,Enforcements!$C$19:$J$57,3,0)</f>
        <v>#N/A</v>
      </c>
    </row>
    <row r="124" spans="1:27" s="2" customFormat="1" x14ac:dyDescent="0.25">
      <c r="A124" s="60" t="s">
        <v>462</v>
      </c>
      <c r="B124" s="60">
        <v>4017</v>
      </c>
      <c r="C124" s="60" t="s">
        <v>62</v>
      </c>
      <c r="D124" s="60" t="s">
        <v>482</v>
      </c>
      <c r="E124" s="30">
        <v>42536.931377314817</v>
      </c>
      <c r="F124" s="30">
        <v>42536.932523148149</v>
      </c>
      <c r="G124" s="38">
        <v>1</v>
      </c>
      <c r="H124" s="30" t="s">
        <v>63</v>
      </c>
      <c r="I124" s="30">
        <v>42536.962083333332</v>
      </c>
      <c r="J124" s="60">
        <v>1</v>
      </c>
      <c r="K124" s="60" t="str">
        <f t="shared" si="48"/>
        <v>4017/4018</v>
      </c>
      <c r="L124" s="60" t="str">
        <f>VLOOKUP(A124,'Trips&amp;Operators'!$C$1:$E$10000,3,FALSE)</f>
        <v>ADANE</v>
      </c>
      <c r="M124" s="12">
        <f t="shared" si="49"/>
        <v>2.9560185183072463E-2</v>
      </c>
      <c r="N124" s="13">
        <f t="shared" si="62"/>
        <v>42.566666663624346</v>
      </c>
      <c r="O124" s="13"/>
      <c r="P124" s="13"/>
      <c r="Q124" s="61"/>
      <c r="R124" s="61"/>
      <c r="T124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22:20:11-0600',mode:absolute,to:'2016-06-15 23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4" s="73" t="str">
        <f t="shared" si="57"/>
        <v>N</v>
      </c>
      <c r="V124" s="73">
        <f t="shared" si="61"/>
        <v>1</v>
      </c>
      <c r="W124" s="73">
        <f t="shared" si="58"/>
        <v>23.2973</v>
      </c>
      <c r="X124" s="73">
        <f t="shared" si="59"/>
        <v>1.4500000000000001E-2</v>
      </c>
      <c r="Y124" s="73">
        <f t="shared" si="60"/>
        <v>23.282799999999998</v>
      </c>
      <c r="Z124" s="74">
        <f>VLOOKUP(A124,Enforcements!$C$19:$J$57,8,0)</f>
        <v>1</v>
      </c>
      <c r="AA124" s="74" t="str">
        <f>VLOOKUP(A124,Enforcements!$C$19:$J$57,3,0)</f>
        <v>TRACK WARRANT AUTHORITY</v>
      </c>
    </row>
    <row r="125" spans="1:27" s="2" customFormat="1" x14ac:dyDescent="0.25">
      <c r="A125" s="60" t="s">
        <v>460</v>
      </c>
      <c r="B125" s="60">
        <v>4025</v>
      </c>
      <c r="C125" s="60" t="s">
        <v>62</v>
      </c>
      <c r="D125" s="60" t="s">
        <v>251</v>
      </c>
      <c r="E125" s="30">
        <v>42536.902592592596</v>
      </c>
      <c r="F125" s="30">
        <v>42536.904016203705</v>
      </c>
      <c r="G125" s="38">
        <v>2</v>
      </c>
      <c r="H125" s="30" t="s">
        <v>506</v>
      </c>
      <c r="I125" s="30">
        <v>42536.944131944445</v>
      </c>
      <c r="J125" s="60">
        <v>0</v>
      </c>
      <c r="K125" s="60" t="str">
        <f t="shared" si="48"/>
        <v>4025/4026</v>
      </c>
      <c r="L125" s="60" t="str">
        <f>VLOOKUP(A125,'Trips&amp;Operators'!$C$1:$E$10000,3,FALSE)</f>
        <v>BARTLETT</v>
      </c>
      <c r="M125" s="12">
        <f t="shared" si="49"/>
        <v>4.0115740739565808E-2</v>
      </c>
      <c r="N125" s="13">
        <f t="shared" si="62"/>
        <v>57.766666664974764</v>
      </c>
      <c r="O125" s="13"/>
      <c r="P125" s="13"/>
      <c r="Q125" s="61"/>
      <c r="R125" s="61"/>
      <c r="T125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21:38:44-0600',mode:absolute,to:'2016-06-15 22:40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5" s="73" t="str">
        <f t="shared" si="57"/>
        <v>N</v>
      </c>
      <c r="V125" s="73">
        <f t="shared" si="61"/>
        <v>1</v>
      </c>
      <c r="W125" s="73">
        <f t="shared" si="58"/>
        <v>4.7300000000000002E-2</v>
      </c>
      <c r="X125" s="73">
        <f t="shared" si="59"/>
        <v>23.3291</v>
      </c>
      <c r="Y125" s="73">
        <f t="shared" si="60"/>
        <v>23.2818</v>
      </c>
      <c r="Z125" s="74" t="e">
        <f>VLOOKUP(A125,Enforcements!$C$19:$J$57,8,0)</f>
        <v>#N/A</v>
      </c>
      <c r="AA125" s="74" t="e">
        <f>VLOOKUP(A125,Enforcements!$C$19:$J$57,3,0)</f>
        <v>#N/A</v>
      </c>
    </row>
    <row r="126" spans="1:27" s="2" customFormat="1" x14ac:dyDescent="0.25">
      <c r="A126" s="60" t="s">
        <v>464</v>
      </c>
      <c r="B126" s="60">
        <v>4011</v>
      </c>
      <c r="C126" s="60" t="s">
        <v>62</v>
      </c>
      <c r="D126" s="60" t="s">
        <v>83</v>
      </c>
      <c r="E126" s="30">
        <v>42536.936967592592</v>
      </c>
      <c r="F126" s="30">
        <v>42536.940949074073</v>
      </c>
      <c r="G126" s="38">
        <v>5</v>
      </c>
      <c r="H126" s="30" t="s">
        <v>506</v>
      </c>
      <c r="I126" s="30">
        <v>42536.970879629633</v>
      </c>
      <c r="J126" s="60">
        <v>2</v>
      </c>
      <c r="K126" s="60" t="str">
        <f t="shared" si="48"/>
        <v>4011/4012</v>
      </c>
      <c r="L126" s="60" t="str">
        <f>VLOOKUP(A126,'Trips&amp;Operators'!$C$1:$E$10000,3,FALSE)</f>
        <v>STRICKLAND</v>
      </c>
      <c r="M126" s="12">
        <f t="shared" si="49"/>
        <v>2.9930555559985805E-2</v>
      </c>
      <c r="N126" s="13">
        <f t="shared" si="62"/>
        <v>43.10000000637956</v>
      </c>
      <c r="O126" s="13"/>
      <c r="P126" s="13"/>
      <c r="Q126" s="61"/>
      <c r="R126" s="61"/>
      <c r="T126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22:28:14-0600',mode:absolute,to:'2016-06-15 23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26" s="73" t="str">
        <f t="shared" si="57"/>
        <v>N</v>
      </c>
      <c r="V126" s="73">
        <f t="shared" si="61"/>
        <v>2</v>
      </c>
      <c r="W126" s="73">
        <f t="shared" si="58"/>
        <v>4.6199999999999998E-2</v>
      </c>
      <c r="X126" s="73">
        <f t="shared" si="59"/>
        <v>23.3291</v>
      </c>
      <c r="Y126" s="73">
        <f t="shared" si="60"/>
        <v>23.282900000000001</v>
      </c>
      <c r="Z126" s="74">
        <f>VLOOKUP(A126,Enforcements!$C$19:$J$57,8,0)</f>
        <v>233491</v>
      </c>
      <c r="AA126" s="74" t="str">
        <f>VLOOKUP(A126,Enforcements!$C$19:$J$57,3,0)</f>
        <v>TRACK WARRANT AUTHORITY</v>
      </c>
    </row>
    <row r="127" spans="1:27" s="2" customFormat="1" x14ac:dyDescent="0.25">
      <c r="A127" s="60" t="s">
        <v>466</v>
      </c>
      <c r="B127" s="60">
        <v>4012</v>
      </c>
      <c r="C127" s="60" t="s">
        <v>62</v>
      </c>
      <c r="D127" s="60" t="s">
        <v>80</v>
      </c>
      <c r="E127" s="30">
        <v>42536.975300925929</v>
      </c>
      <c r="F127" s="30">
        <v>42536.976307870369</v>
      </c>
      <c r="G127" s="38">
        <v>1</v>
      </c>
      <c r="H127" s="30" t="s">
        <v>73</v>
      </c>
      <c r="I127" s="30">
        <v>42537.006064814814</v>
      </c>
      <c r="J127" s="60">
        <v>3</v>
      </c>
      <c r="K127" s="60" t="str">
        <f t="shared" si="48"/>
        <v>4011/4012</v>
      </c>
      <c r="L127" s="60" t="str">
        <f>VLOOKUP(A127,'Trips&amp;Operators'!$C$1:$E$10000,3,FALSE)</f>
        <v>STRICKLAND</v>
      </c>
      <c r="M127" s="12">
        <f t="shared" si="49"/>
        <v>2.9756944444670808E-2</v>
      </c>
      <c r="N127" s="13">
        <f t="shared" si="62"/>
        <v>42.850000000325963</v>
      </c>
      <c r="O127" s="13"/>
      <c r="P127" s="13"/>
      <c r="Q127" s="61"/>
      <c r="R127" s="61"/>
      <c r="T127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23:23:26-0600',mode:absolute,to:'2016-06-16 00:09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27" s="73" t="str">
        <f t="shared" si="57"/>
        <v>N</v>
      </c>
      <c r="V127" s="73">
        <f t="shared" si="61"/>
        <v>1</v>
      </c>
      <c r="W127" s="73">
        <f t="shared" si="58"/>
        <v>23.297699999999999</v>
      </c>
      <c r="X127" s="73">
        <f t="shared" si="59"/>
        <v>1.47E-2</v>
      </c>
      <c r="Y127" s="73">
        <f t="shared" si="60"/>
        <v>23.282999999999998</v>
      </c>
      <c r="Z127" s="74">
        <f>VLOOKUP(A127,Enforcements!$C$19:$J$57,8,0)</f>
        <v>182920</v>
      </c>
      <c r="AA127" s="74" t="str">
        <f>VLOOKUP(A127,Enforcements!$C$19:$J$57,3,0)</f>
        <v>SIGNAL</v>
      </c>
    </row>
    <row r="128" spans="1:27" s="2" customFormat="1" x14ac:dyDescent="0.25">
      <c r="A128" s="60" t="s">
        <v>457</v>
      </c>
      <c r="B128" s="60">
        <v>4024</v>
      </c>
      <c r="C128" s="60" t="s">
        <v>62</v>
      </c>
      <c r="D128" s="60" t="s">
        <v>85</v>
      </c>
      <c r="E128" s="30">
        <v>42536.956180555557</v>
      </c>
      <c r="F128" s="30">
        <v>42536.957129629627</v>
      </c>
      <c r="G128" s="38">
        <v>1</v>
      </c>
      <c r="H128" s="30" t="s">
        <v>274</v>
      </c>
      <c r="I128" s="30">
        <v>42536.983726851853</v>
      </c>
      <c r="J128" s="60">
        <v>0</v>
      </c>
      <c r="K128" s="60" t="str">
        <f t="shared" si="48"/>
        <v>4023/4024</v>
      </c>
      <c r="L128" s="60" t="str">
        <f>VLOOKUP(A128,'Trips&amp;Operators'!$C$1:$E$10000,3,FALSE)</f>
        <v>LEVERE</v>
      </c>
      <c r="M128" s="12">
        <f t="shared" si="49"/>
        <v>2.6597222225973383E-2</v>
      </c>
      <c r="N128" s="13">
        <f t="shared" si="62"/>
        <v>38.300000005401671</v>
      </c>
      <c r="O128" s="13"/>
      <c r="P128" s="13"/>
      <c r="Q128" s="61"/>
      <c r="R128" s="61"/>
      <c r="T128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22:55:54-0600',mode:absolute,to:'2016-06-15 23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8" s="73" t="str">
        <f t="shared" si="57"/>
        <v>N</v>
      </c>
      <c r="V128" s="73">
        <f t="shared" si="61"/>
        <v>1</v>
      </c>
      <c r="W128" s="73">
        <f t="shared" si="58"/>
        <v>4.5699999999999998E-2</v>
      </c>
      <c r="X128" s="73">
        <f t="shared" si="59"/>
        <v>23.328900000000001</v>
      </c>
      <c r="Y128" s="73">
        <f t="shared" si="60"/>
        <v>23.283200000000001</v>
      </c>
      <c r="Z128" s="74" t="e">
        <f>VLOOKUP(A128,Enforcements!$C$19:$J$57,8,0)</f>
        <v>#N/A</v>
      </c>
      <c r="AA128" s="74" t="e">
        <f>VLOOKUP(A128,Enforcements!$C$19:$J$57,3,0)</f>
        <v>#N/A</v>
      </c>
    </row>
    <row r="129" spans="1:27" s="2" customFormat="1" x14ac:dyDescent="0.25">
      <c r="A129" s="60" t="s">
        <v>356</v>
      </c>
      <c r="B129" s="60">
        <v>4023</v>
      </c>
      <c r="C129" s="60" t="s">
        <v>62</v>
      </c>
      <c r="D129" s="60" t="s">
        <v>311</v>
      </c>
      <c r="E129" s="30">
        <v>42536.98673611111</v>
      </c>
      <c r="F129" s="30">
        <v>42536.987812500003</v>
      </c>
      <c r="G129" s="38">
        <v>1</v>
      </c>
      <c r="H129" s="30" t="s">
        <v>98</v>
      </c>
      <c r="I129" s="30">
        <v>42537.025231481479</v>
      </c>
      <c r="J129" s="60">
        <v>0</v>
      </c>
      <c r="K129" s="60" t="str">
        <f t="shared" si="48"/>
        <v>4023/4024</v>
      </c>
      <c r="L129" s="60" t="str">
        <f>VLOOKUP(A129,'Trips&amp;Operators'!$C$1:$E$10000,3,FALSE)</f>
        <v>LEVERE</v>
      </c>
      <c r="M129" s="12">
        <f t="shared" si="49"/>
        <v>3.7418981475639157E-2</v>
      </c>
      <c r="N129" s="13">
        <f t="shared" si="62"/>
        <v>53.883333324920386</v>
      </c>
      <c r="O129" s="13"/>
      <c r="P129" s="13"/>
      <c r="Q129" s="61"/>
      <c r="R129" s="61"/>
      <c r="T129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23:39:54-0600',mode:absolute,to:'2016-06-16 00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9" s="73" t="str">
        <f t="shared" si="57"/>
        <v>N</v>
      </c>
      <c r="V129" s="73">
        <f t="shared" si="61"/>
        <v>1</v>
      </c>
      <c r="W129" s="73">
        <f t="shared" si="58"/>
        <v>23.2972</v>
      </c>
      <c r="X129" s="73">
        <f t="shared" si="59"/>
        <v>1.54E-2</v>
      </c>
      <c r="Y129" s="73">
        <f t="shared" si="60"/>
        <v>23.2818</v>
      </c>
      <c r="Z129" s="74" t="e">
        <f>VLOOKUP(A129,Enforcements!$C$19:$J$57,8,0)</f>
        <v>#N/A</v>
      </c>
      <c r="AA129" s="74" t="e">
        <f>VLOOKUP(A129,Enforcements!$C$19:$J$57,3,0)</f>
        <v>#N/A</v>
      </c>
    </row>
    <row r="130" spans="1:27" s="2" customFormat="1" ht="16.5" customHeight="1" x14ac:dyDescent="0.25">
      <c r="A130" s="60" t="s">
        <v>455</v>
      </c>
      <c r="B130" s="60">
        <v>4018</v>
      </c>
      <c r="C130" s="60" t="s">
        <v>62</v>
      </c>
      <c r="D130" s="60" t="s">
        <v>546</v>
      </c>
      <c r="E130" s="30">
        <v>42536.975671296299</v>
      </c>
      <c r="F130" s="30">
        <v>42536.977650462963</v>
      </c>
      <c r="G130" s="38">
        <v>2</v>
      </c>
      <c r="H130" s="30" t="s">
        <v>99</v>
      </c>
      <c r="I130" s="30">
        <v>42537.01295138889</v>
      </c>
      <c r="J130" s="60">
        <v>0</v>
      </c>
      <c r="K130" s="60" t="str">
        <f t="shared" si="48"/>
        <v>4017/4018</v>
      </c>
      <c r="L130" s="60" t="str">
        <f>VLOOKUP(A130,'Trips&amp;Operators'!$C$1:$E$10000,3,FALSE)</f>
        <v>ADANE</v>
      </c>
      <c r="M130" s="12">
        <f t="shared" si="49"/>
        <v>3.5300925927003846E-2</v>
      </c>
      <c r="N130" s="13">
        <f t="shared" si="62"/>
        <v>50.833333334885538</v>
      </c>
      <c r="O130" s="13"/>
      <c r="P130" s="13"/>
      <c r="Q130" s="61"/>
      <c r="R130" s="61"/>
      <c r="T130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https://search-rtdc-monitor-bjffxe2xuh6vdkpspy63sjmuny.us-east-1.es.amazonaws.com/_plugin/kibana/#/discover/Steve-Slow-Train-Analysis-(2080s-and-2083s)?_g=(refreshInterval:(display:Off,section:0,value:0),time:(from:'2016-06-15 23:23:58-0600',mode:absolute,to:'2016-06-16 00:19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0" s="73" t="str">
        <f t="shared" si="57"/>
        <v>N</v>
      </c>
      <c r="V130" s="73">
        <f t="shared" si="61"/>
        <v>1</v>
      </c>
      <c r="W130" s="73">
        <f t="shared" si="58"/>
        <v>5.91E-2</v>
      </c>
      <c r="X130" s="73">
        <f t="shared" si="59"/>
        <v>23.330400000000001</v>
      </c>
      <c r="Y130" s="73">
        <f t="shared" si="60"/>
        <v>23.2713</v>
      </c>
      <c r="Z130" s="74" t="e">
        <f>VLOOKUP(A130,Enforcements!$C$19:$J$57,8,0)</f>
        <v>#N/A</v>
      </c>
      <c r="AA130" s="74" t="e">
        <f>VLOOKUP(A130,Enforcements!$C$19:$J$57,3,0)</f>
        <v>#N/A</v>
      </c>
    </row>
    <row r="131" spans="1:27" s="2" customFormat="1" ht="16.5" customHeight="1" x14ac:dyDescent="0.25">
      <c r="A131" s="60" t="s">
        <v>368</v>
      </c>
      <c r="B131" s="60">
        <v>4017</v>
      </c>
      <c r="C131" s="60" t="s">
        <v>62</v>
      </c>
      <c r="D131" s="60" t="s">
        <v>253</v>
      </c>
      <c r="E131" s="30">
        <v>42537.01730324074</v>
      </c>
      <c r="F131" s="30">
        <v>42537.018587962964</v>
      </c>
      <c r="G131" s="38">
        <v>1</v>
      </c>
      <c r="H131" s="30" t="s">
        <v>314</v>
      </c>
      <c r="I131" s="30">
        <v>42537.044050925928</v>
      </c>
      <c r="J131" s="60">
        <v>0</v>
      </c>
      <c r="K131" s="60" t="str">
        <f t="shared" si="48"/>
        <v>4017/4018</v>
      </c>
      <c r="L131" s="60" t="str">
        <f>VLOOKUP(A131,'Trips&amp;Operators'!$C$1:$E$10000,3,FALSE)</f>
        <v>ADANE</v>
      </c>
      <c r="M131" s="12">
        <f t="shared" si="49"/>
        <v>2.5462962963501923E-2</v>
      </c>
      <c r="N131" s="13">
        <f t="shared" si="62"/>
        <v>36.666666667442769</v>
      </c>
      <c r="O131" s="13"/>
      <c r="P131" s="13"/>
      <c r="Q131" s="61"/>
      <c r="R131" s="61"/>
      <c r="T131" s="73" t="str">
        <f t="shared" si="56"/>
        <v>https://search-rtdc-monitor-bjffxe2xuh6vdkpspy63sjmuny.us-east-1.es.amazonaws.com/_plugin/kibana/#/discover/Steve-Slow-Train-Analysis-(2080s-and-2083s)?_g=(refreshInterval:(display:Off,section:0,value:0),time:(from:'2016-06-16 00:23:55-0600',mode:absolute,to:'2016-06-16 01:04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1" s="73" t="str">
        <f t="shared" si="57"/>
        <v>N</v>
      </c>
      <c r="V131" s="73">
        <f t="shared" si="61"/>
        <v>1</v>
      </c>
      <c r="W131" s="73">
        <f t="shared" si="58"/>
        <v>23.298100000000002</v>
      </c>
      <c r="X131" s="73">
        <f t="shared" si="59"/>
        <v>1.5800000000000002E-2</v>
      </c>
      <c r="Y131" s="73">
        <f t="shared" si="60"/>
        <v>23.282300000000003</v>
      </c>
      <c r="Z131" s="74" t="e">
        <f>VLOOKUP(A131,Enforcements!$C$19:$J$57,8,0)</f>
        <v>#N/A</v>
      </c>
      <c r="AA131" s="74" t="e">
        <f>VLOOKUP(A131,Enforcements!$C$19:$J$57,3,0)</f>
        <v>#N/A</v>
      </c>
    </row>
    <row r="132" spans="1:27" s="2" customFormat="1" x14ac:dyDescent="0.25">
      <c r="A132" s="60" t="s">
        <v>420</v>
      </c>
      <c r="B132" s="60">
        <v>4025</v>
      </c>
      <c r="C132" s="60" t="s">
        <v>62</v>
      </c>
      <c r="D132" s="60" t="s">
        <v>85</v>
      </c>
      <c r="E132" s="30">
        <v>42536.996458333335</v>
      </c>
      <c r="F132" s="30">
        <v>42536.997650462959</v>
      </c>
      <c r="G132" s="38">
        <v>1</v>
      </c>
      <c r="H132" s="30" t="s">
        <v>85</v>
      </c>
      <c r="I132" s="30">
        <v>42537.024861111109</v>
      </c>
      <c r="J132" s="60">
        <v>0</v>
      </c>
      <c r="K132" s="60" t="str">
        <f t="shared" si="48"/>
        <v>4025/4026</v>
      </c>
      <c r="L132" s="60" t="str">
        <f>VLOOKUP(A132,'Trips&amp;Operators'!$C$1:$E$10000,3,FALSE)</f>
        <v>GRASTON</v>
      </c>
      <c r="M132" s="12">
        <f t="shared" si="49"/>
        <v>2.7210648149775807E-2</v>
      </c>
      <c r="N132" s="13">
        <f t="shared" si="62"/>
        <v>39.183333335677162</v>
      </c>
      <c r="O132" s="13"/>
      <c r="P132" s="13"/>
      <c r="Q132" s="61"/>
      <c r="R132" s="61"/>
      <c r="T132" s="73" t="str">
        <f t="shared" ref="T132:T134" si="63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https://search-rtdc-monitor-bjffxe2xuh6vdkpspy63sjmuny.us-east-1.es.amazonaws.com/_plugin/kibana/#/discover/Steve-Slow-Train-Analysis-(2080s-and-2083s)?_g=(refreshInterval:(display:Off,section:0,value:0),time:(from:'2016-06-15 23:53:54-0600',mode:absolute,to:'2016-06-16 00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2" s="73" t="str">
        <f t="shared" ref="U132:U134" si="64">IF(Y132&lt;23,"Y","N")</f>
        <v>N</v>
      </c>
      <c r="V132" s="73">
        <f t="shared" ref="V132:V134" si="65">VALUE(LEFT(A132,3))-VALUE(LEFT(A131,3))</f>
        <v>1</v>
      </c>
      <c r="W132" s="73">
        <f t="shared" ref="W132:W134" si="66">RIGHT(D132,LEN(D132)-4)/10000</f>
        <v>4.5699999999999998E-2</v>
      </c>
      <c r="X132" s="73">
        <v>23.330400000000001</v>
      </c>
      <c r="Y132" s="73">
        <f t="shared" ref="Y132:Y134" si="67">ABS(X132-W132)</f>
        <v>23.284700000000001</v>
      </c>
      <c r="Z132" s="74" t="e">
        <f>VLOOKUP(A132,Enforcements!$C$19:$J$57,8,0)</f>
        <v>#N/A</v>
      </c>
      <c r="AA132" s="74" t="e">
        <f>VLOOKUP(A132,Enforcements!$C$19:$J$57,3,0)</f>
        <v>#N/A</v>
      </c>
    </row>
    <row r="133" spans="1:27" s="2" customFormat="1" x14ac:dyDescent="0.25">
      <c r="A133" s="60" t="s">
        <v>401</v>
      </c>
      <c r="B133" s="60">
        <v>4026</v>
      </c>
      <c r="C133" s="60" t="s">
        <v>62</v>
      </c>
      <c r="D133" s="60" t="s">
        <v>252</v>
      </c>
      <c r="E133" s="30">
        <v>42537.036493055559</v>
      </c>
      <c r="F133" s="30">
        <v>42537.037893518522</v>
      </c>
      <c r="G133" s="38">
        <v>2</v>
      </c>
      <c r="H133" s="30" t="s">
        <v>71</v>
      </c>
      <c r="I133" s="30">
        <v>42537.066331018519</v>
      </c>
      <c r="J133" s="60">
        <v>0</v>
      </c>
      <c r="K133" s="60" t="str">
        <f t="shared" si="48"/>
        <v>4025/4026</v>
      </c>
      <c r="L133" s="60" t="str">
        <f>VLOOKUP(A133,'Trips&amp;Operators'!$C$1:$E$10000,3,FALSE)</f>
        <v>GRASTON</v>
      </c>
      <c r="M133" s="12">
        <f t="shared" si="49"/>
        <v>2.8437499997380655E-2</v>
      </c>
      <c r="N133" s="13">
        <f t="shared" si="62"/>
        <v>40.949999996228144</v>
      </c>
      <c r="O133" s="13"/>
      <c r="P133" s="13"/>
      <c r="Q133" s="61"/>
      <c r="R133" s="61"/>
      <c r="T133" s="73" t="str">
        <f t="shared" si="63"/>
        <v>https://search-rtdc-monitor-bjffxe2xuh6vdkpspy63sjmuny.us-east-1.es.amazonaws.com/_plugin/kibana/#/discover/Steve-Slow-Train-Analysis-(2080s-and-2083s)?_g=(refreshInterval:(display:Off,section:0,value:0),time:(from:'2016-06-16 00:51:33-0600',mode:absolute,to:'2016-06-16 01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3" s="73" t="str">
        <f t="shared" si="64"/>
        <v>N</v>
      </c>
      <c r="V133" s="73">
        <f t="shared" si="65"/>
        <v>1</v>
      </c>
      <c r="W133" s="73">
        <f t="shared" si="66"/>
        <v>23.298500000000001</v>
      </c>
      <c r="X133" s="73">
        <f t="shared" ref="X132:X134" si="68">RIGHT(H133,LEN(H133)-4)/10000</f>
        <v>1.4999999999999999E-2</v>
      </c>
      <c r="Y133" s="73">
        <f t="shared" si="67"/>
        <v>23.2835</v>
      </c>
      <c r="Z133" s="74" t="e">
        <f>VLOOKUP(A133,Enforcements!$C$19:$J$57,8,0)</f>
        <v>#N/A</v>
      </c>
      <c r="AA133" s="74" t="e">
        <f>VLOOKUP(A133,Enforcements!$C$19:$J$57,3,0)</f>
        <v>#N/A</v>
      </c>
    </row>
    <row r="134" spans="1:27" s="2" customFormat="1" x14ac:dyDescent="0.25">
      <c r="A134" s="60" t="s">
        <v>468</v>
      </c>
      <c r="B134" s="60">
        <v>4011</v>
      </c>
      <c r="C134" s="60" t="s">
        <v>62</v>
      </c>
      <c r="D134" s="60" t="s">
        <v>120</v>
      </c>
      <c r="E134" s="30">
        <v>42537.011458333334</v>
      </c>
      <c r="F134" s="30">
        <v>42537.01326388889</v>
      </c>
      <c r="G134" s="38">
        <v>2</v>
      </c>
      <c r="H134" s="30" t="s">
        <v>324</v>
      </c>
      <c r="I134" s="30">
        <v>42537.04859953704</v>
      </c>
      <c r="J134" s="60">
        <v>0</v>
      </c>
      <c r="K134" s="60" t="str">
        <f t="shared" si="48"/>
        <v>4011/4012</v>
      </c>
      <c r="L134" s="60" t="str">
        <f>VLOOKUP(A134,'Trips&amp;Operators'!$C$1:$E$10000,3,FALSE)</f>
        <v>STRICKLAND</v>
      </c>
      <c r="M134" s="12">
        <f t="shared" si="49"/>
        <v>3.5335648150066845E-2</v>
      </c>
      <c r="N134" s="13">
        <f t="shared" si="62"/>
        <v>50.883333336096257</v>
      </c>
      <c r="O134" s="13"/>
      <c r="P134" s="13"/>
      <c r="Q134" s="61"/>
      <c r="R134" s="61"/>
      <c r="T134" s="73" t="str">
        <f t="shared" si="63"/>
        <v>https://search-rtdc-monitor-bjffxe2xuh6vdkpspy63sjmuny.us-east-1.es.amazonaws.com/_plugin/kibana/#/discover/Steve-Slow-Train-Analysis-(2080s-and-2083s)?_g=(refreshInterval:(display:Off,section:0,value:0),time:(from:'2016-06-16 00:15:30-0600',mode:absolute,to:'2016-06-16 01:10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34" s="73" t="str">
        <f t="shared" si="64"/>
        <v>N</v>
      </c>
      <c r="V134" s="73">
        <f t="shared" si="65"/>
        <v>1</v>
      </c>
      <c r="W134" s="73">
        <f t="shared" si="66"/>
        <v>4.6399999999999997E-2</v>
      </c>
      <c r="X134" s="73">
        <f t="shared" si="68"/>
        <v>23.329699999999999</v>
      </c>
      <c r="Y134" s="73">
        <f t="shared" si="67"/>
        <v>23.283300000000001</v>
      </c>
      <c r="Z134" s="74" t="e">
        <f>VLOOKUP(A134,Enforcements!$C$19:$J$57,8,0)</f>
        <v>#N/A</v>
      </c>
      <c r="AA134" s="74" t="e">
        <f>VLOOKUP(A134,Enforcements!$C$19:$J$57,3,0)</f>
        <v>#N/A</v>
      </c>
    </row>
    <row r="135" spans="1:27" s="2" customFormat="1" x14ac:dyDescent="0.25">
      <c r="A135" s="60" t="s">
        <v>453</v>
      </c>
      <c r="B135" s="60">
        <v>4012</v>
      </c>
      <c r="C135" s="60" t="s">
        <v>62</v>
      </c>
      <c r="D135" s="60" t="s">
        <v>120</v>
      </c>
      <c r="E135" s="30">
        <v>42537.011458333334</v>
      </c>
      <c r="F135" s="30">
        <v>42537.055451388886</v>
      </c>
      <c r="G135" s="38">
        <v>2</v>
      </c>
      <c r="H135" s="30" t="s">
        <v>324</v>
      </c>
      <c r="I135" s="30">
        <v>42537.086527777778</v>
      </c>
      <c r="J135" s="60">
        <v>0</v>
      </c>
      <c r="K135" s="60" t="str">
        <f t="shared" si="48"/>
        <v>4011/4012</v>
      </c>
      <c r="L135" s="60" t="str">
        <f>VLOOKUP(A135,'Trips&amp;Operators'!$C$1:$E$10000,3,FALSE)</f>
        <v>STRICKLAND</v>
      </c>
      <c r="M135" s="12">
        <f t="shared" si="49"/>
        <v>3.107638889196096E-2</v>
      </c>
      <c r="N135" s="13"/>
      <c r="O135" s="13"/>
      <c r="P135" s="13">
        <f>24*60*SUM($M135:$M135)</f>
        <v>44.750000004423782</v>
      </c>
      <c r="Q135" s="61"/>
      <c r="R135" s="61" t="s">
        <v>561</v>
      </c>
      <c r="T135" s="73" t="str">
        <f t="shared" ref="T135" si="69"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https://search-rtdc-monitor-bjffxe2xuh6vdkpspy63sjmuny.us-east-1.es.amazonaws.com/_plugin/kibana/#/discover/Steve-Slow-Train-Analysis-(2080s-and-2083s)?_g=(refreshInterval:(display:Off,section:0,value:0),time:(from:'2016-06-16 00:15:30-0600',mode:absolute,to:'2016-06-16 02:05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35" s="73" t="str">
        <f t="shared" ref="U135" si="70">IF(Y135&lt;23,"Y","N")</f>
        <v>N</v>
      </c>
      <c r="V135" s="73">
        <f t="shared" ref="V135" si="71">VALUE(LEFT(A135,3))-VALUE(LEFT(A134,3))</f>
        <v>1</v>
      </c>
      <c r="W135" s="73">
        <f t="shared" ref="W135" si="72">RIGHT(D135,LEN(D135)-4)/10000</f>
        <v>4.6399999999999997E-2</v>
      </c>
      <c r="X135" s="73">
        <f t="shared" ref="X135" si="73">RIGHT(H135,LEN(H135)-4)/10000</f>
        <v>23.329699999999999</v>
      </c>
      <c r="Y135" s="73">
        <f t="shared" ref="Y135" si="74">ABS(X135-W135)</f>
        <v>23.283300000000001</v>
      </c>
      <c r="Z135" s="74" t="e">
        <f>VLOOKUP(A135,Enforcements!$C$19:$J$57,8,0)</f>
        <v>#N/A</v>
      </c>
      <c r="AA135" s="74" t="e">
        <f>VLOOKUP(A135,Enforcements!$C$19:$J$57,3,0)</f>
        <v>#N/A</v>
      </c>
    </row>
    <row r="136" spans="1:27" s="2" customFormat="1" x14ac:dyDescent="0.25">
      <c r="A136" s="62"/>
      <c r="B136" s="62"/>
      <c r="C136" s="62"/>
      <c r="D136" s="62"/>
      <c r="E136" s="63"/>
      <c r="F136" s="63"/>
      <c r="G136" s="64"/>
      <c r="H136" s="63"/>
      <c r="I136" s="63"/>
      <c r="J136" s="62"/>
      <c r="K136" s="62"/>
      <c r="L136" s="62"/>
      <c r="M136" s="65"/>
      <c r="N136" s="66"/>
      <c r="O136" s="66"/>
      <c r="P136" s="66"/>
      <c r="Q136" s="67"/>
      <c r="R136" s="67"/>
      <c r="T136" s="73"/>
      <c r="U136" s="73"/>
      <c r="V136" s="73"/>
      <c r="W136" s="73"/>
      <c r="X136" s="73"/>
      <c r="Y136" s="73"/>
      <c r="Z136" s="74"/>
      <c r="AA136" s="74"/>
    </row>
    <row r="137" spans="1:27" s="2" customFormat="1" ht="15.75" thickBot="1" x14ac:dyDescent="0.3">
      <c r="A137" s="62"/>
      <c r="B137" s="62"/>
      <c r="C137" s="62"/>
      <c r="D137" s="62"/>
      <c r="E137" s="63"/>
      <c r="F137" s="63"/>
      <c r="G137" s="64"/>
      <c r="H137" s="63"/>
      <c r="I137" s="63"/>
      <c r="J137" s="62"/>
      <c r="K137" s="62"/>
      <c r="L137" s="62"/>
      <c r="M137" s="65"/>
      <c r="N137" s="66"/>
      <c r="O137" s="66"/>
      <c r="P137" s="66"/>
      <c r="Q137" s="67"/>
      <c r="R137" s="67"/>
      <c r="T137" s="68"/>
      <c r="U137" s="68"/>
      <c r="V137" s="68"/>
      <c r="W137" s="68"/>
      <c r="X137" s="68"/>
      <c r="Y137" s="68"/>
      <c r="Z137" s="69"/>
      <c r="AA137" s="69"/>
    </row>
    <row r="138" spans="1:27" s="2" customFormat="1" ht="15.75" thickBot="1" x14ac:dyDescent="0.3">
      <c r="E138" s="31"/>
      <c r="F138" s="31"/>
      <c r="G138" s="39"/>
      <c r="H138" s="31"/>
      <c r="I138" s="91">
        <f>Variables!A2</f>
        <v>42536</v>
      </c>
      <c r="J138" s="92"/>
      <c r="K138" s="75"/>
      <c r="L138" s="75"/>
      <c r="M138" s="93" t="s">
        <v>8</v>
      </c>
      <c r="N138" s="94"/>
      <c r="O138" s="95"/>
      <c r="P138" s="5"/>
      <c r="T138" s="56"/>
      <c r="U138" s="56"/>
      <c r="V138" s="56"/>
      <c r="W138" s="56"/>
      <c r="X138" s="56"/>
      <c r="Y138" s="56"/>
      <c r="Z138" s="57"/>
      <c r="AA138" s="57"/>
    </row>
    <row r="139" spans="1:27" s="2" customFormat="1" ht="15.75" thickBot="1" x14ac:dyDescent="0.3">
      <c r="E139" s="31"/>
      <c r="F139" s="31"/>
      <c r="G139" s="39"/>
      <c r="H139" s="31"/>
      <c r="I139" s="96" t="s">
        <v>10</v>
      </c>
      <c r="J139" s="97"/>
      <c r="K139" s="35"/>
      <c r="L139" s="58"/>
      <c r="M139" s="9" t="s">
        <v>11</v>
      </c>
      <c r="N139" s="6" t="s">
        <v>12</v>
      </c>
      <c r="O139" s="7" t="s">
        <v>13</v>
      </c>
      <c r="P139" s="5"/>
      <c r="T139" s="56"/>
      <c r="U139" s="56"/>
      <c r="V139" s="56"/>
      <c r="W139" s="56"/>
      <c r="X139" s="56"/>
      <c r="Y139" s="56"/>
      <c r="Z139" s="57"/>
      <c r="AA139" s="57"/>
    </row>
    <row r="140" spans="1:27" s="2" customFormat="1" ht="15.75" thickBot="1" x14ac:dyDescent="0.3">
      <c r="E140" s="31"/>
      <c r="F140" s="31"/>
      <c r="G140" s="39"/>
      <c r="H140" s="31"/>
      <c r="I140" s="32" t="s">
        <v>14</v>
      </c>
      <c r="J140" s="3">
        <f>COUNT(N3:P135)</f>
        <v>130</v>
      </c>
      <c r="K140" s="3"/>
      <c r="L140" s="3"/>
      <c r="M140" s="70" t="s">
        <v>15</v>
      </c>
      <c r="N140" s="6" t="s">
        <v>15</v>
      </c>
      <c r="O140" s="7" t="s">
        <v>15</v>
      </c>
      <c r="P140" s="5"/>
      <c r="T140" s="56"/>
      <c r="U140" s="56"/>
      <c r="V140" s="56"/>
      <c r="W140" s="56"/>
      <c r="X140" s="56"/>
      <c r="Y140" s="56"/>
      <c r="Z140" s="57"/>
      <c r="AA140" s="57"/>
    </row>
    <row r="141" spans="1:27" s="2" customFormat="1" ht="15.75" thickBot="1" x14ac:dyDescent="0.3">
      <c r="E141" s="31"/>
      <c r="F141" s="31"/>
      <c r="G141" s="39"/>
      <c r="H141" s="31"/>
      <c r="I141" s="32" t="s">
        <v>17</v>
      </c>
      <c r="J141" s="3">
        <f>COUNT(N3:N134)</f>
        <v>111</v>
      </c>
      <c r="K141" s="3"/>
      <c r="L141" s="3"/>
      <c r="M141" s="70">
        <f>AVERAGE(N3:N134)</f>
        <v>45.071321321286362</v>
      </c>
      <c r="N141" s="6">
        <f>MIN(N3:N134)</f>
        <v>36.516666663810611</v>
      </c>
      <c r="O141" s="7">
        <f>MAX(N3:N134)</f>
        <v>82.933333336841315</v>
      </c>
      <c r="P141" s="5"/>
      <c r="T141" s="56"/>
      <c r="U141" s="56"/>
      <c r="V141" s="56"/>
      <c r="W141" s="56"/>
      <c r="X141" s="56"/>
      <c r="Y141" s="56"/>
      <c r="Z141" s="57"/>
      <c r="AA141" s="57"/>
    </row>
    <row r="142" spans="1:27" s="2" customFormat="1" ht="15.75" thickBot="1" x14ac:dyDescent="0.3">
      <c r="B142" s="59"/>
      <c r="C142" s="59"/>
      <c r="D142" s="59"/>
      <c r="E142" s="14"/>
      <c r="F142" s="14"/>
      <c r="G142" s="40"/>
      <c r="H142" s="14"/>
      <c r="I142" s="33" t="s">
        <v>45</v>
      </c>
      <c r="J142" s="3">
        <f>COUNT(O3:O134)</f>
        <v>0</v>
      </c>
      <c r="K142" s="3"/>
      <c r="L142" s="3"/>
      <c r="M142" s="70">
        <f>IFERROR(AVERAGE(O3:O134),0)</f>
        <v>0</v>
      </c>
      <c r="N142" s="6">
        <f>MIN(O3:O134)</f>
        <v>0</v>
      </c>
      <c r="O142" s="7">
        <f>MAX(O3:O134)</f>
        <v>0</v>
      </c>
      <c r="P142" s="4"/>
      <c r="Q142"/>
      <c r="R142"/>
      <c r="S142"/>
      <c r="T142" s="54"/>
      <c r="U142" s="54"/>
      <c r="V142" s="54"/>
      <c r="W142" s="54"/>
      <c r="X142" s="54"/>
      <c r="Y142" s="54"/>
      <c r="Z142" s="55"/>
      <c r="AA142" s="55"/>
    </row>
    <row r="143" spans="1:27" s="2" customFormat="1" ht="15.75" thickBot="1" x14ac:dyDescent="0.3">
      <c r="B143" s="59"/>
      <c r="C143" s="59"/>
      <c r="D143" s="59"/>
      <c r="E143" s="14"/>
      <c r="F143" s="14"/>
      <c r="G143" s="40"/>
      <c r="H143" s="14"/>
      <c r="I143" s="34" t="s">
        <v>9</v>
      </c>
      <c r="J143" s="3">
        <f>COUNT(P3:P134)</f>
        <v>18</v>
      </c>
      <c r="K143" s="3"/>
      <c r="L143" s="3"/>
      <c r="M143" s="70" t="s">
        <v>15</v>
      </c>
      <c r="N143" s="6" t="s">
        <v>15</v>
      </c>
      <c r="O143" s="7" t="s">
        <v>15</v>
      </c>
      <c r="P143" s="4"/>
      <c r="Q143"/>
      <c r="R143"/>
      <c r="S143"/>
      <c r="T143" s="54"/>
      <c r="U143" s="54"/>
      <c r="V143" s="54"/>
      <c r="W143" s="54"/>
      <c r="X143" s="54"/>
      <c r="Y143" s="54"/>
      <c r="Z143" s="55"/>
      <c r="AA143" s="55"/>
    </row>
    <row r="144" spans="1:27" s="2" customFormat="1" ht="30.75" thickBot="1" x14ac:dyDescent="0.3">
      <c r="E144" s="31"/>
      <c r="F144" s="31"/>
      <c r="G144" s="39"/>
      <c r="H144" s="31"/>
      <c r="I144" s="32" t="s">
        <v>16</v>
      </c>
      <c r="J144" s="3">
        <f>COUNT(N3:O134)</f>
        <v>111</v>
      </c>
      <c r="K144" s="3"/>
      <c r="L144" s="3"/>
      <c r="M144" s="70">
        <f>AVERAGE(N3:P134)</f>
        <v>43.957881137084343</v>
      </c>
      <c r="N144" s="6">
        <f>MIN(N3:O134)</f>
        <v>36.516666663810611</v>
      </c>
      <c r="O144" s="7">
        <f>MAX(N3:O134)</f>
        <v>82.933333336841315</v>
      </c>
      <c r="P144" s="5"/>
      <c r="T144" s="56"/>
      <c r="U144" s="56"/>
      <c r="V144" s="56"/>
      <c r="W144" s="56"/>
      <c r="X144" s="56"/>
      <c r="Y144" s="56"/>
      <c r="Z144" s="57"/>
      <c r="AA144" s="57"/>
    </row>
    <row r="145" spans="2:27" s="2" customFormat="1" ht="30.75" thickBot="1" x14ac:dyDescent="0.3">
      <c r="B145" s="59"/>
      <c r="C145" s="59"/>
      <c r="D145" s="59"/>
      <c r="E145" s="14"/>
      <c r="F145" s="14"/>
      <c r="G145" s="40"/>
      <c r="H145" s="14"/>
      <c r="I145" s="32" t="s">
        <v>19</v>
      </c>
      <c r="J145" s="8">
        <f>J144/J140</f>
        <v>0.85384615384615381</v>
      </c>
      <c r="K145" s="8"/>
      <c r="L145" s="8"/>
      <c r="M145" s="1"/>
      <c r="N145" s="4"/>
      <c r="O145" s="4"/>
      <c r="P145" s="4"/>
      <c r="Q145"/>
      <c r="R145"/>
      <c r="S145"/>
      <c r="T145" s="54"/>
      <c r="U145" s="54"/>
      <c r="V145" s="54"/>
      <c r="W145" s="54"/>
      <c r="X145" s="54"/>
      <c r="Y145" s="54"/>
      <c r="Z145" s="55"/>
      <c r="AA145" s="55"/>
    </row>
    <row r="146" spans="2:27" s="2" customFormat="1" x14ac:dyDescent="0.25">
      <c r="B146" s="59"/>
      <c r="C146" s="59"/>
      <c r="D146" s="59"/>
      <c r="E146" s="14"/>
      <c r="F146" s="14"/>
      <c r="G146" s="40"/>
      <c r="H146" s="14"/>
      <c r="I146" s="14"/>
      <c r="J146" s="59"/>
      <c r="K146"/>
      <c r="L146" s="59"/>
      <c r="M146" s="1"/>
      <c r="N146" s="4"/>
      <c r="O146" s="4"/>
      <c r="P146" s="4"/>
      <c r="Q146"/>
      <c r="R146"/>
      <c r="S146"/>
      <c r="T146" s="54"/>
      <c r="U146" s="54"/>
      <c r="V146" s="54"/>
      <c r="W146" s="54"/>
      <c r="X146" s="54"/>
      <c r="Y146" s="54"/>
      <c r="Z146" s="55"/>
      <c r="AA146" s="55"/>
    </row>
    <row r="147" spans="2:27" s="2" customFormat="1" x14ac:dyDescent="0.25">
      <c r="B147" s="59"/>
      <c r="C147" s="59"/>
      <c r="D147" s="59"/>
      <c r="E147" s="14"/>
      <c r="F147" s="14"/>
      <c r="G147" s="40"/>
      <c r="H147" s="14"/>
      <c r="I147" s="14"/>
      <c r="J147" s="59"/>
      <c r="K147"/>
      <c r="L147" s="59"/>
      <c r="M147" s="1"/>
      <c r="N147" s="4"/>
      <c r="O147" s="4"/>
      <c r="P147" s="4"/>
      <c r="Q147"/>
      <c r="R147"/>
      <c r="S147"/>
      <c r="T147" s="54"/>
      <c r="U147" s="54"/>
      <c r="V147" s="54"/>
      <c r="W147" s="54"/>
      <c r="X147" s="54"/>
      <c r="Y147" s="54"/>
      <c r="Z147" s="55"/>
      <c r="AA147" s="55"/>
    </row>
    <row r="148" spans="2:27" s="2" customFormat="1" x14ac:dyDescent="0.25">
      <c r="B148" s="59"/>
      <c r="C148" s="59"/>
      <c r="D148" s="59"/>
      <c r="E148" s="14"/>
      <c r="F148" s="14"/>
      <c r="G148" s="40"/>
      <c r="H148" s="14"/>
      <c r="I148" s="14"/>
      <c r="J148" s="59"/>
      <c r="K148"/>
      <c r="L148" s="59"/>
      <c r="M148" s="1"/>
      <c r="N148" s="4"/>
      <c r="O148" s="4"/>
      <c r="P148" s="4"/>
      <c r="Q148"/>
      <c r="R148"/>
      <c r="S148"/>
      <c r="T148" s="54"/>
      <c r="U148" s="54"/>
      <c r="V148" s="54"/>
      <c r="W148" s="54"/>
      <c r="X148" s="54"/>
      <c r="Y148" s="54"/>
      <c r="Z148" s="55"/>
      <c r="AA148" s="55"/>
    </row>
    <row r="149" spans="2:27" s="2" customFormat="1" x14ac:dyDescent="0.25">
      <c r="B149" s="59"/>
      <c r="C149" s="59"/>
      <c r="D149" s="59"/>
      <c r="E149" s="14"/>
      <c r="F149" s="14"/>
      <c r="G149" s="40"/>
      <c r="H149" s="14"/>
      <c r="I149" s="14"/>
      <c r="J149" s="59"/>
      <c r="K149"/>
      <c r="L149" s="59"/>
      <c r="M149" s="1"/>
      <c r="N149" s="4"/>
      <c r="O149" s="4"/>
      <c r="P149" s="4"/>
      <c r="Q149"/>
      <c r="R149"/>
      <c r="S149"/>
      <c r="T149" s="54"/>
      <c r="U149" s="54"/>
      <c r="V149" s="54"/>
      <c r="W149" s="54"/>
      <c r="X149" s="54"/>
      <c r="Y149" s="54"/>
      <c r="Z149" s="55"/>
      <c r="AA149" s="55"/>
    </row>
    <row r="150" spans="2:27" s="2" customFormat="1" x14ac:dyDescent="0.25">
      <c r="B150" s="59"/>
      <c r="C150" s="59"/>
      <c r="D150" s="59"/>
      <c r="E150" s="14"/>
      <c r="F150" s="14"/>
      <c r="G150" s="40"/>
      <c r="H150" s="14"/>
      <c r="I150" s="14"/>
      <c r="J150" s="59"/>
      <c r="K150"/>
      <c r="L150" s="59"/>
      <c r="M150" s="1"/>
      <c r="N150" s="4"/>
      <c r="O150" s="4"/>
      <c r="P150" s="4"/>
      <c r="Q150"/>
      <c r="R150"/>
      <c r="S150"/>
      <c r="T150" s="54"/>
      <c r="U150" s="54"/>
      <c r="V150" s="54"/>
      <c r="W150" s="54"/>
      <c r="X150" s="54"/>
      <c r="Y150" s="54"/>
      <c r="Z150" s="55"/>
      <c r="AA150" s="55"/>
    </row>
    <row r="153" spans="2:27" s="2" customFormat="1" x14ac:dyDescent="0.25">
      <c r="B153" s="59"/>
      <c r="C153" s="59"/>
      <c r="D153" s="59"/>
      <c r="E153" s="14"/>
      <c r="F153" s="14"/>
      <c r="G153" s="40"/>
      <c r="H153" s="14"/>
      <c r="I153" s="14"/>
      <c r="J153" s="59"/>
      <c r="K153"/>
      <c r="L153" s="59"/>
      <c r="M153" s="1"/>
      <c r="N153" s="4"/>
      <c r="O153" s="4"/>
      <c r="P153" s="4"/>
      <c r="Q153"/>
      <c r="R153"/>
      <c r="S153"/>
      <c r="T153" s="54"/>
      <c r="U153" s="54"/>
      <c r="V153" s="54"/>
      <c r="W153" s="54"/>
      <c r="X153" s="54"/>
      <c r="Y153" s="54"/>
      <c r="Z153" s="55"/>
      <c r="AA153" s="55"/>
    </row>
  </sheetData>
  <autoFilter ref="A2:AA134">
    <sortState ref="A3:AA147">
      <sortCondition ref="A2:A147"/>
    </sortState>
  </autoFilter>
  <sortState ref="A3:R146">
    <sortCondition ref="A3:A146"/>
    <sortCondition ref="F3:F146"/>
  </sortState>
  <mergeCells count="4">
    <mergeCell ref="I138:J138"/>
    <mergeCell ref="M138:O138"/>
    <mergeCell ref="I139:J139"/>
    <mergeCell ref="A1:P1"/>
  </mergeCells>
  <conditionalFormatting sqref="U1:U2 U3:V134 U136:V1048576">
    <cfRule type="cellIs" dxfId="31" priority="45" operator="equal">
      <formula>"Y"</formula>
    </cfRule>
  </conditionalFormatting>
  <conditionalFormatting sqref="V3:V134 V136:V1048576">
    <cfRule type="cellIs" dxfId="30" priority="28" operator="greaterThan">
      <formula>1</formula>
    </cfRule>
  </conditionalFormatting>
  <conditionalFormatting sqref="V2:V134 V136:V1048576">
    <cfRule type="cellIs" dxfId="29" priority="25" operator="equal">
      <formula>0</formula>
    </cfRule>
  </conditionalFormatting>
  <conditionalFormatting sqref="A136:R136 A3:R134">
    <cfRule type="expression" dxfId="28" priority="20">
      <formula>$P3&gt;0</formula>
    </cfRule>
    <cfRule type="expression" dxfId="27" priority="21">
      <formula>$O3&gt;0</formula>
    </cfRule>
  </conditionalFormatting>
  <conditionalFormatting sqref="U135:V135">
    <cfRule type="cellIs" dxfId="26" priority="9" operator="equal">
      <formula>"Y"</formula>
    </cfRule>
  </conditionalFormatting>
  <conditionalFormatting sqref="V135">
    <cfRule type="cellIs" dxfId="25" priority="8" operator="greaterThan">
      <formula>1</formula>
    </cfRule>
  </conditionalFormatting>
  <conditionalFormatting sqref="V135">
    <cfRule type="cellIs" dxfId="24" priority="7" operator="equal">
      <formula>0</formula>
    </cfRule>
  </conditionalFormatting>
  <conditionalFormatting sqref="A135:Q135">
    <cfRule type="expression" dxfId="23" priority="5">
      <formula>$P135&gt;0</formula>
    </cfRule>
    <cfRule type="expression" dxfId="22" priority="6">
      <formula>$O135&gt;0</formula>
    </cfRule>
  </conditionalFormatting>
  <conditionalFormatting sqref="R135">
    <cfRule type="expression" dxfId="21" priority="2">
      <formula>$P135&gt;0</formula>
    </cfRule>
    <cfRule type="expression" dxfId="20" priority="3">
      <formula>$O135&gt;0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A136:R136 A3:R134</xm:sqref>
        </x14:conditionalFormatting>
        <x14:conditionalFormatting xmlns:xm="http://schemas.microsoft.com/office/excel/2006/main">
          <x14:cfRule type="expression" priority="4" id="{2D98EE34-2643-4A69-91FC-569A2DCC02DD}">
            <xm:f>$N135&gt;Variables!$C$2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A135:Q135</xm:sqref>
        </x14:conditionalFormatting>
        <x14:conditionalFormatting xmlns:xm="http://schemas.microsoft.com/office/excel/2006/main">
          <x14:cfRule type="expression" priority="1" id="{F8AECA1A-BC9F-4688-A126-9605CBC01F48}">
            <xm:f>$N135&gt;Variables!$C$2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R135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showGridLines="0" tabSelected="1" zoomScale="85" zoomScaleNormal="85" workbookViewId="0">
      <selection activeCell="N29" sqref="N29"/>
    </sheetView>
  </sheetViews>
  <sheetFormatPr defaultRowHeight="15" x14ac:dyDescent="0.25"/>
  <cols>
    <col min="1" max="1" width="18.42578125" style="14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80"/>
  </cols>
  <sheetData>
    <row r="1" spans="1:17" s="26" customFormat="1" ht="15" customHeight="1" x14ac:dyDescent="0.25">
      <c r="A1" s="99" t="str">
        <f>"Eagle P3 Braking Events - "&amp;TEXT(Variables!$A$2,"YYYY-mm-dd")</f>
        <v>Eagle P3 Braking Events - 2016-06-15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27"/>
      <c r="P1" s="78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1" t="s">
        <v>84</v>
      </c>
    </row>
    <row r="3" spans="1:17" s="2" customFormat="1" x14ac:dyDescent="0.25">
      <c r="A3" s="23">
        <v>42536.479062500002</v>
      </c>
      <c r="B3" s="22" t="s">
        <v>176</v>
      </c>
      <c r="C3" s="22" t="s">
        <v>425</v>
      </c>
      <c r="D3" s="22" t="s">
        <v>52</v>
      </c>
      <c r="E3" s="22" t="s">
        <v>90</v>
      </c>
      <c r="F3" s="22">
        <v>150</v>
      </c>
      <c r="G3" s="22">
        <v>406</v>
      </c>
      <c r="H3" s="22">
        <v>60960</v>
      </c>
      <c r="I3" s="22" t="s">
        <v>91</v>
      </c>
      <c r="J3" s="22">
        <v>63068</v>
      </c>
      <c r="K3" s="21" t="s">
        <v>55</v>
      </c>
      <c r="L3" s="21" t="str">
        <f>VLOOKUP(C3,'Trips&amp;Operators'!$C$2:$E$10000,3,FALSE)</f>
        <v>BRABO</v>
      </c>
      <c r="M3" s="20" t="s">
        <v>67</v>
      </c>
      <c r="N3" s="21"/>
      <c r="P3" s="79" t="str">
        <f>VLOOKUP(C3,'Train Runs'!$A$3:$T$245,20,0)</f>
        <v>https://search-rtdc-monitor-bjffxe2xuh6vdkpspy63sjmuny.us-east-1.es.amazonaws.com/_plugin/kibana/#/discover/Steve-Slow-Train-Analysis-(2080s-and-2083s)?_g=(refreshInterval:(display:Off,section:0,value:0),time:(from:'2016-06-15 11:11:31-0600',mode:absolute,to:'2016-06-15 11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" s="19" t="str">
        <f t="shared" ref="Q3:Q18" si="0">MID(B3,13,4)</f>
        <v>4029</v>
      </c>
    </row>
    <row r="4" spans="1:17" s="2" customFormat="1" x14ac:dyDescent="0.25">
      <c r="A4" s="23">
        <v>42536.519756944443</v>
      </c>
      <c r="B4" s="22" t="s">
        <v>260</v>
      </c>
      <c r="C4" s="22" t="s">
        <v>337</v>
      </c>
      <c r="D4" s="22" t="s">
        <v>52</v>
      </c>
      <c r="E4" s="22" t="s">
        <v>90</v>
      </c>
      <c r="F4" s="22">
        <v>0</v>
      </c>
      <c r="G4" s="22">
        <v>471</v>
      </c>
      <c r="H4" s="22">
        <v>59671</v>
      </c>
      <c r="I4" s="22" t="s">
        <v>91</v>
      </c>
      <c r="J4" s="22">
        <v>63068</v>
      </c>
      <c r="K4" s="21" t="s">
        <v>55</v>
      </c>
      <c r="L4" s="21" t="str">
        <f>VLOOKUP(C4,'Trips&amp;Operators'!$C$2:$E$10000,3,FALSE)</f>
        <v>STEWART</v>
      </c>
      <c r="M4" s="20" t="s">
        <v>67</v>
      </c>
      <c r="N4" s="21" t="s">
        <v>277</v>
      </c>
      <c r="P4" s="79" t="str">
        <f>VLOOKUP(C4,'Train Runs'!$A$3:$T$245,20,0)</f>
        <v>https://search-rtdc-monitor-bjffxe2xuh6vdkpspy63sjmuny.us-east-1.es.amazonaws.com/_plugin/kibana/#/discover/Steve-Slow-Train-Analysis-(2080s-and-2083s)?_g=(refreshInterval:(display:Off,section:0,value:0),time:(from:'2016-06-15 12:09:55-0600',mode:absolute,to:'2016-06-15 12:58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4" s="19" t="str">
        <f t="shared" si="0"/>
        <v>4016</v>
      </c>
    </row>
    <row r="5" spans="1:17" s="2" customFormat="1" x14ac:dyDescent="0.25">
      <c r="A5" s="23">
        <v>42536.520671296297</v>
      </c>
      <c r="B5" s="22" t="s">
        <v>260</v>
      </c>
      <c r="C5" s="22" t="s">
        <v>337</v>
      </c>
      <c r="D5" s="22" t="s">
        <v>52</v>
      </c>
      <c r="E5" s="22" t="s">
        <v>90</v>
      </c>
      <c r="F5" s="22">
        <v>0</v>
      </c>
      <c r="G5" s="22">
        <v>174</v>
      </c>
      <c r="H5" s="22">
        <v>61878</v>
      </c>
      <c r="I5" s="22" t="s">
        <v>91</v>
      </c>
      <c r="J5" s="22">
        <v>63068</v>
      </c>
      <c r="K5" s="21" t="s">
        <v>55</v>
      </c>
      <c r="L5" s="21" t="str">
        <f>VLOOKUP(C5,'Trips&amp;Operators'!$C$2:$E$10000,3,FALSE)</f>
        <v>STEWART</v>
      </c>
      <c r="M5" s="20" t="s">
        <v>67</v>
      </c>
      <c r="N5" s="21" t="s">
        <v>277</v>
      </c>
      <c r="P5" s="79" t="str">
        <f>VLOOKUP(C5,'Train Runs'!$A$3:$T$245,20,0)</f>
        <v>https://search-rtdc-monitor-bjffxe2xuh6vdkpspy63sjmuny.us-east-1.es.amazonaws.com/_plugin/kibana/#/discover/Steve-Slow-Train-Analysis-(2080s-and-2083s)?_g=(refreshInterval:(display:Off,section:0,value:0),time:(from:'2016-06-15 12:09:55-0600',mode:absolute,to:'2016-06-15 12:58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5" s="19" t="str">
        <f t="shared" si="0"/>
        <v>4016</v>
      </c>
    </row>
    <row r="6" spans="1:17" s="2" customFormat="1" x14ac:dyDescent="0.25">
      <c r="A6" s="23">
        <v>42536.561412037037</v>
      </c>
      <c r="B6" s="22" t="s">
        <v>278</v>
      </c>
      <c r="C6" s="22" t="s">
        <v>396</v>
      </c>
      <c r="D6" s="22" t="s">
        <v>52</v>
      </c>
      <c r="E6" s="22" t="s">
        <v>90</v>
      </c>
      <c r="F6" s="22">
        <v>0</v>
      </c>
      <c r="G6" s="22">
        <v>34</v>
      </c>
      <c r="H6" s="22">
        <v>62978</v>
      </c>
      <c r="I6" s="22" t="s">
        <v>91</v>
      </c>
      <c r="J6" s="22">
        <v>63068</v>
      </c>
      <c r="K6" s="21" t="s">
        <v>55</v>
      </c>
      <c r="L6" s="21" t="str">
        <f>VLOOKUP(C6,'Trips&amp;Operators'!$C$2:$E$10000,3,FALSE)</f>
        <v>BONDS</v>
      </c>
      <c r="M6" s="20" t="s">
        <v>67</v>
      </c>
      <c r="N6" s="21" t="s">
        <v>277</v>
      </c>
      <c r="P6" s="79" t="str">
        <f>VLOOKUP(C6,'Train Runs'!$A$3:$T$245,20,0)</f>
        <v>https://search-rtdc-monitor-bjffxe2xuh6vdkpspy63sjmuny.us-east-1.es.amazonaws.com/_plugin/kibana/#/discover/Steve-Slow-Train-Analysis-(2080s-and-2083s)?_g=(refreshInterval:(display:Off,section:0,value:0),time:(from:'2016-06-15 13:07:44-0600',mode:absolute,to:'2016-06-15 13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6" s="19" t="str">
        <f t="shared" si="0"/>
        <v>4025</v>
      </c>
    </row>
    <row r="7" spans="1:17" s="2" customFormat="1" x14ac:dyDescent="0.25">
      <c r="A7" s="23">
        <v>42536.634328703702</v>
      </c>
      <c r="B7" s="22" t="s">
        <v>278</v>
      </c>
      <c r="C7" s="22" t="s">
        <v>387</v>
      </c>
      <c r="D7" s="22" t="s">
        <v>52</v>
      </c>
      <c r="E7" s="22" t="s">
        <v>90</v>
      </c>
      <c r="F7" s="22">
        <v>0</v>
      </c>
      <c r="G7" s="22">
        <v>387</v>
      </c>
      <c r="H7" s="22">
        <v>60799</v>
      </c>
      <c r="I7" s="22" t="s">
        <v>91</v>
      </c>
      <c r="J7" s="22">
        <v>63068</v>
      </c>
      <c r="K7" s="21" t="s">
        <v>55</v>
      </c>
      <c r="L7" s="21" t="str">
        <f>VLOOKUP(C7,'Trips&amp;Operators'!$C$2:$E$10000,3,FALSE)</f>
        <v>BONDS</v>
      </c>
      <c r="M7" s="20" t="s">
        <v>67</v>
      </c>
      <c r="N7" s="21" t="s">
        <v>277</v>
      </c>
      <c r="P7" s="79" t="str">
        <f>VLOOKUP(C7,'Train Runs'!$A$3:$T$245,20,0)</f>
        <v>https://search-rtdc-monitor-bjffxe2xuh6vdkpspy63sjmuny.us-east-1.es.amazonaws.com/_plugin/kibana/#/discover/Steve-Slow-Train-Analysis-(2080s-and-2083s)?_g=(refreshInterval:(display:Off,section:0,value:0),time:(from:'2016-06-15 14:54:03-0600',mode:absolute,to:'2016-06-15 15:39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7" s="19" t="str">
        <f t="shared" si="0"/>
        <v>4025</v>
      </c>
    </row>
    <row r="8" spans="1:17" s="2" customFormat="1" x14ac:dyDescent="0.25">
      <c r="A8" s="23">
        <v>42536.664907407408</v>
      </c>
      <c r="B8" s="22" t="s">
        <v>176</v>
      </c>
      <c r="C8" s="22" t="s">
        <v>418</v>
      </c>
      <c r="D8" s="22" t="s">
        <v>52</v>
      </c>
      <c r="E8" s="22" t="s">
        <v>90</v>
      </c>
      <c r="F8" s="22">
        <v>150</v>
      </c>
      <c r="G8" s="22">
        <v>439</v>
      </c>
      <c r="H8" s="22">
        <v>60542</v>
      </c>
      <c r="I8" s="22" t="s">
        <v>91</v>
      </c>
      <c r="J8" s="22">
        <v>63068</v>
      </c>
      <c r="K8" s="21" t="s">
        <v>55</v>
      </c>
      <c r="L8" s="21" t="str">
        <f>VLOOKUP(C8,'Trips&amp;Operators'!$C$2:$E$10000,3,FALSE)</f>
        <v>BRABO</v>
      </c>
      <c r="M8" s="20" t="s">
        <v>67</v>
      </c>
      <c r="N8" s="21"/>
      <c r="P8" s="79" t="str">
        <f>VLOOKUP(C8,'Train Runs'!$A$3:$T$245,20,0)</f>
        <v>https://search-rtdc-monitor-bjffxe2xuh6vdkpspy63sjmuny.us-east-1.es.amazonaws.com/_plugin/kibana/#/discover/Steve-Slow-Train-Analysis-(2080s-and-2083s)?_g=(refreshInterval:(display:Off,section:0,value:0),time:(from:'2016-06-15 15:26:21-0600',mode:absolute,to:'2016-06-15 16:05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8" s="19" t="str">
        <f t="shared" si="0"/>
        <v>4029</v>
      </c>
    </row>
    <row r="9" spans="1:17" s="2" customFormat="1" x14ac:dyDescent="0.25">
      <c r="A9" s="23">
        <v>42536.951655092591</v>
      </c>
      <c r="B9" s="22" t="s">
        <v>357</v>
      </c>
      <c r="C9" s="22" t="s">
        <v>464</v>
      </c>
      <c r="D9" s="22" t="s">
        <v>52</v>
      </c>
      <c r="E9" s="22" t="s">
        <v>90</v>
      </c>
      <c r="F9" s="22">
        <v>0</v>
      </c>
      <c r="G9" s="22">
        <v>75</v>
      </c>
      <c r="H9" s="22">
        <v>62705</v>
      </c>
      <c r="I9" s="22" t="s">
        <v>91</v>
      </c>
      <c r="J9" s="22">
        <v>63068</v>
      </c>
      <c r="K9" s="21" t="s">
        <v>55</v>
      </c>
      <c r="L9" s="21" t="str">
        <f>VLOOKUP(C9,'Trips&amp;Operators'!$C$2:$E$10000,3,FALSE)</f>
        <v>STRICKLAND</v>
      </c>
      <c r="M9" s="20" t="s">
        <v>67</v>
      </c>
      <c r="N9" s="21" t="s">
        <v>277</v>
      </c>
      <c r="P9" s="79" t="str">
        <f>VLOOKUP(C9,'Train Runs'!$A$3:$T$245,20,0)</f>
        <v>https://search-rtdc-monitor-bjffxe2xuh6vdkpspy63sjmuny.us-east-1.es.amazonaws.com/_plugin/kibana/#/discover/Steve-Slow-Train-Analysis-(2080s-and-2083s)?_g=(refreshInterval:(display:Off,section:0,value:0),time:(from:'2016-06-15 22:28:14-0600',mode:absolute,to:'2016-06-15 23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9" s="19" t="str">
        <f t="shared" si="0"/>
        <v>4011</v>
      </c>
    </row>
    <row r="10" spans="1:17" s="2" customFormat="1" x14ac:dyDescent="0.25">
      <c r="A10" s="23">
        <v>42536.995520833334</v>
      </c>
      <c r="B10" s="22" t="s">
        <v>433</v>
      </c>
      <c r="C10" s="22" t="s">
        <v>466</v>
      </c>
      <c r="D10" s="22" t="s">
        <v>52</v>
      </c>
      <c r="E10" s="22" t="s">
        <v>90</v>
      </c>
      <c r="F10" s="22">
        <v>0</v>
      </c>
      <c r="G10" s="22">
        <v>33</v>
      </c>
      <c r="H10" s="22">
        <v>63424</v>
      </c>
      <c r="I10" s="22" t="s">
        <v>91</v>
      </c>
      <c r="J10" s="22">
        <v>63309</v>
      </c>
      <c r="K10" s="21" t="s">
        <v>56</v>
      </c>
      <c r="L10" s="21" t="str">
        <f>VLOOKUP(C10,'Trips&amp;Operators'!$C$2:$E$10000,3,FALSE)</f>
        <v>STRICKLAND</v>
      </c>
      <c r="M10" s="20" t="s">
        <v>67</v>
      </c>
      <c r="N10" s="21" t="s">
        <v>277</v>
      </c>
      <c r="P10" s="79" t="str">
        <f>VLOOKUP(C10,'Train Runs'!$A$3:$T$245,20,0)</f>
        <v>https://search-rtdc-monitor-bjffxe2xuh6vdkpspy63sjmuny.us-east-1.es.amazonaws.com/_plugin/kibana/#/discover/Steve-Slow-Train-Analysis-(2080s-and-2083s)?_g=(refreshInterval:(display:Off,section:0,value:0),time:(from:'2016-06-15 23:23:26-0600',mode:absolute,to:'2016-06-16 00:09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0" s="19" t="str">
        <f t="shared" si="0"/>
        <v>4012</v>
      </c>
    </row>
    <row r="11" spans="1:17" s="2" customFormat="1" x14ac:dyDescent="0.25">
      <c r="A11" s="23">
        <v>42536.243449074071</v>
      </c>
      <c r="B11" s="22" t="s">
        <v>279</v>
      </c>
      <c r="C11" s="22" t="s">
        <v>333</v>
      </c>
      <c r="D11" s="22" t="s">
        <v>52</v>
      </c>
      <c r="E11" s="22" t="s">
        <v>60</v>
      </c>
      <c r="F11" s="22">
        <v>300</v>
      </c>
      <c r="G11" s="22">
        <v>280</v>
      </c>
      <c r="H11" s="22">
        <v>20261</v>
      </c>
      <c r="I11" s="22" t="s">
        <v>61</v>
      </c>
      <c r="J11" s="22">
        <v>20338</v>
      </c>
      <c r="K11" s="21" t="s">
        <v>55</v>
      </c>
      <c r="L11" s="21" t="str">
        <f>VLOOKUP(C11,'Trips&amp;Operators'!$C$2:$E$10000,3,FALSE)</f>
        <v>STARKS</v>
      </c>
      <c r="M11" s="20" t="s">
        <v>67</v>
      </c>
      <c r="N11" s="21"/>
      <c r="P11" s="79" t="str">
        <f>VLOOKUP(C11,'Train Runs'!$A$3:$T$245,20,0)</f>
        <v>https://search-rtdc-monitor-bjffxe2xuh6vdkpspy63sjmuny.us-east-1.es.amazonaws.com/_plugin/kibana/#/discover/Steve-Slow-Train-Analysis-(2080s-and-2083s)?_g=(refreshInterval:(display:Off,section:0,value:0),time:(from:'2016-06-15 05:35:31-0600',mode:absolute,to:'2016-06-15 06:25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11" s="19" t="str">
        <f t="shared" si="0"/>
        <v>4040</v>
      </c>
    </row>
    <row r="12" spans="1:17" s="2" customFormat="1" x14ac:dyDescent="0.25">
      <c r="A12" s="23">
        <v>42536.398912037039</v>
      </c>
      <c r="B12" s="22" t="s">
        <v>108</v>
      </c>
      <c r="C12" s="22" t="s">
        <v>442</v>
      </c>
      <c r="D12" s="22" t="s">
        <v>52</v>
      </c>
      <c r="E12" s="22" t="s">
        <v>60</v>
      </c>
      <c r="F12" s="22">
        <v>150</v>
      </c>
      <c r="G12" s="22">
        <v>197</v>
      </c>
      <c r="H12" s="22">
        <v>231502</v>
      </c>
      <c r="I12" s="22" t="s">
        <v>61</v>
      </c>
      <c r="J12" s="22">
        <v>232080</v>
      </c>
      <c r="K12" s="21" t="s">
        <v>55</v>
      </c>
      <c r="L12" s="21" t="str">
        <f>VLOOKUP(C12,'Trips&amp;Operators'!$C$2:$E$10000,3,FALSE)</f>
        <v>ROCHA</v>
      </c>
      <c r="M12" s="20" t="s">
        <v>67</v>
      </c>
      <c r="N12" s="21"/>
      <c r="P12" s="79" t="str">
        <f>VLOOKUP(C12,'Train Runs'!$A$3:$T$245,20,0)</f>
        <v>https://search-rtdc-monitor-bjffxe2xuh6vdkpspy63sjmuny.us-east-1.es.amazonaws.com/_plugin/kibana/#/discover/Steve-Slow-Train-Analysis-(2080s-and-2083s)?_g=(refreshInterval:(display:Off,section:0,value:0),time:(from:'2016-06-15 08:50:49-0600',mode:absolute,to:'2016-06-15 09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2" s="19" t="str">
        <f t="shared" si="0"/>
        <v>4018</v>
      </c>
    </row>
    <row r="13" spans="1:17" s="2" customFormat="1" x14ac:dyDescent="0.25">
      <c r="A13" s="23">
        <v>42536.452465277776</v>
      </c>
      <c r="B13" s="22" t="s">
        <v>126</v>
      </c>
      <c r="C13" s="22" t="s">
        <v>386</v>
      </c>
      <c r="D13" s="22" t="s">
        <v>52</v>
      </c>
      <c r="E13" s="22" t="s">
        <v>60</v>
      </c>
      <c r="F13" s="22">
        <v>150</v>
      </c>
      <c r="G13" s="22">
        <v>134</v>
      </c>
      <c r="H13" s="22">
        <v>231547</v>
      </c>
      <c r="I13" s="22" t="s">
        <v>61</v>
      </c>
      <c r="J13" s="22">
        <v>232107</v>
      </c>
      <c r="K13" s="21" t="s">
        <v>55</v>
      </c>
      <c r="L13" s="21" t="str">
        <f>VLOOKUP(C13,'Trips&amp;Operators'!$C$2:$E$10000,3,FALSE)</f>
        <v>SANTIZO</v>
      </c>
      <c r="M13" s="20" t="s">
        <v>67</v>
      </c>
      <c r="N13" s="21"/>
      <c r="P13" s="79" t="str">
        <f>VLOOKUP(C13,'Train Runs'!$A$3:$T$245,20,0)</f>
        <v>https://search-rtdc-monitor-bjffxe2xuh6vdkpspy63sjmuny.us-east-1.es.amazonaws.com/_plugin/kibana/#/discover/Steve-Slow-Train-Analysis-(2080s-and-2083s)?_g=(refreshInterval:(display:Off,section:0,value:0),time:(from:'2016-06-15 10:11:06-0600',mode:absolute,to:'2016-06-15 10:54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3" s="19" t="str">
        <f t="shared" si="0"/>
        <v>4024</v>
      </c>
    </row>
    <row r="14" spans="1:17" s="2" customFormat="1" x14ac:dyDescent="0.25">
      <c r="A14" s="23">
        <v>42536.474004629628</v>
      </c>
      <c r="B14" s="22" t="s">
        <v>176</v>
      </c>
      <c r="C14" s="22" t="s">
        <v>425</v>
      </c>
      <c r="D14" s="22" t="s">
        <v>52</v>
      </c>
      <c r="E14" s="22" t="s">
        <v>60</v>
      </c>
      <c r="F14" s="22">
        <v>200</v>
      </c>
      <c r="G14" s="22">
        <v>420</v>
      </c>
      <c r="H14" s="22">
        <v>24993</v>
      </c>
      <c r="I14" s="22" t="s">
        <v>61</v>
      </c>
      <c r="J14" s="22">
        <v>27333</v>
      </c>
      <c r="K14" s="21" t="s">
        <v>55</v>
      </c>
      <c r="L14" s="21" t="str">
        <f>VLOOKUP(C14,'Trips&amp;Operators'!$C$2:$E$10000,3,FALSE)</f>
        <v>BRABO</v>
      </c>
      <c r="M14" s="20" t="s">
        <v>67</v>
      </c>
      <c r="N14" s="21"/>
      <c r="P14" s="79" t="str">
        <f>VLOOKUP(C14,'Train Runs'!$A$3:$T$245,20,0)</f>
        <v>https://search-rtdc-monitor-bjffxe2xuh6vdkpspy63sjmuny.us-east-1.es.amazonaws.com/_plugin/kibana/#/discover/Steve-Slow-Train-Analysis-(2080s-and-2083s)?_g=(refreshInterval:(display:Off,section:0,value:0),time:(from:'2016-06-15 11:11:31-0600',mode:absolute,to:'2016-06-15 11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14" s="19" t="str">
        <f t="shared" si="0"/>
        <v>4029</v>
      </c>
    </row>
    <row r="15" spans="1:17" s="2" customFormat="1" x14ac:dyDescent="0.25">
      <c r="A15" s="23">
        <v>42536.575567129628</v>
      </c>
      <c r="B15" s="22" t="s">
        <v>259</v>
      </c>
      <c r="C15" s="22" t="s">
        <v>395</v>
      </c>
      <c r="D15" s="22" t="s">
        <v>52</v>
      </c>
      <c r="E15" s="22" t="s">
        <v>60</v>
      </c>
      <c r="F15" s="22">
        <v>200</v>
      </c>
      <c r="G15" s="22">
        <v>315</v>
      </c>
      <c r="H15" s="22">
        <v>6589</v>
      </c>
      <c r="I15" s="22" t="s">
        <v>61</v>
      </c>
      <c r="J15" s="22">
        <v>5457</v>
      </c>
      <c r="K15" s="21" t="s">
        <v>56</v>
      </c>
      <c r="L15" s="21" t="str">
        <f>VLOOKUP(C15,'Trips&amp;Operators'!$C$2:$E$10000,3,FALSE)</f>
        <v>STEWART</v>
      </c>
      <c r="M15" s="20" t="s">
        <v>67</v>
      </c>
      <c r="N15" s="21"/>
      <c r="P15" s="79" t="str">
        <f>VLOOKUP(C15,'Train Runs'!$A$3:$T$245,20,0)</f>
        <v>https://search-rtdc-monitor-bjffxe2xuh6vdkpspy63sjmuny.us-east-1.es.amazonaws.com/_plugin/kibana/#/discover/Steve-Slow-Train-Analysis-(2080s-and-2083s)?_g=(refreshInterval:(display:Off,section:0,value:0),time:(from:'2016-06-15 13:06:35-0600',mode:absolute,to:'2016-06-15 13:55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5" s="19" t="str">
        <f t="shared" si="0"/>
        <v>4015</v>
      </c>
    </row>
    <row r="16" spans="1:17" s="2" customFormat="1" x14ac:dyDescent="0.25">
      <c r="A16" s="23">
        <v>42536.576168981483</v>
      </c>
      <c r="B16" s="22" t="s">
        <v>259</v>
      </c>
      <c r="C16" s="22" t="s">
        <v>395</v>
      </c>
      <c r="D16" s="22" t="s">
        <v>52</v>
      </c>
      <c r="E16" s="22" t="s">
        <v>60</v>
      </c>
      <c r="F16" s="22">
        <v>150</v>
      </c>
      <c r="G16" s="22">
        <v>191</v>
      </c>
      <c r="H16" s="22">
        <v>5474</v>
      </c>
      <c r="I16" s="22" t="s">
        <v>61</v>
      </c>
      <c r="J16" s="22">
        <v>4677</v>
      </c>
      <c r="K16" s="21" t="s">
        <v>56</v>
      </c>
      <c r="L16" s="21" t="str">
        <f>VLOOKUP(C16,'Trips&amp;Operators'!$C$2:$E$10000,3,FALSE)</f>
        <v>STEWART</v>
      </c>
      <c r="M16" s="20" t="s">
        <v>67</v>
      </c>
      <c r="N16" s="21"/>
      <c r="P16" s="79" t="str">
        <f>VLOOKUP(C16,'Train Runs'!$A$3:$T$245,20,0)</f>
        <v>https://search-rtdc-monitor-bjffxe2xuh6vdkpspy63sjmuny.us-east-1.es.amazonaws.com/_plugin/kibana/#/discover/Steve-Slow-Train-Analysis-(2080s-and-2083s)?_g=(refreshInterval:(display:Off,section:0,value:0),time:(from:'2016-06-15 13:06:35-0600',mode:absolute,to:'2016-06-15 13:55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6" s="19" t="str">
        <f t="shared" si="0"/>
        <v>4015</v>
      </c>
    </row>
    <row r="17" spans="1:17" s="2" customFormat="1" x14ac:dyDescent="0.25">
      <c r="A17" s="23">
        <v>42536.576701388891</v>
      </c>
      <c r="B17" s="22" t="s">
        <v>259</v>
      </c>
      <c r="C17" s="22" t="s">
        <v>395</v>
      </c>
      <c r="D17" s="22" t="s">
        <v>52</v>
      </c>
      <c r="E17" s="22" t="s">
        <v>60</v>
      </c>
      <c r="F17" s="22">
        <v>150</v>
      </c>
      <c r="G17" s="22">
        <v>144</v>
      </c>
      <c r="H17" s="22">
        <v>4888</v>
      </c>
      <c r="I17" s="22" t="s">
        <v>61</v>
      </c>
      <c r="J17" s="22">
        <v>4677</v>
      </c>
      <c r="K17" s="21" t="s">
        <v>56</v>
      </c>
      <c r="L17" s="21" t="str">
        <f>VLOOKUP(C17,'Trips&amp;Operators'!$C$2:$E$10000,3,FALSE)</f>
        <v>STEWART</v>
      </c>
      <c r="M17" s="20" t="s">
        <v>67</v>
      </c>
      <c r="N17" s="21"/>
      <c r="P17" s="79" t="str">
        <f>VLOOKUP(C17,'Train Runs'!$A$3:$T$245,20,0)</f>
        <v>https://search-rtdc-monitor-bjffxe2xuh6vdkpspy63sjmuny.us-east-1.es.amazonaws.com/_plugin/kibana/#/discover/Steve-Slow-Train-Analysis-(2080s-and-2083s)?_g=(refreshInterval:(display:Off,section:0,value:0),time:(from:'2016-06-15 13:06:35-0600',mode:absolute,to:'2016-06-15 13:55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17" s="19" t="str">
        <f t="shared" si="0"/>
        <v>4015</v>
      </c>
    </row>
    <row r="18" spans="1:17" s="2" customFormat="1" x14ac:dyDescent="0.25">
      <c r="A18" s="23">
        <v>42536.605347222219</v>
      </c>
      <c r="B18" s="22" t="s">
        <v>102</v>
      </c>
      <c r="C18" s="22" t="s">
        <v>431</v>
      </c>
      <c r="D18" s="22" t="s">
        <v>52</v>
      </c>
      <c r="E18" s="22" t="s">
        <v>60</v>
      </c>
      <c r="F18" s="22">
        <v>750</v>
      </c>
      <c r="G18" s="22">
        <v>792</v>
      </c>
      <c r="H18" s="22">
        <v>200777</v>
      </c>
      <c r="I18" s="22" t="s">
        <v>61</v>
      </c>
      <c r="J18" s="22">
        <v>200464</v>
      </c>
      <c r="K18" s="21" t="s">
        <v>56</v>
      </c>
      <c r="L18" s="21" t="str">
        <f>VLOOKUP(C18,'Trips&amp;Operators'!$C$2:$E$10000,3,FALSE)</f>
        <v>MAYBERRY</v>
      </c>
      <c r="M18" s="20" t="s">
        <v>67</v>
      </c>
      <c r="N18" s="21"/>
      <c r="P18" s="79" t="str">
        <f>VLOOKUP(C18,'Train Runs'!$A$3:$T$245,20,0)</f>
        <v>https://search-rtdc-monitor-bjffxe2xuh6vdkpspy63sjmuny.us-east-1.es.amazonaws.com/_plugin/kibana/#/discover/Steve-Slow-Train-Analysis-(2080s-and-2083s)?_g=(refreshInterval:(display:Off,section:0,value:0),time:(from:'2016-06-15 14:19:17-0600',mode:absolute,to:'2016-06-15 15:10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8" s="19" t="str">
        <f t="shared" si="0"/>
        <v>4019</v>
      </c>
    </row>
    <row r="19" spans="1:17" s="19" customFormat="1" x14ac:dyDescent="0.25">
      <c r="A19" s="23">
        <v>42536.649756944447</v>
      </c>
      <c r="B19" s="22" t="s">
        <v>283</v>
      </c>
      <c r="C19" s="22" t="s">
        <v>447</v>
      </c>
      <c r="D19" s="22" t="s">
        <v>57</v>
      </c>
      <c r="E19" s="22" t="s">
        <v>60</v>
      </c>
      <c r="F19" s="22">
        <v>700</v>
      </c>
      <c r="G19" s="22">
        <v>752</v>
      </c>
      <c r="H19" s="22">
        <v>180049</v>
      </c>
      <c r="I19" s="22" t="s">
        <v>61</v>
      </c>
      <c r="J19" s="22">
        <v>183829</v>
      </c>
      <c r="K19" s="21" t="s">
        <v>56</v>
      </c>
      <c r="L19" s="21" t="str">
        <f>VLOOKUP(C19,'Trips&amp;Operators'!$C$2:$E$10000,3,FALSE)</f>
        <v>BEAM</v>
      </c>
      <c r="M19" s="20" t="s">
        <v>67</v>
      </c>
      <c r="N19" s="21"/>
      <c r="P19" s="79" t="str">
        <f>VLOOKUP(C19,'Train Runs'!$A$3:$T$245,20,0)</f>
        <v>https://search-rtdc-monitor-bjffxe2xuh6vdkpspy63sjmuny.us-east-1.es.amazonaws.com/_plugin/kibana/#/discover/Steve-Slow-Train-Analysis-(2080s-and-2083s)?_g=(refreshInterval:(display:Off,section:0,value:0),time:(from:'2016-06-15 15:21:00-0600',mode:absolute,to:'2016-06-15 16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19" s="19" t="str">
        <f t="shared" ref="Q19" si="1">MID(B19,13,4)</f>
        <v>4039</v>
      </c>
    </row>
    <row r="20" spans="1:17" s="19" customFormat="1" x14ac:dyDescent="0.25">
      <c r="A20" s="23">
        <v>42536.905011574076</v>
      </c>
      <c r="B20" s="22" t="s">
        <v>433</v>
      </c>
      <c r="C20" s="22" t="s">
        <v>434</v>
      </c>
      <c r="D20" s="22" t="s">
        <v>57</v>
      </c>
      <c r="E20" s="22" t="s">
        <v>60</v>
      </c>
      <c r="F20" s="22">
        <v>350</v>
      </c>
      <c r="G20" s="22">
        <v>410</v>
      </c>
      <c r="H20" s="22">
        <v>224566</v>
      </c>
      <c r="I20" s="22" t="s">
        <v>61</v>
      </c>
      <c r="J20" s="22">
        <v>232107</v>
      </c>
      <c r="K20" s="21" t="s">
        <v>56</v>
      </c>
      <c r="L20" s="21" t="str">
        <f>VLOOKUP(C20,'Trips&amp;Operators'!$C$2:$E$10000,3,FALSE)</f>
        <v>STRICKLAND</v>
      </c>
      <c r="M20" s="20" t="s">
        <v>67</v>
      </c>
      <c r="N20" s="21"/>
      <c r="P20" s="79" t="str">
        <f>VLOOKUP(C20,'Train Runs'!$A$3:$T$245,20,0)</f>
        <v>https://search-rtdc-monitor-bjffxe2xuh6vdkpspy63sjmuny.us-east-1.es.amazonaws.com/_plugin/kibana/#/discover/Steve-Slow-Train-Analysis-(2080s-and-2083s)?_g=(refreshInterval:(display:Off,section:0,value:0),time:(from:'2016-06-15 21:35:53-0600',mode:absolute,to:'2016-06-15 22:27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0" s="19" t="str">
        <f t="shared" ref="Q20:Q25" si="2">MID(B20,13,4)</f>
        <v>4012</v>
      </c>
    </row>
    <row r="21" spans="1:17" s="19" customFormat="1" x14ac:dyDescent="0.25">
      <c r="A21" s="23">
        <v>42536.154907407406</v>
      </c>
      <c r="B21" s="22" t="s">
        <v>470</v>
      </c>
      <c r="C21" s="22" t="s">
        <v>471</v>
      </c>
      <c r="D21" s="22" t="s">
        <v>52</v>
      </c>
      <c r="E21" s="22" t="s">
        <v>58</v>
      </c>
      <c r="F21" s="22">
        <v>0</v>
      </c>
      <c r="G21" s="22">
        <v>771</v>
      </c>
      <c r="H21" s="22">
        <v>147202</v>
      </c>
      <c r="I21" s="22" t="s">
        <v>59</v>
      </c>
      <c r="J21" s="22">
        <v>149694</v>
      </c>
      <c r="K21" s="21" t="s">
        <v>55</v>
      </c>
      <c r="L21" s="21" t="str">
        <f>VLOOKUP(C21,'Trips&amp;Operators'!$C$1:$E$10000,3,FALSE)</f>
        <v>YORK</v>
      </c>
      <c r="M21" s="20" t="s">
        <v>78</v>
      </c>
      <c r="N21" s="21" t="s">
        <v>276</v>
      </c>
      <c r="P21" s="79" t="str">
        <f>VLOOKUP(C21,'Train Runs'!$A$3:$T$245,20,0)</f>
        <v>https://search-rtdc-monitor-bjffxe2xuh6vdkpspy63sjmuny.us-east-1.es.amazonaws.com/_plugin/kibana/#/discover/Steve-Slow-Train-Analysis-(2080s-and-2083s)?_g=(refreshInterval:(display:Off,section:0,value:0),time:(from:'2016-06-15 02:52:55-0600',mode:absolute,to:'2016-06-15 03:58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4002%22')),sort:!(Time,asc))</v>
      </c>
      <c r="Q21" s="19" t="str">
        <f t="shared" si="2"/>
        <v>4002</v>
      </c>
    </row>
    <row r="22" spans="1:17" s="19" customFormat="1" x14ac:dyDescent="0.25">
      <c r="A22" s="23">
        <v>42536.36141203704</v>
      </c>
      <c r="B22" s="22" t="s">
        <v>103</v>
      </c>
      <c r="C22" s="22" t="s">
        <v>377</v>
      </c>
      <c r="D22" s="22" t="s">
        <v>52</v>
      </c>
      <c r="E22" s="22" t="s">
        <v>58</v>
      </c>
      <c r="F22" s="22">
        <v>0</v>
      </c>
      <c r="G22" s="22">
        <v>804</v>
      </c>
      <c r="H22" s="22">
        <v>140564</v>
      </c>
      <c r="I22" s="22" t="s">
        <v>59</v>
      </c>
      <c r="J22" s="22">
        <v>144300</v>
      </c>
      <c r="K22" s="21" t="s">
        <v>55</v>
      </c>
      <c r="L22" s="21" t="str">
        <f>VLOOKUP(C22,'Trips&amp;Operators'!$C$2:$E$10000,3,FALSE)</f>
        <v>ACKERMAN</v>
      </c>
      <c r="M22" s="20" t="s">
        <v>78</v>
      </c>
      <c r="N22" s="21" t="s">
        <v>276</v>
      </c>
      <c r="P22" s="79" t="str">
        <f>VLOOKUP(C22,'Train Runs'!$A$3:$T$245,20,0)</f>
        <v>https://search-rtdc-monitor-bjffxe2xuh6vdkpspy63sjmuny.us-east-1.es.amazonaws.com/_plugin/kibana/#/discover/Steve-Slow-Train-Analysis-(2080s-and-2083s)?_g=(refreshInterval:(display:Off,section:0,value:0),time:(from:'2016-06-15 08:06:00-0600',mode:absolute,to:'2016-06-15 08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22" s="19" t="str">
        <f t="shared" si="2"/>
        <v>4020</v>
      </c>
    </row>
    <row r="23" spans="1:17" s="19" customFormat="1" x14ac:dyDescent="0.25">
      <c r="A23" s="23">
        <v>42536.511122685188</v>
      </c>
      <c r="B23" s="22" t="s">
        <v>132</v>
      </c>
      <c r="C23" s="22" t="s">
        <v>344</v>
      </c>
      <c r="D23" s="22" t="s">
        <v>52</v>
      </c>
      <c r="E23" s="22" t="s">
        <v>58</v>
      </c>
      <c r="F23" s="22">
        <v>0</v>
      </c>
      <c r="G23" s="22">
        <v>687</v>
      </c>
      <c r="H23" s="22">
        <v>198333</v>
      </c>
      <c r="I23" s="22" t="s">
        <v>59</v>
      </c>
      <c r="J23" s="22">
        <v>191723</v>
      </c>
      <c r="K23" s="21" t="s">
        <v>56</v>
      </c>
      <c r="L23" s="21" t="str">
        <f>VLOOKUP(C23,'Trips&amp;Operators'!$C$2:$E$10000,3,FALSE)</f>
        <v>BRABO</v>
      </c>
      <c r="M23" s="20" t="s">
        <v>78</v>
      </c>
      <c r="N23" s="21" t="s">
        <v>276</v>
      </c>
      <c r="P23" s="79" t="str">
        <f>VLOOKUP(C23,'Train Runs'!$A$3:$T$245,20,0)</f>
        <v>https://search-rtdc-monitor-bjffxe2xuh6vdkpspy63sjmuny.us-east-1.es.amazonaws.com/_plugin/kibana/#/discover/Steve-Slow-Train-Analysis-(2080s-and-2083s)?_g=(refreshInterval:(display:Off,section:0,value:0),time:(from:'2016-06-15 12:00:10-0600',mode:absolute,to:'2016-06-15 12:50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3" s="19" t="str">
        <f t="shared" si="2"/>
        <v>4030</v>
      </c>
    </row>
    <row r="24" spans="1:17" s="19" customFormat="1" x14ac:dyDescent="0.25">
      <c r="A24" s="23">
        <v>42536.981458333335</v>
      </c>
      <c r="B24" s="22" t="s">
        <v>433</v>
      </c>
      <c r="C24" s="22" t="s">
        <v>466</v>
      </c>
      <c r="D24" s="22" t="s">
        <v>52</v>
      </c>
      <c r="E24" s="22" t="s">
        <v>58</v>
      </c>
      <c r="F24" s="22">
        <v>0</v>
      </c>
      <c r="G24" s="22">
        <v>566</v>
      </c>
      <c r="H24" s="22">
        <v>185550</v>
      </c>
      <c r="I24" s="22" t="s">
        <v>59</v>
      </c>
      <c r="J24" s="22">
        <v>182920</v>
      </c>
      <c r="K24" s="21" t="s">
        <v>56</v>
      </c>
      <c r="L24" s="21" t="str">
        <f>VLOOKUP(C24,'Trips&amp;Operators'!$C$2:$E$10000,3,FALSE)</f>
        <v>STRICKLAND</v>
      </c>
      <c r="M24" s="20" t="s">
        <v>78</v>
      </c>
      <c r="N24" s="21" t="s">
        <v>276</v>
      </c>
      <c r="P24" s="79" t="str">
        <f>VLOOKUP(C24,'Train Runs'!$A$3:$T$245,20,0)</f>
        <v>https://search-rtdc-monitor-bjffxe2xuh6vdkpspy63sjmuny.us-east-1.es.amazonaws.com/_plugin/kibana/#/discover/Steve-Slow-Train-Analysis-(2080s-and-2083s)?_g=(refreshInterval:(display:Off,section:0,value:0),time:(from:'2016-06-15 23:23:26-0600',mode:absolute,to:'2016-06-16 00:09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4" s="19" t="str">
        <f t="shared" si="2"/>
        <v>4012</v>
      </c>
    </row>
    <row r="25" spans="1:17" s="19" customFormat="1" x14ac:dyDescent="0.25">
      <c r="A25" s="23">
        <v>42536.732893518521</v>
      </c>
      <c r="B25" s="22" t="s">
        <v>260</v>
      </c>
      <c r="C25" s="22" t="s">
        <v>459</v>
      </c>
      <c r="D25" s="22" t="s">
        <v>57</v>
      </c>
      <c r="E25" s="22" t="s">
        <v>58</v>
      </c>
      <c r="F25" s="22">
        <v>0</v>
      </c>
      <c r="G25" s="22">
        <v>94</v>
      </c>
      <c r="H25" s="22">
        <v>1917</v>
      </c>
      <c r="I25" s="22" t="s">
        <v>59</v>
      </c>
      <c r="J25" s="22">
        <v>1692</v>
      </c>
      <c r="K25" s="21" t="s">
        <v>55</v>
      </c>
      <c r="L25" s="21" t="str">
        <f>VLOOKUP(C25,'Trips&amp;Operators'!$C$2:$E$10000,3,FALSE)</f>
        <v>STORY</v>
      </c>
      <c r="M25" s="20" t="s">
        <v>67</v>
      </c>
      <c r="N25" s="21" t="s">
        <v>568</v>
      </c>
      <c r="P25" s="79" t="str">
        <f>VLOOKUP(C25,'Train Runs'!$A$3:$T$245,20,0)</f>
        <v>https://search-rtdc-monitor-bjffxe2xuh6vdkpspy63sjmuny.us-east-1.es.amazonaws.com/_plugin/kibana/#/discover/Steve-Slow-Train-Analysis-(2080s-and-2083s)?_g=(refreshInterval:(display:Off,section:0,value:0),time:(from:'2016-06-15 17:16:55-0600',mode:absolute,to:'2016-06-15 17:37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25" s="19" t="str">
        <f t="shared" si="2"/>
        <v>4016</v>
      </c>
    </row>
    <row r="26" spans="1:17" s="19" customFormat="1" x14ac:dyDescent="0.25">
      <c r="A26" s="23">
        <v>42536.875358796293</v>
      </c>
      <c r="B26" s="22" t="s">
        <v>357</v>
      </c>
      <c r="C26" s="22" t="s">
        <v>410</v>
      </c>
      <c r="D26" s="22" t="s">
        <v>52</v>
      </c>
      <c r="E26" s="22" t="s">
        <v>58</v>
      </c>
      <c r="F26" s="22">
        <v>0</v>
      </c>
      <c r="G26" s="22">
        <v>94</v>
      </c>
      <c r="H26" s="22">
        <v>50306</v>
      </c>
      <c r="I26" s="22" t="s">
        <v>59</v>
      </c>
      <c r="J26" s="22">
        <v>50746</v>
      </c>
      <c r="K26" s="21" t="s">
        <v>55</v>
      </c>
      <c r="L26" s="21" t="str">
        <f>VLOOKUP(C26,'Trips&amp;Operators'!$C$2:$E$10000,3,FALSE)</f>
        <v>STRICKLAND</v>
      </c>
      <c r="M26" s="20" t="s">
        <v>67</v>
      </c>
      <c r="N26" s="21" t="s">
        <v>567</v>
      </c>
      <c r="P26" s="79" t="str">
        <f>VLOOKUP(C26,'Train Runs'!$A$3:$T$245,20,0)</f>
        <v>https://search-rtdc-monitor-bjffxe2xuh6vdkpspy63sjmuny.us-east-1.es.amazonaws.com/_plugin/kibana/#/discover/Steve-Slow-Train-Analysis-(2080s-and-2083s)?_g=(refreshInterval:(display:Off,section:0,value:0),time:(from:'2016-06-15 20:37:34-0600',mode:absolute,to:'2016-06-15 21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26" s="19" t="str">
        <f t="shared" ref="Q26:Q57" si="3">MID(B26,13,4)</f>
        <v>4011</v>
      </c>
    </row>
    <row r="27" spans="1:17" s="19" customFormat="1" x14ac:dyDescent="0.25">
      <c r="A27" s="23">
        <v>42536.668981481482</v>
      </c>
      <c r="B27" s="22" t="s">
        <v>176</v>
      </c>
      <c r="C27" s="22" t="s">
        <v>418</v>
      </c>
      <c r="D27" s="22" t="s">
        <v>52</v>
      </c>
      <c r="E27" s="22" t="s">
        <v>58</v>
      </c>
      <c r="F27" s="22">
        <v>0</v>
      </c>
      <c r="G27" s="22">
        <v>89</v>
      </c>
      <c r="H27" s="22">
        <v>81408</v>
      </c>
      <c r="I27" s="22" t="s">
        <v>59</v>
      </c>
      <c r="J27" s="22">
        <v>81738</v>
      </c>
      <c r="K27" s="21" t="s">
        <v>55</v>
      </c>
      <c r="L27" s="21" t="str">
        <f>VLOOKUP(C27,'Trips&amp;Operators'!$C$2:$E$10000,3,FALSE)</f>
        <v>BRABO</v>
      </c>
      <c r="M27" s="20" t="s">
        <v>78</v>
      </c>
      <c r="N27" s="21" t="s">
        <v>276</v>
      </c>
      <c r="P27" s="79" t="str">
        <f>VLOOKUP(C27,'Train Runs'!$A$3:$T$245,20,0)</f>
        <v>https://search-rtdc-monitor-bjffxe2xuh6vdkpspy63sjmuny.us-east-1.es.amazonaws.com/_plugin/kibana/#/discover/Steve-Slow-Train-Analysis-(2080s-and-2083s)?_g=(refreshInterval:(display:Off,section:0,value:0),time:(from:'2016-06-15 15:26:21-0600',mode:absolute,to:'2016-06-15 16:05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27" s="19" t="str">
        <f t="shared" si="3"/>
        <v>4029</v>
      </c>
    </row>
    <row r="28" spans="1:17" s="19" customFormat="1" x14ac:dyDescent="0.25">
      <c r="A28" s="23">
        <v>42536.65421296296</v>
      </c>
      <c r="B28" s="22" t="s">
        <v>283</v>
      </c>
      <c r="C28" s="22" t="s">
        <v>447</v>
      </c>
      <c r="D28" s="22" t="s">
        <v>52</v>
      </c>
      <c r="E28" s="22" t="s">
        <v>58</v>
      </c>
      <c r="F28" s="22">
        <v>0</v>
      </c>
      <c r="G28" s="22">
        <v>387</v>
      </c>
      <c r="H28" s="22">
        <v>128945</v>
      </c>
      <c r="I28" s="22" t="s">
        <v>59</v>
      </c>
      <c r="J28" s="22">
        <v>127587</v>
      </c>
      <c r="K28" s="21" t="s">
        <v>56</v>
      </c>
      <c r="L28" s="21" t="str">
        <f>VLOOKUP(C28,'Trips&amp;Operators'!$C$2:$E$10000,3,FALSE)</f>
        <v>BEAM</v>
      </c>
      <c r="M28" s="20" t="s">
        <v>67</v>
      </c>
      <c r="N28" s="21" t="s">
        <v>330</v>
      </c>
      <c r="P28" s="79" t="str">
        <f>VLOOKUP(C28,'Train Runs'!$A$3:$T$245,20,0)</f>
        <v>https://search-rtdc-monitor-bjffxe2xuh6vdkpspy63sjmuny.us-east-1.es.amazonaws.com/_plugin/kibana/#/discover/Steve-Slow-Train-Analysis-(2080s-and-2083s)?_g=(refreshInterval:(display:Off,section:0,value:0),time:(from:'2016-06-15 15:21:00-0600',mode:absolute,to:'2016-06-15 16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8" s="19" t="str">
        <f t="shared" si="3"/>
        <v>4039</v>
      </c>
    </row>
    <row r="29" spans="1:17" s="19" customFormat="1" x14ac:dyDescent="0.25">
      <c r="A29" s="23">
        <v>42536.716122685182</v>
      </c>
      <c r="B29" s="22" t="s">
        <v>110</v>
      </c>
      <c r="C29" s="22" t="s">
        <v>399</v>
      </c>
      <c r="D29" s="22" t="s">
        <v>52</v>
      </c>
      <c r="E29" s="22" t="s">
        <v>58</v>
      </c>
      <c r="F29" s="22">
        <v>0</v>
      </c>
      <c r="G29" s="22">
        <v>65</v>
      </c>
      <c r="H29" s="22">
        <v>127787</v>
      </c>
      <c r="I29" s="22" t="s">
        <v>59</v>
      </c>
      <c r="J29" s="22">
        <v>127587</v>
      </c>
      <c r="K29" s="21" t="s">
        <v>56</v>
      </c>
      <c r="L29" s="21" t="str">
        <f>VLOOKUP(C29,'Trips&amp;Operators'!$C$2:$E$10000,3,FALSE)</f>
        <v>RIVERA</v>
      </c>
      <c r="M29" s="20" t="s">
        <v>67</v>
      </c>
      <c r="N29" s="21" t="s">
        <v>567</v>
      </c>
      <c r="P29" s="79" t="str">
        <f>VLOOKUP(C29,'Train Runs'!$A$3:$T$245,20,0)</f>
        <v>https://search-rtdc-monitor-bjffxe2xuh6vdkpspy63sjmuny.us-east-1.es.amazonaws.com/_plugin/kibana/#/discover/Steve-Slow-Train-Analysis-(2080s-and-2083s)?_g=(refreshInterval:(display:Off,section:0,value:0),time:(from:'2016-06-15 16:48:29-0600',mode:absolute,to:'2016-06-15 18:12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9" s="19" t="str">
        <f t="shared" si="3"/>
        <v>4017</v>
      </c>
    </row>
    <row r="30" spans="1:17" s="19" customFormat="1" x14ac:dyDescent="0.25">
      <c r="A30" s="23">
        <v>42536.444722222222</v>
      </c>
      <c r="B30" s="22" t="s">
        <v>126</v>
      </c>
      <c r="C30" s="22" t="s">
        <v>386</v>
      </c>
      <c r="D30" s="22" t="s">
        <v>52</v>
      </c>
      <c r="E30" s="22" t="s">
        <v>58</v>
      </c>
      <c r="F30" s="22">
        <v>0</v>
      </c>
      <c r="G30" s="22">
        <v>789</v>
      </c>
      <c r="H30" s="22">
        <v>142351</v>
      </c>
      <c r="I30" s="22" t="s">
        <v>59</v>
      </c>
      <c r="J30" s="22">
        <v>144300</v>
      </c>
      <c r="K30" s="21" t="s">
        <v>55</v>
      </c>
      <c r="L30" s="21" t="str">
        <f>VLOOKUP(C30,'Trips&amp;Operators'!$C$2:$E$10000,3,FALSE)</f>
        <v>SANTIZO</v>
      </c>
      <c r="M30" s="20" t="s">
        <v>78</v>
      </c>
      <c r="N30" s="21" t="s">
        <v>276</v>
      </c>
      <c r="P30" s="79" t="str">
        <f>VLOOKUP(C30,'Train Runs'!$A$3:$T$245,20,0)</f>
        <v>https://search-rtdc-monitor-bjffxe2xuh6vdkpspy63sjmuny.us-east-1.es.amazonaws.com/_plugin/kibana/#/discover/Steve-Slow-Train-Analysis-(2080s-and-2083s)?_g=(refreshInterval:(display:Off,section:0,value:0),time:(from:'2016-06-15 10:11:06-0600',mode:absolute,to:'2016-06-15 10:54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30" s="19" t="str">
        <f t="shared" si="3"/>
        <v>4024</v>
      </c>
    </row>
    <row r="31" spans="1:17" s="19" customFormat="1" x14ac:dyDescent="0.25">
      <c r="A31" s="23">
        <v>42536.685497685183</v>
      </c>
      <c r="B31" s="22" t="s">
        <v>108</v>
      </c>
      <c r="C31" s="22" t="s">
        <v>345</v>
      </c>
      <c r="D31" s="22" t="s">
        <v>52</v>
      </c>
      <c r="E31" s="22" t="s">
        <v>58</v>
      </c>
      <c r="F31" s="22">
        <v>0</v>
      </c>
      <c r="G31" s="22">
        <v>701</v>
      </c>
      <c r="H31" s="22">
        <v>148288</v>
      </c>
      <c r="I31" s="22" t="s">
        <v>59</v>
      </c>
      <c r="J31" s="22">
        <v>155600</v>
      </c>
      <c r="K31" s="21" t="s">
        <v>55</v>
      </c>
      <c r="L31" s="21" t="str">
        <f>VLOOKUP(C31,'Trips&amp;Operators'!$C$2:$E$10000,3,FALSE)</f>
        <v>RIVERA</v>
      </c>
      <c r="M31" s="20" t="s">
        <v>67</v>
      </c>
      <c r="N31" s="21" t="s">
        <v>330</v>
      </c>
      <c r="P31" s="79" t="str">
        <f>VLOOKUP(C31,'Train Runs'!$A$3:$T$245,20,0)</f>
        <v>https://search-rtdc-monitor-bjffxe2xuh6vdkpspy63sjmuny.us-east-1.es.amazonaws.com/_plugin/kibana/#/discover/Steve-Slow-Train-Analysis-(2080s-and-2083s)?_g=(refreshInterval:(display:Off,section:0,value:0),time:(from:'2016-06-15 15:57:34-0600',mode:absolute,to:'2016-06-15 16:40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1" s="19" t="str">
        <f t="shared" si="3"/>
        <v>4018</v>
      </c>
    </row>
    <row r="32" spans="1:17" s="19" customFormat="1" x14ac:dyDescent="0.25">
      <c r="A32" s="23">
        <v>42536.232835648145</v>
      </c>
      <c r="B32" s="22" t="s">
        <v>126</v>
      </c>
      <c r="C32" s="22" t="s">
        <v>353</v>
      </c>
      <c r="D32" s="22" t="s">
        <v>52</v>
      </c>
      <c r="E32" s="22" t="s">
        <v>53</v>
      </c>
      <c r="F32" s="22">
        <v>0</v>
      </c>
      <c r="G32" s="22">
        <v>7</v>
      </c>
      <c r="H32" s="22">
        <v>233332</v>
      </c>
      <c r="I32" s="22" t="s">
        <v>54</v>
      </c>
      <c r="J32" s="22">
        <v>233491</v>
      </c>
      <c r="K32" s="21" t="s">
        <v>55</v>
      </c>
      <c r="L32" s="21" t="str">
        <f>VLOOKUP(C32,'Trips&amp;Operators'!$C$2:$E$10000,3,FALSE)</f>
        <v>BRANNON</v>
      </c>
      <c r="M32" s="20" t="s">
        <v>67</v>
      </c>
      <c r="N32" s="21"/>
      <c r="P32" s="79" t="str">
        <f>VLOOKUP(C32,'Train Runs'!$A$3:$T$245,20,0)</f>
        <v>https://search-rtdc-monitor-bjffxe2xuh6vdkpspy63sjmuny.us-east-1.es.amazonaws.com/_plugin/kibana/#/discover/Steve-Slow-Train-Analysis-(2080s-and-2083s)?_g=(refreshInterval:(display:Off,section:0,value:0),time:(from:'2016-06-15 04:35:54-0600',mode:absolute,to:'2016-06-15 05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32" s="19" t="str">
        <f t="shared" si="3"/>
        <v>4024</v>
      </c>
    </row>
    <row r="33" spans="1:17" s="19" customFormat="1" x14ac:dyDescent="0.25">
      <c r="A33" s="23">
        <v>42536.2424537037</v>
      </c>
      <c r="B33" s="22" t="s">
        <v>132</v>
      </c>
      <c r="C33" s="22" t="s">
        <v>428</v>
      </c>
      <c r="D33" s="22" t="s">
        <v>52</v>
      </c>
      <c r="E33" s="22" t="s">
        <v>53</v>
      </c>
      <c r="F33" s="22">
        <v>0</v>
      </c>
      <c r="G33" s="22">
        <v>60</v>
      </c>
      <c r="H33" s="22">
        <v>211</v>
      </c>
      <c r="I33" s="22" t="s">
        <v>54</v>
      </c>
      <c r="J33" s="22">
        <v>1</v>
      </c>
      <c r="K33" s="21" t="s">
        <v>56</v>
      </c>
      <c r="L33" s="21" t="str">
        <f>VLOOKUP(C33,'Trips&amp;Operators'!$C$2:$E$10000,3,FALSE)</f>
        <v>GEBRETEKLE</v>
      </c>
      <c r="M33" s="20" t="s">
        <v>67</v>
      </c>
      <c r="N33" s="21"/>
      <c r="P33" s="79" t="str">
        <f>VLOOKUP(C33,'Train Runs'!$A$3:$T$245,20,0)</f>
        <v>https://search-rtdc-monitor-bjffxe2xuh6vdkpspy63sjmuny.us-east-1.es.amazonaws.com/_plugin/kibana/#/discover/Steve-Slow-Train-Analysis-(2080s-and-2083s)?_g=(refreshInterval:(display:Off,section:0,value:0),time:(from:'2016-06-15 05:03:34-0600',mode:absolute,to:'2016-06-15 05:50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33" s="19" t="str">
        <f t="shared" si="3"/>
        <v>4030</v>
      </c>
    </row>
    <row r="34" spans="1:17" s="19" customFormat="1" x14ac:dyDescent="0.25">
      <c r="A34" s="23">
        <v>42536.254374999997</v>
      </c>
      <c r="B34" s="22" t="s">
        <v>108</v>
      </c>
      <c r="C34" s="22" t="s">
        <v>465</v>
      </c>
      <c r="D34" s="22" t="s">
        <v>52</v>
      </c>
      <c r="E34" s="22" t="s">
        <v>53</v>
      </c>
      <c r="F34" s="22">
        <v>0</v>
      </c>
      <c r="G34" s="22">
        <v>5</v>
      </c>
      <c r="H34" s="22">
        <v>233330</v>
      </c>
      <c r="I34" s="22" t="s">
        <v>54</v>
      </c>
      <c r="J34" s="22">
        <v>233491</v>
      </c>
      <c r="K34" s="21" t="s">
        <v>55</v>
      </c>
      <c r="L34" s="21" t="str">
        <f>VLOOKUP(C34,'Trips&amp;Operators'!$C$2:$E$10000,3,FALSE)</f>
        <v>ROCHA</v>
      </c>
      <c r="M34" s="20" t="s">
        <v>67</v>
      </c>
      <c r="N34" s="21"/>
      <c r="P34" s="79" t="str">
        <f>VLOOKUP(C34,'Train Runs'!$A$3:$T$245,20,0)</f>
        <v>https://search-rtdc-monitor-bjffxe2xuh6vdkpspy63sjmuny.us-east-1.es.amazonaws.com/_plugin/kibana/#/discover/Steve-Slow-Train-Analysis-(2080s-and-2083s)?_g=(refreshInterval:(display:Off,section:0,value:0),time:(from:'2016-06-15 05:24:17-0600',mode:absolute,to:'2016-06-15 06:07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4" s="19" t="str">
        <f t="shared" si="3"/>
        <v>4018</v>
      </c>
    </row>
    <row r="35" spans="1:17" s="19" customFormat="1" x14ac:dyDescent="0.25">
      <c r="A35" s="23">
        <v>42536.263668981483</v>
      </c>
      <c r="B35" s="22" t="s">
        <v>102</v>
      </c>
      <c r="C35" s="22" t="s">
        <v>367</v>
      </c>
      <c r="D35" s="22" t="s">
        <v>52</v>
      </c>
      <c r="E35" s="22" t="s">
        <v>53</v>
      </c>
      <c r="F35" s="22">
        <v>0</v>
      </c>
      <c r="G35" s="22">
        <v>9</v>
      </c>
      <c r="H35" s="22">
        <v>118</v>
      </c>
      <c r="I35" s="22" t="s">
        <v>54</v>
      </c>
      <c r="J35" s="22">
        <v>1</v>
      </c>
      <c r="K35" s="21" t="s">
        <v>56</v>
      </c>
      <c r="L35" s="21" t="str">
        <f>VLOOKUP(C35,'Trips&amp;Operators'!$C$2:$E$10000,3,FALSE)</f>
        <v>ACKERMAN</v>
      </c>
      <c r="M35" s="20" t="s">
        <v>67</v>
      </c>
      <c r="N35" s="21"/>
      <c r="P35" s="79" t="str">
        <f>VLOOKUP(C35,'Train Runs'!$A$3:$T$245,20,0)</f>
        <v>https://search-rtdc-monitor-bjffxe2xuh6vdkpspy63sjmuny.us-east-1.es.amazonaws.com/_plugin/kibana/#/discover/Steve-Slow-Train-Analysis-(2080s-and-2083s)?_g=(refreshInterval:(display:Off,section:0,value:0),time:(from:'2016-06-15 05:34:06-0600',mode:absolute,to:'2016-06-15 06:20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5" s="19" t="str">
        <f t="shared" si="3"/>
        <v>4019</v>
      </c>
    </row>
    <row r="36" spans="1:17" s="19" customFormat="1" x14ac:dyDescent="0.25">
      <c r="A36" s="23">
        <v>42536.294756944444</v>
      </c>
      <c r="B36" s="22" t="s">
        <v>110</v>
      </c>
      <c r="C36" s="22" t="s">
        <v>371</v>
      </c>
      <c r="D36" s="22" t="s">
        <v>52</v>
      </c>
      <c r="E36" s="22" t="s">
        <v>53</v>
      </c>
      <c r="F36" s="22">
        <v>0</v>
      </c>
      <c r="G36" s="22">
        <v>7</v>
      </c>
      <c r="H36" s="22">
        <v>118</v>
      </c>
      <c r="I36" s="22" t="s">
        <v>54</v>
      </c>
      <c r="J36" s="22">
        <v>1</v>
      </c>
      <c r="K36" s="21" t="s">
        <v>56</v>
      </c>
      <c r="L36" s="21" t="str">
        <f>VLOOKUP(C36,'Trips&amp;Operators'!$C$2:$E$10000,3,FALSE)</f>
        <v>ROCHA</v>
      </c>
      <c r="M36" s="20" t="s">
        <v>67</v>
      </c>
      <c r="N36" s="21"/>
      <c r="P36" s="79" t="str">
        <f>VLOOKUP(C36,'Train Runs'!$A$3:$T$245,20,0)</f>
        <v>https://search-rtdc-monitor-bjffxe2xuh6vdkpspy63sjmuny.us-east-1.es.amazonaws.com/_plugin/kibana/#/discover/Steve-Slow-Train-Analysis-(2080s-and-2083s)?_g=(refreshInterval:(display:Off,section:0,value:0),time:(from:'2016-06-15 06:20:24-0600',mode:absolute,to:'2016-06-15 07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6" s="19" t="str">
        <f t="shared" si="3"/>
        <v>4017</v>
      </c>
    </row>
    <row r="37" spans="1:17" s="19" customFormat="1" x14ac:dyDescent="0.25">
      <c r="A37" s="23">
        <v>42536.335972222223</v>
      </c>
      <c r="B37" s="22" t="s">
        <v>102</v>
      </c>
      <c r="C37" s="22" t="s">
        <v>454</v>
      </c>
      <c r="D37" s="22" t="s">
        <v>52</v>
      </c>
      <c r="E37" s="22" t="s">
        <v>53</v>
      </c>
      <c r="F37" s="22">
        <v>0</v>
      </c>
      <c r="G37" s="22">
        <v>53</v>
      </c>
      <c r="H37" s="22">
        <v>180</v>
      </c>
      <c r="I37" s="22" t="s">
        <v>54</v>
      </c>
      <c r="J37" s="22">
        <v>1</v>
      </c>
      <c r="K37" s="21" t="s">
        <v>56</v>
      </c>
      <c r="L37" s="21" t="str">
        <f>VLOOKUP(C37,'Trips&amp;Operators'!$C$2:$E$10000,3,FALSE)</f>
        <v>ACKERMAN</v>
      </c>
      <c r="M37" s="20" t="s">
        <v>67</v>
      </c>
      <c r="N37" s="21"/>
      <c r="P37" s="79" t="str">
        <f>VLOOKUP(C37,'Train Runs'!$A$3:$T$245,20,0)</f>
        <v>https://search-rtdc-monitor-bjffxe2xuh6vdkpspy63sjmuny.us-east-1.es.amazonaws.com/_plugin/kibana/#/discover/Steve-Slow-Train-Analysis-(2080s-and-2083s)?_g=(refreshInterval:(display:Off,section:0,value:0),time:(from:'2016-06-15 07:16:35-0600',mode:absolute,to:'2016-06-15 08:04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7" s="19" t="str">
        <f t="shared" si="3"/>
        <v>4019</v>
      </c>
    </row>
    <row r="38" spans="1:17" s="19" customFormat="1" x14ac:dyDescent="0.25">
      <c r="A38" s="23">
        <v>42536.345752314817</v>
      </c>
      <c r="B38" s="22" t="s">
        <v>112</v>
      </c>
      <c r="C38" s="22" t="s">
        <v>331</v>
      </c>
      <c r="D38" s="22" t="s">
        <v>52</v>
      </c>
      <c r="E38" s="22" t="s">
        <v>53</v>
      </c>
      <c r="F38" s="22">
        <v>0</v>
      </c>
      <c r="G38" s="22">
        <v>7</v>
      </c>
      <c r="H38" s="22">
        <v>125</v>
      </c>
      <c r="I38" s="22" t="s">
        <v>54</v>
      </c>
      <c r="J38" s="22">
        <v>1</v>
      </c>
      <c r="K38" s="21" t="s">
        <v>56</v>
      </c>
      <c r="L38" s="21" t="str">
        <f>VLOOKUP(C38,'Trips&amp;Operators'!$C$2:$E$10000,3,FALSE)</f>
        <v>BRANNON</v>
      </c>
      <c r="M38" s="20" t="s">
        <v>67</v>
      </c>
      <c r="N38" s="21"/>
      <c r="P38" s="79" t="str">
        <f>VLOOKUP(C38,'Train Runs'!$A$3:$T$245,20,0)</f>
        <v>https://search-rtdc-monitor-bjffxe2xuh6vdkpspy63sjmuny.us-east-1.es.amazonaws.com/_plugin/kibana/#/discover/Steve-Slow-Train-Analysis-(2080s-and-2083s)?_g=(refreshInterval:(display:Off,section:0,value:0),time:(from:'2016-06-15 07:37:12-0600',mode:absolute,to:'2016-06-15 08:19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38" s="19" t="str">
        <f t="shared" si="3"/>
        <v>4023</v>
      </c>
    </row>
    <row r="39" spans="1:17" s="19" customFormat="1" x14ac:dyDescent="0.25">
      <c r="A39" s="23">
        <v>42536.400011574071</v>
      </c>
      <c r="B39" s="22" t="s">
        <v>108</v>
      </c>
      <c r="C39" s="22" t="s">
        <v>442</v>
      </c>
      <c r="D39" s="22" t="s">
        <v>52</v>
      </c>
      <c r="E39" s="22" t="s">
        <v>53</v>
      </c>
      <c r="F39" s="22">
        <v>0</v>
      </c>
      <c r="G39" s="22">
        <v>4</v>
      </c>
      <c r="H39" s="22">
        <v>233309</v>
      </c>
      <c r="I39" s="22" t="s">
        <v>54</v>
      </c>
      <c r="J39" s="22">
        <v>233491</v>
      </c>
      <c r="K39" s="21" t="s">
        <v>55</v>
      </c>
      <c r="L39" s="21" t="str">
        <f>VLOOKUP(C39,'Trips&amp;Operators'!$C$2:$E$10000,3,FALSE)</f>
        <v>ROCHA</v>
      </c>
      <c r="M39" s="20" t="s">
        <v>67</v>
      </c>
      <c r="N39" s="21"/>
      <c r="P39" s="79" t="str">
        <f>VLOOKUP(C39,'Train Runs'!$A$3:$T$245,20,0)</f>
        <v>https://search-rtdc-monitor-bjffxe2xuh6vdkpspy63sjmuny.us-east-1.es.amazonaws.com/_plugin/kibana/#/discover/Steve-Slow-Train-Analysis-(2080s-and-2083s)?_g=(refreshInterval:(display:Off,section:0,value:0),time:(from:'2016-06-15 08:50:49-0600',mode:absolute,to:'2016-06-15 09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9" s="19" t="str">
        <f t="shared" si="3"/>
        <v>4018</v>
      </c>
    </row>
    <row r="40" spans="1:17" s="19" customFormat="1" x14ac:dyDescent="0.25">
      <c r="A40" s="23">
        <v>42536.412187499998</v>
      </c>
      <c r="B40" s="22" t="s">
        <v>279</v>
      </c>
      <c r="C40" s="22" t="s">
        <v>405</v>
      </c>
      <c r="D40" s="22" t="s">
        <v>52</v>
      </c>
      <c r="E40" s="22" t="s">
        <v>53</v>
      </c>
      <c r="F40" s="22">
        <v>0</v>
      </c>
      <c r="G40" s="22">
        <v>6</v>
      </c>
      <c r="H40" s="22">
        <v>233374</v>
      </c>
      <c r="I40" s="22" t="s">
        <v>54</v>
      </c>
      <c r="J40" s="22">
        <v>233491</v>
      </c>
      <c r="K40" s="21" t="s">
        <v>55</v>
      </c>
      <c r="L40" s="21" t="str">
        <f>VLOOKUP(C40,'Trips&amp;Operators'!$C$2:$E$10000,3,FALSE)</f>
        <v>STARKS</v>
      </c>
      <c r="M40" s="20" t="s">
        <v>67</v>
      </c>
      <c r="N40" s="21"/>
      <c r="P40" s="79" t="str">
        <f>VLOOKUP(C40,'Train Runs'!$A$3:$T$245,20,0)</f>
        <v>https://search-rtdc-monitor-bjffxe2xuh6vdkpspy63sjmuny.us-east-1.es.amazonaws.com/_plugin/kibana/#/discover/Steve-Slow-Train-Analysis-(2080s-and-2083s)?_g=(refreshInterval:(display:Off,section:0,value:0),time:(from:'2016-06-15 09:06:39-0600',mode:absolute,to:'2016-06-15 09:54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40" s="19" t="str">
        <f t="shared" si="3"/>
        <v>4040</v>
      </c>
    </row>
    <row r="41" spans="1:17" s="19" customFormat="1" x14ac:dyDescent="0.25">
      <c r="A41" s="23">
        <v>42536.464583333334</v>
      </c>
      <c r="B41" s="22" t="s">
        <v>260</v>
      </c>
      <c r="C41" s="22" t="s">
        <v>346</v>
      </c>
      <c r="D41" s="22" t="s">
        <v>52</v>
      </c>
      <c r="E41" s="22" t="s">
        <v>53</v>
      </c>
      <c r="F41" s="22">
        <v>0</v>
      </c>
      <c r="G41" s="22">
        <v>8</v>
      </c>
      <c r="H41" s="22">
        <v>233305</v>
      </c>
      <c r="I41" s="22" t="s">
        <v>54</v>
      </c>
      <c r="J41" s="22">
        <v>233491</v>
      </c>
      <c r="K41" s="21" t="s">
        <v>55</v>
      </c>
      <c r="L41" s="21" t="str">
        <f>VLOOKUP(C41,'Trips&amp;Operators'!$C$2:$E$10000,3,FALSE)</f>
        <v>BRANNON</v>
      </c>
      <c r="M41" s="20" t="s">
        <v>67</v>
      </c>
      <c r="N41" s="21"/>
      <c r="P41" s="79" t="str">
        <f>VLOOKUP(C41,'Train Runs'!$A$3:$T$245,20,0)</f>
        <v>https://search-rtdc-monitor-bjffxe2xuh6vdkpspy63sjmuny.us-east-1.es.amazonaws.com/_plugin/kibana/#/discover/Steve-Slow-Train-Analysis-(2080s-and-2083s)?_g=(refreshInterval:(display:Off,section:0,value:0),time:(from:'2016-06-15 10:26:40-0600',mode:absolute,to:'2016-06-15 11:10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41" s="19" t="str">
        <f t="shared" si="3"/>
        <v>4016</v>
      </c>
    </row>
    <row r="42" spans="1:17" s="19" customFormat="1" x14ac:dyDescent="0.25">
      <c r="A42" s="23">
        <v>42536.48296296296</v>
      </c>
      <c r="B42" s="22" t="s">
        <v>279</v>
      </c>
      <c r="C42" s="22" t="s">
        <v>446</v>
      </c>
      <c r="D42" s="22" t="s">
        <v>52</v>
      </c>
      <c r="E42" s="22" t="s">
        <v>53</v>
      </c>
      <c r="F42" s="22">
        <v>0</v>
      </c>
      <c r="G42" s="22">
        <v>4</v>
      </c>
      <c r="H42" s="22">
        <v>233322</v>
      </c>
      <c r="I42" s="22" t="s">
        <v>54</v>
      </c>
      <c r="J42" s="22">
        <v>233491</v>
      </c>
      <c r="K42" s="21" t="s">
        <v>55</v>
      </c>
      <c r="L42" s="21" t="str">
        <f>VLOOKUP(C42,'Trips&amp;Operators'!$C$2:$E$10000,3,FALSE)</f>
        <v>ROCHA</v>
      </c>
      <c r="M42" s="20" t="s">
        <v>67</v>
      </c>
      <c r="N42" s="21"/>
      <c r="P42" s="79" t="str">
        <f>VLOOKUP(C42,'Train Runs'!$A$3:$T$245,20,0)</f>
        <v>https://search-rtdc-monitor-bjffxe2xuh6vdkpspy63sjmuny.us-east-1.es.amazonaws.com/_plugin/kibana/#/discover/Steve-Slow-Train-Analysis-(2080s-and-2083s)?_g=(refreshInterval:(display:Off,section:0,value:0),time:(from:'2016-06-15 10:55:45-0600',mode:absolute,to:'2016-06-15 11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42" s="19" t="str">
        <f t="shared" si="3"/>
        <v>4040</v>
      </c>
    </row>
    <row r="43" spans="1:17" s="19" customFormat="1" x14ac:dyDescent="0.25">
      <c r="A43" s="23">
        <v>42536.483171296299</v>
      </c>
      <c r="B43" s="22" t="s">
        <v>102</v>
      </c>
      <c r="C43" s="22" t="s">
        <v>388</v>
      </c>
      <c r="D43" s="22" t="s">
        <v>52</v>
      </c>
      <c r="E43" s="22" t="s">
        <v>53</v>
      </c>
      <c r="F43" s="22">
        <v>0</v>
      </c>
      <c r="G43" s="22">
        <v>7</v>
      </c>
      <c r="H43" s="22">
        <v>119</v>
      </c>
      <c r="I43" s="22" t="s">
        <v>54</v>
      </c>
      <c r="J43" s="22">
        <v>1</v>
      </c>
      <c r="K43" s="21" t="s">
        <v>56</v>
      </c>
      <c r="L43" s="21" t="str">
        <f>VLOOKUP(C43,'Trips&amp;Operators'!$C$2:$E$10000,3,FALSE)</f>
        <v>ACKERMAN</v>
      </c>
      <c r="M43" s="20" t="s">
        <v>67</v>
      </c>
      <c r="N43" s="21"/>
      <c r="P43" s="79" t="str">
        <f>VLOOKUP(C43,'Train Runs'!$A$3:$T$245,20,0)</f>
        <v>https://search-rtdc-monitor-bjffxe2xuh6vdkpspy63sjmuny.us-east-1.es.amazonaws.com/_plugin/kibana/#/discover/Steve-Slow-Train-Analysis-(2080s-and-2083s)?_g=(refreshInterval:(display:Off,section:0,value:0),time:(from:'2016-06-15 10:47:09-0600',mode:absolute,to:'2016-06-15 11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3" s="19" t="str">
        <f t="shared" si="3"/>
        <v>4019</v>
      </c>
    </row>
    <row r="44" spans="1:17" s="19" customFormat="1" x14ac:dyDescent="0.25">
      <c r="A44" s="23">
        <v>42536.491770833331</v>
      </c>
      <c r="B44" s="22" t="s">
        <v>112</v>
      </c>
      <c r="C44" s="22" t="s">
        <v>463</v>
      </c>
      <c r="D44" s="22" t="s">
        <v>52</v>
      </c>
      <c r="E44" s="22" t="s">
        <v>53</v>
      </c>
      <c r="F44" s="22">
        <v>0</v>
      </c>
      <c r="G44" s="22">
        <v>46</v>
      </c>
      <c r="H44" s="22">
        <v>150</v>
      </c>
      <c r="I44" s="22" t="s">
        <v>54</v>
      </c>
      <c r="J44" s="22">
        <v>1</v>
      </c>
      <c r="K44" s="21" t="s">
        <v>56</v>
      </c>
      <c r="L44" s="21" t="str">
        <f>VLOOKUP(C44,'Trips&amp;Operators'!$C$2:$E$10000,3,FALSE)</f>
        <v>SANTIZO</v>
      </c>
      <c r="M44" s="20" t="s">
        <v>67</v>
      </c>
      <c r="N44" s="21"/>
      <c r="P44" s="79" t="str">
        <f>VLOOKUP(C44,'Train Runs'!$A$3:$T$245,20,0)</f>
        <v>https://search-rtdc-monitor-bjffxe2xuh6vdkpspy63sjmuny.us-east-1.es.amazonaws.com/_plugin/kibana/#/discover/Steve-Slow-Train-Analysis-(2080s-and-2083s)?_g=(refreshInterval:(display:Off,section:0,value:0),time:(from:'2016-06-15 11:06:47-0600',mode:absolute,to:'2016-06-15 11:49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4" s="19" t="str">
        <f t="shared" si="3"/>
        <v>4023</v>
      </c>
    </row>
    <row r="45" spans="1:17" s="19" customFormat="1" x14ac:dyDescent="0.25">
      <c r="A45" s="23">
        <v>42536.503425925926</v>
      </c>
      <c r="B45" s="22" t="s">
        <v>259</v>
      </c>
      <c r="C45" s="22" t="s">
        <v>392</v>
      </c>
      <c r="D45" s="22" t="s">
        <v>52</v>
      </c>
      <c r="E45" s="22" t="s">
        <v>53</v>
      </c>
      <c r="F45" s="22">
        <v>0</v>
      </c>
      <c r="G45" s="22">
        <v>4</v>
      </c>
      <c r="H45" s="22">
        <v>129</v>
      </c>
      <c r="I45" s="22" t="s">
        <v>54</v>
      </c>
      <c r="J45" s="22">
        <v>1</v>
      </c>
      <c r="K45" s="21" t="s">
        <v>56</v>
      </c>
      <c r="L45" s="21" t="str">
        <f>VLOOKUP(C45,'Trips&amp;Operators'!$C$2:$E$10000,3,FALSE)</f>
        <v>BRANNON</v>
      </c>
      <c r="M45" s="20" t="s">
        <v>67</v>
      </c>
      <c r="N45" s="21"/>
      <c r="P45" s="79" t="str">
        <f>VLOOKUP(C45,'Train Runs'!$A$3:$T$245,20,0)</f>
        <v>https://search-rtdc-monitor-bjffxe2xuh6vdkpspy63sjmuny.us-east-1.es.amazonaws.com/_plugin/kibana/#/discover/Steve-Slow-Train-Analysis-(2080s-and-2083s)?_g=(refreshInterval:(display:Off,section:0,value:0),time:(from:'2016-06-15 11:21:14-0600',mode:absolute,to:'2016-06-15 12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45" s="19" t="str">
        <f t="shared" si="3"/>
        <v>4015</v>
      </c>
    </row>
    <row r="46" spans="1:17" s="19" customFormat="1" x14ac:dyDescent="0.25">
      <c r="A46" s="23">
        <v>42536.523888888885</v>
      </c>
      <c r="B46" s="22" t="s">
        <v>283</v>
      </c>
      <c r="C46" s="22" t="s">
        <v>394</v>
      </c>
      <c r="D46" s="22" t="s">
        <v>52</v>
      </c>
      <c r="E46" s="22" t="s">
        <v>53</v>
      </c>
      <c r="F46" s="22">
        <v>0</v>
      </c>
      <c r="G46" s="22">
        <v>4</v>
      </c>
      <c r="H46" s="22">
        <v>118</v>
      </c>
      <c r="I46" s="22" t="s">
        <v>54</v>
      </c>
      <c r="J46" s="22">
        <v>1</v>
      </c>
      <c r="K46" s="21" t="s">
        <v>56</v>
      </c>
      <c r="L46" s="21" t="str">
        <f>VLOOKUP(C46,'Trips&amp;Operators'!$C$2:$E$10000,3,FALSE)</f>
        <v>ROCHA</v>
      </c>
      <c r="M46" s="20" t="s">
        <v>67</v>
      </c>
      <c r="N46" s="21"/>
      <c r="P46" s="79" t="str">
        <f>VLOOKUP(C46,'Train Runs'!$A$3:$T$245,20,0)</f>
        <v>https://search-rtdc-monitor-bjffxe2xuh6vdkpspy63sjmuny.us-east-1.es.amazonaws.com/_plugin/kibana/#/discover/Steve-Slow-Train-Analysis-(2080s-and-2083s)?_g=(refreshInterval:(display:Off,section:0,value:0),time:(from:'2016-06-15 11:43:02-0600',mode:absolute,to:'2016-06-15 12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6" s="19" t="str">
        <f t="shared" si="3"/>
        <v>4039</v>
      </c>
    </row>
    <row r="47" spans="1:17" s="19" customFormat="1" x14ac:dyDescent="0.25">
      <c r="A47" s="23">
        <v>42536.579409722224</v>
      </c>
      <c r="B47" s="22" t="s">
        <v>259</v>
      </c>
      <c r="C47" s="22" t="s">
        <v>395</v>
      </c>
      <c r="D47" s="22" t="s">
        <v>52</v>
      </c>
      <c r="E47" s="22" t="s">
        <v>53</v>
      </c>
      <c r="F47" s="22">
        <v>0</v>
      </c>
      <c r="G47" s="22">
        <v>38</v>
      </c>
      <c r="H47" s="22">
        <v>130</v>
      </c>
      <c r="I47" s="22" t="s">
        <v>54</v>
      </c>
      <c r="J47" s="22">
        <v>1</v>
      </c>
      <c r="K47" s="21" t="s">
        <v>56</v>
      </c>
      <c r="L47" s="21" t="str">
        <f>VLOOKUP(C47,'Trips&amp;Operators'!$C$2:$E$10000,3,FALSE)</f>
        <v>STEWART</v>
      </c>
      <c r="M47" s="20" t="s">
        <v>67</v>
      </c>
      <c r="N47" s="21"/>
      <c r="P47" s="79" t="str">
        <f>VLOOKUP(C47,'Train Runs'!$A$3:$T$245,20,0)</f>
        <v>https://search-rtdc-monitor-bjffxe2xuh6vdkpspy63sjmuny.us-east-1.es.amazonaws.com/_plugin/kibana/#/discover/Steve-Slow-Train-Analysis-(2080s-and-2083s)?_g=(refreshInterval:(display:Off,section:0,value:0),time:(from:'2016-06-15 13:06:35-0600',mode:absolute,to:'2016-06-15 13:55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47" s="19" t="str">
        <f t="shared" si="3"/>
        <v>4015</v>
      </c>
    </row>
    <row r="48" spans="1:17" s="19" customFormat="1" x14ac:dyDescent="0.25">
      <c r="A48" s="23">
        <v>42536.667951388888</v>
      </c>
      <c r="B48" s="22" t="s">
        <v>103</v>
      </c>
      <c r="C48" s="22" t="s">
        <v>364</v>
      </c>
      <c r="D48" s="22" t="s">
        <v>52</v>
      </c>
      <c r="E48" s="22" t="s">
        <v>53</v>
      </c>
      <c r="F48" s="22">
        <v>0</v>
      </c>
      <c r="G48" s="22">
        <v>83</v>
      </c>
      <c r="H48" s="22">
        <v>233191</v>
      </c>
      <c r="I48" s="22" t="s">
        <v>54</v>
      </c>
      <c r="J48" s="22">
        <v>233491</v>
      </c>
      <c r="K48" s="21" t="s">
        <v>55</v>
      </c>
      <c r="L48" s="21" t="str">
        <f>VLOOKUP(C48,'Trips&amp;Operators'!$C$2:$E$10000,3,FALSE)</f>
        <v>MAYBERRY</v>
      </c>
      <c r="M48" s="20" t="s">
        <v>67</v>
      </c>
      <c r="N48" s="21"/>
      <c r="P48" s="79" t="str">
        <f>VLOOKUP(C48,'Train Runs'!$A$3:$T$245,20,0)</f>
        <v>https://search-rtdc-monitor-bjffxe2xuh6vdkpspy63sjmuny.us-east-1.es.amazonaws.com/_plugin/kibana/#/discover/Steve-Slow-Train-Analysis-(2080s-and-2083s)?_g=(refreshInterval:(display:Off,section:0,value:0),time:(from:'2016-06-15 15:10:43-0600',mode:absolute,to:'2016-06-15 15:28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8" s="19" t="str">
        <f t="shared" si="3"/>
        <v>4020</v>
      </c>
    </row>
    <row r="49" spans="1:17" s="19" customFormat="1" x14ac:dyDescent="0.25">
      <c r="A49" s="23">
        <v>42536.693483796298</v>
      </c>
      <c r="B49" s="22" t="s">
        <v>280</v>
      </c>
      <c r="C49" s="22" t="s">
        <v>437</v>
      </c>
      <c r="D49" s="22" t="s">
        <v>52</v>
      </c>
      <c r="E49" s="22" t="s">
        <v>53</v>
      </c>
      <c r="F49" s="22">
        <v>0</v>
      </c>
      <c r="G49" s="22">
        <v>59</v>
      </c>
      <c r="H49" s="22">
        <v>223</v>
      </c>
      <c r="I49" s="22" t="s">
        <v>54</v>
      </c>
      <c r="J49" s="22">
        <v>1</v>
      </c>
      <c r="K49" s="21" t="s">
        <v>56</v>
      </c>
      <c r="L49" s="21" t="str">
        <f>VLOOKUP(C49,'Trips&amp;Operators'!$C$2:$E$10000,3,FALSE)</f>
        <v>BONDS</v>
      </c>
      <c r="M49" s="20" t="s">
        <v>67</v>
      </c>
      <c r="N49" s="21"/>
      <c r="P49" s="79" t="str">
        <f>VLOOKUP(C49,'Train Runs'!$A$3:$T$245,20,0)</f>
        <v>https://search-rtdc-monitor-bjffxe2xuh6vdkpspy63sjmuny.us-east-1.es.amazonaws.com/_plugin/kibana/#/discover/Steve-Slow-Train-Analysis-(2080s-and-2083s)?_g=(refreshInterval:(display:Off,section:0,value:0),time:(from:'2016-06-15 15:46:08-0600',mode:absolute,to:'2016-06-15 16:39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9" s="19" t="str">
        <f t="shared" si="3"/>
        <v>4026</v>
      </c>
    </row>
    <row r="50" spans="1:17" s="19" customFormat="1" x14ac:dyDescent="0.25">
      <c r="A50" s="23">
        <v>42536.701921296299</v>
      </c>
      <c r="B50" s="22" t="s">
        <v>102</v>
      </c>
      <c r="C50" s="22" t="s">
        <v>439</v>
      </c>
      <c r="D50" s="22" t="s">
        <v>52</v>
      </c>
      <c r="E50" s="22" t="s">
        <v>53</v>
      </c>
      <c r="F50" s="22">
        <v>0</v>
      </c>
      <c r="G50" s="22">
        <v>68</v>
      </c>
      <c r="H50" s="22">
        <v>258</v>
      </c>
      <c r="I50" s="22" t="s">
        <v>54</v>
      </c>
      <c r="J50" s="22">
        <v>1</v>
      </c>
      <c r="K50" s="21" t="s">
        <v>56</v>
      </c>
      <c r="L50" s="21" t="str">
        <f>VLOOKUP(C50,'Trips&amp;Operators'!$C$2:$E$10000,3,FALSE)</f>
        <v>MAYBERRY</v>
      </c>
      <c r="M50" s="20" t="s">
        <v>67</v>
      </c>
      <c r="N50" s="21"/>
      <c r="P50" s="79" t="str">
        <f>VLOOKUP(C50,'Train Runs'!$A$3:$T$245,20,0)</f>
        <v>https://search-rtdc-monitor-bjffxe2xuh6vdkpspy63sjmuny.us-east-1.es.amazonaws.com/_plugin/kibana/#/discover/Steve-Slow-Train-Analysis-(2080s-and-2083s)?_g=(refreshInterval:(display:Off,section:0,value:0),time:(from:'2016-06-15 16:04:10-0600',mode:absolute,to:'2016-06-15 16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0" s="19" t="str">
        <f t="shared" si="3"/>
        <v>4019</v>
      </c>
    </row>
    <row r="51" spans="1:17" s="19" customFormat="1" x14ac:dyDescent="0.25">
      <c r="A51" s="23">
        <v>42536.714178240742</v>
      </c>
      <c r="B51" s="22" t="s">
        <v>112</v>
      </c>
      <c r="C51" s="22" t="s">
        <v>430</v>
      </c>
      <c r="D51" s="22" t="s">
        <v>52</v>
      </c>
      <c r="E51" s="22" t="s">
        <v>53</v>
      </c>
      <c r="F51" s="22">
        <v>0</v>
      </c>
      <c r="G51" s="22">
        <v>72</v>
      </c>
      <c r="H51" s="22">
        <v>245</v>
      </c>
      <c r="I51" s="22" t="s">
        <v>54</v>
      </c>
      <c r="J51" s="22">
        <v>1</v>
      </c>
      <c r="K51" s="21" t="s">
        <v>56</v>
      </c>
      <c r="L51" s="21" t="str">
        <f>VLOOKUP(C51,'Trips&amp;Operators'!$C$2:$E$10000,3,FALSE)</f>
        <v>SANTIZO</v>
      </c>
      <c r="M51" s="20" t="s">
        <v>67</v>
      </c>
      <c r="N51" s="21"/>
      <c r="P51" s="79" t="str">
        <f>VLOOKUP(C51,'Train Runs'!$A$3:$T$245,20,0)</f>
        <v>https://search-rtdc-monitor-bjffxe2xuh6vdkpspy63sjmuny.us-east-1.es.amazonaws.com/_plugin/kibana/#/discover/Steve-Slow-Train-Analysis-(2080s-and-2083s)?_g=(refreshInterval:(display:Off,section:0,value:0),time:(from:'2016-06-15 16:20:16-0600',mode:absolute,to:'2016-06-15 17:09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1" s="19" t="str">
        <f t="shared" si="3"/>
        <v>4023</v>
      </c>
    </row>
    <row r="52" spans="1:17" s="19" customFormat="1" x14ac:dyDescent="0.25">
      <c r="A52" s="23">
        <v>42536.757986111108</v>
      </c>
      <c r="B52" s="22" t="s">
        <v>110</v>
      </c>
      <c r="C52" s="22" t="s">
        <v>399</v>
      </c>
      <c r="D52" s="22" t="s">
        <v>52</v>
      </c>
      <c r="E52" s="22" t="s">
        <v>53</v>
      </c>
      <c r="F52" s="22">
        <v>0</v>
      </c>
      <c r="G52" s="22">
        <v>12</v>
      </c>
      <c r="H52" s="22">
        <v>852</v>
      </c>
      <c r="I52" s="22" t="s">
        <v>54</v>
      </c>
      <c r="J52" s="22">
        <v>839</v>
      </c>
      <c r="K52" s="21" t="s">
        <v>56</v>
      </c>
      <c r="L52" s="21" t="str">
        <f>VLOOKUP(C52,'Trips&amp;Operators'!$C$2:$E$10000,3,FALSE)</f>
        <v>RIVERA</v>
      </c>
      <c r="M52" s="20" t="s">
        <v>67</v>
      </c>
      <c r="N52" s="21"/>
      <c r="P52" s="79" t="str">
        <f>VLOOKUP(C52,'Train Runs'!$A$3:$T$245,20,0)</f>
        <v>https://search-rtdc-monitor-bjffxe2xuh6vdkpspy63sjmuny.us-east-1.es.amazonaws.com/_plugin/kibana/#/discover/Steve-Slow-Train-Analysis-(2080s-and-2083s)?_g=(refreshInterval:(display:Off,section:0,value:0),time:(from:'2016-06-15 16:48:29-0600',mode:absolute,to:'2016-06-15 18:12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52" s="19" t="str">
        <f t="shared" si="3"/>
        <v>4017</v>
      </c>
    </row>
    <row r="53" spans="1:17" s="19" customFormat="1" x14ac:dyDescent="0.25">
      <c r="A53" s="23">
        <v>42536.828773148147</v>
      </c>
      <c r="B53" s="22" t="s">
        <v>102</v>
      </c>
      <c r="C53" s="22" t="s">
        <v>352</v>
      </c>
      <c r="D53" s="22" t="s">
        <v>52</v>
      </c>
      <c r="E53" s="22" t="s">
        <v>53</v>
      </c>
      <c r="F53" s="22">
        <v>0</v>
      </c>
      <c r="G53" s="22">
        <v>76</v>
      </c>
      <c r="H53" s="22">
        <v>1092</v>
      </c>
      <c r="I53" s="22" t="s">
        <v>54</v>
      </c>
      <c r="J53" s="22">
        <v>839</v>
      </c>
      <c r="K53" s="21" t="s">
        <v>56</v>
      </c>
      <c r="L53" s="21" t="str">
        <f>VLOOKUP(C53,'Trips&amp;Operators'!$C$2:$E$10000,3,FALSE)</f>
        <v>MAYBERRY</v>
      </c>
      <c r="M53" s="20" t="s">
        <v>67</v>
      </c>
      <c r="N53" s="21"/>
      <c r="P53" s="79" t="str">
        <f>VLOOKUP(C53,'Train Runs'!$A$3:$T$245,20,0)</f>
        <v>https://search-rtdc-monitor-bjffxe2xuh6vdkpspy63sjmuny.us-east-1.es.amazonaws.com/_plugin/kibana/#/discover/Steve-Slow-Train-Analysis-(2080s-and-2083s)?_g=(refreshInterval:(display:Off,section:0,value:0),time:(from:'2016-06-15 18:38:14-0600',mode:absolute,to:'2016-06-15 19:56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3" s="19" t="str">
        <f t="shared" si="3"/>
        <v>4019</v>
      </c>
    </row>
    <row r="54" spans="1:17" s="19" customFormat="1" x14ac:dyDescent="0.25">
      <c r="A54" s="23">
        <v>42536.829212962963</v>
      </c>
      <c r="B54" s="22" t="s">
        <v>102</v>
      </c>
      <c r="C54" s="22" t="s">
        <v>352</v>
      </c>
      <c r="D54" s="22" t="s">
        <v>52</v>
      </c>
      <c r="E54" s="22" t="s">
        <v>53</v>
      </c>
      <c r="F54" s="22">
        <v>0</v>
      </c>
      <c r="G54" s="22">
        <v>35</v>
      </c>
      <c r="H54" s="22">
        <v>960</v>
      </c>
      <c r="I54" s="22" t="s">
        <v>54</v>
      </c>
      <c r="J54" s="22">
        <v>839</v>
      </c>
      <c r="K54" s="21" t="s">
        <v>56</v>
      </c>
      <c r="L54" s="21" t="str">
        <f>VLOOKUP(C54,'Trips&amp;Operators'!$C$2:$E$10000,3,FALSE)</f>
        <v>MAYBERRY</v>
      </c>
      <c r="M54" s="20" t="s">
        <v>67</v>
      </c>
      <c r="N54" s="21"/>
      <c r="P54" s="79" t="str">
        <f>VLOOKUP(C54,'Train Runs'!$A$3:$T$245,20,0)</f>
        <v>https://search-rtdc-monitor-bjffxe2xuh6vdkpspy63sjmuny.us-east-1.es.amazonaws.com/_plugin/kibana/#/discover/Steve-Slow-Train-Analysis-(2080s-and-2083s)?_g=(refreshInterval:(display:Off,section:0,value:0),time:(from:'2016-06-15 18:38:14-0600',mode:absolute,to:'2016-06-15 19:56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4" s="19" t="str">
        <f t="shared" si="3"/>
        <v>4019</v>
      </c>
    </row>
    <row r="55" spans="1:17" s="19" customFormat="1" x14ac:dyDescent="0.25">
      <c r="A55" s="23">
        <v>42536.96193287037</v>
      </c>
      <c r="B55" s="22" t="s">
        <v>110</v>
      </c>
      <c r="C55" s="22" t="s">
        <v>462</v>
      </c>
      <c r="D55" s="22" t="s">
        <v>52</v>
      </c>
      <c r="E55" s="22" t="s">
        <v>53</v>
      </c>
      <c r="F55" s="22">
        <v>0</v>
      </c>
      <c r="G55" s="22">
        <v>5</v>
      </c>
      <c r="H55" s="22">
        <v>118</v>
      </c>
      <c r="I55" s="22" t="s">
        <v>54</v>
      </c>
      <c r="J55" s="22">
        <v>1</v>
      </c>
      <c r="K55" s="21" t="s">
        <v>56</v>
      </c>
      <c r="L55" s="21" t="str">
        <f>VLOOKUP(C55,'Trips&amp;Operators'!$C$2:$E$10000,3,FALSE)</f>
        <v>ADANE</v>
      </c>
      <c r="M55" s="20" t="s">
        <v>67</v>
      </c>
      <c r="N55" s="21"/>
      <c r="P55" s="79" t="str">
        <f>VLOOKUP(C55,'Train Runs'!$A$3:$T$245,20,0)</f>
        <v>https://search-rtdc-monitor-bjffxe2xuh6vdkpspy63sjmuny.us-east-1.es.amazonaws.com/_plugin/kibana/#/discover/Steve-Slow-Train-Analysis-(2080s-and-2083s)?_g=(refreshInterval:(display:Off,section:0,value:0),time:(from:'2016-06-15 22:20:11-0600',mode:absolute,to:'2016-06-15 23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55" s="19" t="str">
        <f t="shared" si="3"/>
        <v>4017</v>
      </c>
    </row>
    <row r="56" spans="1:17" s="19" customFormat="1" x14ac:dyDescent="0.25">
      <c r="A56" s="23">
        <v>42536.970625000002</v>
      </c>
      <c r="B56" s="22" t="s">
        <v>357</v>
      </c>
      <c r="C56" s="22" t="s">
        <v>464</v>
      </c>
      <c r="D56" s="22" t="s">
        <v>52</v>
      </c>
      <c r="E56" s="22" t="s">
        <v>53</v>
      </c>
      <c r="F56" s="22">
        <v>0</v>
      </c>
      <c r="G56" s="22">
        <v>7</v>
      </c>
      <c r="H56" s="22">
        <v>233338</v>
      </c>
      <c r="I56" s="22" t="s">
        <v>54</v>
      </c>
      <c r="J56" s="22">
        <v>233491</v>
      </c>
      <c r="K56" s="21" t="s">
        <v>55</v>
      </c>
      <c r="L56" s="21" t="str">
        <f>VLOOKUP(C56,'Trips&amp;Operators'!$C$2:$E$10000,3,FALSE)</f>
        <v>STRICKLAND</v>
      </c>
      <c r="M56" s="20" t="s">
        <v>67</v>
      </c>
      <c r="N56" s="21"/>
      <c r="P56" s="79" t="str">
        <f>VLOOKUP(C56,'Train Runs'!$A$3:$T$245,20,0)</f>
        <v>https://search-rtdc-monitor-bjffxe2xuh6vdkpspy63sjmuny.us-east-1.es.amazonaws.com/_plugin/kibana/#/discover/Steve-Slow-Train-Analysis-(2080s-and-2083s)?_g=(refreshInterval:(display:Off,section:0,value:0),time:(from:'2016-06-15 22:28:14-0600',mode:absolute,to:'2016-06-15 23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6" s="19" t="str">
        <f t="shared" si="3"/>
        <v>4011</v>
      </c>
    </row>
    <row r="57" spans="1:17" s="19" customFormat="1" x14ac:dyDescent="0.25">
      <c r="A57" s="23">
        <v>42537.005972222221</v>
      </c>
      <c r="B57" s="22" t="s">
        <v>433</v>
      </c>
      <c r="C57" s="22" t="s">
        <v>466</v>
      </c>
      <c r="D57" s="22" t="s">
        <v>52</v>
      </c>
      <c r="E57" s="22" t="s">
        <v>53</v>
      </c>
      <c r="F57" s="22">
        <v>0</v>
      </c>
      <c r="G57" s="22">
        <v>9</v>
      </c>
      <c r="H57" s="22">
        <v>123</v>
      </c>
      <c r="I57" s="22" t="s">
        <v>54</v>
      </c>
      <c r="J57" s="22">
        <v>1</v>
      </c>
      <c r="K57" s="21" t="s">
        <v>56</v>
      </c>
      <c r="L57" s="21" t="str">
        <f>VLOOKUP(C57,'Trips&amp;Operators'!$C$2:$E$10000,3,FALSE)</f>
        <v>STRICKLAND</v>
      </c>
      <c r="M57" s="20" t="s">
        <v>67</v>
      </c>
      <c r="N57" s="21"/>
      <c r="P57" s="79" t="str">
        <f>VLOOKUP(C57,'Train Runs'!$A$3:$T$245,20,0)</f>
        <v>https://search-rtdc-monitor-bjffxe2xuh6vdkpspy63sjmuny.us-east-1.es.amazonaws.com/_plugin/kibana/#/discover/Steve-Slow-Train-Analysis-(2080s-and-2083s)?_g=(refreshInterval:(display:Off,section:0,value:0),time:(from:'2016-06-15 23:23:26-0600',mode:absolute,to:'2016-06-16 00:09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7" s="19" t="str">
        <f t="shared" si="3"/>
        <v>4012</v>
      </c>
    </row>
    <row r="58" spans="1:17" s="19" customFormat="1" ht="15.75" thickBot="1" x14ac:dyDescent="0.3">
      <c r="A58" s="41"/>
      <c r="B58" s="42"/>
      <c r="C58" s="42"/>
      <c r="D58" s="42"/>
      <c r="E58" s="42"/>
      <c r="F58" s="42"/>
      <c r="G58" s="42"/>
      <c r="H58" s="42"/>
      <c r="I58" s="42"/>
      <c r="J58" s="42"/>
      <c r="K58" s="43"/>
      <c r="L58" s="43"/>
      <c r="M58" s="44"/>
      <c r="N58" s="43"/>
      <c r="P58" s="79"/>
    </row>
    <row r="59" spans="1:17" ht="30" x14ac:dyDescent="0.25">
      <c r="B59" s="59"/>
      <c r="C59" s="59"/>
      <c r="D59" s="59"/>
      <c r="E59" s="59"/>
      <c r="F59" s="59"/>
      <c r="G59" s="59"/>
      <c r="H59" s="59"/>
      <c r="I59" s="59"/>
      <c r="J59" s="59"/>
      <c r="K59" s="18" t="s">
        <v>28</v>
      </c>
      <c r="L59" s="52"/>
      <c r="M59" s="17">
        <f>COUNTIF(M19:M57,"=Y")</f>
        <v>6</v>
      </c>
      <c r="N59" s="77"/>
    </row>
    <row r="60" spans="1:17" ht="15.75" thickBot="1" x14ac:dyDescent="0.3">
      <c r="B60" s="59"/>
      <c r="C60" s="59"/>
      <c r="D60" s="59"/>
      <c r="E60" s="59"/>
      <c r="F60" s="59"/>
      <c r="G60" s="59"/>
      <c r="H60" s="59"/>
      <c r="I60" s="59"/>
      <c r="J60" s="59"/>
      <c r="K60" s="16" t="s">
        <v>27</v>
      </c>
      <c r="L60" s="53"/>
      <c r="M60" s="15">
        <f>COUNTA(M19:M57)-M59</f>
        <v>33</v>
      </c>
    </row>
  </sheetData>
  <autoFilter ref="A2:N57">
    <sortState ref="A3:N58">
      <sortCondition ref="E2:E58"/>
    </sortState>
  </autoFilter>
  <sortState ref="A25:N31">
    <sortCondition ref="J25:J31"/>
  </sortState>
  <mergeCells count="1">
    <mergeCell ref="A1:M1"/>
  </mergeCells>
  <conditionalFormatting sqref="P2 M2:N2 M3:M1048576">
    <cfRule type="cellIs" dxfId="16" priority="8" operator="equal">
      <formula>"Y"</formula>
    </cfRule>
  </conditionalFormatting>
  <conditionalFormatting sqref="A3:N57">
    <cfRule type="expression" dxfId="15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3" sqref="A3:A16"/>
    </sheetView>
  </sheetViews>
  <sheetFormatPr defaultRowHeight="15" x14ac:dyDescent="0.25"/>
  <cols>
    <col min="1" max="1" width="9.140625" customWidth="1"/>
    <col min="2" max="2" width="8" style="85" bestFit="1" customWidth="1"/>
    <col min="3" max="3" width="7.85546875" style="87" bestFit="1" customWidth="1"/>
    <col min="4" max="4" width="31.28515625" bestFit="1" customWidth="1"/>
    <col min="5" max="5" width="18.140625" bestFit="1" customWidth="1"/>
  </cols>
  <sheetData>
    <row r="1" spans="1:5" s="59" customFormat="1" x14ac:dyDescent="0.25">
      <c r="A1" s="100" t="str">
        <f>"Trips that did not appear in PTC Data "&amp;TEXT(Variables!$A$2,"YYYY-mm-dd")</f>
        <v>Trips that did not appear in PTC Data 2016-06-15</v>
      </c>
      <c r="B1" s="100"/>
      <c r="C1" s="100"/>
      <c r="D1" s="100"/>
      <c r="E1" s="100"/>
    </row>
    <row r="2" spans="1:5" s="77" customFormat="1" ht="45" x14ac:dyDescent="0.25">
      <c r="A2" s="76" t="s">
        <v>256</v>
      </c>
      <c r="B2" s="88" t="s">
        <v>257</v>
      </c>
      <c r="C2" s="86" t="s">
        <v>258</v>
      </c>
      <c r="D2" s="77" t="s">
        <v>254</v>
      </c>
      <c r="E2" s="59" t="s">
        <v>255</v>
      </c>
    </row>
    <row r="3" spans="1:5" x14ac:dyDescent="0.25">
      <c r="A3" s="60" t="s">
        <v>547</v>
      </c>
      <c r="B3" s="89">
        <v>0</v>
      </c>
      <c r="C3" s="60"/>
      <c r="D3" s="61"/>
      <c r="E3" s="60" t="e">
        <f>VLOOKUP(A3,'Trips&amp;Operators'!$C$2:$E$10000,3,FALSE)</f>
        <v>#N/A</v>
      </c>
    </row>
    <row r="4" spans="1:5" x14ac:dyDescent="0.25">
      <c r="A4" s="60" t="s">
        <v>548</v>
      </c>
      <c r="B4" s="89">
        <v>1</v>
      </c>
      <c r="C4" s="60">
        <v>4026</v>
      </c>
      <c r="D4" s="61"/>
      <c r="E4" s="60" t="e">
        <f>VLOOKUP(A4,'Trips&amp;Operators'!$C$2:$E$10000,3,FALSE)</f>
        <v>#N/A</v>
      </c>
    </row>
    <row r="5" spans="1:5" x14ac:dyDescent="0.25">
      <c r="A5" s="60" t="s">
        <v>550</v>
      </c>
      <c r="B5" s="89">
        <v>0</v>
      </c>
      <c r="C5" s="60">
        <v>4020</v>
      </c>
      <c r="D5" s="61" t="s">
        <v>563</v>
      </c>
      <c r="E5" s="60" t="e">
        <f>VLOOKUP(A5,'Trips&amp;Operators'!$C$2:$E$10000,3,FALSE)</f>
        <v>#N/A</v>
      </c>
    </row>
    <row r="6" spans="1:5" x14ac:dyDescent="0.25">
      <c r="A6" s="60" t="s">
        <v>549</v>
      </c>
      <c r="B6" s="89">
        <v>5</v>
      </c>
      <c r="C6" s="60">
        <v>4019</v>
      </c>
      <c r="D6" s="61" t="s">
        <v>563</v>
      </c>
      <c r="E6" s="60" t="e">
        <f>VLOOKUP(A6,'Trips&amp;Operators'!$C$2:$E$10000,3,FALSE)</f>
        <v>#N/A</v>
      </c>
    </row>
    <row r="7" spans="1:5" x14ac:dyDescent="0.25">
      <c r="A7" s="60" t="s">
        <v>562</v>
      </c>
      <c r="B7" s="89">
        <v>5</v>
      </c>
      <c r="C7" s="60">
        <v>4019</v>
      </c>
      <c r="D7" s="61" t="s">
        <v>563</v>
      </c>
      <c r="E7" s="60" t="e">
        <f>VLOOKUP(A7,'Trips&amp;Operators'!$C$2:$E$10000,3,FALSE)</f>
        <v>#N/A</v>
      </c>
    </row>
    <row r="8" spans="1:5" x14ac:dyDescent="0.25">
      <c r="A8" s="60" t="s">
        <v>551</v>
      </c>
      <c r="B8" s="89">
        <v>1</v>
      </c>
      <c r="C8" s="60">
        <v>4016</v>
      </c>
      <c r="D8" s="61" t="s">
        <v>563</v>
      </c>
      <c r="E8" s="60" t="e">
        <f>VLOOKUP(A8,'Trips&amp;Operators'!$C$2:$E$10000,3,FALSE)</f>
        <v>#N/A</v>
      </c>
    </row>
    <row r="9" spans="1:5" x14ac:dyDescent="0.25">
      <c r="A9" s="60" t="s">
        <v>552</v>
      </c>
      <c r="B9" s="89">
        <v>4</v>
      </c>
      <c r="C9" s="60">
        <v>4011</v>
      </c>
      <c r="D9" s="61" t="s">
        <v>563</v>
      </c>
      <c r="E9" s="60" t="e">
        <f>VLOOKUP(A9,'Trips&amp;Operators'!$C$2:$E$10000,3,FALSE)</f>
        <v>#N/A</v>
      </c>
    </row>
    <row r="10" spans="1:5" x14ac:dyDescent="0.25">
      <c r="A10" s="60" t="s">
        <v>553</v>
      </c>
      <c r="B10" s="89">
        <v>1</v>
      </c>
      <c r="C10" s="60">
        <v>4039</v>
      </c>
      <c r="D10" s="61" t="s">
        <v>563</v>
      </c>
      <c r="E10" s="60" t="e">
        <f>VLOOKUP(A10,'Trips&amp;Operators'!$C$2:$E$10000,3,FALSE)</f>
        <v>#N/A</v>
      </c>
    </row>
    <row r="11" spans="1:5" x14ac:dyDescent="0.25">
      <c r="A11" s="60" t="s">
        <v>554</v>
      </c>
      <c r="B11" s="89">
        <v>0</v>
      </c>
      <c r="C11" s="60"/>
      <c r="D11" s="61" t="s">
        <v>563</v>
      </c>
      <c r="E11" s="60" t="e">
        <f>VLOOKUP(A11,'Trips&amp;Operators'!$C$2:$E$10000,3,FALSE)</f>
        <v>#N/A</v>
      </c>
    </row>
    <row r="12" spans="1:5" x14ac:dyDescent="0.25">
      <c r="A12" s="60" t="s">
        <v>555</v>
      </c>
      <c r="B12" s="89">
        <v>0</v>
      </c>
      <c r="C12" s="60"/>
      <c r="D12" s="61" t="s">
        <v>563</v>
      </c>
      <c r="E12" s="60" t="e">
        <f>VLOOKUP(A12,'Trips&amp;Operators'!$C$2:$E$10000,3,FALSE)</f>
        <v>#N/A</v>
      </c>
    </row>
    <row r="13" spans="1:5" x14ac:dyDescent="0.25">
      <c r="A13" s="60" t="s">
        <v>556</v>
      </c>
      <c r="B13" s="89">
        <v>0</v>
      </c>
      <c r="C13" s="60"/>
      <c r="D13" s="61" t="s">
        <v>563</v>
      </c>
      <c r="E13" s="60" t="e">
        <f>VLOOKUP(A13,'Trips&amp;Operators'!$C$2:$E$10000,3,FALSE)</f>
        <v>#N/A</v>
      </c>
    </row>
    <row r="14" spans="1:5" x14ac:dyDescent="0.25">
      <c r="A14" s="60" t="s">
        <v>557</v>
      </c>
      <c r="B14" s="89">
        <v>0</v>
      </c>
      <c r="C14" s="60"/>
      <c r="D14" s="61" t="s">
        <v>563</v>
      </c>
      <c r="E14" s="60" t="e">
        <f>VLOOKUP(A14,'Trips&amp;Operators'!$C$2:$E$10000,3,FALSE)</f>
        <v>#N/A</v>
      </c>
    </row>
    <row r="15" spans="1:5" x14ac:dyDescent="0.25">
      <c r="A15" s="60" t="s">
        <v>558</v>
      </c>
      <c r="B15" s="89">
        <v>0</v>
      </c>
      <c r="C15" s="60"/>
      <c r="D15" s="61" t="s">
        <v>563</v>
      </c>
      <c r="E15" s="60" t="e">
        <f>VLOOKUP(A15,'Trips&amp;Operators'!$C$2:$E$10000,3,FALSE)</f>
        <v>#N/A</v>
      </c>
    </row>
    <row r="16" spans="1:5" x14ac:dyDescent="0.25">
      <c r="A16" s="60" t="s">
        <v>559</v>
      </c>
      <c r="B16" s="89">
        <v>0</v>
      </c>
      <c r="C16" s="60"/>
      <c r="D16" s="61" t="s">
        <v>563</v>
      </c>
      <c r="E16" s="60" t="e">
        <f>VLOOKUP(A16,'Trips&amp;Operators'!$C$2:$E$10000,3,FALSE)</f>
        <v>#N/A</v>
      </c>
    </row>
  </sheetData>
  <sortState ref="A3:E16">
    <sortCondition ref="A3:A16"/>
  </sortState>
  <mergeCells count="1">
    <mergeCell ref="A1:E1"/>
  </mergeCells>
  <conditionalFormatting sqref="B3:C16">
    <cfRule type="expression" dxfId="14" priority="71">
      <formula>$R3&gt;0</formula>
    </cfRule>
    <cfRule type="expression" dxfId="13" priority="72">
      <formula>$Q3&gt;0</formula>
    </cfRule>
  </conditionalFormatting>
  <conditionalFormatting sqref="D3:D4">
    <cfRule type="expression" dxfId="12" priority="56">
      <formula>$R3&gt;0</formula>
    </cfRule>
    <cfRule type="expression" dxfId="11" priority="57">
      <formula>$Q3&gt;0</formula>
    </cfRule>
  </conditionalFormatting>
  <conditionalFormatting sqref="E3:E16">
    <cfRule type="expression" dxfId="10" priority="53">
      <formula>$R3&gt;0</formula>
    </cfRule>
    <cfRule type="expression" dxfId="9" priority="54">
      <formula>$Q3&gt;0</formula>
    </cfRule>
  </conditionalFormatting>
  <conditionalFormatting sqref="A3:A16">
    <cfRule type="expression" dxfId="8" priority="26">
      <formula>$P3&gt;0</formula>
    </cfRule>
    <cfRule type="expression" dxfId="7" priority="27">
      <formula>$O3&gt;0</formula>
    </cfRule>
  </conditionalFormatting>
  <conditionalFormatting sqref="D5:D16">
    <cfRule type="expression" dxfId="6" priority="2">
      <formula>$P5&gt;0</formula>
    </cfRule>
    <cfRule type="expression" dxfId="5" priority="3">
      <formula>$O5&gt;0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0" id="{EB016D9B-668F-4EEA-859B-63F0F621CEF6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B3:C16</xm:sqref>
        </x14:conditionalFormatting>
        <x14:conditionalFormatting xmlns:xm="http://schemas.microsoft.com/office/excel/2006/main">
          <x14:cfRule type="expression" priority="55" id="{2A4AD9E0-B4C1-4289-9540-CE65982561AB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D3:D4</xm:sqref>
        </x14:conditionalFormatting>
        <x14:conditionalFormatting xmlns:xm="http://schemas.microsoft.com/office/excel/2006/main">
          <x14:cfRule type="expression" priority="52" id="{05DBD86D-4680-4C5B-A043-C2DA17B3AFD9}">
            <xm:f>$P3&gt;Variables!$C$2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E3:E16</xm:sqref>
        </x14:conditionalFormatting>
        <x14:conditionalFormatting xmlns:xm="http://schemas.microsoft.com/office/excel/2006/main">
          <x14:cfRule type="expression" priority="25" id="{7BEE79D8-A35C-466F-9288-52F47D361E8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A3:A16</xm:sqref>
        </x14:conditionalFormatting>
        <x14:conditionalFormatting xmlns:xm="http://schemas.microsoft.com/office/excel/2006/main">
          <x14:cfRule type="expression" priority="1" id="{B9D93834-240D-4318-A53F-654B94B0B9A5}">
            <xm:f>$N5&gt;Variables!$C$2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D5:D16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92"/>
  <sheetViews>
    <sheetView workbookViewId="0"/>
  </sheetViews>
  <sheetFormatPr defaultRowHeight="15" x14ac:dyDescent="0.25"/>
  <cols>
    <col min="1" max="1" width="18.28515625" style="14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</cols>
  <sheetData>
    <row r="1" spans="1:5" s="59" customFormat="1" x14ac:dyDescent="0.25">
      <c r="A1" s="14">
        <v>42536.12122685185</v>
      </c>
      <c r="B1" s="59" t="s">
        <v>470</v>
      </c>
      <c r="C1" s="59" t="s">
        <v>471</v>
      </c>
      <c r="D1" s="59">
        <v>1830000</v>
      </c>
      <c r="E1" s="59" t="s">
        <v>340</v>
      </c>
    </row>
    <row r="2" spans="1:5" x14ac:dyDescent="0.25">
      <c r="A2" s="14">
        <v>42530.13077546296</v>
      </c>
      <c r="B2" t="s">
        <v>103</v>
      </c>
      <c r="C2" t="s">
        <v>182</v>
      </c>
      <c r="D2">
        <v>1290000</v>
      </c>
      <c r="E2" t="s">
        <v>116</v>
      </c>
    </row>
    <row r="3" spans="1:5" x14ac:dyDescent="0.25">
      <c r="A3" s="14">
        <v>42535.170810185184</v>
      </c>
      <c r="B3" t="s">
        <v>112</v>
      </c>
      <c r="C3" t="s">
        <v>301</v>
      </c>
      <c r="D3">
        <v>1480000</v>
      </c>
      <c r="E3" t="s">
        <v>262</v>
      </c>
    </row>
    <row r="4" spans="1:5" x14ac:dyDescent="0.25">
      <c r="A4" s="14">
        <v>42536.170659722222</v>
      </c>
      <c r="B4" t="s">
        <v>77</v>
      </c>
      <c r="C4" t="s">
        <v>365</v>
      </c>
      <c r="D4">
        <v>1830000</v>
      </c>
      <c r="E4" t="s">
        <v>340</v>
      </c>
    </row>
    <row r="5" spans="1:5" x14ac:dyDescent="0.25">
      <c r="A5" s="14">
        <v>42530.153807870367</v>
      </c>
      <c r="B5" t="s">
        <v>126</v>
      </c>
      <c r="C5" t="s">
        <v>246</v>
      </c>
      <c r="D5">
        <v>1340000</v>
      </c>
      <c r="E5" t="s">
        <v>123</v>
      </c>
    </row>
    <row r="6" spans="1:5" x14ac:dyDescent="0.25">
      <c r="A6" s="14">
        <v>42536.155150462961</v>
      </c>
      <c r="B6" t="s">
        <v>108</v>
      </c>
      <c r="C6" t="s">
        <v>467</v>
      </c>
      <c r="D6">
        <v>1110000</v>
      </c>
      <c r="E6" t="s">
        <v>121</v>
      </c>
    </row>
    <row r="7" spans="1:5" x14ac:dyDescent="0.25">
      <c r="A7" s="14">
        <v>42536.193333333336</v>
      </c>
      <c r="B7" t="s">
        <v>283</v>
      </c>
      <c r="C7" t="s">
        <v>355</v>
      </c>
      <c r="D7">
        <v>1110000</v>
      </c>
      <c r="E7" t="s">
        <v>121</v>
      </c>
    </row>
    <row r="8" spans="1:5" x14ac:dyDescent="0.25">
      <c r="A8" s="14">
        <v>42536.212280092594</v>
      </c>
      <c r="B8" t="s">
        <v>132</v>
      </c>
      <c r="C8" t="s">
        <v>428</v>
      </c>
      <c r="D8">
        <v>1100000</v>
      </c>
      <c r="E8" t="s">
        <v>97</v>
      </c>
    </row>
    <row r="9" spans="1:5" ht="15.75" thickBot="1" x14ac:dyDescent="0.3">
      <c r="A9" s="82">
        <v>42530.181921296295</v>
      </c>
      <c r="B9" t="s">
        <v>176</v>
      </c>
      <c r="C9" t="s">
        <v>245</v>
      </c>
      <c r="D9">
        <v>1360000</v>
      </c>
      <c r="E9" t="s">
        <v>100</v>
      </c>
    </row>
    <row r="10" spans="1:5" x14ac:dyDescent="0.25">
      <c r="A10" s="14">
        <v>42530.251423611109</v>
      </c>
      <c r="B10" t="s">
        <v>132</v>
      </c>
      <c r="C10" t="s">
        <v>216</v>
      </c>
      <c r="D10">
        <v>1360000</v>
      </c>
      <c r="E10" t="s">
        <v>100</v>
      </c>
    </row>
    <row r="11" spans="1:5" x14ac:dyDescent="0.25">
      <c r="A11" s="14">
        <v>42530.221921296295</v>
      </c>
      <c r="B11" t="s">
        <v>132</v>
      </c>
      <c r="C11" t="s">
        <v>216</v>
      </c>
      <c r="D11">
        <v>1360000</v>
      </c>
      <c r="E11" t="s">
        <v>100</v>
      </c>
    </row>
    <row r="12" spans="1:5" x14ac:dyDescent="0.25">
      <c r="A12" s="14">
        <v>42533.223032407404</v>
      </c>
      <c r="B12" t="s">
        <v>110</v>
      </c>
      <c r="C12" t="s">
        <v>266</v>
      </c>
      <c r="D12">
        <v>1360000</v>
      </c>
      <c r="E12" t="s">
        <v>100</v>
      </c>
    </row>
    <row r="13" spans="1:5" x14ac:dyDescent="0.25">
      <c r="A13" s="14">
        <v>42536.22179398148</v>
      </c>
      <c r="B13" t="s">
        <v>280</v>
      </c>
      <c r="C13" t="s">
        <v>451</v>
      </c>
      <c r="D13">
        <v>1230000</v>
      </c>
      <c r="E13" t="s">
        <v>165</v>
      </c>
    </row>
    <row r="14" spans="1:5" x14ac:dyDescent="0.25">
      <c r="A14" s="14">
        <v>42530.195729166669</v>
      </c>
      <c r="B14" t="s">
        <v>108</v>
      </c>
      <c r="C14" t="s">
        <v>207</v>
      </c>
      <c r="D14">
        <v>1230000</v>
      </c>
      <c r="E14" t="s">
        <v>165</v>
      </c>
    </row>
    <row r="15" spans="1:5" x14ac:dyDescent="0.25">
      <c r="A15" s="14">
        <v>42533.197465277779</v>
      </c>
      <c r="B15" t="s">
        <v>260</v>
      </c>
      <c r="C15" t="s">
        <v>267</v>
      </c>
      <c r="D15">
        <v>1310000</v>
      </c>
      <c r="E15" t="s">
        <v>172</v>
      </c>
    </row>
    <row r="16" spans="1:5" x14ac:dyDescent="0.25">
      <c r="A16" s="14">
        <v>42535.193159722221</v>
      </c>
      <c r="B16" t="s">
        <v>103</v>
      </c>
      <c r="C16" t="s">
        <v>300</v>
      </c>
      <c r="D16">
        <v>1260000</v>
      </c>
      <c r="E16" t="s">
        <v>263</v>
      </c>
    </row>
    <row r="17" spans="1:5" x14ac:dyDescent="0.25">
      <c r="A17" s="14">
        <v>42536.192094907405</v>
      </c>
      <c r="B17" s="59" t="s">
        <v>103</v>
      </c>
      <c r="C17" t="s">
        <v>449</v>
      </c>
      <c r="D17">
        <v>1260000</v>
      </c>
      <c r="E17" t="s">
        <v>263</v>
      </c>
    </row>
    <row r="18" spans="1:5" x14ac:dyDescent="0.25">
      <c r="A18" s="14">
        <v>42530.234803240739</v>
      </c>
      <c r="B18" t="s">
        <v>110</v>
      </c>
      <c r="C18" t="s">
        <v>128</v>
      </c>
      <c r="D18">
        <v>1230000</v>
      </c>
      <c r="E18" t="s">
        <v>165</v>
      </c>
    </row>
    <row r="19" spans="1:5" x14ac:dyDescent="0.25">
      <c r="A19" s="14">
        <v>42530.235636574071</v>
      </c>
      <c r="B19" t="s">
        <v>110</v>
      </c>
      <c r="C19" t="s">
        <v>128</v>
      </c>
      <c r="D19">
        <v>1230000</v>
      </c>
      <c r="E19" t="s">
        <v>165</v>
      </c>
    </row>
    <row r="20" spans="1:5" x14ac:dyDescent="0.25">
      <c r="A20" s="14">
        <v>42536.233298611114</v>
      </c>
      <c r="B20" t="s">
        <v>102</v>
      </c>
      <c r="C20" t="s">
        <v>367</v>
      </c>
      <c r="D20">
        <v>1260000</v>
      </c>
      <c r="E20" t="s">
        <v>263</v>
      </c>
    </row>
    <row r="21" spans="1:5" x14ac:dyDescent="0.25">
      <c r="A21" s="14">
        <v>42530.206678240742</v>
      </c>
      <c r="B21" t="s">
        <v>103</v>
      </c>
      <c r="C21" t="s">
        <v>195</v>
      </c>
      <c r="D21">
        <v>1100000</v>
      </c>
      <c r="E21" t="s">
        <v>97</v>
      </c>
    </row>
    <row r="22" spans="1:5" x14ac:dyDescent="0.25">
      <c r="A22" s="14">
        <v>42536.192928240744</v>
      </c>
      <c r="B22" t="s">
        <v>126</v>
      </c>
      <c r="C22" t="s">
        <v>353</v>
      </c>
      <c r="D22">
        <v>1190000</v>
      </c>
      <c r="E22" t="s">
        <v>299</v>
      </c>
    </row>
    <row r="23" spans="1:5" x14ac:dyDescent="0.25">
      <c r="A23" s="14">
        <v>42530.277256944442</v>
      </c>
      <c r="B23" t="s">
        <v>102</v>
      </c>
      <c r="C23" t="s">
        <v>214</v>
      </c>
      <c r="D23">
        <v>1100000</v>
      </c>
      <c r="E23" t="s">
        <v>97</v>
      </c>
    </row>
    <row r="24" spans="1:5" x14ac:dyDescent="0.25">
      <c r="A24" s="14">
        <v>42530.245104166665</v>
      </c>
      <c r="B24" t="s">
        <v>102</v>
      </c>
      <c r="C24" t="s">
        <v>214</v>
      </c>
      <c r="D24">
        <v>1100000</v>
      </c>
      <c r="E24" t="s">
        <v>97</v>
      </c>
    </row>
    <row r="25" spans="1:5" x14ac:dyDescent="0.25">
      <c r="A25" s="14">
        <v>42536.243310185186</v>
      </c>
      <c r="B25" t="s">
        <v>112</v>
      </c>
      <c r="C25" t="s">
        <v>369</v>
      </c>
      <c r="D25">
        <v>1190000</v>
      </c>
      <c r="E25" t="s">
        <v>299</v>
      </c>
    </row>
    <row r="26" spans="1:5" x14ac:dyDescent="0.25">
      <c r="A26" s="14">
        <v>42536.240983796299</v>
      </c>
      <c r="B26" t="s">
        <v>112</v>
      </c>
      <c r="C26" t="s">
        <v>369</v>
      </c>
      <c r="D26">
        <v>1190000</v>
      </c>
      <c r="E26" t="s">
        <v>299</v>
      </c>
    </row>
    <row r="27" spans="1:5" x14ac:dyDescent="0.25">
      <c r="A27" s="14">
        <v>42530.214120370372</v>
      </c>
      <c r="B27" t="s">
        <v>135</v>
      </c>
      <c r="C27" t="s">
        <v>237</v>
      </c>
      <c r="D27">
        <v>1290000</v>
      </c>
      <c r="E27" t="s">
        <v>116</v>
      </c>
    </row>
    <row r="28" spans="1:5" x14ac:dyDescent="0.25">
      <c r="A28" s="14">
        <v>42535.212627314817</v>
      </c>
      <c r="B28" s="59" t="s">
        <v>126</v>
      </c>
      <c r="C28" t="s">
        <v>304</v>
      </c>
      <c r="D28">
        <v>1480000</v>
      </c>
      <c r="E28" t="s">
        <v>262</v>
      </c>
    </row>
    <row r="29" spans="1:5" x14ac:dyDescent="0.25">
      <c r="A29" s="14">
        <v>42536.216134259259</v>
      </c>
      <c r="B29" t="s">
        <v>148</v>
      </c>
      <c r="C29" t="s">
        <v>427</v>
      </c>
      <c r="D29">
        <v>1830000</v>
      </c>
      <c r="E29" t="s">
        <v>340</v>
      </c>
    </row>
    <row r="30" spans="1:5" x14ac:dyDescent="0.25">
      <c r="A30" s="14">
        <v>42536.250196759262</v>
      </c>
      <c r="B30" t="s">
        <v>77</v>
      </c>
      <c r="C30" t="s">
        <v>424</v>
      </c>
      <c r="D30">
        <v>1830000</v>
      </c>
      <c r="E30" t="s">
        <v>340</v>
      </c>
    </row>
    <row r="31" spans="1:5" x14ac:dyDescent="0.25">
      <c r="A31" s="14">
        <v>42530.227071759262</v>
      </c>
      <c r="B31" t="s">
        <v>126</v>
      </c>
      <c r="C31" t="s">
        <v>129</v>
      </c>
      <c r="D31">
        <v>1310000</v>
      </c>
      <c r="E31" t="s">
        <v>172</v>
      </c>
    </row>
    <row r="32" spans="1:5" x14ac:dyDescent="0.25">
      <c r="A32" s="14">
        <v>42536.226354166669</v>
      </c>
      <c r="B32" t="s">
        <v>108</v>
      </c>
      <c r="C32" t="s">
        <v>465</v>
      </c>
      <c r="D32">
        <v>900000</v>
      </c>
      <c r="E32" t="s">
        <v>167</v>
      </c>
    </row>
    <row r="33" spans="1:5" x14ac:dyDescent="0.25">
      <c r="A33" s="14">
        <v>42530.282256944447</v>
      </c>
      <c r="B33" t="s">
        <v>112</v>
      </c>
      <c r="C33" t="s">
        <v>131</v>
      </c>
      <c r="D33">
        <v>1310000</v>
      </c>
      <c r="E33" t="s">
        <v>172</v>
      </c>
    </row>
    <row r="34" spans="1:5" x14ac:dyDescent="0.25">
      <c r="A34" s="14">
        <v>42535.262511574074</v>
      </c>
      <c r="B34" t="s">
        <v>94</v>
      </c>
      <c r="C34" t="s">
        <v>303</v>
      </c>
      <c r="D34">
        <v>1090000</v>
      </c>
      <c r="E34" t="s">
        <v>281</v>
      </c>
    </row>
    <row r="35" spans="1:5" x14ac:dyDescent="0.25">
      <c r="A35" s="14">
        <v>42536.26525462963</v>
      </c>
      <c r="B35" t="s">
        <v>110</v>
      </c>
      <c r="C35" t="s">
        <v>371</v>
      </c>
      <c r="D35">
        <v>900000</v>
      </c>
      <c r="E35" t="s">
        <v>167</v>
      </c>
    </row>
    <row r="36" spans="1:5" x14ac:dyDescent="0.25">
      <c r="A36" s="14">
        <v>42530.235543981478</v>
      </c>
      <c r="B36" t="s">
        <v>148</v>
      </c>
      <c r="C36" t="s">
        <v>217</v>
      </c>
      <c r="D36">
        <v>1340000</v>
      </c>
      <c r="E36" t="s">
        <v>123</v>
      </c>
    </row>
    <row r="37" spans="1:5" x14ac:dyDescent="0.25">
      <c r="A37" s="14">
        <v>42536.234409722223</v>
      </c>
      <c r="B37" t="s">
        <v>279</v>
      </c>
      <c r="C37" t="s">
        <v>333</v>
      </c>
      <c r="D37">
        <v>1110000</v>
      </c>
      <c r="E37" t="s">
        <v>121</v>
      </c>
    </row>
    <row r="38" spans="1:5" x14ac:dyDescent="0.25">
      <c r="A38" s="14">
        <v>42536.276817129627</v>
      </c>
      <c r="B38" t="s">
        <v>283</v>
      </c>
      <c r="C38" t="s">
        <v>429</v>
      </c>
      <c r="D38">
        <v>1110000</v>
      </c>
      <c r="E38" t="s">
        <v>121</v>
      </c>
    </row>
    <row r="39" spans="1:5" x14ac:dyDescent="0.25">
      <c r="A39" s="14">
        <v>42530.252384259256</v>
      </c>
      <c r="B39" t="s">
        <v>109</v>
      </c>
      <c r="C39" t="s">
        <v>185</v>
      </c>
      <c r="D39">
        <v>1460000</v>
      </c>
      <c r="E39" t="s">
        <v>181</v>
      </c>
    </row>
    <row r="40" spans="1:5" x14ac:dyDescent="0.25">
      <c r="A40" s="14">
        <v>42536.246377314812</v>
      </c>
      <c r="B40" t="s">
        <v>176</v>
      </c>
      <c r="C40" t="s">
        <v>426</v>
      </c>
      <c r="D40">
        <v>1100000</v>
      </c>
      <c r="E40" t="s">
        <v>97</v>
      </c>
    </row>
    <row r="41" spans="1:5" x14ac:dyDescent="0.25">
      <c r="A41" s="14">
        <v>42536.247418981482</v>
      </c>
      <c r="B41" t="s">
        <v>176</v>
      </c>
      <c r="C41" t="s">
        <v>426</v>
      </c>
      <c r="D41">
        <v>1100000</v>
      </c>
      <c r="E41" t="s">
        <v>97</v>
      </c>
    </row>
    <row r="42" spans="1:5" x14ac:dyDescent="0.25">
      <c r="A42" s="14">
        <v>42536.285752314812</v>
      </c>
      <c r="B42" t="s">
        <v>132</v>
      </c>
      <c r="C42" t="s">
        <v>372</v>
      </c>
      <c r="D42">
        <v>1100000</v>
      </c>
      <c r="E42" t="s">
        <v>97</v>
      </c>
    </row>
    <row r="43" spans="1:5" x14ac:dyDescent="0.25">
      <c r="A43" s="14">
        <v>42536.256840277776</v>
      </c>
      <c r="B43" s="59" t="s">
        <v>278</v>
      </c>
      <c r="C43" t="s">
        <v>423</v>
      </c>
      <c r="D43">
        <v>1230000</v>
      </c>
      <c r="E43" t="s">
        <v>165</v>
      </c>
    </row>
    <row r="44" spans="1:5" x14ac:dyDescent="0.25">
      <c r="A44" s="14">
        <v>42530.296574074076</v>
      </c>
      <c r="B44" t="s">
        <v>111</v>
      </c>
      <c r="C44" t="s">
        <v>180</v>
      </c>
      <c r="D44">
        <v>1460000</v>
      </c>
      <c r="E44" t="s">
        <v>181</v>
      </c>
    </row>
    <row r="45" spans="1:5" x14ac:dyDescent="0.25">
      <c r="A45" s="14">
        <v>42536.296284722222</v>
      </c>
      <c r="B45" t="s">
        <v>280</v>
      </c>
      <c r="C45" t="s">
        <v>452</v>
      </c>
      <c r="D45">
        <v>1230000</v>
      </c>
      <c r="E45" t="s">
        <v>165</v>
      </c>
    </row>
    <row r="46" spans="1:5" x14ac:dyDescent="0.25">
      <c r="A46" s="14">
        <v>42536.266053240739</v>
      </c>
      <c r="B46" t="s">
        <v>103</v>
      </c>
      <c r="C46" t="s">
        <v>421</v>
      </c>
      <c r="D46">
        <v>1260000</v>
      </c>
      <c r="E46" t="s">
        <v>263</v>
      </c>
    </row>
    <row r="47" spans="1:5" x14ac:dyDescent="0.25">
      <c r="A47" s="14">
        <v>42536.304363425923</v>
      </c>
      <c r="B47" s="83" t="s">
        <v>102</v>
      </c>
      <c r="C47" t="s">
        <v>454</v>
      </c>
      <c r="D47">
        <v>1260000</v>
      </c>
      <c r="E47" t="s">
        <v>263</v>
      </c>
    </row>
    <row r="48" spans="1:5" x14ac:dyDescent="0.25">
      <c r="A48" s="14">
        <v>42530.277592592596</v>
      </c>
      <c r="B48" t="s">
        <v>176</v>
      </c>
      <c r="C48" t="s">
        <v>194</v>
      </c>
      <c r="D48">
        <v>1360000</v>
      </c>
      <c r="E48" t="s">
        <v>100</v>
      </c>
    </row>
    <row r="49" spans="1:5" x14ac:dyDescent="0.25">
      <c r="A49" s="84">
        <v>42536.27815972222</v>
      </c>
      <c r="B49" t="s">
        <v>126</v>
      </c>
      <c r="C49" t="s">
        <v>419</v>
      </c>
      <c r="D49">
        <v>1190000</v>
      </c>
      <c r="E49" t="s">
        <v>299</v>
      </c>
    </row>
    <row r="50" spans="1:5" x14ac:dyDescent="0.25">
      <c r="A50" s="14">
        <v>42530.316400462965</v>
      </c>
      <c r="B50" t="s">
        <v>132</v>
      </c>
      <c r="C50" t="s">
        <v>133</v>
      </c>
      <c r="D50">
        <v>1360000</v>
      </c>
      <c r="E50" t="s">
        <v>100</v>
      </c>
    </row>
    <row r="51" spans="1:5" x14ac:dyDescent="0.25">
      <c r="A51" s="14">
        <v>42536.318541666667</v>
      </c>
      <c r="B51" t="s">
        <v>112</v>
      </c>
      <c r="C51" t="s">
        <v>331</v>
      </c>
      <c r="D51">
        <v>1190000</v>
      </c>
      <c r="E51" t="s">
        <v>299</v>
      </c>
    </row>
    <row r="52" spans="1:5" x14ac:dyDescent="0.25">
      <c r="A52" s="14">
        <v>42536.317662037036</v>
      </c>
      <c r="B52" t="s">
        <v>112</v>
      </c>
      <c r="C52" t="s">
        <v>331</v>
      </c>
      <c r="D52">
        <v>1190000</v>
      </c>
      <c r="E52" t="s">
        <v>299</v>
      </c>
    </row>
    <row r="53" spans="1:5" x14ac:dyDescent="0.25">
      <c r="A53" s="14">
        <v>42536.286990740744</v>
      </c>
      <c r="B53" t="s">
        <v>148</v>
      </c>
      <c r="C53" t="s">
        <v>375</v>
      </c>
      <c r="D53">
        <v>1830000</v>
      </c>
      <c r="E53" t="s">
        <v>340</v>
      </c>
    </row>
    <row r="54" spans="1:5" x14ac:dyDescent="0.25">
      <c r="A54" s="14">
        <v>42536.325173611112</v>
      </c>
      <c r="B54" t="s">
        <v>77</v>
      </c>
      <c r="C54" t="s">
        <v>416</v>
      </c>
      <c r="D54">
        <v>1830000</v>
      </c>
      <c r="E54" t="s">
        <v>340</v>
      </c>
    </row>
    <row r="55" spans="1:5" x14ac:dyDescent="0.25">
      <c r="A55" s="14">
        <v>42536.298506944448</v>
      </c>
      <c r="B55" t="s">
        <v>108</v>
      </c>
      <c r="C55" t="s">
        <v>338</v>
      </c>
      <c r="D55">
        <v>900000</v>
      </c>
      <c r="E55" t="s">
        <v>167</v>
      </c>
    </row>
    <row r="56" spans="1:5" x14ac:dyDescent="0.25">
      <c r="A56" s="14">
        <v>42530.33861111111</v>
      </c>
      <c r="B56" t="s">
        <v>110</v>
      </c>
      <c r="C56" t="s">
        <v>178</v>
      </c>
      <c r="D56">
        <v>1230000</v>
      </c>
      <c r="E56" t="s">
        <v>165</v>
      </c>
    </row>
    <row r="57" spans="1:5" x14ac:dyDescent="0.25">
      <c r="A57" s="14">
        <v>42536.339548611111</v>
      </c>
      <c r="B57" t="s">
        <v>110</v>
      </c>
      <c r="C57" t="s">
        <v>412</v>
      </c>
      <c r="D57">
        <v>900000</v>
      </c>
      <c r="E57" t="s">
        <v>167</v>
      </c>
    </row>
    <row r="58" spans="1:5" x14ac:dyDescent="0.25">
      <c r="A58" s="14">
        <v>42536.337627314817</v>
      </c>
      <c r="B58" t="s">
        <v>110</v>
      </c>
      <c r="C58" t="s">
        <v>412</v>
      </c>
      <c r="D58">
        <v>900000</v>
      </c>
      <c r="E58" t="s">
        <v>167</v>
      </c>
    </row>
    <row r="59" spans="1:5" x14ac:dyDescent="0.25">
      <c r="A59" s="14">
        <v>42530.308240740742</v>
      </c>
      <c r="B59" t="s">
        <v>103</v>
      </c>
      <c r="C59" t="s">
        <v>215</v>
      </c>
      <c r="D59">
        <v>1100000</v>
      </c>
      <c r="E59" t="s">
        <v>97</v>
      </c>
    </row>
    <row r="60" spans="1:5" x14ac:dyDescent="0.25">
      <c r="A60" s="14">
        <v>42536.275879629633</v>
      </c>
      <c r="B60" t="s">
        <v>283</v>
      </c>
      <c r="C60" t="s">
        <v>351</v>
      </c>
      <c r="D60">
        <v>1110000</v>
      </c>
      <c r="E60" t="s">
        <v>121</v>
      </c>
    </row>
    <row r="61" spans="1:5" x14ac:dyDescent="0.25">
      <c r="A61" s="14">
        <v>42536.309247685182</v>
      </c>
      <c r="B61" t="s">
        <v>279</v>
      </c>
      <c r="C61" t="s">
        <v>351</v>
      </c>
      <c r="D61">
        <v>1110000</v>
      </c>
      <c r="E61" t="s">
        <v>121</v>
      </c>
    </row>
    <row r="62" spans="1:5" x14ac:dyDescent="0.25">
      <c r="A62" s="14">
        <v>42530.348506944443</v>
      </c>
      <c r="B62" t="s">
        <v>102</v>
      </c>
      <c r="C62" t="s">
        <v>203</v>
      </c>
      <c r="D62">
        <v>1100000</v>
      </c>
      <c r="E62" t="s">
        <v>97</v>
      </c>
    </row>
    <row r="63" spans="1:5" x14ac:dyDescent="0.25">
      <c r="A63" s="14">
        <v>42536.348263888889</v>
      </c>
      <c r="B63" t="s">
        <v>283</v>
      </c>
      <c r="C63" t="s">
        <v>441</v>
      </c>
      <c r="D63">
        <v>1110000</v>
      </c>
      <c r="E63" t="s">
        <v>121</v>
      </c>
    </row>
    <row r="64" spans="1:5" x14ac:dyDescent="0.25">
      <c r="A64" s="14">
        <v>42536.321261574078</v>
      </c>
      <c r="B64" t="s">
        <v>176</v>
      </c>
      <c r="C64" t="s">
        <v>417</v>
      </c>
      <c r="D64">
        <v>1100000</v>
      </c>
      <c r="E64" t="s">
        <v>97</v>
      </c>
    </row>
    <row r="65" spans="1:5" x14ac:dyDescent="0.25">
      <c r="A65" s="14">
        <v>42536.320081018515</v>
      </c>
      <c r="B65" t="s">
        <v>176</v>
      </c>
      <c r="C65" t="s">
        <v>417</v>
      </c>
      <c r="D65">
        <v>1100000</v>
      </c>
      <c r="E65" t="s">
        <v>97</v>
      </c>
    </row>
    <row r="66" spans="1:5" x14ac:dyDescent="0.25">
      <c r="A66" s="14">
        <v>42536.358958333331</v>
      </c>
      <c r="B66" t="s">
        <v>132</v>
      </c>
      <c r="C66" t="s">
        <v>407</v>
      </c>
      <c r="D66">
        <v>1100000</v>
      </c>
      <c r="E66" t="s">
        <v>97</v>
      </c>
    </row>
    <row r="67" spans="1:5" x14ac:dyDescent="0.25">
      <c r="A67" s="14">
        <v>42530.329513888886</v>
      </c>
      <c r="B67" t="s">
        <v>126</v>
      </c>
      <c r="C67" t="s">
        <v>183</v>
      </c>
      <c r="D67">
        <v>1310000</v>
      </c>
      <c r="E67" t="s">
        <v>172</v>
      </c>
    </row>
    <row r="68" spans="1:5" x14ac:dyDescent="0.25">
      <c r="A68" s="14">
        <v>42536.330648148149</v>
      </c>
      <c r="B68" t="s">
        <v>278</v>
      </c>
      <c r="C68" t="s">
        <v>414</v>
      </c>
      <c r="D68">
        <v>1230000</v>
      </c>
      <c r="E68" t="s">
        <v>165</v>
      </c>
    </row>
    <row r="69" spans="1:5" x14ac:dyDescent="0.25">
      <c r="A69" s="14">
        <v>42530.369641203702</v>
      </c>
      <c r="B69" t="s">
        <v>112</v>
      </c>
      <c r="C69" t="s">
        <v>224</v>
      </c>
      <c r="D69">
        <v>1310000</v>
      </c>
      <c r="E69" t="s">
        <v>172</v>
      </c>
    </row>
    <row r="70" spans="1:5" x14ac:dyDescent="0.25">
      <c r="A70" s="14">
        <v>42536.364872685182</v>
      </c>
      <c r="B70" t="s">
        <v>280</v>
      </c>
      <c r="C70" t="s">
        <v>448</v>
      </c>
      <c r="D70">
        <v>1230000</v>
      </c>
      <c r="E70" t="s">
        <v>165</v>
      </c>
    </row>
    <row r="71" spans="1:5" x14ac:dyDescent="0.25">
      <c r="A71" s="14">
        <v>42536.338634259257</v>
      </c>
      <c r="B71" t="s">
        <v>103</v>
      </c>
      <c r="C71" t="s">
        <v>377</v>
      </c>
      <c r="D71">
        <v>1260000</v>
      </c>
      <c r="E71" t="s">
        <v>263</v>
      </c>
    </row>
    <row r="72" spans="1:5" x14ac:dyDescent="0.25">
      <c r="A72" s="14">
        <v>42530.380046296297</v>
      </c>
      <c r="B72" t="s">
        <v>77</v>
      </c>
      <c r="C72" t="s">
        <v>192</v>
      </c>
      <c r="D72">
        <v>1340000</v>
      </c>
      <c r="E72" t="s">
        <v>123</v>
      </c>
    </row>
    <row r="73" spans="1:5" x14ac:dyDescent="0.25">
      <c r="A73" s="14">
        <v>42536.376608796294</v>
      </c>
      <c r="B73" t="s">
        <v>102</v>
      </c>
      <c r="C73" t="s">
        <v>379</v>
      </c>
      <c r="D73">
        <v>1260000</v>
      </c>
      <c r="E73" t="s">
        <v>263</v>
      </c>
    </row>
    <row r="74" spans="1:5" x14ac:dyDescent="0.25">
      <c r="A74" s="14">
        <v>42530.346921296295</v>
      </c>
      <c r="B74" t="s">
        <v>109</v>
      </c>
      <c r="C74" t="s">
        <v>210</v>
      </c>
      <c r="D74">
        <v>1460000</v>
      </c>
      <c r="E74" t="s">
        <v>181</v>
      </c>
    </row>
    <row r="75" spans="1:5" x14ac:dyDescent="0.25">
      <c r="A75" s="14">
        <v>42536.350057870368</v>
      </c>
      <c r="B75" t="s">
        <v>126</v>
      </c>
      <c r="C75" t="s">
        <v>409</v>
      </c>
      <c r="D75">
        <v>1190000</v>
      </c>
      <c r="E75" t="s">
        <v>299</v>
      </c>
    </row>
    <row r="76" spans="1:5" x14ac:dyDescent="0.25">
      <c r="A76" s="14">
        <v>42530.389537037037</v>
      </c>
      <c r="B76" t="s">
        <v>111</v>
      </c>
      <c r="C76" t="s">
        <v>201</v>
      </c>
      <c r="D76">
        <v>1460000</v>
      </c>
      <c r="E76" t="s">
        <v>181</v>
      </c>
    </row>
    <row r="77" spans="1:5" x14ac:dyDescent="0.25">
      <c r="A77" s="14">
        <v>42536.388865740744</v>
      </c>
      <c r="B77" t="s">
        <v>112</v>
      </c>
      <c r="C77" t="s">
        <v>349</v>
      </c>
      <c r="D77">
        <v>1190000</v>
      </c>
      <c r="E77" t="s">
        <v>299</v>
      </c>
    </row>
    <row r="78" spans="1:5" x14ac:dyDescent="0.25">
      <c r="A78" s="14">
        <v>42536.391273148147</v>
      </c>
      <c r="B78" t="s">
        <v>112</v>
      </c>
      <c r="C78" t="s">
        <v>349</v>
      </c>
      <c r="D78">
        <v>1190000</v>
      </c>
      <c r="E78" t="s">
        <v>299</v>
      </c>
    </row>
    <row r="79" spans="1:5" x14ac:dyDescent="0.25">
      <c r="A79" s="14">
        <v>42530.361481481479</v>
      </c>
      <c r="B79" t="s">
        <v>176</v>
      </c>
      <c r="C79" t="s">
        <v>223</v>
      </c>
      <c r="D79">
        <v>1360000</v>
      </c>
      <c r="E79" t="s">
        <v>100</v>
      </c>
    </row>
    <row r="80" spans="1:5" x14ac:dyDescent="0.25">
      <c r="A80" s="84">
        <v>42536.364386574074</v>
      </c>
      <c r="B80" t="s">
        <v>260</v>
      </c>
      <c r="C80" t="s">
        <v>339</v>
      </c>
      <c r="D80">
        <v>1830000</v>
      </c>
      <c r="E80" t="s">
        <v>340</v>
      </c>
    </row>
    <row r="81" spans="1:5" x14ac:dyDescent="0.25">
      <c r="A81" s="14">
        <v>42530.399560185186</v>
      </c>
      <c r="B81" t="s">
        <v>132</v>
      </c>
      <c r="C81" t="s">
        <v>175</v>
      </c>
      <c r="D81">
        <v>1360000</v>
      </c>
      <c r="E81" t="s">
        <v>100</v>
      </c>
    </row>
    <row r="82" spans="1:5" x14ac:dyDescent="0.25">
      <c r="A82" s="14">
        <v>42536.401956018519</v>
      </c>
      <c r="B82" t="s">
        <v>259</v>
      </c>
      <c r="C82" t="s">
        <v>440</v>
      </c>
      <c r="D82">
        <v>1830000</v>
      </c>
      <c r="E82" t="s">
        <v>340</v>
      </c>
    </row>
    <row r="83" spans="1:5" x14ac:dyDescent="0.25">
      <c r="A83" s="14">
        <v>42530.372337962966</v>
      </c>
      <c r="B83" t="s">
        <v>108</v>
      </c>
      <c r="C83" t="s">
        <v>248</v>
      </c>
      <c r="D83">
        <v>1230000</v>
      </c>
      <c r="E83" t="s">
        <v>165</v>
      </c>
    </row>
    <row r="84" spans="1:5" x14ac:dyDescent="0.25">
      <c r="A84" s="14">
        <v>42536.369895833333</v>
      </c>
      <c r="B84" t="s">
        <v>108</v>
      </c>
      <c r="C84" t="s">
        <v>442</v>
      </c>
      <c r="D84">
        <v>900000</v>
      </c>
      <c r="E84" t="s">
        <v>167</v>
      </c>
    </row>
    <row r="85" spans="1:5" x14ac:dyDescent="0.25">
      <c r="A85" s="14">
        <v>42530.412442129629</v>
      </c>
      <c r="B85" t="s">
        <v>110</v>
      </c>
      <c r="C85" t="s">
        <v>171</v>
      </c>
      <c r="D85">
        <v>1230000</v>
      </c>
      <c r="E85" t="s">
        <v>165</v>
      </c>
    </row>
    <row r="86" spans="1:5" x14ac:dyDescent="0.25">
      <c r="A86" s="14">
        <v>42536.411712962959</v>
      </c>
      <c r="B86" t="s">
        <v>110</v>
      </c>
      <c r="C86" t="s">
        <v>432</v>
      </c>
      <c r="D86">
        <v>900000</v>
      </c>
      <c r="E86" t="s">
        <v>167</v>
      </c>
    </row>
    <row r="87" spans="1:5" x14ac:dyDescent="0.25">
      <c r="A87" s="14">
        <v>42530.386643518519</v>
      </c>
      <c r="B87" t="s">
        <v>103</v>
      </c>
      <c r="C87" t="s">
        <v>193</v>
      </c>
      <c r="D87">
        <v>1100000</v>
      </c>
      <c r="E87" t="s">
        <v>97</v>
      </c>
    </row>
    <row r="88" spans="1:5" x14ac:dyDescent="0.25">
      <c r="A88" s="14">
        <v>42536.380729166667</v>
      </c>
      <c r="B88" t="s">
        <v>279</v>
      </c>
      <c r="C88" t="s">
        <v>405</v>
      </c>
      <c r="D88">
        <v>1110000</v>
      </c>
      <c r="E88" t="s">
        <v>121</v>
      </c>
    </row>
    <row r="89" spans="1:5" x14ac:dyDescent="0.25">
      <c r="A89" s="14">
        <v>42536.419027777774</v>
      </c>
      <c r="B89" t="s">
        <v>283</v>
      </c>
      <c r="C89" t="s">
        <v>384</v>
      </c>
      <c r="D89">
        <v>1110000</v>
      </c>
      <c r="E89" t="s">
        <v>121</v>
      </c>
    </row>
    <row r="90" spans="1:5" x14ac:dyDescent="0.25">
      <c r="A90" s="14">
        <v>42530.394386574073</v>
      </c>
      <c r="B90" t="s">
        <v>135</v>
      </c>
      <c r="C90" t="s">
        <v>136</v>
      </c>
      <c r="D90">
        <v>1290000</v>
      </c>
      <c r="E90" t="s">
        <v>116</v>
      </c>
    </row>
    <row r="91" spans="1:5" x14ac:dyDescent="0.25">
      <c r="A91" s="14">
        <v>42536.392916666664</v>
      </c>
      <c r="B91" t="s">
        <v>176</v>
      </c>
      <c r="C91" t="s">
        <v>341</v>
      </c>
      <c r="D91">
        <v>1100000</v>
      </c>
      <c r="E91" t="s">
        <v>97</v>
      </c>
    </row>
    <row r="92" spans="1:5" x14ac:dyDescent="0.25">
      <c r="A92" s="14">
        <v>42536.428761574076</v>
      </c>
      <c r="B92" t="s">
        <v>132</v>
      </c>
      <c r="C92" t="s">
        <v>435</v>
      </c>
      <c r="D92">
        <v>1100000</v>
      </c>
      <c r="E92" t="s">
        <v>97</v>
      </c>
    </row>
    <row r="93" spans="1:5" x14ac:dyDescent="0.25">
      <c r="A93" s="14">
        <v>42530.405509259261</v>
      </c>
      <c r="B93" t="s">
        <v>126</v>
      </c>
      <c r="C93" t="s">
        <v>134</v>
      </c>
      <c r="D93">
        <v>1310000</v>
      </c>
      <c r="E93" t="s">
        <v>172</v>
      </c>
    </row>
    <row r="94" spans="1:5" x14ac:dyDescent="0.25">
      <c r="A94" s="14">
        <v>42530.406053240738</v>
      </c>
      <c r="B94" t="s">
        <v>126</v>
      </c>
      <c r="C94" t="s">
        <v>134</v>
      </c>
      <c r="D94">
        <v>1310000</v>
      </c>
      <c r="E94" t="s">
        <v>172</v>
      </c>
    </row>
    <row r="95" spans="1:5" x14ac:dyDescent="0.25">
      <c r="A95" s="14">
        <v>42536.403287037036</v>
      </c>
      <c r="B95" t="s">
        <v>278</v>
      </c>
      <c r="C95" t="s">
        <v>381</v>
      </c>
      <c r="D95">
        <v>1230000</v>
      </c>
      <c r="E95" t="s">
        <v>165</v>
      </c>
    </row>
    <row r="96" spans="1:5" x14ac:dyDescent="0.25">
      <c r="A96" s="14">
        <v>42530.444641203707</v>
      </c>
      <c r="B96" t="s">
        <v>112</v>
      </c>
      <c r="C96" t="s">
        <v>228</v>
      </c>
      <c r="D96">
        <v>1310000</v>
      </c>
      <c r="E96" t="s">
        <v>172</v>
      </c>
    </row>
    <row r="97" spans="1:5" x14ac:dyDescent="0.25">
      <c r="A97" s="14">
        <v>42536.439143518517</v>
      </c>
      <c r="B97" t="s">
        <v>280</v>
      </c>
      <c r="C97" t="s">
        <v>404</v>
      </c>
      <c r="D97">
        <v>1230000</v>
      </c>
      <c r="E97" t="s">
        <v>165</v>
      </c>
    </row>
    <row r="98" spans="1:5" x14ac:dyDescent="0.25">
      <c r="A98" s="14">
        <v>42530.42224537037</v>
      </c>
      <c r="B98" t="s">
        <v>148</v>
      </c>
      <c r="C98" t="s">
        <v>170</v>
      </c>
      <c r="D98">
        <v>1340000</v>
      </c>
      <c r="E98" t="s">
        <v>123</v>
      </c>
    </row>
    <row r="99" spans="1:5" x14ac:dyDescent="0.25">
      <c r="A99" s="14">
        <v>42536.412268518521</v>
      </c>
      <c r="B99" t="s">
        <v>103</v>
      </c>
      <c r="C99" t="s">
        <v>382</v>
      </c>
      <c r="D99">
        <v>1260000</v>
      </c>
      <c r="E99" t="s">
        <v>263</v>
      </c>
    </row>
    <row r="100" spans="1:5" x14ac:dyDescent="0.25">
      <c r="A100" s="14">
        <v>42536.450624999998</v>
      </c>
      <c r="B100" t="s">
        <v>102</v>
      </c>
      <c r="C100" t="s">
        <v>388</v>
      </c>
      <c r="D100">
        <v>1260000</v>
      </c>
      <c r="E100" t="s">
        <v>263</v>
      </c>
    </row>
    <row r="101" spans="1:5" x14ac:dyDescent="0.25">
      <c r="A101" s="14">
        <v>42530.425879629627</v>
      </c>
      <c r="B101" t="s">
        <v>109</v>
      </c>
      <c r="C101" t="s">
        <v>225</v>
      </c>
      <c r="D101">
        <v>900000</v>
      </c>
      <c r="E101" t="s">
        <v>167</v>
      </c>
    </row>
    <row r="102" spans="1:5" x14ac:dyDescent="0.25">
      <c r="A102" s="14">
        <v>42536.425625000003</v>
      </c>
      <c r="B102" t="s">
        <v>126</v>
      </c>
      <c r="C102" t="s">
        <v>386</v>
      </c>
      <c r="D102">
        <v>1360000</v>
      </c>
      <c r="E102" t="s">
        <v>100</v>
      </c>
    </row>
    <row r="103" spans="1:5" x14ac:dyDescent="0.25">
      <c r="A103" s="14">
        <v>42530.463750000003</v>
      </c>
      <c r="B103" t="s">
        <v>111</v>
      </c>
      <c r="C103" t="s">
        <v>241</v>
      </c>
      <c r="D103">
        <v>900000</v>
      </c>
      <c r="E103" t="s">
        <v>167</v>
      </c>
    </row>
    <row r="104" spans="1:5" x14ac:dyDescent="0.25">
      <c r="A104" s="14">
        <v>42536.46435185185</v>
      </c>
      <c r="B104" t="s">
        <v>112</v>
      </c>
      <c r="C104" t="s">
        <v>463</v>
      </c>
      <c r="D104">
        <v>1360000</v>
      </c>
      <c r="E104" t="s">
        <v>100</v>
      </c>
    </row>
    <row r="105" spans="1:5" x14ac:dyDescent="0.25">
      <c r="A105" s="14">
        <v>42536.436365740738</v>
      </c>
      <c r="B105" t="s">
        <v>260</v>
      </c>
      <c r="C105" t="s">
        <v>346</v>
      </c>
      <c r="D105">
        <v>1190000</v>
      </c>
      <c r="E105" t="s">
        <v>299</v>
      </c>
    </row>
    <row r="106" spans="1:5" x14ac:dyDescent="0.25">
      <c r="A106" s="14">
        <v>42536.474340277775</v>
      </c>
      <c r="B106" t="s">
        <v>259</v>
      </c>
      <c r="C106" t="s">
        <v>392</v>
      </c>
      <c r="D106">
        <v>1190000</v>
      </c>
      <c r="E106" t="s">
        <v>299</v>
      </c>
    </row>
    <row r="107" spans="1:5" x14ac:dyDescent="0.25">
      <c r="A107" s="14">
        <v>42530.445231481484</v>
      </c>
      <c r="B107" t="s">
        <v>108</v>
      </c>
      <c r="C107" t="s">
        <v>227</v>
      </c>
      <c r="D107">
        <v>880000</v>
      </c>
      <c r="E107" t="s">
        <v>124</v>
      </c>
    </row>
    <row r="108" spans="1:5" x14ac:dyDescent="0.25">
      <c r="A108" s="14">
        <v>42536.44327546296</v>
      </c>
      <c r="B108" t="s">
        <v>108</v>
      </c>
      <c r="C108" t="s">
        <v>402</v>
      </c>
      <c r="D108">
        <v>1470000</v>
      </c>
      <c r="E108" t="s">
        <v>335</v>
      </c>
    </row>
    <row r="109" spans="1:5" x14ac:dyDescent="0.25">
      <c r="A109" s="14">
        <v>42530.484074074076</v>
      </c>
      <c r="B109" t="s">
        <v>110</v>
      </c>
      <c r="C109" t="s">
        <v>138</v>
      </c>
      <c r="D109">
        <v>880000</v>
      </c>
      <c r="E109" t="s">
        <v>124</v>
      </c>
    </row>
    <row r="110" spans="1:5" x14ac:dyDescent="0.25">
      <c r="A110" s="14">
        <v>42536.48060185185</v>
      </c>
      <c r="B110" t="s">
        <v>110</v>
      </c>
      <c r="C110" t="s">
        <v>334</v>
      </c>
      <c r="D110">
        <v>1470000</v>
      </c>
      <c r="E110" t="s">
        <v>335</v>
      </c>
    </row>
    <row r="111" spans="1:5" x14ac:dyDescent="0.25">
      <c r="A111" s="14">
        <v>42536.45648148148</v>
      </c>
      <c r="B111" t="s">
        <v>279</v>
      </c>
      <c r="C111" t="s">
        <v>446</v>
      </c>
      <c r="D111">
        <v>900000</v>
      </c>
      <c r="E111" t="s">
        <v>167</v>
      </c>
    </row>
    <row r="112" spans="1:5" x14ac:dyDescent="0.25">
      <c r="A112" s="14">
        <v>42530.493437500001</v>
      </c>
      <c r="B112" t="s">
        <v>102</v>
      </c>
      <c r="C112" t="s">
        <v>197</v>
      </c>
      <c r="D112">
        <v>1460000</v>
      </c>
      <c r="E112" t="s">
        <v>181</v>
      </c>
    </row>
    <row r="113" spans="1:5" x14ac:dyDescent="0.25">
      <c r="A113" s="14">
        <v>42536.489270833335</v>
      </c>
      <c r="B113" t="s">
        <v>283</v>
      </c>
      <c r="C113" t="s">
        <v>394</v>
      </c>
      <c r="D113">
        <v>900000</v>
      </c>
      <c r="E113" t="s">
        <v>167</v>
      </c>
    </row>
    <row r="114" spans="1:5" x14ac:dyDescent="0.25">
      <c r="A114" s="14">
        <v>42530.469814814816</v>
      </c>
      <c r="B114" t="s">
        <v>135</v>
      </c>
      <c r="C114" t="s">
        <v>199</v>
      </c>
      <c r="D114">
        <v>1110000</v>
      </c>
      <c r="E114" t="s">
        <v>121</v>
      </c>
    </row>
    <row r="115" spans="1:5" x14ac:dyDescent="0.25">
      <c r="A115" s="14">
        <v>42530.467812499999</v>
      </c>
      <c r="B115" t="s">
        <v>135</v>
      </c>
      <c r="C115" t="s">
        <v>199</v>
      </c>
      <c r="D115">
        <v>1110000</v>
      </c>
      <c r="E115" t="s">
        <v>121</v>
      </c>
    </row>
    <row r="116" spans="1:5" x14ac:dyDescent="0.25">
      <c r="A116" s="14">
        <v>42536.467905092592</v>
      </c>
      <c r="B116" t="s">
        <v>176</v>
      </c>
      <c r="C116" t="s">
        <v>425</v>
      </c>
      <c r="D116">
        <v>1450000</v>
      </c>
      <c r="E116" t="s">
        <v>282</v>
      </c>
    </row>
    <row r="117" spans="1:5" x14ac:dyDescent="0.25">
      <c r="A117" s="14">
        <v>42536.501736111109</v>
      </c>
      <c r="B117" t="s">
        <v>132</v>
      </c>
      <c r="C117" t="s">
        <v>344</v>
      </c>
      <c r="D117">
        <v>1450000</v>
      </c>
      <c r="E117" t="s">
        <v>282</v>
      </c>
    </row>
    <row r="118" spans="1:5" x14ac:dyDescent="0.25">
      <c r="A118" s="14">
        <v>42530.476574074077</v>
      </c>
      <c r="B118" t="s">
        <v>126</v>
      </c>
      <c r="C118" t="s">
        <v>137</v>
      </c>
      <c r="D118">
        <v>890000</v>
      </c>
      <c r="E118" t="s">
        <v>117</v>
      </c>
    </row>
    <row r="119" spans="1:5" x14ac:dyDescent="0.25">
      <c r="A119" s="14">
        <v>42536.474247685182</v>
      </c>
      <c r="B119" t="s">
        <v>278</v>
      </c>
      <c r="C119" t="s">
        <v>390</v>
      </c>
      <c r="D119">
        <v>940000</v>
      </c>
      <c r="E119" t="s">
        <v>374</v>
      </c>
    </row>
    <row r="120" spans="1:5" x14ac:dyDescent="0.25">
      <c r="A120" s="14">
        <v>42536.51221064815</v>
      </c>
      <c r="B120" t="s">
        <v>280</v>
      </c>
      <c r="C120" t="s">
        <v>400</v>
      </c>
      <c r="D120">
        <v>940000</v>
      </c>
      <c r="E120" t="s">
        <v>374</v>
      </c>
    </row>
    <row r="121" spans="1:5" x14ac:dyDescent="0.25">
      <c r="A121" s="14">
        <v>42530.487025462964</v>
      </c>
      <c r="B121" t="s">
        <v>148</v>
      </c>
      <c r="C121" t="s">
        <v>184</v>
      </c>
      <c r="D121">
        <v>1740000</v>
      </c>
      <c r="E121" t="s">
        <v>122</v>
      </c>
    </row>
    <row r="122" spans="1:5" x14ac:dyDescent="0.25">
      <c r="A122" s="14">
        <v>42536.486921296295</v>
      </c>
      <c r="B122" t="s">
        <v>103</v>
      </c>
      <c r="C122" t="s">
        <v>336</v>
      </c>
      <c r="D122">
        <v>1520000</v>
      </c>
      <c r="E122" t="s">
        <v>166</v>
      </c>
    </row>
    <row r="123" spans="1:5" x14ac:dyDescent="0.25">
      <c r="A123" s="14">
        <v>42530.524733796294</v>
      </c>
      <c r="B123" t="s">
        <v>77</v>
      </c>
      <c r="C123" t="s">
        <v>140</v>
      </c>
      <c r="D123">
        <v>1740000</v>
      </c>
      <c r="E123" t="s">
        <v>122</v>
      </c>
    </row>
    <row r="124" spans="1:5" x14ac:dyDescent="0.25">
      <c r="A124" s="14">
        <v>42536.517789351848</v>
      </c>
      <c r="B124" t="s">
        <v>102</v>
      </c>
      <c r="C124" t="s">
        <v>469</v>
      </c>
      <c r="D124">
        <v>1520000</v>
      </c>
      <c r="E124" t="s">
        <v>166</v>
      </c>
    </row>
    <row r="125" spans="1:5" x14ac:dyDescent="0.25">
      <c r="A125" s="14">
        <v>42530.497777777775</v>
      </c>
      <c r="B125" t="s">
        <v>109</v>
      </c>
      <c r="C125" t="s">
        <v>211</v>
      </c>
      <c r="D125">
        <v>900000</v>
      </c>
      <c r="E125" t="s">
        <v>167</v>
      </c>
    </row>
    <row r="126" spans="1:5" x14ac:dyDescent="0.25">
      <c r="A126" s="14">
        <v>42536.497835648152</v>
      </c>
      <c r="B126" t="s">
        <v>126</v>
      </c>
      <c r="C126" t="s">
        <v>443</v>
      </c>
      <c r="D126">
        <v>1360000</v>
      </c>
      <c r="E126" t="s">
        <v>100</v>
      </c>
    </row>
    <row r="127" spans="1:5" x14ac:dyDescent="0.25">
      <c r="A127" s="14">
        <v>42536.535266203704</v>
      </c>
      <c r="B127" t="s">
        <v>112</v>
      </c>
      <c r="C127" t="s">
        <v>342</v>
      </c>
      <c r="D127">
        <v>1360000</v>
      </c>
      <c r="E127" t="s">
        <v>100</v>
      </c>
    </row>
    <row r="128" spans="1:5" x14ac:dyDescent="0.25">
      <c r="A128" s="14">
        <v>42536.506851851853</v>
      </c>
      <c r="B128" t="s">
        <v>260</v>
      </c>
      <c r="C128" t="s">
        <v>337</v>
      </c>
      <c r="D128">
        <v>880000</v>
      </c>
      <c r="E128" t="s">
        <v>124</v>
      </c>
    </row>
    <row r="129" spans="1:5" x14ac:dyDescent="0.25">
      <c r="A129" s="14">
        <v>42536.508356481485</v>
      </c>
      <c r="B129" t="s">
        <v>260</v>
      </c>
      <c r="C129" t="s">
        <v>337</v>
      </c>
      <c r="D129">
        <v>880000</v>
      </c>
      <c r="E129" t="s">
        <v>124</v>
      </c>
    </row>
    <row r="130" spans="1:5" x14ac:dyDescent="0.25">
      <c r="A130" s="14">
        <v>42530.543124999997</v>
      </c>
      <c r="B130" t="s">
        <v>94</v>
      </c>
      <c r="C130" t="s">
        <v>142</v>
      </c>
      <c r="D130">
        <v>1520000</v>
      </c>
      <c r="E130" t="s">
        <v>166</v>
      </c>
    </row>
    <row r="131" spans="1:5" x14ac:dyDescent="0.25">
      <c r="A131" s="14">
        <v>42536.547881944447</v>
      </c>
      <c r="B131" t="s">
        <v>259</v>
      </c>
      <c r="C131" t="s">
        <v>395</v>
      </c>
      <c r="D131">
        <v>880000</v>
      </c>
      <c r="E131" t="s">
        <v>124</v>
      </c>
    </row>
    <row r="132" spans="1:5" x14ac:dyDescent="0.25">
      <c r="A132" s="14">
        <v>42530.521574074075</v>
      </c>
      <c r="B132" t="s">
        <v>108</v>
      </c>
      <c r="C132" t="s">
        <v>139</v>
      </c>
      <c r="D132">
        <v>880000</v>
      </c>
      <c r="E132" t="s">
        <v>124</v>
      </c>
    </row>
    <row r="133" spans="1:5" x14ac:dyDescent="0.25">
      <c r="A133" s="14">
        <v>42536.516423611109</v>
      </c>
      <c r="B133" t="s">
        <v>108</v>
      </c>
      <c r="C133" t="s">
        <v>376</v>
      </c>
      <c r="D133">
        <v>1470000</v>
      </c>
      <c r="E133" t="s">
        <v>335</v>
      </c>
    </row>
    <row r="134" spans="1:5" x14ac:dyDescent="0.25">
      <c r="A134" s="14">
        <v>42530.557395833333</v>
      </c>
      <c r="B134" t="s">
        <v>110</v>
      </c>
      <c r="C134" t="s">
        <v>143</v>
      </c>
      <c r="D134">
        <v>880000</v>
      </c>
      <c r="E134" t="s">
        <v>124</v>
      </c>
    </row>
    <row r="135" spans="1:5" x14ac:dyDescent="0.25">
      <c r="A135" s="14">
        <v>42536.5547337963</v>
      </c>
      <c r="B135" t="s">
        <v>110</v>
      </c>
      <c r="C135" t="s">
        <v>398</v>
      </c>
      <c r="D135">
        <v>1470000</v>
      </c>
      <c r="E135" t="s">
        <v>335</v>
      </c>
    </row>
    <row r="136" spans="1:5" x14ac:dyDescent="0.25">
      <c r="A136" s="14">
        <v>42530.528483796297</v>
      </c>
      <c r="B136" t="s">
        <v>103</v>
      </c>
      <c r="C136" t="s">
        <v>218</v>
      </c>
      <c r="D136">
        <v>1280000</v>
      </c>
      <c r="E136" t="s">
        <v>169</v>
      </c>
    </row>
    <row r="137" spans="1:5" x14ac:dyDescent="0.25">
      <c r="A137" s="14">
        <v>42536.52888888889</v>
      </c>
      <c r="B137" t="s">
        <v>279</v>
      </c>
      <c r="C137" t="s">
        <v>397</v>
      </c>
      <c r="D137">
        <v>1340000</v>
      </c>
      <c r="E137" t="s">
        <v>123</v>
      </c>
    </row>
    <row r="138" spans="1:5" x14ac:dyDescent="0.25">
      <c r="A138" s="14">
        <v>42530.568333333336</v>
      </c>
      <c r="B138" t="s">
        <v>102</v>
      </c>
      <c r="C138" t="s">
        <v>231</v>
      </c>
      <c r="D138">
        <v>1280000</v>
      </c>
      <c r="E138" t="s">
        <v>169</v>
      </c>
    </row>
    <row r="139" spans="1:5" x14ac:dyDescent="0.25">
      <c r="A139" s="14">
        <v>42536.567187499997</v>
      </c>
      <c r="B139" t="s">
        <v>283</v>
      </c>
      <c r="C139" t="s">
        <v>456</v>
      </c>
      <c r="D139">
        <v>1340000</v>
      </c>
      <c r="E139" t="s">
        <v>123</v>
      </c>
    </row>
    <row r="140" spans="1:5" x14ac:dyDescent="0.25">
      <c r="A140" s="14">
        <v>42536.54042824074</v>
      </c>
      <c r="B140" t="s">
        <v>176</v>
      </c>
      <c r="C140" t="s">
        <v>361</v>
      </c>
      <c r="D140">
        <v>890000</v>
      </c>
      <c r="E140" t="s">
        <v>117</v>
      </c>
    </row>
    <row r="141" spans="1:5" x14ac:dyDescent="0.25">
      <c r="A141" s="14">
        <v>42536.54215277778</v>
      </c>
      <c r="B141" s="83" t="s">
        <v>176</v>
      </c>
      <c r="C141" t="s">
        <v>361</v>
      </c>
      <c r="D141">
        <v>890000</v>
      </c>
      <c r="E141" t="s">
        <v>117</v>
      </c>
    </row>
    <row r="142" spans="1:5" x14ac:dyDescent="0.25">
      <c r="A142" s="14">
        <v>42530.578217592592</v>
      </c>
      <c r="B142" s="59" t="s">
        <v>130</v>
      </c>
      <c r="C142" t="s">
        <v>243</v>
      </c>
      <c r="D142">
        <v>1110000</v>
      </c>
      <c r="E142" t="s">
        <v>121</v>
      </c>
    </row>
    <row r="143" spans="1:5" x14ac:dyDescent="0.25">
      <c r="A143" s="14">
        <v>42536.578553240739</v>
      </c>
      <c r="B143" t="s">
        <v>132</v>
      </c>
      <c r="C143" t="s">
        <v>444</v>
      </c>
      <c r="D143">
        <v>890000</v>
      </c>
      <c r="E143" t="s">
        <v>117</v>
      </c>
    </row>
    <row r="144" spans="1:5" x14ac:dyDescent="0.25">
      <c r="A144" s="14">
        <v>42530.547569444447</v>
      </c>
      <c r="B144" t="s">
        <v>126</v>
      </c>
      <c r="C144" t="s">
        <v>141</v>
      </c>
      <c r="D144">
        <v>890000</v>
      </c>
      <c r="E144" t="s">
        <v>117</v>
      </c>
    </row>
    <row r="145" spans="1:5" x14ac:dyDescent="0.25">
      <c r="A145" s="14">
        <v>42536.548113425924</v>
      </c>
      <c r="B145" t="s">
        <v>278</v>
      </c>
      <c r="C145" t="s">
        <v>396</v>
      </c>
      <c r="D145">
        <v>940000</v>
      </c>
      <c r="E145" t="s">
        <v>374</v>
      </c>
    </row>
    <row r="146" spans="1:5" x14ac:dyDescent="0.25">
      <c r="A146" s="14">
        <v>42530.590451388889</v>
      </c>
      <c r="B146" t="s">
        <v>112</v>
      </c>
      <c r="C146" t="s">
        <v>220</v>
      </c>
      <c r="D146">
        <v>890000</v>
      </c>
      <c r="E146" t="s">
        <v>117</v>
      </c>
    </row>
    <row r="147" spans="1:5" x14ac:dyDescent="0.25">
      <c r="A147" s="14">
        <v>42536.585555555554</v>
      </c>
      <c r="B147" t="s">
        <v>280</v>
      </c>
      <c r="C147" t="s">
        <v>389</v>
      </c>
      <c r="D147">
        <v>940000</v>
      </c>
      <c r="E147" t="s">
        <v>374</v>
      </c>
    </row>
    <row r="148" spans="1:5" x14ac:dyDescent="0.25">
      <c r="A148" s="14">
        <v>42530.563657407409</v>
      </c>
      <c r="B148" t="s">
        <v>148</v>
      </c>
      <c r="C148" t="s">
        <v>168</v>
      </c>
      <c r="D148">
        <v>1740000</v>
      </c>
      <c r="E148" t="s">
        <v>122</v>
      </c>
    </row>
    <row r="149" spans="1:5" x14ac:dyDescent="0.25">
      <c r="A149" s="14">
        <v>42530.562326388892</v>
      </c>
      <c r="B149" t="s">
        <v>148</v>
      </c>
      <c r="C149" t="s">
        <v>168</v>
      </c>
      <c r="D149">
        <v>1740000</v>
      </c>
      <c r="E149" t="s">
        <v>122</v>
      </c>
    </row>
    <row r="150" spans="1:5" x14ac:dyDescent="0.25">
      <c r="A150" s="14">
        <v>42536.559490740743</v>
      </c>
      <c r="B150" t="s">
        <v>103</v>
      </c>
      <c r="C150" t="s">
        <v>343</v>
      </c>
      <c r="D150">
        <v>1520000</v>
      </c>
      <c r="E150" t="s">
        <v>166</v>
      </c>
    </row>
    <row r="151" spans="1:5" x14ac:dyDescent="0.25">
      <c r="A151" s="14">
        <v>42530.597291666665</v>
      </c>
      <c r="B151" t="s">
        <v>77</v>
      </c>
      <c r="C151" t="s">
        <v>146</v>
      </c>
      <c r="D151">
        <v>1740000</v>
      </c>
      <c r="E151" t="s">
        <v>122</v>
      </c>
    </row>
    <row r="152" spans="1:5" x14ac:dyDescent="0.25">
      <c r="A152" s="14">
        <v>42533.597430555557</v>
      </c>
      <c r="B152" t="s">
        <v>110</v>
      </c>
      <c r="C152" t="s">
        <v>268</v>
      </c>
      <c r="D152">
        <v>1540000</v>
      </c>
      <c r="E152" t="s">
        <v>113</v>
      </c>
    </row>
    <row r="153" spans="1:5" x14ac:dyDescent="0.25">
      <c r="A153" s="14">
        <v>42536.597812499997</v>
      </c>
      <c r="B153" t="s">
        <v>102</v>
      </c>
      <c r="C153" t="s">
        <v>431</v>
      </c>
      <c r="D153">
        <v>1520000</v>
      </c>
      <c r="E153" t="s">
        <v>166</v>
      </c>
    </row>
    <row r="154" spans="1:5" x14ac:dyDescent="0.25">
      <c r="A154" s="14">
        <v>42530.574456018519</v>
      </c>
      <c r="B154" t="s">
        <v>150</v>
      </c>
      <c r="C154" t="s">
        <v>249</v>
      </c>
      <c r="D154">
        <v>900000</v>
      </c>
      <c r="E154" t="s">
        <v>167</v>
      </c>
    </row>
    <row r="155" spans="1:5" x14ac:dyDescent="0.25">
      <c r="A155" s="14">
        <v>42536.570231481484</v>
      </c>
      <c r="B155" t="s">
        <v>126</v>
      </c>
      <c r="C155" t="s">
        <v>391</v>
      </c>
      <c r="D155">
        <v>1360000</v>
      </c>
      <c r="E155" t="s">
        <v>100</v>
      </c>
    </row>
    <row r="156" spans="1:5" x14ac:dyDescent="0.25">
      <c r="A156" s="14">
        <v>42533.616377314815</v>
      </c>
      <c r="B156" t="s">
        <v>259</v>
      </c>
      <c r="C156" t="s">
        <v>261</v>
      </c>
      <c r="D156">
        <v>1120000</v>
      </c>
      <c r="E156" t="s">
        <v>264</v>
      </c>
    </row>
    <row r="157" spans="1:5" x14ac:dyDescent="0.25">
      <c r="A157" s="14">
        <v>42536.609305555554</v>
      </c>
      <c r="B157" t="s">
        <v>112</v>
      </c>
      <c r="C157" t="s">
        <v>422</v>
      </c>
      <c r="D157">
        <v>1360000</v>
      </c>
      <c r="E157" t="s">
        <v>100</v>
      </c>
    </row>
    <row r="158" spans="1:5" x14ac:dyDescent="0.25">
      <c r="A158" s="14">
        <v>42530.587222222224</v>
      </c>
      <c r="B158" t="s">
        <v>144</v>
      </c>
      <c r="C158" t="s">
        <v>145</v>
      </c>
      <c r="D158">
        <v>1520000</v>
      </c>
      <c r="E158" t="s">
        <v>166</v>
      </c>
    </row>
    <row r="159" spans="1:5" x14ac:dyDescent="0.25">
      <c r="A159" s="14">
        <v>42536.581979166665</v>
      </c>
      <c r="B159" t="s">
        <v>260</v>
      </c>
      <c r="C159" t="s">
        <v>332</v>
      </c>
      <c r="D159">
        <v>880000</v>
      </c>
      <c r="E159" t="s">
        <v>124</v>
      </c>
    </row>
    <row r="160" spans="1:5" x14ac:dyDescent="0.25">
      <c r="A160" s="14">
        <v>42536.58357638889</v>
      </c>
      <c r="B160" t="s">
        <v>260</v>
      </c>
      <c r="C160" t="s">
        <v>332</v>
      </c>
      <c r="D160">
        <v>880000</v>
      </c>
      <c r="E160" t="s">
        <v>124</v>
      </c>
    </row>
    <row r="161" spans="1:5" x14ac:dyDescent="0.25">
      <c r="A161" s="14">
        <v>42536.626145833332</v>
      </c>
      <c r="B161" t="s">
        <v>259</v>
      </c>
      <c r="C161" t="s">
        <v>366</v>
      </c>
      <c r="D161">
        <v>880000</v>
      </c>
      <c r="E161" t="s">
        <v>124</v>
      </c>
    </row>
    <row r="162" spans="1:5" x14ac:dyDescent="0.25">
      <c r="A162" s="14">
        <v>42536.639710648145</v>
      </c>
      <c r="B162" t="s">
        <v>259</v>
      </c>
      <c r="C162" t="s">
        <v>366</v>
      </c>
      <c r="D162">
        <v>880000</v>
      </c>
      <c r="E162" t="s">
        <v>124</v>
      </c>
    </row>
    <row r="163" spans="1:5" x14ac:dyDescent="0.25">
      <c r="A163" s="14">
        <v>42536.624108796299</v>
      </c>
      <c r="B163" t="s">
        <v>259</v>
      </c>
      <c r="C163" t="s">
        <v>366</v>
      </c>
      <c r="D163">
        <v>880000</v>
      </c>
      <c r="E163" t="s">
        <v>124</v>
      </c>
    </row>
    <row r="164" spans="1:5" x14ac:dyDescent="0.25">
      <c r="A164" s="14">
        <v>42536.591666666667</v>
      </c>
      <c r="B164" t="s">
        <v>108</v>
      </c>
      <c r="C164" t="s">
        <v>445</v>
      </c>
      <c r="D164">
        <v>1470000</v>
      </c>
      <c r="E164" t="s">
        <v>335</v>
      </c>
    </row>
    <row r="165" spans="1:5" x14ac:dyDescent="0.25">
      <c r="A165" s="14">
        <v>42530.592314814814</v>
      </c>
      <c r="B165" t="s">
        <v>108</v>
      </c>
      <c r="C165" t="s">
        <v>147</v>
      </c>
      <c r="D165">
        <v>880000</v>
      </c>
      <c r="E165" t="s">
        <v>124</v>
      </c>
    </row>
    <row r="166" spans="1:5" x14ac:dyDescent="0.25">
      <c r="A166" s="14">
        <v>42536.63003472222</v>
      </c>
      <c r="B166" t="s">
        <v>110</v>
      </c>
      <c r="C166" t="s">
        <v>362</v>
      </c>
      <c r="D166">
        <v>1470000</v>
      </c>
      <c r="E166" t="s">
        <v>335</v>
      </c>
    </row>
    <row r="167" spans="1:5" x14ac:dyDescent="0.25">
      <c r="A167" s="14">
        <v>42536.600370370368</v>
      </c>
      <c r="B167" t="s">
        <v>279</v>
      </c>
      <c r="C167" t="s">
        <v>415</v>
      </c>
      <c r="D167">
        <v>1340000</v>
      </c>
      <c r="E167" t="s">
        <v>123</v>
      </c>
    </row>
    <row r="168" spans="1:5" x14ac:dyDescent="0.25">
      <c r="A168" s="14">
        <v>42530.633819444447</v>
      </c>
      <c r="B168" t="s">
        <v>102</v>
      </c>
      <c r="C168" t="s">
        <v>233</v>
      </c>
      <c r="D168">
        <v>1280000</v>
      </c>
      <c r="E168" t="s">
        <v>169</v>
      </c>
    </row>
    <row r="169" spans="1:5" x14ac:dyDescent="0.25">
      <c r="A169" s="14">
        <v>42536.640856481485</v>
      </c>
      <c r="B169" t="s">
        <v>283</v>
      </c>
      <c r="C169" t="s">
        <v>447</v>
      </c>
      <c r="D169">
        <v>1340000</v>
      </c>
      <c r="E169" t="s">
        <v>123</v>
      </c>
    </row>
    <row r="170" spans="1:5" x14ac:dyDescent="0.25">
      <c r="A170" s="14">
        <v>42530.611226851855</v>
      </c>
      <c r="B170" t="s">
        <v>135</v>
      </c>
      <c r="C170" t="s">
        <v>242</v>
      </c>
      <c r="D170">
        <v>1110000</v>
      </c>
      <c r="E170" t="s">
        <v>121</v>
      </c>
    </row>
    <row r="171" spans="1:5" x14ac:dyDescent="0.25">
      <c r="A171" s="14">
        <v>42536.617488425924</v>
      </c>
      <c r="B171" t="s">
        <v>135</v>
      </c>
      <c r="C171" t="s">
        <v>403</v>
      </c>
      <c r="D171">
        <v>890000</v>
      </c>
      <c r="E171" t="s">
        <v>117</v>
      </c>
    </row>
    <row r="172" spans="1:5" x14ac:dyDescent="0.25">
      <c r="A172" s="14">
        <v>42530.650925925926</v>
      </c>
      <c r="B172" t="s">
        <v>130</v>
      </c>
      <c r="C172" t="s">
        <v>229</v>
      </c>
      <c r="D172">
        <v>1110000</v>
      </c>
      <c r="E172" t="s">
        <v>121</v>
      </c>
    </row>
    <row r="173" spans="1:5" x14ac:dyDescent="0.25">
      <c r="A173" s="14">
        <v>42536.654282407406</v>
      </c>
      <c r="B173" t="s">
        <v>130</v>
      </c>
      <c r="C173" t="s">
        <v>413</v>
      </c>
      <c r="D173">
        <v>890000</v>
      </c>
      <c r="E173" t="s">
        <v>117</v>
      </c>
    </row>
    <row r="174" spans="1:5" x14ac:dyDescent="0.25">
      <c r="A174" s="14">
        <v>42530.623888888891</v>
      </c>
      <c r="B174" t="s">
        <v>126</v>
      </c>
      <c r="C174" t="s">
        <v>200</v>
      </c>
      <c r="D174">
        <v>890000</v>
      </c>
      <c r="E174" t="s">
        <v>117</v>
      </c>
    </row>
    <row r="175" spans="1:5" x14ac:dyDescent="0.25">
      <c r="A175" s="14">
        <v>42536.621979166666</v>
      </c>
      <c r="B175" t="s">
        <v>278</v>
      </c>
      <c r="C175" t="s">
        <v>387</v>
      </c>
      <c r="D175">
        <v>940000</v>
      </c>
      <c r="E175" t="s">
        <v>374</v>
      </c>
    </row>
    <row r="176" spans="1:5" x14ac:dyDescent="0.25">
      <c r="A176" s="14">
        <v>42530.661539351851</v>
      </c>
      <c r="B176" t="s">
        <v>112</v>
      </c>
      <c r="C176" t="s">
        <v>240</v>
      </c>
      <c r="D176">
        <v>890000</v>
      </c>
      <c r="E176" t="s">
        <v>117</v>
      </c>
    </row>
    <row r="177" spans="1:5" x14ac:dyDescent="0.25">
      <c r="A177" s="14">
        <v>42536.658171296294</v>
      </c>
      <c r="B177" t="s">
        <v>280</v>
      </c>
      <c r="C177" t="s">
        <v>437</v>
      </c>
      <c r="D177">
        <v>940000</v>
      </c>
      <c r="E177" t="s">
        <v>374</v>
      </c>
    </row>
    <row r="178" spans="1:5" x14ac:dyDescent="0.25">
      <c r="A178" s="14">
        <v>42530.63208333333</v>
      </c>
      <c r="B178" t="s">
        <v>148</v>
      </c>
      <c r="C178" t="s">
        <v>149</v>
      </c>
      <c r="D178">
        <v>1740000</v>
      </c>
      <c r="E178" t="s">
        <v>122</v>
      </c>
    </row>
    <row r="179" spans="1:5" x14ac:dyDescent="0.25">
      <c r="A179" s="14">
        <v>42536.648379629631</v>
      </c>
      <c r="B179" t="s">
        <v>103</v>
      </c>
      <c r="C179" t="s">
        <v>364</v>
      </c>
      <c r="D179">
        <v>1520000</v>
      </c>
      <c r="E179" t="s">
        <v>166</v>
      </c>
    </row>
    <row r="180" spans="1:5" x14ac:dyDescent="0.25">
      <c r="A180" s="14">
        <v>42536.633831018517</v>
      </c>
      <c r="B180" t="s">
        <v>103</v>
      </c>
      <c r="C180" t="s">
        <v>364</v>
      </c>
      <c r="D180">
        <v>1520000</v>
      </c>
      <c r="E180" t="s">
        <v>166</v>
      </c>
    </row>
    <row r="181" spans="1:5" x14ac:dyDescent="0.25">
      <c r="A181" s="14">
        <v>42536.670856481483</v>
      </c>
      <c r="B181" t="s">
        <v>102</v>
      </c>
      <c r="C181" t="s">
        <v>439</v>
      </c>
      <c r="D181">
        <v>1520000</v>
      </c>
      <c r="E181" t="s">
        <v>166</v>
      </c>
    </row>
    <row r="182" spans="1:5" x14ac:dyDescent="0.25">
      <c r="A182" s="14">
        <v>42530.642604166664</v>
      </c>
      <c r="B182" t="s">
        <v>150</v>
      </c>
      <c r="C182" t="s">
        <v>151</v>
      </c>
      <c r="D182">
        <v>900000</v>
      </c>
      <c r="E182" t="s">
        <v>167</v>
      </c>
    </row>
    <row r="183" spans="1:5" x14ac:dyDescent="0.25">
      <c r="A183" s="14">
        <v>42530.643750000003</v>
      </c>
      <c r="B183" t="s">
        <v>150</v>
      </c>
      <c r="C183" t="s">
        <v>151</v>
      </c>
      <c r="D183">
        <v>900000</v>
      </c>
      <c r="E183" t="s">
        <v>167</v>
      </c>
    </row>
    <row r="184" spans="1:5" x14ac:dyDescent="0.25">
      <c r="A184" s="14">
        <v>42536.643240740741</v>
      </c>
      <c r="B184" t="s">
        <v>126</v>
      </c>
      <c r="C184" t="s">
        <v>406</v>
      </c>
      <c r="D184">
        <v>1360000</v>
      </c>
      <c r="E184" t="s">
        <v>100</v>
      </c>
    </row>
    <row r="185" spans="1:5" x14ac:dyDescent="0.25">
      <c r="A185" s="14">
        <v>42530.684050925927</v>
      </c>
      <c r="B185" t="s">
        <v>152</v>
      </c>
      <c r="C185" t="s">
        <v>153</v>
      </c>
      <c r="D185">
        <v>900000</v>
      </c>
      <c r="E185" t="s">
        <v>167</v>
      </c>
    </row>
    <row r="186" spans="1:5" x14ac:dyDescent="0.25">
      <c r="A186" s="14">
        <v>42536.681793981479</v>
      </c>
      <c r="B186" t="s">
        <v>112</v>
      </c>
      <c r="C186" t="s">
        <v>430</v>
      </c>
      <c r="D186">
        <v>1360000</v>
      </c>
      <c r="E186" t="s">
        <v>100</v>
      </c>
    </row>
    <row r="187" spans="1:5" x14ac:dyDescent="0.25">
      <c r="A187" s="14">
        <v>42530.653877314813</v>
      </c>
      <c r="B187" t="s">
        <v>144</v>
      </c>
      <c r="C187" t="s">
        <v>235</v>
      </c>
      <c r="D187">
        <v>1140000</v>
      </c>
      <c r="E187" t="s">
        <v>114</v>
      </c>
    </row>
    <row r="188" spans="1:5" x14ac:dyDescent="0.25">
      <c r="A188" s="14">
        <v>42536.644699074073</v>
      </c>
      <c r="B188" t="s">
        <v>176</v>
      </c>
      <c r="C188" t="s">
        <v>418</v>
      </c>
      <c r="D188">
        <v>1450000</v>
      </c>
      <c r="E188" t="s">
        <v>282</v>
      </c>
    </row>
    <row r="189" spans="1:5" x14ac:dyDescent="0.25">
      <c r="A189" s="14">
        <v>42536.670810185184</v>
      </c>
      <c r="B189" t="s">
        <v>176</v>
      </c>
      <c r="C189" t="s">
        <v>418</v>
      </c>
      <c r="D189">
        <v>1450000</v>
      </c>
      <c r="E189" t="s">
        <v>282</v>
      </c>
    </row>
    <row r="190" spans="1:5" x14ac:dyDescent="0.25">
      <c r="A190" s="14">
        <v>42536.692337962966</v>
      </c>
      <c r="B190" t="s">
        <v>132</v>
      </c>
      <c r="C190" t="s">
        <v>347</v>
      </c>
      <c r="D190">
        <v>0</v>
      </c>
      <c r="E190" t="s">
        <v>348</v>
      </c>
    </row>
    <row r="191" spans="1:5" x14ac:dyDescent="0.25">
      <c r="A191" s="14">
        <v>42536.6952662037</v>
      </c>
      <c r="B191" t="s">
        <v>132</v>
      </c>
      <c r="C191" t="s">
        <v>347</v>
      </c>
      <c r="D191">
        <v>1450000</v>
      </c>
      <c r="E191" t="s">
        <v>282</v>
      </c>
    </row>
    <row r="192" spans="1:5" x14ac:dyDescent="0.25">
      <c r="A192" s="14">
        <v>42536.693877314814</v>
      </c>
      <c r="B192" t="s">
        <v>132</v>
      </c>
      <c r="C192" t="s">
        <v>347</v>
      </c>
      <c r="D192">
        <v>1450000</v>
      </c>
      <c r="E192" t="s">
        <v>282</v>
      </c>
    </row>
    <row r="193" spans="1:5" x14ac:dyDescent="0.25">
      <c r="A193" s="14">
        <v>42536.666134259256</v>
      </c>
      <c r="B193" t="s">
        <v>108</v>
      </c>
      <c r="C193" t="s">
        <v>345</v>
      </c>
      <c r="D193">
        <v>1470000</v>
      </c>
      <c r="E193" t="s">
        <v>335</v>
      </c>
    </row>
    <row r="194" spans="1:5" x14ac:dyDescent="0.25">
      <c r="A194" s="14">
        <v>42530.696516203701</v>
      </c>
      <c r="B194" t="s">
        <v>110</v>
      </c>
      <c r="C194" t="s">
        <v>244</v>
      </c>
      <c r="D194">
        <v>1520000</v>
      </c>
      <c r="E194" t="s">
        <v>166</v>
      </c>
    </row>
    <row r="195" spans="1:5" x14ac:dyDescent="0.25">
      <c r="A195" s="14">
        <v>42536.701435185183</v>
      </c>
      <c r="B195" t="s">
        <v>110</v>
      </c>
      <c r="C195" t="s">
        <v>399</v>
      </c>
      <c r="D195">
        <v>1470000</v>
      </c>
      <c r="E195" t="s">
        <v>335</v>
      </c>
    </row>
    <row r="196" spans="1:5" x14ac:dyDescent="0.25">
      <c r="A196" s="14">
        <v>42530.673090277778</v>
      </c>
      <c r="B196" t="s">
        <v>103</v>
      </c>
      <c r="C196" t="s">
        <v>221</v>
      </c>
      <c r="D196">
        <v>1280000</v>
      </c>
      <c r="E196" t="s">
        <v>169</v>
      </c>
    </row>
    <row r="197" spans="1:5" x14ac:dyDescent="0.25">
      <c r="A197" s="14">
        <v>42536.674398148149</v>
      </c>
      <c r="B197" t="s">
        <v>279</v>
      </c>
      <c r="C197" t="s">
        <v>461</v>
      </c>
      <c r="D197">
        <v>1340000</v>
      </c>
      <c r="E197" t="s">
        <v>123</v>
      </c>
    </row>
    <row r="198" spans="1:5" x14ac:dyDescent="0.25">
      <c r="A198" s="14">
        <v>42530.713194444441</v>
      </c>
      <c r="B198" t="s">
        <v>102</v>
      </c>
      <c r="C198" t="s">
        <v>154</v>
      </c>
      <c r="D198">
        <v>1280000</v>
      </c>
      <c r="E198" t="s">
        <v>169</v>
      </c>
    </row>
    <row r="199" spans="1:5" x14ac:dyDescent="0.25">
      <c r="A199" s="14">
        <v>42535.713541666664</v>
      </c>
      <c r="B199" t="s">
        <v>280</v>
      </c>
      <c r="C199" t="s">
        <v>295</v>
      </c>
      <c r="D199">
        <v>1740000</v>
      </c>
      <c r="E199" t="s">
        <v>122</v>
      </c>
    </row>
    <row r="200" spans="1:5" x14ac:dyDescent="0.25">
      <c r="A200" s="14">
        <v>42536.710428240738</v>
      </c>
      <c r="B200" t="s">
        <v>283</v>
      </c>
      <c r="C200" t="s">
        <v>363</v>
      </c>
      <c r="D200">
        <v>1340000</v>
      </c>
      <c r="E200" t="s">
        <v>123</v>
      </c>
    </row>
    <row r="201" spans="1:5" x14ac:dyDescent="0.25">
      <c r="A201" s="14">
        <v>42530.684884259259</v>
      </c>
      <c r="B201" t="s">
        <v>135</v>
      </c>
      <c r="C201" t="s">
        <v>212</v>
      </c>
      <c r="D201">
        <v>1110000</v>
      </c>
      <c r="E201" t="s">
        <v>121</v>
      </c>
    </row>
    <row r="202" spans="1:5" x14ac:dyDescent="0.25">
      <c r="A202" s="14">
        <v>42536.68954861111</v>
      </c>
      <c r="B202" t="s">
        <v>135</v>
      </c>
      <c r="C202" t="s">
        <v>383</v>
      </c>
      <c r="D202">
        <v>890000</v>
      </c>
      <c r="E202" t="s">
        <v>117</v>
      </c>
    </row>
    <row r="203" spans="1:5" x14ac:dyDescent="0.25">
      <c r="A203" s="14">
        <v>42536.690694444442</v>
      </c>
      <c r="B203" t="s">
        <v>135</v>
      </c>
      <c r="C203" t="s">
        <v>383</v>
      </c>
      <c r="D203">
        <v>890000</v>
      </c>
      <c r="E203" t="s">
        <v>117</v>
      </c>
    </row>
    <row r="204" spans="1:5" x14ac:dyDescent="0.25">
      <c r="A204" s="14">
        <v>42530.723935185182</v>
      </c>
      <c r="B204" t="s">
        <v>130</v>
      </c>
      <c r="C204" t="s">
        <v>239</v>
      </c>
      <c r="D204">
        <v>1110000</v>
      </c>
      <c r="E204" t="s">
        <v>121</v>
      </c>
    </row>
    <row r="205" spans="1:5" x14ac:dyDescent="0.25">
      <c r="A205" s="14">
        <v>42536.6953587963</v>
      </c>
      <c r="B205" t="s">
        <v>278</v>
      </c>
      <c r="C205" t="s">
        <v>373</v>
      </c>
      <c r="D205">
        <v>940000</v>
      </c>
      <c r="E205" t="s">
        <v>374</v>
      </c>
    </row>
    <row r="206" spans="1:5" x14ac:dyDescent="0.25">
      <c r="A206" s="14">
        <v>42530.734826388885</v>
      </c>
      <c r="B206" t="s">
        <v>112</v>
      </c>
      <c r="C206" t="s">
        <v>158</v>
      </c>
      <c r="D206">
        <v>890000</v>
      </c>
      <c r="E206" t="s">
        <v>117</v>
      </c>
    </row>
    <row r="207" spans="1:5" x14ac:dyDescent="0.25">
      <c r="A207" s="14">
        <v>42530.70349537037</v>
      </c>
      <c r="B207" t="s">
        <v>148</v>
      </c>
      <c r="C207" t="s">
        <v>155</v>
      </c>
      <c r="D207">
        <v>1740000</v>
      </c>
      <c r="E207" t="s">
        <v>122</v>
      </c>
    </row>
    <row r="208" spans="1:5" x14ac:dyDescent="0.25">
      <c r="A208" s="14">
        <v>42530.70484953704</v>
      </c>
      <c r="B208" t="s">
        <v>148</v>
      </c>
      <c r="C208" t="s">
        <v>155</v>
      </c>
      <c r="D208">
        <v>1740000</v>
      </c>
      <c r="E208" t="s">
        <v>122</v>
      </c>
    </row>
    <row r="209" spans="1:5" x14ac:dyDescent="0.25">
      <c r="A209" s="14">
        <v>42530.742951388886</v>
      </c>
      <c r="B209" t="s">
        <v>77</v>
      </c>
      <c r="C209" t="s">
        <v>226</v>
      </c>
      <c r="D209">
        <v>1740000</v>
      </c>
      <c r="E209" t="s">
        <v>122</v>
      </c>
    </row>
    <row r="210" spans="1:5" x14ac:dyDescent="0.25">
      <c r="A210" s="14">
        <v>42536.768611111111</v>
      </c>
      <c r="B210" t="s">
        <v>102</v>
      </c>
      <c r="C210" t="s">
        <v>408</v>
      </c>
      <c r="D210">
        <v>1520000</v>
      </c>
      <c r="E210" t="s">
        <v>166</v>
      </c>
    </row>
    <row r="211" spans="1:5" x14ac:dyDescent="0.25">
      <c r="A211" s="14">
        <v>42530.710578703707</v>
      </c>
      <c r="B211" t="s">
        <v>176</v>
      </c>
      <c r="C211" t="s">
        <v>202</v>
      </c>
      <c r="D211">
        <v>1440000</v>
      </c>
      <c r="E211" t="s">
        <v>177</v>
      </c>
    </row>
    <row r="212" spans="1:5" x14ac:dyDescent="0.25">
      <c r="A212" s="14">
        <v>42536.721921296295</v>
      </c>
      <c r="B212" t="s">
        <v>260</v>
      </c>
      <c r="C212" t="s">
        <v>459</v>
      </c>
      <c r="D212">
        <v>1740000</v>
      </c>
      <c r="E212" t="s">
        <v>122</v>
      </c>
    </row>
    <row r="213" spans="1:5" x14ac:dyDescent="0.25">
      <c r="A213" s="14">
        <v>42530.747256944444</v>
      </c>
      <c r="B213" t="s">
        <v>132</v>
      </c>
      <c r="C213" t="s">
        <v>159</v>
      </c>
      <c r="D213">
        <v>1440000</v>
      </c>
      <c r="E213" t="s">
        <v>177</v>
      </c>
    </row>
    <row r="214" spans="1:5" x14ac:dyDescent="0.25">
      <c r="A214" s="14">
        <v>42530.72797453704</v>
      </c>
      <c r="B214" t="s">
        <v>144</v>
      </c>
      <c r="C214" t="s">
        <v>191</v>
      </c>
      <c r="D214">
        <v>1140000</v>
      </c>
      <c r="E214" t="s">
        <v>114</v>
      </c>
    </row>
    <row r="215" spans="1:5" x14ac:dyDescent="0.25">
      <c r="A215" s="14">
        <v>42536.728113425925</v>
      </c>
      <c r="B215" t="s">
        <v>357</v>
      </c>
      <c r="C215" t="s">
        <v>358</v>
      </c>
      <c r="D215">
        <v>880000</v>
      </c>
      <c r="E215" t="s">
        <v>124</v>
      </c>
    </row>
    <row r="216" spans="1:5" x14ac:dyDescent="0.25">
      <c r="A216" s="14">
        <v>42536.73337962963</v>
      </c>
      <c r="B216" t="s">
        <v>357</v>
      </c>
      <c r="C216" t="s">
        <v>358</v>
      </c>
      <c r="D216">
        <v>880000</v>
      </c>
      <c r="E216" t="s">
        <v>124</v>
      </c>
    </row>
    <row r="217" spans="1:5" x14ac:dyDescent="0.25">
      <c r="A217" s="14">
        <v>42536.726898148147</v>
      </c>
      <c r="B217" t="s">
        <v>357</v>
      </c>
      <c r="C217" t="s">
        <v>358</v>
      </c>
      <c r="D217">
        <v>880000</v>
      </c>
      <c r="E217" t="s">
        <v>124</v>
      </c>
    </row>
    <row r="218" spans="1:5" x14ac:dyDescent="0.25">
      <c r="A218" s="14">
        <v>42536.766898148147</v>
      </c>
      <c r="B218" t="s">
        <v>357</v>
      </c>
      <c r="C218" t="s">
        <v>358</v>
      </c>
      <c r="D218">
        <v>880000</v>
      </c>
      <c r="E218" t="s">
        <v>124</v>
      </c>
    </row>
    <row r="219" spans="1:5" x14ac:dyDescent="0.25">
      <c r="A219" s="14">
        <v>42530.759872685187</v>
      </c>
      <c r="B219" t="s">
        <v>94</v>
      </c>
      <c r="C219" t="s">
        <v>160</v>
      </c>
      <c r="D219">
        <v>1140000</v>
      </c>
      <c r="E219" t="s">
        <v>114</v>
      </c>
    </row>
    <row r="220" spans="1:5" x14ac:dyDescent="0.25">
      <c r="A220" s="14">
        <v>42530.739201388889</v>
      </c>
      <c r="B220" t="s">
        <v>108</v>
      </c>
      <c r="C220" t="s">
        <v>196</v>
      </c>
      <c r="D220">
        <v>1180000</v>
      </c>
      <c r="E220" t="s">
        <v>127</v>
      </c>
    </row>
    <row r="221" spans="1:5" x14ac:dyDescent="0.25">
      <c r="A221" s="14">
        <v>42530.738206018519</v>
      </c>
      <c r="B221" t="s">
        <v>108</v>
      </c>
      <c r="C221" t="s">
        <v>196</v>
      </c>
      <c r="D221">
        <v>1180000</v>
      </c>
      <c r="E221" t="s">
        <v>127</v>
      </c>
    </row>
    <row r="222" spans="1:5" x14ac:dyDescent="0.25">
      <c r="A222" s="14">
        <v>42530.73541666667</v>
      </c>
      <c r="B222" t="s">
        <v>108</v>
      </c>
      <c r="C222" t="s">
        <v>196</v>
      </c>
      <c r="D222">
        <v>1180000</v>
      </c>
      <c r="E222" t="s">
        <v>127</v>
      </c>
    </row>
    <row r="223" spans="1:5" x14ac:dyDescent="0.25">
      <c r="A223" s="14">
        <v>42536.735243055555</v>
      </c>
      <c r="B223" t="s">
        <v>126</v>
      </c>
      <c r="C223" t="s">
        <v>350</v>
      </c>
      <c r="D223">
        <v>1180000</v>
      </c>
      <c r="E223" t="s">
        <v>127</v>
      </c>
    </row>
    <row r="224" spans="1:5" x14ac:dyDescent="0.25">
      <c r="A224" s="14">
        <v>42536.775034722225</v>
      </c>
      <c r="B224" t="s">
        <v>102</v>
      </c>
      <c r="C224" t="s">
        <v>352</v>
      </c>
      <c r="D224">
        <v>1520000</v>
      </c>
      <c r="E224" t="s">
        <v>166</v>
      </c>
    </row>
    <row r="225" spans="1:5" x14ac:dyDescent="0.25">
      <c r="A225" s="14">
        <v>42536.777650462966</v>
      </c>
      <c r="B225" t="s">
        <v>102</v>
      </c>
      <c r="C225" t="s">
        <v>352</v>
      </c>
      <c r="D225">
        <v>1520000</v>
      </c>
      <c r="E225" t="s">
        <v>166</v>
      </c>
    </row>
    <row r="226" spans="1:5" x14ac:dyDescent="0.25">
      <c r="A226" s="14">
        <v>42536.776145833333</v>
      </c>
      <c r="B226" t="s">
        <v>102</v>
      </c>
      <c r="C226" t="s">
        <v>352</v>
      </c>
      <c r="D226">
        <v>1520000</v>
      </c>
      <c r="E226" t="s">
        <v>166</v>
      </c>
    </row>
    <row r="227" spans="1:5" x14ac:dyDescent="0.25">
      <c r="A227" s="14">
        <v>42530.744710648149</v>
      </c>
      <c r="B227" t="s">
        <v>103</v>
      </c>
      <c r="C227" t="s">
        <v>247</v>
      </c>
      <c r="D227">
        <v>1280000</v>
      </c>
      <c r="E227" t="s">
        <v>169</v>
      </c>
    </row>
    <row r="228" spans="1:5" x14ac:dyDescent="0.25">
      <c r="A228" s="14">
        <v>42530.78528935185</v>
      </c>
      <c r="B228" t="s">
        <v>102</v>
      </c>
      <c r="C228" t="s">
        <v>179</v>
      </c>
      <c r="D228">
        <v>1280000</v>
      </c>
      <c r="E228" t="s">
        <v>169</v>
      </c>
    </row>
    <row r="229" spans="1:5" x14ac:dyDescent="0.25">
      <c r="A229" s="14">
        <v>42530.758935185186</v>
      </c>
      <c r="B229" t="s">
        <v>135</v>
      </c>
      <c r="C229" t="s">
        <v>236</v>
      </c>
      <c r="D229">
        <v>1820000</v>
      </c>
      <c r="E229" t="s">
        <v>125</v>
      </c>
    </row>
    <row r="230" spans="1:5" x14ac:dyDescent="0.25">
      <c r="A230" s="14">
        <v>42530.797986111109</v>
      </c>
      <c r="B230" t="s">
        <v>130</v>
      </c>
      <c r="C230" t="s">
        <v>161</v>
      </c>
      <c r="D230">
        <v>1820000</v>
      </c>
      <c r="E230" t="s">
        <v>125</v>
      </c>
    </row>
    <row r="231" spans="1:5" x14ac:dyDescent="0.25">
      <c r="A231" s="14">
        <v>42536.806030092594</v>
      </c>
      <c r="B231" t="s">
        <v>433</v>
      </c>
      <c r="C231" t="s">
        <v>450</v>
      </c>
      <c r="D231">
        <v>880000</v>
      </c>
      <c r="E231" t="s">
        <v>124</v>
      </c>
    </row>
    <row r="232" spans="1:5" x14ac:dyDescent="0.25">
      <c r="A232" s="14">
        <v>42536.786620370367</v>
      </c>
      <c r="B232" t="s">
        <v>108</v>
      </c>
      <c r="C232" t="s">
        <v>438</v>
      </c>
      <c r="D232">
        <v>1820000</v>
      </c>
      <c r="E232" t="s">
        <v>125</v>
      </c>
    </row>
    <row r="233" spans="1:5" x14ac:dyDescent="0.25">
      <c r="A233" s="14">
        <v>42530.820208333331</v>
      </c>
      <c r="B233" t="s">
        <v>132</v>
      </c>
      <c r="C233" t="s">
        <v>234</v>
      </c>
      <c r="D233">
        <v>1440000</v>
      </c>
      <c r="E233" t="s">
        <v>177</v>
      </c>
    </row>
    <row r="234" spans="1:5" x14ac:dyDescent="0.25">
      <c r="A234" s="14">
        <v>42536.825694444444</v>
      </c>
      <c r="B234" t="s">
        <v>112</v>
      </c>
      <c r="C234" t="s">
        <v>458</v>
      </c>
      <c r="D234">
        <v>1180000</v>
      </c>
      <c r="E234" t="s">
        <v>127</v>
      </c>
    </row>
    <row r="235" spans="1:5" x14ac:dyDescent="0.25">
      <c r="A235" s="14">
        <v>42536.808148148149</v>
      </c>
      <c r="B235" t="s">
        <v>278</v>
      </c>
      <c r="C235" t="s">
        <v>370</v>
      </c>
      <c r="D235">
        <v>1280000</v>
      </c>
      <c r="E235" t="s">
        <v>169</v>
      </c>
    </row>
    <row r="236" spans="1:5" x14ac:dyDescent="0.25">
      <c r="A236" s="14">
        <v>42530.841643518521</v>
      </c>
      <c r="B236" t="s">
        <v>110</v>
      </c>
      <c r="C236" t="s">
        <v>190</v>
      </c>
      <c r="D236">
        <v>1180000</v>
      </c>
      <c r="E236" t="s">
        <v>127</v>
      </c>
    </row>
    <row r="237" spans="1:5" x14ac:dyDescent="0.25">
      <c r="A237" s="14">
        <v>42536.847361111111</v>
      </c>
      <c r="B237" t="s">
        <v>110</v>
      </c>
      <c r="C237" t="s">
        <v>380</v>
      </c>
      <c r="D237">
        <v>1820000</v>
      </c>
      <c r="E237" t="s">
        <v>125</v>
      </c>
    </row>
    <row r="238" spans="1:5" x14ac:dyDescent="0.25">
      <c r="A238" s="14">
        <v>42530.830428240741</v>
      </c>
      <c r="B238" t="s">
        <v>135</v>
      </c>
      <c r="C238" t="s">
        <v>198</v>
      </c>
      <c r="D238">
        <v>1820000</v>
      </c>
      <c r="E238" t="s">
        <v>125</v>
      </c>
    </row>
    <row r="239" spans="1:5" x14ac:dyDescent="0.25">
      <c r="A239" s="14">
        <v>42530.86991898148</v>
      </c>
      <c r="B239" t="s">
        <v>130</v>
      </c>
      <c r="C239" t="s">
        <v>162</v>
      </c>
      <c r="D239">
        <v>1820000</v>
      </c>
      <c r="E239" t="s">
        <v>125</v>
      </c>
    </row>
    <row r="240" spans="1:5" x14ac:dyDescent="0.25">
      <c r="A240" s="14">
        <v>42536.865868055553</v>
      </c>
      <c r="B240" t="s">
        <v>280</v>
      </c>
      <c r="C240" t="s">
        <v>436</v>
      </c>
      <c r="D240">
        <v>1280000</v>
      </c>
      <c r="E240" t="s">
        <v>169</v>
      </c>
    </row>
    <row r="241" spans="1:5" x14ac:dyDescent="0.25">
      <c r="A241" s="14">
        <v>42530.849803240744</v>
      </c>
      <c r="B241" t="s">
        <v>126</v>
      </c>
      <c r="C241" t="s">
        <v>204</v>
      </c>
      <c r="D241">
        <v>1240000</v>
      </c>
      <c r="E241" t="s">
        <v>92</v>
      </c>
    </row>
    <row r="242" spans="1:5" x14ac:dyDescent="0.25">
      <c r="A242" s="14">
        <v>42536.859467592592</v>
      </c>
      <c r="B242" t="s">
        <v>357</v>
      </c>
      <c r="C242" t="s">
        <v>410</v>
      </c>
      <c r="D242">
        <v>1760000</v>
      </c>
      <c r="E242" t="s">
        <v>411</v>
      </c>
    </row>
    <row r="243" spans="1:5" x14ac:dyDescent="0.25">
      <c r="A243" s="14">
        <v>42536.860613425924</v>
      </c>
      <c r="B243" t="s">
        <v>357</v>
      </c>
      <c r="C243" t="s">
        <v>410</v>
      </c>
      <c r="D243">
        <v>1760000</v>
      </c>
      <c r="E243" t="s">
        <v>411</v>
      </c>
    </row>
    <row r="244" spans="1:5" x14ac:dyDescent="0.25">
      <c r="A244" s="14">
        <v>42536.901678240742</v>
      </c>
      <c r="B244" t="s">
        <v>433</v>
      </c>
      <c r="C244" t="s">
        <v>434</v>
      </c>
      <c r="D244">
        <v>1760000</v>
      </c>
      <c r="E244" t="s">
        <v>411</v>
      </c>
    </row>
    <row r="245" spans="1:5" x14ac:dyDescent="0.25">
      <c r="A245" s="14">
        <v>42530.859756944446</v>
      </c>
      <c r="B245" t="s">
        <v>176</v>
      </c>
      <c r="C245" t="s">
        <v>238</v>
      </c>
      <c r="D245">
        <v>1440000</v>
      </c>
      <c r="E245" t="s">
        <v>177</v>
      </c>
    </row>
    <row r="246" spans="1:5" x14ac:dyDescent="0.25">
      <c r="A246" s="14">
        <v>42530.860914351855</v>
      </c>
      <c r="B246" t="s">
        <v>176</v>
      </c>
      <c r="C246" t="s">
        <v>238</v>
      </c>
      <c r="D246">
        <v>1440000</v>
      </c>
      <c r="E246" t="s">
        <v>177</v>
      </c>
    </row>
    <row r="247" spans="1:5" x14ac:dyDescent="0.25">
      <c r="A247" s="14">
        <v>42536.870925925927</v>
      </c>
      <c r="B247" t="s">
        <v>126</v>
      </c>
      <c r="C247" t="s">
        <v>378</v>
      </c>
      <c r="D247">
        <v>1180000</v>
      </c>
      <c r="E247" t="s">
        <v>127</v>
      </c>
    </row>
    <row r="248" spans="1:5" x14ac:dyDescent="0.25">
      <c r="A248" s="14">
        <v>42536.869699074072</v>
      </c>
      <c r="B248" t="s">
        <v>126</v>
      </c>
      <c r="C248" t="s">
        <v>378</v>
      </c>
      <c r="D248">
        <v>1180000</v>
      </c>
      <c r="E248" t="s">
        <v>127</v>
      </c>
    </row>
    <row r="249" spans="1:5" x14ac:dyDescent="0.25">
      <c r="A249" s="14">
        <v>42530.902858796297</v>
      </c>
      <c r="B249" t="s">
        <v>132</v>
      </c>
      <c r="C249" t="s">
        <v>222</v>
      </c>
      <c r="D249">
        <v>1440000</v>
      </c>
      <c r="E249" t="s">
        <v>177</v>
      </c>
    </row>
    <row r="250" spans="1:5" x14ac:dyDescent="0.25">
      <c r="A250" s="14">
        <v>42530.904467592591</v>
      </c>
      <c r="B250" t="s">
        <v>132</v>
      </c>
      <c r="C250" t="s">
        <v>222</v>
      </c>
      <c r="D250">
        <v>1440000</v>
      </c>
      <c r="E250" t="s">
        <v>177</v>
      </c>
    </row>
    <row r="251" spans="1:5" x14ac:dyDescent="0.25">
      <c r="A251" s="14">
        <v>42536.917928240742</v>
      </c>
      <c r="B251" t="s">
        <v>112</v>
      </c>
      <c r="C251" t="s">
        <v>354</v>
      </c>
      <c r="D251">
        <v>1180000</v>
      </c>
      <c r="E251" t="s">
        <v>127</v>
      </c>
    </row>
    <row r="252" spans="1:5" x14ac:dyDescent="0.25">
      <c r="A252" s="14">
        <v>42533.904224537036</v>
      </c>
      <c r="B252" t="s">
        <v>260</v>
      </c>
      <c r="C252" t="s">
        <v>265</v>
      </c>
      <c r="D252">
        <v>1140000</v>
      </c>
      <c r="E252" t="s">
        <v>114</v>
      </c>
    </row>
    <row r="253" spans="1:5" x14ac:dyDescent="0.25">
      <c r="A253" s="14">
        <v>42536.891458333332</v>
      </c>
      <c r="B253" t="s">
        <v>108</v>
      </c>
      <c r="C253" t="s">
        <v>393</v>
      </c>
      <c r="D253">
        <v>1820000</v>
      </c>
      <c r="E253" t="s">
        <v>125</v>
      </c>
    </row>
    <row r="254" spans="1:5" x14ac:dyDescent="0.25">
      <c r="A254" s="14">
        <v>42530.928368055553</v>
      </c>
      <c r="B254" t="s">
        <v>110</v>
      </c>
      <c r="C254" t="s">
        <v>232</v>
      </c>
      <c r="D254">
        <v>1180000</v>
      </c>
      <c r="E254" t="s">
        <v>127</v>
      </c>
    </row>
    <row r="255" spans="1:5" x14ac:dyDescent="0.25">
      <c r="A255" s="14">
        <v>42535.931793981479</v>
      </c>
      <c r="B255" t="s">
        <v>94</v>
      </c>
      <c r="C255" t="s">
        <v>302</v>
      </c>
      <c r="D255">
        <v>1240000</v>
      </c>
      <c r="E255" t="s">
        <v>92</v>
      </c>
    </row>
    <row r="256" spans="1:5" x14ac:dyDescent="0.25">
      <c r="A256" s="14">
        <v>42536.931840277779</v>
      </c>
      <c r="B256" t="s">
        <v>110</v>
      </c>
      <c r="C256" t="s">
        <v>462</v>
      </c>
      <c r="D256">
        <v>1820000</v>
      </c>
      <c r="E256" t="s">
        <v>125</v>
      </c>
    </row>
    <row r="257" spans="1:5" x14ac:dyDescent="0.25">
      <c r="A257" s="14">
        <v>42530.913182870368</v>
      </c>
      <c r="B257" t="s">
        <v>135</v>
      </c>
      <c r="C257" t="s">
        <v>206</v>
      </c>
      <c r="D257">
        <v>1820000</v>
      </c>
      <c r="E257" t="s">
        <v>125</v>
      </c>
    </row>
    <row r="258" spans="1:5" x14ac:dyDescent="0.25">
      <c r="A258" s="14">
        <v>42536.90351851852</v>
      </c>
      <c r="B258" t="s">
        <v>278</v>
      </c>
      <c r="C258" t="s">
        <v>460</v>
      </c>
      <c r="D258">
        <v>1280000</v>
      </c>
      <c r="E258" t="s">
        <v>169</v>
      </c>
    </row>
    <row r="259" spans="1:5" x14ac:dyDescent="0.25">
      <c r="A259" s="14">
        <v>42530.953333333331</v>
      </c>
      <c r="B259" t="s">
        <v>130</v>
      </c>
      <c r="C259" t="s">
        <v>188</v>
      </c>
      <c r="D259">
        <v>1820000</v>
      </c>
      <c r="E259" t="s">
        <v>125</v>
      </c>
    </row>
    <row r="260" spans="1:5" x14ac:dyDescent="0.25">
      <c r="A260" s="14">
        <v>42530.932245370372</v>
      </c>
      <c r="B260" t="s">
        <v>126</v>
      </c>
      <c r="C260" t="s">
        <v>230</v>
      </c>
      <c r="D260">
        <v>1240000</v>
      </c>
      <c r="E260" t="s">
        <v>92</v>
      </c>
    </row>
    <row r="261" spans="1:5" x14ac:dyDescent="0.25">
      <c r="A261" s="14">
        <v>42535.930694444447</v>
      </c>
      <c r="B261" t="s">
        <v>260</v>
      </c>
      <c r="C261" t="s">
        <v>298</v>
      </c>
      <c r="D261">
        <v>1280000</v>
      </c>
      <c r="E261" t="s">
        <v>169</v>
      </c>
    </row>
    <row r="262" spans="1:5" x14ac:dyDescent="0.25">
      <c r="A262" s="14">
        <v>42536.937569444446</v>
      </c>
      <c r="B262" t="s">
        <v>357</v>
      </c>
      <c r="C262" t="s">
        <v>464</v>
      </c>
      <c r="D262">
        <v>1760000</v>
      </c>
      <c r="E262" t="s">
        <v>411</v>
      </c>
    </row>
    <row r="263" spans="1:5" x14ac:dyDescent="0.25">
      <c r="A263" s="14">
        <v>42530.97457175926</v>
      </c>
      <c r="B263" t="s">
        <v>112</v>
      </c>
      <c r="C263" t="s">
        <v>209</v>
      </c>
      <c r="D263">
        <v>1240000</v>
      </c>
      <c r="E263" t="s">
        <v>92</v>
      </c>
    </row>
    <row r="264" spans="1:5" x14ac:dyDescent="0.25">
      <c r="A264" s="14">
        <v>42536.975787037038</v>
      </c>
      <c r="B264" t="s">
        <v>433</v>
      </c>
      <c r="C264" t="s">
        <v>466</v>
      </c>
      <c r="D264">
        <v>1760000</v>
      </c>
      <c r="E264" t="s">
        <v>411</v>
      </c>
    </row>
    <row r="265" spans="1:5" x14ac:dyDescent="0.25">
      <c r="A265" s="14">
        <v>42530.941724537035</v>
      </c>
      <c r="B265" t="s">
        <v>176</v>
      </c>
      <c r="C265" t="s">
        <v>189</v>
      </c>
      <c r="D265">
        <v>1440000</v>
      </c>
      <c r="E265" t="s">
        <v>177</v>
      </c>
    </row>
    <row r="266" spans="1:5" x14ac:dyDescent="0.25">
      <c r="A266" s="14">
        <v>42536.956724537034</v>
      </c>
      <c r="B266" t="s">
        <v>126</v>
      </c>
      <c r="C266" t="s">
        <v>457</v>
      </c>
      <c r="D266">
        <v>1180000</v>
      </c>
      <c r="E266" t="s">
        <v>127</v>
      </c>
    </row>
    <row r="267" spans="1:5" x14ac:dyDescent="0.25">
      <c r="A267" s="14">
        <v>42530.989629629628</v>
      </c>
      <c r="B267" t="s">
        <v>132</v>
      </c>
      <c r="C267" t="s">
        <v>208</v>
      </c>
      <c r="D267">
        <v>1440000</v>
      </c>
      <c r="E267" t="s">
        <v>177</v>
      </c>
    </row>
    <row r="268" spans="1:5" x14ac:dyDescent="0.25">
      <c r="A268" s="14">
        <v>42530.988854166666</v>
      </c>
      <c r="B268" t="s">
        <v>132</v>
      </c>
      <c r="C268" t="s">
        <v>208</v>
      </c>
      <c r="D268">
        <v>1440000</v>
      </c>
      <c r="E268" t="s">
        <v>177</v>
      </c>
    </row>
    <row r="269" spans="1:5" x14ac:dyDescent="0.25">
      <c r="A269" s="14">
        <v>42536.987233796295</v>
      </c>
      <c r="B269" t="s">
        <v>112</v>
      </c>
      <c r="C269" t="s">
        <v>356</v>
      </c>
      <c r="D269">
        <v>1180000</v>
      </c>
      <c r="E269" t="s">
        <v>127</v>
      </c>
    </row>
    <row r="270" spans="1:5" x14ac:dyDescent="0.25">
      <c r="A270" s="14">
        <v>42536.996898148151</v>
      </c>
      <c r="B270" t="s">
        <v>112</v>
      </c>
      <c r="C270" t="s">
        <v>356</v>
      </c>
      <c r="D270">
        <v>1180000</v>
      </c>
      <c r="E270" t="s">
        <v>127</v>
      </c>
    </row>
    <row r="271" spans="1:5" x14ac:dyDescent="0.25">
      <c r="A271" s="14">
        <v>42530.96502314815</v>
      </c>
      <c r="B271" t="s">
        <v>108</v>
      </c>
      <c r="C271" t="s">
        <v>163</v>
      </c>
      <c r="D271">
        <v>1810000</v>
      </c>
      <c r="E271" t="s">
        <v>187</v>
      </c>
    </row>
    <row r="272" spans="1:5" x14ac:dyDescent="0.25">
      <c r="A272" s="14">
        <v>42536.976076388892</v>
      </c>
      <c r="B272" t="s">
        <v>108</v>
      </c>
      <c r="C272" t="s">
        <v>455</v>
      </c>
      <c r="D272">
        <v>1820000</v>
      </c>
      <c r="E272" t="s">
        <v>125</v>
      </c>
    </row>
    <row r="273" spans="1:5" x14ac:dyDescent="0.25">
      <c r="A273" s="14">
        <v>42536.974780092591</v>
      </c>
      <c r="B273" t="s">
        <v>108</v>
      </c>
      <c r="C273" t="s">
        <v>455</v>
      </c>
      <c r="D273">
        <v>1820000</v>
      </c>
      <c r="E273" t="s">
        <v>125</v>
      </c>
    </row>
    <row r="274" spans="1:5" x14ac:dyDescent="0.25">
      <c r="A274" s="14">
        <v>42531.013611111113</v>
      </c>
      <c r="B274" t="s">
        <v>110</v>
      </c>
      <c r="C274" t="s">
        <v>186</v>
      </c>
      <c r="D274">
        <v>1810000</v>
      </c>
      <c r="E274" t="s">
        <v>187</v>
      </c>
    </row>
    <row r="275" spans="1:5" x14ac:dyDescent="0.25">
      <c r="A275" s="14">
        <v>42536.016111111108</v>
      </c>
      <c r="B275" t="s">
        <v>94</v>
      </c>
      <c r="C275" t="s">
        <v>296</v>
      </c>
      <c r="D275">
        <v>1240000</v>
      </c>
      <c r="E275" t="s">
        <v>92</v>
      </c>
    </row>
    <row r="276" spans="1:5" x14ac:dyDescent="0.25">
      <c r="A276" s="14">
        <v>42537.018009259256</v>
      </c>
      <c r="B276" t="s">
        <v>110</v>
      </c>
      <c r="C276" t="s">
        <v>368</v>
      </c>
      <c r="D276">
        <v>1820000</v>
      </c>
      <c r="E276" t="s">
        <v>125</v>
      </c>
    </row>
    <row r="277" spans="1:5" x14ac:dyDescent="0.25">
      <c r="A277" s="14">
        <v>42530.998136574075</v>
      </c>
      <c r="B277" t="s">
        <v>135</v>
      </c>
      <c r="C277" t="s">
        <v>164</v>
      </c>
      <c r="D277">
        <v>1820000</v>
      </c>
      <c r="E277" t="s">
        <v>125</v>
      </c>
    </row>
    <row r="278" spans="1:5" x14ac:dyDescent="0.25">
      <c r="A278" s="14">
        <v>42536.996921296297</v>
      </c>
      <c r="B278" t="s">
        <v>278</v>
      </c>
      <c r="C278" t="s">
        <v>420</v>
      </c>
      <c r="D278">
        <v>1240000</v>
      </c>
      <c r="E278" t="s">
        <v>92</v>
      </c>
    </row>
    <row r="279" spans="1:5" x14ac:dyDescent="0.25">
      <c r="A279" s="14">
        <v>42537.037280092591</v>
      </c>
      <c r="B279" t="s">
        <v>280</v>
      </c>
      <c r="C279" t="s">
        <v>401</v>
      </c>
      <c r="D279">
        <v>1240000</v>
      </c>
      <c r="E279" t="s">
        <v>92</v>
      </c>
    </row>
    <row r="280" spans="1:5" x14ac:dyDescent="0.25">
      <c r="A280" s="14">
        <v>42531.015648148146</v>
      </c>
      <c r="B280" t="s">
        <v>126</v>
      </c>
      <c r="C280" t="s">
        <v>205</v>
      </c>
      <c r="D280">
        <v>1240000</v>
      </c>
      <c r="E280" t="s">
        <v>92</v>
      </c>
    </row>
    <row r="281" spans="1:5" x14ac:dyDescent="0.25">
      <c r="A281" s="14">
        <v>42536.013414351852</v>
      </c>
      <c r="B281" t="s">
        <v>260</v>
      </c>
      <c r="C281" t="s">
        <v>297</v>
      </c>
      <c r="D281">
        <v>1280000</v>
      </c>
      <c r="E281" t="s">
        <v>169</v>
      </c>
    </row>
    <row r="282" spans="1:5" x14ac:dyDescent="0.25">
      <c r="A282" s="14">
        <v>42537.012835648151</v>
      </c>
      <c r="B282" t="s">
        <v>357</v>
      </c>
      <c r="C282" t="s">
        <v>468</v>
      </c>
      <c r="D282">
        <v>1760000</v>
      </c>
      <c r="E282" t="s">
        <v>411</v>
      </c>
    </row>
    <row r="283" spans="1:5" x14ac:dyDescent="0.25">
      <c r="A283" s="14">
        <v>42531.057199074072</v>
      </c>
      <c r="B283" t="s">
        <v>112</v>
      </c>
      <c r="C283" t="s">
        <v>213</v>
      </c>
      <c r="D283">
        <v>1240000</v>
      </c>
      <c r="E283" t="s">
        <v>92</v>
      </c>
    </row>
    <row r="284" spans="1:5" x14ac:dyDescent="0.25">
      <c r="A284" s="14">
        <v>42537.055451388886</v>
      </c>
      <c r="B284" t="s">
        <v>433</v>
      </c>
      <c r="C284" t="s">
        <v>453</v>
      </c>
      <c r="D284">
        <v>1760000</v>
      </c>
      <c r="E284" t="s">
        <v>411</v>
      </c>
    </row>
    <row r="285" spans="1:5" x14ac:dyDescent="0.25">
      <c r="A285" s="14">
        <v>42530.713703703703</v>
      </c>
      <c r="B285" t="s">
        <v>173</v>
      </c>
      <c r="C285" t="s">
        <v>157</v>
      </c>
      <c r="D285">
        <v>1500000</v>
      </c>
      <c r="E285" t="s">
        <v>174</v>
      </c>
    </row>
    <row r="286" spans="1:5" x14ac:dyDescent="0.25">
      <c r="A286" s="14">
        <v>42530.746111111112</v>
      </c>
      <c r="B286" t="s">
        <v>156</v>
      </c>
      <c r="C286" t="s">
        <v>157</v>
      </c>
      <c r="D286">
        <v>1500000</v>
      </c>
      <c r="E286" t="s">
        <v>174</v>
      </c>
    </row>
    <row r="287" spans="1:5" x14ac:dyDescent="0.25">
      <c r="A287" s="14">
        <v>42530.731990740744</v>
      </c>
      <c r="B287" t="s">
        <v>156</v>
      </c>
      <c r="C287" t="s">
        <v>157</v>
      </c>
      <c r="D287">
        <v>1500000</v>
      </c>
      <c r="E287" t="s">
        <v>174</v>
      </c>
    </row>
    <row r="288" spans="1:5" x14ac:dyDescent="0.25">
      <c r="A288" s="14">
        <v>42530.730104166665</v>
      </c>
      <c r="B288" t="s">
        <v>156</v>
      </c>
      <c r="C288" t="s">
        <v>157</v>
      </c>
      <c r="D288">
        <v>1500000</v>
      </c>
      <c r="E288" t="s">
        <v>174</v>
      </c>
    </row>
    <row r="289" spans="1:5" x14ac:dyDescent="0.25">
      <c r="A289" s="14">
        <v>42536.613402777781</v>
      </c>
      <c r="B289" t="s">
        <v>359</v>
      </c>
      <c r="C289" t="s">
        <v>360</v>
      </c>
      <c r="D289">
        <v>0</v>
      </c>
      <c r="E289" t="s">
        <v>348</v>
      </c>
    </row>
    <row r="290" spans="1:5" x14ac:dyDescent="0.25">
      <c r="A290" s="14">
        <v>42536.629525462966</v>
      </c>
      <c r="B290" t="s">
        <v>385</v>
      </c>
      <c r="C290" t="s">
        <v>360</v>
      </c>
      <c r="D290">
        <v>0</v>
      </c>
      <c r="E290" t="s">
        <v>348</v>
      </c>
    </row>
    <row r="291" spans="1:5" x14ac:dyDescent="0.25">
      <c r="A291" s="14">
        <v>42536.637442129628</v>
      </c>
      <c r="B291" t="s">
        <v>385</v>
      </c>
      <c r="C291" t="s">
        <v>360</v>
      </c>
      <c r="D291">
        <v>0</v>
      </c>
      <c r="E291" t="s">
        <v>348</v>
      </c>
    </row>
    <row r="292" spans="1:5" x14ac:dyDescent="0.25">
      <c r="A292" s="14">
        <v>42530.726145833331</v>
      </c>
      <c r="B292" t="s">
        <v>144</v>
      </c>
      <c r="C292" t="s">
        <v>219</v>
      </c>
      <c r="D292">
        <v>1140000</v>
      </c>
      <c r="E292" t="s">
        <v>114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42536</v>
      </c>
      <c r="B2" s="10"/>
      <c r="C2" s="37">
        <v>50</v>
      </c>
      <c r="F2" t="s">
        <v>68</v>
      </c>
    </row>
    <row r="3" spans="1:6" x14ac:dyDescent="0.25">
      <c r="F3" t="s">
        <v>69</v>
      </c>
    </row>
    <row r="4" spans="1:6" x14ac:dyDescent="0.25">
      <c r="F4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2016-06-16T17:49:00Z</dcterms:modified>
</cp:coreProperties>
</file>