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NWGL\"/>
    </mc:Choice>
  </mc:AlternateContent>
  <bookViews>
    <workbookView xWindow="0" yWindow="0" windowWidth="28800" windowHeight="148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Enforcements!$A$6:$N$13</definedName>
    <definedName name="_xlnm._FilterDatabase" localSheetId="2" hidden="1">'Missing Trips'!$A$2:$G$2</definedName>
    <definedName name="_xlnm._FilterDatabase" localSheetId="0" hidden="1">'Train Runs'!$A$12:$AC$12</definedName>
    <definedName name="_xlnm._FilterDatabase" localSheetId="3" hidden="1">'Trips&amp;Operators'!$A$1:$E$211</definedName>
    <definedName name="Denver_Train_Runs_04122016" localSheetId="0">'Train Runs'!$A$12:$J$12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3" l="1"/>
  <c r="L14" i="3"/>
  <c r="L31" i="3"/>
  <c r="L32" i="3"/>
  <c r="L33" i="3"/>
  <c r="L7" i="3"/>
  <c r="L15" i="3"/>
  <c r="L16" i="3"/>
  <c r="L42" i="3"/>
  <c r="L17" i="3"/>
  <c r="L18" i="3"/>
  <c r="L28" i="3"/>
  <c r="L8" i="3"/>
  <c r="L19" i="3"/>
  <c r="L20" i="3"/>
  <c r="L9" i="3"/>
  <c r="L10" i="3"/>
  <c r="L34" i="3"/>
  <c r="L21" i="3"/>
  <c r="L22" i="3"/>
  <c r="L11" i="3"/>
  <c r="L12" i="3"/>
  <c r="L35" i="3"/>
  <c r="L36" i="3"/>
  <c r="L37" i="3"/>
  <c r="L38" i="3"/>
  <c r="L29" i="3"/>
  <c r="L39" i="3"/>
  <c r="L40" i="3"/>
  <c r="L30" i="3"/>
  <c r="L23" i="3"/>
  <c r="L24" i="3"/>
  <c r="L25" i="3"/>
  <c r="L26" i="3"/>
  <c r="L41" i="3"/>
  <c r="L27" i="3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1" i="4"/>
  <c r="F1" i="4"/>
  <c r="K52" i="1"/>
  <c r="L52" i="1"/>
  <c r="M52" i="1"/>
  <c r="N52" i="1" s="1"/>
  <c r="T52" i="1"/>
  <c r="V52" i="1"/>
  <c r="X52" i="1"/>
  <c r="Y52" i="1"/>
  <c r="U52" i="1" s="1"/>
  <c r="S52" i="1" s="1"/>
  <c r="Z52" i="1"/>
  <c r="AA52" i="1" s="1"/>
  <c r="W52" i="1" s="1"/>
  <c r="AB52" i="1"/>
  <c r="AC52" i="1"/>
  <c r="K53" i="1"/>
  <c r="L53" i="1"/>
  <c r="M53" i="1"/>
  <c r="N53" i="1"/>
  <c r="T53" i="1"/>
  <c r="V53" i="1"/>
  <c r="X53" i="1"/>
  <c r="Y53" i="1"/>
  <c r="U53" i="1" s="1"/>
  <c r="S53" i="1" s="1"/>
  <c r="Z53" i="1"/>
  <c r="AA53" i="1" s="1"/>
  <c r="W53" i="1" s="1"/>
  <c r="AB53" i="1"/>
  <c r="AC53" i="1"/>
  <c r="K54" i="1"/>
  <c r="L54" i="1"/>
  <c r="M54" i="1"/>
  <c r="N54" i="1"/>
  <c r="T54" i="1"/>
  <c r="V54" i="1"/>
  <c r="X54" i="1"/>
  <c r="Y54" i="1"/>
  <c r="U54" i="1" s="1"/>
  <c r="S54" i="1" s="1"/>
  <c r="Z54" i="1"/>
  <c r="AA54" i="1"/>
  <c r="W54" i="1" s="1"/>
  <c r="AB54" i="1"/>
  <c r="AC54" i="1"/>
  <c r="K55" i="1"/>
  <c r="L55" i="1"/>
  <c r="M55" i="1"/>
  <c r="N55" i="1" s="1"/>
  <c r="T55" i="1"/>
  <c r="V55" i="1"/>
  <c r="X55" i="1"/>
  <c r="Y55" i="1"/>
  <c r="U55" i="1" s="1"/>
  <c r="S55" i="1" s="1"/>
  <c r="Z55" i="1"/>
  <c r="AA55" i="1" s="1"/>
  <c r="W55" i="1" s="1"/>
  <c r="AB55" i="1"/>
  <c r="AC55" i="1"/>
  <c r="K56" i="1"/>
  <c r="L56" i="1"/>
  <c r="M56" i="1"/>
  <c r="N56" i="1" s="1"/>
  <c r="T56" i="1"/>
  <c r="V56" i="1"/>
  <c r="X56" i="1"/>
  <c r="Y56" i="1"/>
  <c r="U56" i="1" s="1"/>
  <c r="S56" i="1" s="1"/>
  <c r="Z56" i="1"/>
  <c r="AA56" i="1" s="1"/>
  <c r="W56" i="1" s="1"/>
  <c r="AB56" i="1"/>
  <c r="AC56" i="1"/>
  <c r="K57" i="1"/>
  <c r="L57" i="1"/>
  <c r="M57" i="1"/>
  <c r="N57" i="1"/>
  <c r="T57" i="1"/>
  <c r="V57" i="1"/>
  <c r="X57" i="1"/>
  <c r="Y57" i="1"/>
  <c r="U57" i="1" s="1"/>
  <c r="S57" i="1" s="1"/>
  <c r="Z57" i="1"/>
  <c r="AA57" i="1" s="1"/>
  <c r="W57" i="1" s="1"/>
  <c r="AB57" i="1"/>
  <c r="AC57" i="1"/>
  <c r="K58" i="1"/>
  <c r="L58" i="1"/>
  <c r="M58" i="1"/>
  <c r="N58" i="1" s="1"/>
  <c r="T58" i="1"/>
  <c r="V58" i="1"/>
  <c r="X58" i="1"/>
  <c r="Y58" i="1"/>
  <c r="U58" i="1" s="1"/>
  <c r="S58" i="1" s="1"/>
  <c r="Z58" i="1"/>
  <c r="AA58" i="1"/>
  <c r="W58" i="1" s="1"/>
  <c r="AB58" i="1"/>
  <c r="AC58" i="1"/>
  <c r="K59" i="1"/>
  <c r="L59" i="1"/>
  <c r="M59" i="1"/>
  <c r="N59" i="1" s="1"/>
  <c r="T59" i="1"/>
  <c r="V59" i="1"/>
  <c r="X59" i="1"/>
  <c r="Y59" i="1"/>
  <c r="U59" i="1" s="1"/>
  <c r="S59" i="1" s="1"/>
  <c r="Z59" i="1"/>
  <c r="AA59" i="1" s="1"/>
  <c r="W59" i="1" s="1"/>
  <c r="AB59" i="1"/>
  <c r="AC59" i="1"/>
  <c r="K60" i="1"/>
  <c r="L60" i="1"/>
  <c r="M60" i="1"/>
  <c r="N60" i="1" s="1"/>
  <c r="T60" i="1"/>
  <c r="V60" i="1"/>
  <c r="X60" i="1"/>
  <c r="Y60" i="1"/>
  <c r="U60" i="1" s="1"/>
  <c r="S60" i="1" s="1"/>
  <c r="Z60" i="1"/>
  <c r="AA60" i="1" s="1"/>
  <c r="W60" i="1" s="1"/>
  <c r="AB60" i="1"/>
  <c r="AC60" i="1"/>
  <c r="K61" i="1"/>
  <c r="L61" i="1"/>
  <c r="M61" i="1"/>
  <c r="N61" i="1"/>
  <c r="T61" i="1"/>
  <c r="V61" i="1"/>
  <c r="X61" i="1"/>
  <c r="Y61" i="1"/>
  <c r="U61" i="1" s="1"/>
  <c r="S61" i="1" s="1"/>
  <c r="Z61" i="1"/>
  <c r="AA61" i="1" s="1"/>
  <c r="W61" i="1" s="1"/>
  <c r="AB61" i="1"/>
  <c r="AC61" i="1"/>
  <c r="K62" i="1"/>
  <c r="L62" i="1"/>
  <c r="M62" i="1"/>
  <c r="N62" i="1"/>
  <c r="T62" i="1"/>
  <c r="V62" i="1"/>
  <c r="X62" i="1"/>
  <c r="Y62" i="1"/>
  <c r="U62" i="1" s="1"/>
  <c r="S62" i="1" s="1"/>
  <c r="Z62" i="1"/>
  <c r="AA62" i="1"/>
  <c r="W62" i="1" s="1"/>
  <c r="AB62" i="1"/>
  <c r="AC62" i="1"/>
  <c r="T48" i="1" l="1"/>
  <c r="V48" i="1"/>
  <c r="X48" i="1"/>
  <c r="Y48" i="1"/>
  <c r="Z48" i="1"/>
  <c r="AA48" i="1" s="1"/>
  <c r="W48" i="1" s="1"/>
  <c r="AB48" i="1"/>
  <c r="AC48" i="1"/>
  <c r="T49" i="1"/>
  <c r="V49" i="1"/>
  <c r="X49" i="1"/>
  <c r="Y49" i="1"/>
  <c r="U49" i="1" s="1"/>
  <c r="S49" i="1" s="1"/>
  <c r="Z49" i="1"/>
  <c r="AB49" i="1"/>
  <c r="AC49" i="1"/>
  <c r="T50" i="1"/>
  <c r="V50" i="1"/>
  <c r="X50" i="1"/>
  <c r="Y50" i="1"/>
  <c r="U50" i="1" s="1"/>
  <c r="S50" i="1" s="1"/>
  <c r="Z50" i="1"/>
  <c r="AB50" i="1"/>
  <c r="AC50" i="1"/>
  <c r="T51" i="1"/>
  <c r="V51" i="1"/>
  <c r="X51" i="1"/>
  <c r="Y51" i="1"/>
  <c r="Z51" i="1"/>
  <c r="AA51" i="1" s="1"/>
  <c r="W51" i="1" s="1"/>
  <c r="AB51" i="1"/>
  <c r="AC51" i="1"/>
  <c r="T14" i="1"/>
  <c r="V14" i="1"/>
  <c r="X14" i="1"/>
  <c r="Y14" i="1"/>
  <c r="Z14" i="1"/>
  <c r="AA14" i="1" s="1"/>
  <c r="W14" i="1" s="1"/>
  <c r="AB14" i="1"/>
  <c r="AC14" i="1"/>
  <c r="T15" i="1"/>
  <c r="V15" i="1"/>
  <c r="X15" i="1"/>
  <c r="Y15" i="1"/>
  <c r="U15" i="1" s="1"/>
  <c r="S15" i="1" s="1"/>
  <c r="Z15" i="1"/>
  <c r="AB15" i="1"/>
  <c r="AC15" i="1"/>
  <c r="T16" i="1"/>
  <c r="V16" i="1"/>
  <c r="X16" i="1"/>
  <c r="Y16" i="1"/>
  <c r="U16" i="1" s="1"/>
  <c r="S16" i="1" s="1"/>
  <c r="Z16" i="1"/>
  <c r="AB16" i="1"/>
  <c r="AC16" i="1"/>
  <c r="T17" i="1"/>
  <c r="V17" i="1"/>
  <c r="X17" i="1"/>
  <c r="Y17" i="1"/>
  <c r="U17" i="1" s="1"/>
  <c r="S17" i="1" s="1"/>
  <c r="Z17" i="1"/>
  <c r="AB17" i="1"/>
  <c r="AC17" i="1"/>
  <c r="T18" i="1"/>
  <c r="V18" i="1"/>
  <c r="X18" i="1"/>
  <c r="Y18" i="1"/>
  <c r="Z18" i="1"/>
  <c r="AA18" i="1" s="1"/>
  <c r="W18" i="1" s="1"/>
  <c r="AB18" i="1"/>
  <c r="AC18" i="1"/>
  <c r="T19" i="1"/>
  <c r="V19" i="1"/>
  <c r="X19" i="1"/>
  <c r="Y19" i="1"/>
  <c r="AA19" i="1" s="1"/>
  <c r="W19" i="1" s="1"/>
  <c r="Z19" i="1"/>
  <c r="AB19" i="1"/>
  <c r="AC19" i="1"/>
  <c r="T20" i="1"/>
  <c r="V20" i="1"/>
  <c r="X20" i="1"/>
  <c r="Y20" i="1"/>
  <c r="Z20" i="1"/>
  <c r="AA20" i="1" s="1"/>
  <c r="W20" i="1" s="1"/>
  <c r="AB20" i="1"/>
  <c r="AC20" i="1"/>
  <c r="T21" i="1"/>
  <c r="V21" i="1"/>
  <c r="X21" i="1"/>
  <c r="Y21" i="1"/>
  <c r="U21" i="1" s="1"/>
  <c r="S21" i="1" s="1"/>
  <c r="Z21" i="1"/>
  <c r="AA21" i="1"/>
  <c r="W21" i="1" s="1"/>
  <c r="AB21" i="1"/>
  <c r="AC21" i="1"/>
  <c r="T22" i="1"/>
  <c r="V22" i="1"/>
  <c r="X22" i="1"/>
  <c r="Y22" i="1"/>
  <c r="Z22" i="1"/>
  <c r="AA22" i="1" s="1"/>
  <c r="W22" i="1" s="1"/>
  <c r="AB22" i="1"/>
  <c r="AC22" i="1"/>
  <c r="T23" i="1"/>
  <c r="V23" i="1"/>
  <c r="X23" i="1"/>
  <c r="Y23" i="1"/>
  <c r="Z23" i="1"/>
  <c r="AA23" i="1" s="1"/>
  <c r="W23" i="1" s="1"/>
  <c r="AB23" i="1"/>
  <c r="AC23" i="1"/>
  <c r="T24" i="1"/>
  <c r="V24" i="1"/>
  <c r="X24" i="1"/>
  <c r="Y24" i="1"/>
  <c r="U24" i="1" s="1"/>
  <c r="S24" i="1" s="1"/>
  <c r="Z24" i="1"/>
  <c r="AB24" i="1"/>
  <c r="AC24" i="1"/>
  <c r="T25" i="1"/>
  <c r="V25" i="1"/>
  <c r="X25" i="1"/>
  <c r="Y25" i="1"/>
  <c r="U25" i="1" s="1"/>
  <c r="S25" i="1" s="1"/>
  <c r="Z25" i="1"/>
  <c r="AB25" i="1"/>
  <c r="AC25" i="1"/>
  <c r="T26" i="1"/>
  <c r="V26" i="1"/>
  <c r="X26" i="1"/>
  <c r="Y26" i="1"/>
  <c r="U26" i="1" s="1"/>
  <c r="S26" i="1" s="1"/>
  <c r="Z26" i="1"/>
  <c r="AB26" i="1"/>
  <c r="AC26" i="1"/>
  <c r="T27" i="1"/>
  <c r="V27" i="1"/>
  <c r="X27" i="1"/>
  <c r="Y27" i="1"/>
  <c r="AA27" i="1" s="1"/>
  <c r="W27" i="1" s="1"/>
  <c r="Z27" i="1"/>
  <c r="AB27" i="1"/>
  <c r="AC27" i="1"/>
  <c r="T28" i="1"/>
  <c r="V28" i="1"/>
  <c r="X28" i="1"/>
  <c r="Y28" i="1"/>
  <c r="U28" i="1" s="1"/>
  <c r="S28" i="1" s="1"/>
  <c r="Z28" i="1"/>
  <c r="AB28" i="1"/>
  <c r="AC28" i="1"/>
  <c r="T29" i="1"/>
  <c r="V29" i="1"/>
  <c r="X29" i="1"/>
  <c r="Y29" i="1"/>
  <c r="Z29" i="1"/>
  <c r="AA29" i="1" s="1"/>
  <c r="W29" i="1" s="1"/>
  <c r="AB29" i="1"/>
  <c r="AC29" i="1"/>
  <c r="T30" i="1"/>
  <c r="V30" i="1"/>
  <c r="X30" i="1"/>
  <c r="Y30" i="1"/>
  <c r="U30" i="1" s="1"/>
  <c r="S30" i="1" s="1"/>
  <c r="Z30" i="1"/>
  <c r="AB30" i="1"/>
  <c r="AC30" i="1"/>
  <c r="T31" i="1"/>
  <c r="V31" i="1"/>
  <c r="X31" i="1"/>
  <c r="Y31" i="1"/>
  <c r="U31" i="1" s="1"/>
  <c r="S31" i="1" s="1"/>
  <c r="Z31" i="1"/>
  <c r="AA31" i="1"/>
  <c r="W31" i="1" s="1"/>
  <c r="AB31" i="1"/>
  <c r="AC31" i="1"/>
  <c r="T32" i="1"/>
  <c r="V32" i="1"/>
  <c r="X32" i="1"/>
  <c r="Y32" i="1"/>
  <c r="Z32" i="1"/>
  <c r="U32" i="1" s="1"/>
  <c r="S32" i="1" s="1"/>
  <c r="AA32" i="1"/>
  <c r="W32" i="1" s="1"/>
  <c r="AB32" i="1"/>
  <c r="AC32" i="1"/>
  <c r="T33" i="1"/>
  <c r="V33" i="1"/>
  <c r="X33" i="1"/>
  <c r="Y33" i="1"/>
  <c r="Z33" i="1"/>
  <c r="AB33" i="1"/>
  <c r="AC33" i="1"/>
  <c r="T34" i="1"/>
  <c r="V34" i="1"/>
  <c r="X34" i="1"/>
  <c r="Y34" i="1"/>
  <c r="Z34" i="1"/>
  <c r="AA34" i="1" s="1"/>
  <c r="W34" i="1" s="1"/>
  <c r="AB34" i="1"/>
  <c r="AC34" i="1"/>
  <c r="T35" i="1"/>
  <c r="V35" i="1"/>
  <c r="X35" i="1"/>
  <c r="Y35" i="1"/>
  <c r="U35" i="1" s="1"/>
  <c r="S35" i="1" s="1"/>
  <c r="Z35" i="1"/>
  <c r="AB35" i="1"/>
  <c r="AC35" i="1"/>
  <c r="T36" i="1"/>
  <c r="V36" i="1"/>
  <c r="X36" i="1"/>
  <c r="Y36" i="1"/>
  <c r="U36" i="1" s="1"/>
  <c r="S36" i="1" s="1"/>
  <c r="Z36" i="1"/>
  <c r="AB36" i="1"/>
  <c r="AC36" i="1"/>
  <c r="T37" i="1"/>
  <c r="V37" i="1"/>
  <c r="X37" i="1"/>
  <c r="Y37" i="1"/>
  <c r="U37" i="1" s="1"/>
  <c r="S37" i="1" s="1"/>
  <c r="Z37" i="1"/>
  <c r="AB37" i="1"/>
  <c r="AC37" i="1"/>
  <c r="T38" i="1"/>
  <c r="V38" i="1"/>
  <c r="X38" i="1"/>
  <c r="Y38" i="1"/>
  <c r="U38" i="1" s="1"/>
  <c r="S38" i="1" s="1"/>
  <c r="Z38" i="1"/>
  <c r="AB38" i="1"/>
  <c r="AC38" i="1"/>
  <c r="T39" i="1"/>
  <c r="V39" i="1"/>
  <c r="X39" i="1"/>
  <c r="Y39" i="1"/>
  <c r="Z39" i="1"/>
  <c r="AA39" i="1" s="1"/>
  <c r="W39" i="1" s="1"/>
  <c r="AB39" i="1"/>
  <c r="AC39" i="1"/>
  <c r="T40" i="1"/>
  <c r="V40" i="1"/>
  <c r="X40" i="1"/>
  <c r="Y40" i="1"/>
  <c r="Z40" i="1"/>
  <c r="AA40" i="1" s="1"/>
  <c r="W40" i="1" s="1"/>
  <c r="AB40" i="1"/>
  <c r="AC40" i="1"/>
  <c r="T41" i="1"/>
  <c r="V41" i="1"/>
  <c r="X41" i="1"/>
  <c r="Y41" i="1"/>
  <c r="Z41" i="1"/>
  <c r="AA41" i="1" s="1"/>
  <c r="W41" i="1" s="1"/>
  <c r="AB41" i="1"/>
  <c r="AC41" i="1"/>
  <c r="T42" i="1"/>
  <c r="V42" i="1"/>
  <c r="X42" i="1"/>
  <c r="Y42" i="1"/>
  <c r="U42" i="1" s="1"/>
  <c r="S42" i="1" s="1"/>
  <c r="Z42" i="1"/>
  <c r="AB42" i="1"/>
  <c r="AC42" i="1"/>
  <c r="T43" i="1"/>
  <c r="V43" i="1"/>
  <c r="X43" i="1"/>
  <c r="Y43" i="1"/>
  <c r="Z43" i="1"/>
  <c r="AA43" i="1" s="1"/>
  <c r="W43" i="1" s="1"/>
  <c r="AB43" i="1"/>
  <c r="AC43" i="1"/>
  <c r="T44" i="1"/>
  <c r="V44" i="1"/>
  <c r="X44" i="1"/>
  <c r="Y44" i="1"/>
  <c r="U44" i="1" s="1"/>
  <c r="S44" i="1" s="1"/>
  <c r="Z44" i="1"/>
  <c r="AB44" i="1"/>
  <c r="AC44" i="1"/>
  <c r="T45" i="1"/>
  <c r="V45" i="1"/>
  <c r="X45" i="1"/>
  <c r="Y45" i="1"/>
  <c r="Z45" i="1"/>
  <c r="AA45" i="1" s="1"/>
  <c r="W45" i="1" s="1"/>
  <c r="AB45" i="1"/>
  <c r="AC45" i="1"/>
  <c r="T46" i="1"/>
  <c r="V46" i="1"/>
  <c r="X46" i="1"/>
  <c r="Y46" i="1"/>
  <c r="Z46" i="1"/>
  <c r="AA46" i="1" s="1"/>
  <c r="W46" i="1" s="1"/>
  <c r="AB46" i="1"/>
  <c r="AC46" i="1"/>
  <c r="T47" i="1"/>
  <c r="V47" i="1"/>
  <c r="X47" i="1"/>
  <c r="Y47" i="1"/>
  <c r="Z47" i="1"/>
  <c r="AA47" i="1" s="1"/>
  <c r="W47" i="1" s="1"/>
  <c r="AB47" i="1"/>
  <c r="AC47" i="1"/>
  <c r="AC13" i="1"/>
  <c r="AB13" i="1"/>
  <c r="AA13" i="1"/>
  <c r="W13" i="1" s="1"/>
  <c r="Z13" i="1"/>
  <c r="Y13" i="1"/>
  <c r="U13" i="1" s="1"/>
  <c r="S13" i="1" s="1"/>
  <c r="X13" i="1"/>
  <c r="V13" i="1"/>
  <c r="T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13" i="1"/>
  <c r="M14" i="1"/>
  <c r="N14" i="1"/>
  <c r="M15" i="1"/>
  <c r="N15" i="1" s="1"/>
  <c r="M16" i="1"/>
  <c r="N16" i="1"/>
  <c r="M17" i="1"/>
  <c r="N17" i="1" s="1"/>
  <c r="M18" i="1"/>
  <c r="N18" i="1"/>
  <c r="M19" i="1"/>
  <c r="N19" i="1" s="1"/>
  <c r="M20" i="1"/>
  <c r="N20" i="1"/>
  <c r="M21" i="1"/>
  <c r="N21" i="1" s="1"/>
  <c r="M22" i="1"/>
  <c r="N22" i="1"/>
  <c r="M23" i="1"/>
  <c r="N23" i="1" s="1"/>
  <c r="M24" i="1"/>
  <c r="N24" i="1"/>
  <c r="M25" i="1"/>
  <c r="N25" i="1" s="1"/>
  <c r="M26" i="1"/>
  <c r="N26" i="1"/>
  <c r="M27" i="1"/>
  <c r="N27" i="1" s="1"/>
  <c r="M28" i="1"/>
  <c r="N28" i="1"/>
  <c r="M29" i="1"/>
  <c r="N29" i="1" s="1"/>
  <c r="M30" i="1"/>
  <c r="N30" i="1"/>
  <c r="M31" i="1"/>
  <c r="N31" i="1" s="1"/>
  <c r="M32" i="1"/>
  <c r="N32" i="1"/>
  <c r="M33" i="1"/>
  <c r="N33" i="1" s="1"/>
  <c r="M34" i="1"/>
  <c r="N34" i="1"/>
  <c r="M35" i="1"/>
  <c r="N35" i="1" s="1"/>
  <c r="M36" i="1"/>
  <c r="N36" i="1"/>
  <c r="M37" i="1"/>
  <c r="N37" i="1" s="1"/>
  <c r="M38" i="1"/>
  <c r="N38" i="1"/>
  <c r="M39" i="1"/>
  <c r="N39" i="1" s="1"/>
  <c r="M40" i="1"/>
  <c r="N40" i="1"/>
  <c r="M41" i="1"/>
  <c r="N41" i="1" s="1"/>
  <c r="M42" i="1"/>
  <c r="N42" i="1"/>
  <c r="M43" i="1"/>
  <c r="N43" i="1" s="1"/>
  <c r="M44" i="1"/>
  <c r="N44" i="1"/>
  <c r="M45" i="1"/>
  <c r="N45" i="1" s="1"/>
  <c r="M46" i="1"/>
  <c r="N46" i="1"/>
  <c r="M47" i="1"/>
  <c r="N47" i="1" s="1"/>
  <c r="M48" i="1"/>
  <c r="N48" i="1"/>
  <c r="M49" i="1"/>
  <c r="N49" i="1" s="1"/>
  <c r="M50" i="1"/>
  <c r="N50" i="1"/>
  <c r="M51" i="1"/>
  <c r="N51" i="1" s="1"/>
  <c r="M13" i="1"/>
  <c r="N13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13" i="1"/>
  <c r="AA50" i="1" l="1"/>
  <c r="W50" i="1" s="1"/>
  <c r="U48" i="1"/>
  <c r="S48" i="1" s="1"/>
  <c r="U46" i="1"/>
  <c r="S46" i="1" s="1"/>
  <c r="U43" i="1"/>
  <c r="S43" i="1" s="1"/>
  <c r="U41" i="1"/>
  <c r="S41" i="1" s="1"/>
  <c r="AA36" i="1"/>
  <c r="W36" i="1" s="1"/>
  <c r="U33" i="1"/>
  <c r="S33" i="1" s="1"/>
  <c r="AA30" i="1"/>
  <c r="W30" i="1" s="1"/>
  <c r="U29" i="1"/>
  <c r="S29" i="1" s="1"/>
  <c r="AA28" i="1"/>
  <c r="W28" i="1" s="1"/>
  <c r="AA26" i="1"/>
  <c r="W26" i="1" s="1"/>
  <c r="AA25" i="1"/>
  <c r="W25" i="1" s="1"/>
  <c r="AA24" i="1"/>
  <c r="W24" i="1" s="1"/>
  <c r="U22" i="1"/>
  <c r="S22" i="1" s="1"/>
  <c r="U20" i="1"/>
  <c r="S20" i="1" s="1"/>
  <c r="U18" i="1"/>
  <c r="S18" i="1" s="1"/>
  <c r="AA17" i="1"/>
  <c r="W17" i="1" s="1"/>
  <c r="AA16" i="1"/>
  <c r="W16" i="1" s="1"/>
  <c r="AA15" i="1"/>
  <c r="W15" i="1" s="1"/>
  <c r="U45" i="1"/>
  <c r="S45" i="1" s="1"/>
  <c r="U40" i="1"/>
  <c r="S40" i="1" s="1"/>
  <c r="U39" i="1"/>
  <c r="S39" i="1" s="1"/>
  <c r="U47" i="1"/>
  <c r="S47" i="1" s="1"/>
  <c r="AA37" i="1"/>
  <c r="W37" i="1" s="1"/>
  <c r="AA35" i="1"/>
  <c r="W35" i="1" s="1"/>
  <c r="AA44" i="1"/>
  <c r="W44" i="1" s="1"/>
  <c r="AA42" i="1"/>
  <c r="W42" i="1" s="1"/>
  <c r="AA38" i="1"/>
  <c r="W38" i="1" s="1"/>
  <c r="U34" i="1"/>
  <c r="S34" i="1" s="1"/>
  <c r="U27" i="1"/>
  <c r="S27" i="1" s="1"/>
  <c r="U23" i="1"/>
  <c r="S23" i="1" s="1"/>
  <c r="U19" i="1"/>
  <c r="S19" i="1" s="1"/>
  <c r="U14" i="1"/>
  <c r="S14" i="1" s="1"/>
  <c r="U51" i="1"/>
  <c r="S51" i="1" s="1"/>
  <c r="AA49" i="1"/>
  <c r="W49" i="1" s="1"/>
  <c r="AA33" i="1"/>
  <c r="W33" i="1" s="1"/>
  <c r="M14" i="5" l="1"/>
  <c r="M13" i="5"/>
  <c r="M12" i="5"/>
  <c r="M11" i="5"/>
  <c r="M10" i="5"/>
  <c r="M9" i="5"/>
  <c r="M8" i="5"/>
  <c r="M7" i="5"/>
  <c r="M6" i="5"/>
  <c r="M5" i="5"/>
  <c r="M4" i="5"/>
  <c r="M3" i="5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A1" i="6"/>
  <c r="A5" i="3"/>
  <c r="M2" i="3"/>
  <c r="M3" i="3" s="1"/>
  <c r="A11" i="1"/>
  <c r="O8" i="1"/>
  <c r="N8" i="1"/>
  <c r="M8" i="1"/>
  <c r="J7" i="1"/>
  <c r="O6" i="1"/>
  <c r="N6" i="1"/>
  <c r="M6" i="1"/>
  <c r="J6" i="1"/>
  <c r="I2" i="1"/>
  <c r="M5" i="1" l="1"/>
  <c r="J4" i="1"/>
  <c r="J5" i="1"/>
  <c r="O5" i="1"/>
  <c r="N5" i="1"/>
  <c r="J8" i="1"/>
  <c r="J9" i="1" l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<sst xmlns="http://schemas.openxmlformats.org/spreadsheetml/2006/main" count="1340" uniqueCount="465">
  <si>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</si>
  <si>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</si>
  <si>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</si>
  <si>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</si>
  <si>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</si>
  <si>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</si>
  <si>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</si>
  <si>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</si>
  <si>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</si>
  <si>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</si>
  <si>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</si>
  <si>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</si>
  <si>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</si>
  <si>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</si>
  <si>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</si>
  <si>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</si>
  <si>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</si>
  <si>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</si>
  <si>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</si>
  <si>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</si>
  <si>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</si>
  <si>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</si>
  <si>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</si>
  <si>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</si>
  <si>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</si>
  <si>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</si>
  <si>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</si>
  <si>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</si>
  <si>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</si>
  <si>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</si>
  <si>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</si>
  <si>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</si>
  <si>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</si>
  <si>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</si>
  <si>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</si>
  <si>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</si>
  <si>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</si>
  <si>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</si>
  <si>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</si>
  <si>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</si>
  <si>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</si>
  <si>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</si>
  <si>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</si>
  <si>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</si>
  <si>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</si>
  <si>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</si>
  <si>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</si>
  <si>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</si>
  <si>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</si>
  <si>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</si>
  <si>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</si>
  <si>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</si>
  <si>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</si>
  <si>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</si>
  <si>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</si>
  <si>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</si>
  <si>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PERMANENT SPEED RESTRICTION</t>
  </si>
  <si>
    <t>Speed (6)</t>
  </si>
  <si>
    <t>DE.1.0.6.0</t>
  </si>
  <si>
    <t>baselines:</t>
  </si>
  <si>
    <t>sunday - thu - 144/day</t>
  </si>
  <si>
    <t>fri-sat - 146/day</t>
  </si>
  <si>
    <t>Married Pair</t>
  </si>
  <si>
    <t>rtdc.l.rtdc.4032:itc</t>
  </si>
  <si>
    <t>Kibana URL</t>
  </si>
  <si>
    <t>rtdc.l.rtdc.4019:itc</t>
  </si>
  <si>
    <t>rtdc.l.rtdc.4020:itc</t>
  </si>
  <si>
    <t>rtdc.l.rtdc.4018:itc</t>
  </si>
  <si>
    <t>rtdc.l.rtdc.4017:itc</t>
  </si>
  <si>
    <t>rtdc.l.rtdc.4008:itc</t>
  </si>
  <si>
    <t>rtdc.l.rtdc.4007:itc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</si>
  <si>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</si>
  <si>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</si>
  <si>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</si>
  <si>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</si>
  <si>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</si>
  <si>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</si>
  <si>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rtdc.l.rtdc.4041:itc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</si>
  <si>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</si>
  <si>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</si>
  <si>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</si>
  <si>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</si>
  <si>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</si>
  <si>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</si>
  <si>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</si>
  <si>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</si>
  <si>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</si>
  <si>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</si>
  <si>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</si>
  <si>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</si>
  <si>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</si>
  <si>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</si>
  <si>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</si>
  <si>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</si>
  <si>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</si>
  <si>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</si>
  <si>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</si>
  <si>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</si>
  <si>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</si>
  <si>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</si>
  <si>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N</t>
  </si>
  <si>
    <t>Possible System Enforcement</t>
  </si>
  <si>
    <t>Training enforcement</t>
  </si>
  <si>
    <t>SWITCH UNKNOWN</t>
  </si>
  <si>
    <t>Track device (7)</t>
  </si>
  <si>
    <t>SIGNAL</t>
  </si>
  <si>
    <t>Signal based authority (5)</t>
  </si>
  <si>
    <t>CANFIELD</t>
  </si>
  <si>
    <t>NELSON</t>
  </si>
  <si>
    <t>rtdc.l.rtdc.4038:itc</t>
  </si>
  <si>
    <t>MALAVE</t>
  </si>
  <si>
    <t>BRUDER</t>
  </si>
  <si>
    <t>300:58916</t>
  </si>
  <si>
    <t>rtdc.l.rtdc.4024:itc</t>
  </si>
  <si>
    <t>rtdc.l.rtdc.4023:itc</t>
  </si>
  <si>
    <t>rtdc.l.rtdc.4012:itc</t>
  </si>
  <si>
    <t>STURGEON</t>
  </si>
  <si>
    <t>rtdc.l.rtdc.4011:itc</t>
  </si>
  <si>
    <t>LOCKLEAR</t>
  </si>
  <si>
    <t>CHANDLER</t>
  </si>
  <si>
    <t>rtdc.l.rtdc.4014:itc</t>
  </si>
  <si>
    <t>ACKERMAN</t>
  </si>
  <si>
    <t>HELVIE</t>
  </si>
  <si>
    <t>rtdc.l.rtdc.4028:itc</t>
  </si>
  <si>
    <t>rtdc.l.rtdc.4025:itc</t>
  </si>
  <si>
    <t>rtdc.l.rtdc.4026:itc</t>
  </si>
  <si>
    <t>rtdc.l.rtdc.4013:itc</t>
  </si>
  <si>
    <t>300:58623</t>
  </si>
  <si>
    <t>300:58920</t>
  </si>
  <si>
    <t>300:58956</t>
  </si>
  <si>
    <t>1827-26</t>
  </si>
  <si>
    <t>300:58941</t>
  </si>
  <si>
    <t>1828-26</t>
  </si>
  <si>
    <t>1829-26</t>
  </si>
  <si>
    <t>1830-26</t>
  </si>
  <si>
    <t>1831-26</t>
  </si>
  <si>
    <t>1832-26</t>
  </si>
  <si>
    <t>1902-26</t>
  </si>
  <si>
    <t>227-26</t>
  </si>
  <si>
    <t>BARTLETT</t>
  </si>
  <si>
    <t>228-26</t>
  </si>
  <si>
    <t>236-26</t>
  </si>
  <si>
    <t>229-26</t>
  </si>
  <si>
    <t>COOLAHAN</t>
  </si>
  <si>
    <t>REBOLETTI</t>
  </si>
  <si>
    <t>224-26</t>
  </si>
  <si>
    <t>235-26</t>
  </si>
  <si>
    <t>DE LA ROSA</t>
  </si>
  <si>
    <t>223-26</t>
  </si>
  <si>
    <t>234-26</t>
  </si>
  <si>
    <t>rtdc.l.rtdc.4037:itc</t>
  </si>
  <si>
    <t>222-26</t>
  </si>
  <si>
    <t>226-26</t>
  </si>
  <si>
    <t>233-26</t>
  </si>
  <si>
    <t>231-26</t>
  </si>
  <si>
    <t>239-26</t>
  </si>
  <si>
    <t>230-26</t>
  </si>
  <si>
    <t>220-26</t>
  </si>
  <si>
    <t>237-26</t>
  </si>
  <si>
    <t>232-26</t>
  </si>
  <si>
    <t>225-26</t>
  </si>
  <si>
    <t>238-26</t>
  </si>
  <si>
    <t>1833-26</t>
  </si>
  <si>
    <t>241-26</t>
  </si>
  <si>
    <t>800-27</t>
  </si>
  <si>
    <t>300:58611</t>
  </si>
  <si>
    <t>204:916</t>
  </si>
  <si>
    <t>801-27</t>
  </si>
  <si>
    <t>204:1209</t>
  </si>
  <si>
    <t>300:58869</t>
  </si>
  <si>
    <t>802-27</t>
  </si>
  <si>
    <t>300:58562</t>
  </si>
  <si>
    <t>204:1949</t>
  </si>
  <si>
    <t>803-27</t>
  </si>
  <si>
    <t>204:453</t>
  </si>
  <si>
    <t>804-27</t>
  </si>
  <si>
    <t>300:58600</t>
  </si>
  <si>
    <t>204:911</t>
  </si>
  <si>
    <t>805-27</t>
  </si>
  <si>
    <t>204:1216</t>
  </si>
  <si>
    <t>300:58903</t>
  </si>
  <si>
    <t>806-27</t>
  </si>
  <si>
    <t>300:58591</t>
  </si>
  <si>
    <t>204:1160</t>
  </si>
  <si>
    <t>807-27</t>
  </si>
  <si>
    <t>204:1214</t>
  </si>
  <si>
    <t>300:30650</t>
  </si>
  <si>
    <t>808-27</t>
  </si>
  <si>
    <t>204:893</t>
  </si>
  <si>
    <t>809-27</t>
  </si>
  <si>
    <t>204:1471</t>
  </si>
  <si>
    <t>300:58882</t>
  </si>
  <si>
    <t>810-27</t>
  </si>
  <si>
    <t>300:58553</t>
  </si>
  <si>
    <t>204:1248</t>
  </si>
  <si>
    <t>811-27</t>
  </si>
  <si>
    <t>204:1210</t>
  </si>
  <si>
    <t>300:22961</t>
  </si>
  <si>
    <t>812-27</t>
  </si>
  <si>
    <t>300:58598</t>
  </si>
  <si>
    <t>300:58576</t>
  </si>
  <si>
    <t>813-27</t>
  </si>
  <si>
    <t>204:1244</t>
  </si>
  <si>
    <t>300:58897</t>
  </si>
  <si>
    <t>815-27</t>
  </si>
  <si>
    <t>204:1491</t>
  </si>
  <si>
    <t>300:58892</t>
  </si>
  <si>
    <t>816-27</t>
  </si>
  <si>
    <t>300:58577</t>
  </si>
  <si>
    <t>204:1173</t>
  </si>
  <si>
    <t>817-27</t>
  </si>
  <si>
    <t>204:1219</t>
  </si>
  <si>
    <t>300:58884</t>
  </si>
  <si>
    <t>818-27</t>
  </si>
  <si>
    <t>300:58568</t>
  </si>
  <si>
    <t>204:920</t>
  </si>
  <si>
    <t>819-27</t>
  </si>
  <si>
    <t>204:1212</t>
  </si>
  <si>
    <t>300:58896</t>
  </si>
  <si>
    <t>820-27</t>
  </si>
  <si>
    <t>300:58579</t>
  </si>
  <si>
    <t>821-27</t>
  </si>
  <si>
    <t>822-27</t>
  </si>
  <si>
    <t>204:915</t>
  </si>
  <si>
    <t>823-27</t>
  </si>
  <si>
    <t>204:1198</t>
  </si>
  <si>
    <t>300:58088</t>
  </si>
  <si>
    <t>824-27</t>
  </si>
  <si>
    <t>300:57808</t>
  </si>
  <si>
    <t>825-27</t>
  </si>
  <si>
    <t>204:890</t>
  </si>
  <si>
    <t>300:58935</t>
  </si>
  <si>
    <t>826-27</t>
  </si>
  <si>
    <t>204:838</t>
  </si>
  <si>
    <t>827-27</t>
  </si>
  <si>
    <t>204:969</t>
  </si>
  <si>
    <t>828-27</t>
  </si>
  <si>
    <t>300:58583</t>
  </si>
  <si>
    <t>204:687</t>
  </si>
  <si>
    <t>829-27</t>
  </si>
  <si>
    <t>204:1128</t>
  </si>
  <si>
    <t>830-27</t>
  </si>
  <si>
    <t>300:58626</t>
  </si>
  <si>
    <t>831-27</t>
  </si>
  <si>
    <t>300:58907</t>
  </si>
  <si>
    <t>832-27</t>
  </si>
  <si>
    <t>204:722</t>
  </si>
  <si>
    <t>833-27</t>
  </si>
  <si>
    <t>834-27</t>
  </si>
  <si>
    <t>300:58630</t>
  </si>
  <si>
    <t>204:782</t>
  </si>
  <si>
    <t>835-27</t>
  </si>
  <si>
    <t>204:1014</t>
  </si>
  <si>
    <t>300:58857</t>
  </si>
  <si>
    <t>836-27</t>
  </si>
  <si>
    <t>300:58537</t>
  </si>
  <si>
    <t>204:747</t>
  </si>
  <si>
    <t>837-27</t>
  </si>
  <si>
    <t>204:1093</t>
  </si>
  <si>
    <t>300:58958</t>
  </si>
  <si>
    <t>838-27</t>
  </si>
  <si>
    <t>300:58632</t>
  </si>
  <si>
    <t>204:857</t>
  </si>
  <si>
    <t>839-27</t>
  </si>
  <si>
    <t>204:1030</t>
  </si>
  <si>
    <t>300:58914</t>
  </si>
  <si>
    <t>840-27</t>
  </si>
  <si>
    <t>300:58628</t>
  </si>
  <si>
    <t>204:796</t>
  </si>
  <si>
    <t>841-27</t>
  </si>
  <si>
    <t>204:1123</t>
  </si>
  <si>
    <t>300:58944</t>
  </si>
  <si>
    <t>204:1233</t>
  </si>
  <si>
    <t>842-27</t>
  </si>
  <si>
    <t>300:58640</t>
  </si>
  <si>
    <t>204:789</t>
  </si>
  <si>
    <t>843-27</t>
  </si>
  <si>
    <t>204:1095</t>
  </si>
  <si>
    <t>300:58960</t>
  </si>
  <si>
    <t>844-27</t>
  </si>
  <si>
    <t>300:58638</t>
  </si>
  <si>
    <t>204:754</t>
  </si>
  <si>
    <t>845-27</t>
  </si>
  <si>
    <t>204:1077</t>
  </si>
  <si>
    <t>300:58954</t>
  </si>
  <si>
    <t>847-27</t>
  </si>
  <si>
    <t>204:1037</t>
  </si>
  <si>
    <t>300:58950</t>
  </si>
  <si>
    <t>902-27</t>
  </si>
  <si>
    <t>300:23056</t>
  </si>
  <si>
    <t>300:22586</t>
  </si>
  <si>
    <t>906-27</t>
  </si>
  <si>
    <t>300:58596</t>
  </si>
  <si>
    <t>300:27677</t>
  </si>
  <si>
    <t>908-27</t>
  </si>
  <si>
    <t>300:58636</t>
  </si>
  <si>
    <t>300:21740</t>
  </si>
  <si>
    <t>176-27</t>
  </si>
  <si>
    <t>STAMBAUGH</t>
  </si>
  <si>
    <t>203-27</t>
  </si>
  <si>
    <t>rtdc.l.rtdc.4029:itc</t>
  </si>
  <si>
    <t>125-27</t>
  </si>
  <si>
    <t>MAELZER</t>
  </si>
  <si>
    <t>158-27</t>
  </si>
  <si>
    <t>166-27</t>
  </si>
  <si>
    <t>192-27</t>
  </si>
  <si>
    <t>MOSES</t>
  </si>
  <si>
    <t>207-27</t>
  </si>
  <si>
    <t>223-27</t>
  </si>
  <si>
    <t>117-27</t>
  </si>
  <si>
    <t>KILLION</t>
  </si>
  <si>
    <t>163-27</t>
  </si>
  <si>
    <t>193-27</t>
  </si>
  <si>
    <t>SNYDER</t>
  </si>
  <si>
    <t>118-27</t>
  </si>
  <si>
    <t>243-27</t>
  </si>
  <si>
    <t>224-27</t>
  </si>
  <si>
    <t>149-27</t>
  </si>
  <si>
    <t>YANAI</t>
  </si>
  <si>
    <t>214-27</t>
  </si>
  <si>
    <t>189-27</t>
  </si>
  <si>
    <t>159-27</t>
  </si>
  <si>
    <t>rtdc.l.rtdc.4030:itc</t>
  </si>
  <si>
    <t>112-27</t>
  </si>
  <si>
    <t>219-27</t>
  </si>
  <si>
    <t>rtdc.l.rtdc.4027:itc</t>
  </si>
  <si>
    <t>211-27</t>
  </si>
  <si>
    <t>SHOOK</t>
  </si>
  <si>
    <t>161-27</t>
  </si>
  <si>
    <t>133-27</t>
  </si>
  <si>
    <t>ROCHA</t>
  </si>
  <si>
    <t>168-27</t>
  </si>
  <si>
    <t>147-27</t>
  </si>
  <si>
    <t>178-27</t>
  </si>
  <si>
    <t>180-27</t>
  </si>
  <si>
    <t>186-27</t>
  </si>
  <si>
    <t>107-27</t>
  </si>
  <si>
    <t>242-26</t>
  </si>
  <si>
    <t>215-27</t>
  </si>
  <si>
    <t>DAVIS</t>
  </si>
  <si>
    <t>rtdc.l.rtdc.4040:itc</t>
  </si>
  <si>
    <t>233-27</t>
  </si>
  <si>
    <t>113-27</t>
  </si>
  <si>
    <t>109-27</t>
  </si>
  <si>
    <t>SPECTOR</t>
  </si>
  <si>
    <t>121-27</t>
  </si>
  <si>
    <t>104-27</t>
  </si>
  <si>
    <t>141-27</t>
  </si>
  <si>
    <t>101-27</t>
  </si>
  <si>
    <t>103-27</t>
  </si>
  <si>
    <t>131-27</t>
  </si>
  <si>
    <t>146-27</t>
  </si>
  <si>
    <t>217-27</t>
  </si>
  <si>
    <t>rtdc.l.rtdc.4044:itc</t>
  </si>
  <si>
    <t>243-26</t>
  </si>
  <si>
    <t>202-27</t>
  </si>
  <si>
    <t>122-27</t>
  </si>
  <si>
    <t>rtdc.l.rtdc.4039:itc</t>
  </si>
  <si>
    <t>218-27</t>
  </si>
  <si>
    <t>132-27</t>
  </si>
  <si>
    <t>197-27</t>
  </si>
  <si>
    <t>120-27</t>
  </si>
  <si>
    <t>185-27</t>
  </si>
  <si>
    <t>240-26</t>
  </si>
  <si>
    <t>244-27</t>
  </si>
  <si>
    <t>108-27</t>
  </si>
  <si>
    <t>206-27</t>
  </si>
  <si>
    <t>198-27</t>
  </si>
  <si>
    <t>135-27</t>
  </si>
  <si>
    <t>177-27</t>
  </si>
  <si>
    <t>127-27</t>
  </si>
  <si>
    <t>213-27</t>
  </si>
  <si>
    <t>130-27</t>
  </si>
  <si>
    <t>201-27</t>
  </si>
  <si>
    <t>190-27</t>
  </si>
  <si>
    <t>199-27</t>
  </si>
  <si>
    <t>195-27</t>
  </si>
  <si>
    <t>208-27</t>
  </si>
  <si>
    <t>220-27</t>
  </si>
  <si>
    <t>212-27</t>
  </si>
  <si>
    <t>210-27</t>
  </si>
  <si>
    <t>YOUNG</t>
  </si>
  <si>
    <t>229-27</t>
  </si>
  <si>
    <t>194-27</t>
  </si>
  <si>
    <t>187-27</t>
  </si>
  <si>
    <t>236-27</t>
  </si>
  <si>
    <t>182-27</t>
  </si>
  <si>
    <t>144-27</t>
  </si>
  <si>
    <t>142-27</t>
  </si>
  <si>
    <t>136-27</t>
  </si>
  <si>
    <t>228-27</t>
  </si>
  <si>
    <t>239-27</t>
  </si>
  <si>
    <t>221-27</t>
  </si>
  <si>
    <t>234-27</t>
  </si>
  <si>
    <t>116-27</t>
  </si>
  <si>
    <t>173-27</t>
  </si>
  <si>
    <t>137-27</t>
  </si>
  <si>
    <t>160-27</t>
  </si>
  <si>
    <t>124-27</t>
  </si>
  <si>
    <t>169-27</t>
  </si>
  <si>
    <t>119-27</t>
  </si>
  <si>
    <t>238-27</t>
  </si>
  <si>
    <t>152-27</t>
  </si>
  <si>
    <t>156-27</t>
  </si>
  <si>
    <t>164-27</t>
  </si>
  <si>
    <t>196-27</t>
  </si>
  <si>
    <t>139-27</t>
  </si>
  <si>
    <t>106-27</t>
  </si>
  <si>
    <t>102-27</t>
  </si>
  <si>
    <t>115-27</t>
  </si>
  <si>
    <t>216-27</t>
  </si>
  <si>
    <t>110-27</t>
  </si>
  <si>
    <t>240-27</t>
  </si>
  <si>
    <t>226-27</t>
  </si>
  <si>
    <t>227-27</t>
  </si>
  <si>
    <t>235-27</t>
  </si>
  <si>
    <t>134-27</t>
  </si>
  <si>
    <t>145-27</t>
  </si>
  <si>
    <t>242-27</t>
  </si>
  <si>
    <t>105-27</t>
  </si>
  <si>
    <t>230-27</t>
  </si>
  <si>
    <t>114-27</t>
  </si>
  <si>
    <t>183-27</t>
  </si>
  <si>
    <t>140-27</t>
  </si>
  <si>
    <t>151-27</t>
  </si>
  <si>
    <t>126-27</t>
  </si>
  <si>
    <t>153-27</t>
  </si>
  <si>
    <t>200-27</t>
  </si>
  <si>
    <t>170-27</t>
  </si>
  <si>
    <t>150-27</t>
  </si>
  <si>
    <t>128-27</t>
  </si>
  <si>
    <t>157-27</t>
  </si>
  <si>
    <t>154-27</t>
  </si>
  <si>
    <t>171-27</t>
  </si>
  <si>
    <t>165-27</t>
  </si>
  <si>
    <t>167-27</t>
  </si>
  <si>
    <t>162-27</t>
  </si>
  <si>
    <t>172-27</t>
  </si>
  <si>
    <t>175-27</t>
  </si>
  <si>
    <t>155-27</t>
  </si>
  <si>
    <t>179-27</t>
  </si>
  <si>
    <t>138-27</t>
  </si>
  <si>
    <t>181-27</t>
  </si>
  <si>
    <t>129-27</t>
  </si>
  <si>
    <t>111-27</t>
  </si>
  <si>
    <t>191-27</t>
  </si>
  <si>
    <t>188-27</t>
  </si>
  <si>
    <t>184-27</t>
  </si>
  <si>
    <t>205-27</t>
  </si>
  <si>
    <t>123-27</t>
  </si>
  <si>
    <t>209-27</t>
  </si>
  <si>
    <t>174-27</t>
  </si>
  <si>
    <t>204-27</t>
  </si>
  <si>
    <t>222-27</t>
  </si>
  <si>
    <t>225-27</t>
  </si>
  <si>
    <t>231-27</t>
  </si>
  <si>
    <t>232-27</t>
  </si>
  <si>
    <t>148-27</t>
  </si>
  <si>
    <t>237-27</t>
  </si>
  <si>
    <t>241-27</t>
  </si>
  <si>
    <t>143-27</t>
  </si>
  <si>
    <t>UNHEALTHY CROSSING</t>
  </si>
  <si>
    <t>Other (9)</t>
  </si>
  <si>
    <t>UNKNOWN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</si>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</sst>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1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0" borderId="0" xfId="0" applyFill="1" applyBorder="1" applyAlignment="1">
      <alignment horizontal="center"/>
    </xf>
    <xf numFmtId="168" fontId="0" fillId="0" borderId="0" xfId="0" applyNumberFormat="1" applyFill="1" applyBorder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9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>
        <row r="7">
          <cell r="C7" t="str">
            <v>123-26</v>
          </cell>
          <cell r="D7" t="str">
            <v>Predictive Enforcement (2)</v>
          </cell>
          <cell r="E7" t="str">
            <v>GRADE CROSSING</v>
          </cell>
          <cell r="F7">
            <v>0</v>
          </cell>
          <cell r="G7">
            <v>40</v>
          </cell>
          <cell r="H7">
            <v>62927</v>
          </cell>
          <cell r="I7" t="str">
            <v>Bulletin (2)</v>
          </cell>
          <cell r="J7">
            <v>63068</v>
          </cell>
        </row>
        <row r="8">
          <cell r="C8" t="str">
            <v>124-26</v>
          </cell>
          <cell r="D8" t="str">
            <v>Predictive Enforcement (2)</v>
          </cell>
          <cell r="E8" t="str">
            <v>GRADE CROSSING</v>
          </cell>
          <cell r="F8">
            <v>0</v>
          </cell>
          <cell r="G8">
            <v>189</v>
          </cell>
          <cell r="H8">
            <v>110027</v>
          </cell>
          <cell r="I8" t="str">
            <v>Bulletin (2)</v>
          </cell>
          <cell r="J8">
            <v>109135</v>
          </cell>
        </row>
        <row r="9">
          <cell r="C9" t="str">
            <v>143-26</v>
          </cell>
          <cell r="D9" t="str">
            <v>Predictive Enforcement (2)</v>
          </cell>
          <cell r="E9" t="str">
            <v>GRADE CROSSING</v>
          </cell>
          <cell r="F9">
            <v>0</v>
          </cell>
          <cell r="G9">
            <v>303</v>
          </cell>
          <cell r="H9">
            <v>61322</v>
          </cell>
          <cell r="I9" t="str">
            <v>Bulletin (2)</v>
          </cell>
          <cell r="J9">
            <v>63068</v>
          </cell>
        </row>
        <row r="10">
          <cell r="C10" t="str">
            <v>144-26</v>
          </cell>
          <cell r="D10" t="str">
            <v>Predictive Enforcement (2)</v>
          </cell>
          <cell r="E10" t="str">
            <v>GRADE CROSSING</v>
          </cell>
          <cell r="F10">
            <v>0</v>
          </cell>
          <cell r="G10">
            <v>299</v>
          </cell>
          <cell r="H10">
            <v>110471</v>
          </cell>
          <cell r="I10" t="str">
            <v>Bulletin (2)</v>
          </cell>
          <cell r="J10">
            <v>109135</v>
          </cell>
        </row>
        <row r="11">
          <cell r="C11" t="str">
            <v>150-26</v>
          </cell>
          <cell r="D11" t="str">
            <v>Predictive Enforcement (2)</v>
          </cell>
          <cell r="E11" t="str">
            <v>GRADE CROSSING</v>
          </cell>
          <cell r="F11">
            <v>0</v>
          </cell>
          <cell r="G11">
            <v>159</v>
          </cell>
          <cell r="H11">
            <v>109523</v>
          </cell>
          <cell r="I11" t="str">
            <v>Bulletin (2)</v>
          </cell>
          <cell r="J11">
            <v>109135</v>
          </cell>
        </row>
        <row r="12">
          <cell r="C12" t="str">
            <v>151-26</v>
          </cell>
          <cell r="D12" t="str">
            <v>Predictive Enforcement (2)</v>
          </cell>
          <cell r="E12" t="str">
            <v>GRADE CROSSING</v>
          </cell>
          <cell r="F12">
            <v>0</v>
          </cell>
          <cell r="G12">
            <v>26</v>
          </cell>
          <cell r="H12">
            <v>63003</v>
          </cell>
          <cell r="I12" t="str">
            <v>Bulletin (2)</v>
          </cell>
          <cell r="J12">
            <v>63068</v>
          </cell>
        </row>
        <row r="13">
          <cell r="C13" t="str">
            <v>152-26</v>
          </cell>
          <cell r="D13" t="str">
            <v>Predictive Enforcement (2)</v>
          </cell>
          <cell r="E13" t="str">
            <v>GRADE CROSSING</v>
          </cell>
          <cell r="F13">
            <v>0</v>
          </cell>
          <cell r="G13">
            <v>162</v>
          </cell>
          <cell r="H13">
            <v>109575</v>
          </cell>
          <cell r="I13" t="str">
            <v>Bulletin (2)</v>
          </cell>
          <cell r="J13">
            <v>109135</v>
          </cell>
        </row>
        <row r="14">
          <cell r="C14" t="str">
            <v>184-26</v>
          </cell>
          <cell r="D14" t="str">
            <v>Predictive Enforcement (2)</v>
          </cell>
          <cell r="E14" t="str">
            <v>GRADE CROSSING</v>
          </cell>
          <cell r="F14">
            <v>0</v>
          </cell>
          <cell r="G14">
            <v>144</v>
          </cell>
          <cell r="H14">
            <v>58892</v>
          </cell>
          <cell r="I14" t="str">
            <v>Bulletin (2)</v>
          </cell>
          <cell r="J14">
            <v>58301</v>
          </cell>
        </row>
        <row r="15">
          <cell r="C15" t="str">
            <v>193-26</v>
          </cell>
          <cell r="D15" t="str">
            <v>Predictive Enforcement (2)</v>
          </cell>
          <cell r="E15" t="str">
            <v>GRADE CROSSING</v>
          </cell>
          <cell r="F15">
            <v>0</v>
          </cell>
          <cell r="G15">
            <v>192</v>
          </cell>
          <cell r="H15">
            <v>57351</v>
          </cell>
          <cell r="I15" t="str">
            <v>Bulletin (2)</v>
          </cell>
          <cell r="J15">
            <v>58117</v>
          </cell>
        </row>
        <row r="16">
          <cell r="C16" t="str">
            <v>197-26</v>
          </cell>
          <cell r="D16" t="str">
            <v>Predictive Enforcement (2)</v>
          </cell>
          <cell r="E16" t="str">
            <v>GRADE CROSSING</v>
          </cell>
          <cell r="F16">
            <v>0</v>
          </cell>
          <cell r="G16">
            <v>75</v>
          </cell>
          <cell r="H16">
            <v>64056</v>
          </cell>
          <cell r="I16" t="str">
            <v>Bulletin (2)</v>
          </cell>
          <cell r="J16">
            <v>63309</v>
          </cell>
        </row>
        <row r="17">
          <cell r="C17" t="str">
            <v>197-26</v>
          </cell>
          <cell r="D17" t="str">
            <v>Reactive Enforcement (3)</v>
          </cell>
          <cell r="E17" t="str">
            <v>GRADE CROSSING</v>
          </cell>
          <cell r="F17">
            <v>0</v>
          </cell>
          <cell r="G17">
            <v>7</v>
          </cell>
          <cell r="H17">
            <v>63290</v>
          </cell>
          <cell r="I17" t="str">
            <v>Bulletin (2)</v>
          </cell>
          <cell r="J17">
            <v>63309</v>
          </cell>
        </row>
        <row r="18">
          <cell r="C18" t="str">
            <v>127-26</v>
          </cell>
          <cell r="D18" t="str">
            <v>Reactive Enforcement (3)</v>
          </cell>
          <cell r="E18" t="str">
            <v>GRADE CROSSING</v>
          </cell>
          <cell r="F18">
            <v>150</v>
          </cell>
          <cell r="G18">
            <v>207</v>
          </cell>
          <cell r="H18">
            <v>109189</v>
          </cell>
          <cell r="I18" t="str">
            <v>Bulletin (2)</v>
          </cell>
          <cell r="J18">
            <v>108954</v>
          </cell>
        </row>
        <row r="19">
          <cell r="C19" t="str">
            <v>151-26</v>
          </cell>
          <cell r="D19" t="str">
            <v>Reactive Enforcement (3)</v>
          </cell>
          <cell r="E19" t="str">
            <v>GRADE CROSSING</v>
          </cell>
          <cell r="F19">
            <v>540</v>
          </cell>
          <cell r="G19">
            <v>591</v>
          </cell>
          <cell r="H19">
            <v>42781</v>
          </cell>
          <cell r="I19" t="str">
            <v>Bulletin (2)</v>
          </cell>
          <cell r="J19">
            <v>42779</v>
          </cell>
        </row>
        <row r="20">
          <cell r="C20" t="str">
            <v>152-26</v>
          </cell>
          <cell r="D20" t="str">
            <v>Predictive Enforcement (2)</v>
          </cell>
          <cell r="E20" t="str">
            <v>GRADE CROSSING</v>
          </cell>
          <cell r="F20">
            <v>700</v>
          </cell>
          <cell r="G20">
            <v>781</v>
          </cell>
          <cell r="H20">
            <v>48514</v>
          </cell>
          <cell r="I20" t="str">
            <v>Bulletin (2)</v>
          </cell>
          <cell r="J20">
            <v>48048</v>
          </cell>
        </row>
        <row r="21">
          <cell r="C21" t="str">
            <v>143-26</v>
          </cell>
          <cell r="D21" t="str">
            <v>Predictive Enforcement (2)</v>
          </cell>
          <cell r="E21" t="str">
            <v>PERMANENT SPEED RESTRICTION</v>
          </cell>
          <cell r="F21">
            <v>350</v>
          </cell>
          <cell r="G21">
            <v>551</v>
          </cell>
          <cell r="H21">
            <v>222121</v>
          </cell>
          <cell r="I21" t="str">
            <v>Speed (6)</v>
          </cell>
          <cell r="J21">
            <v>224578</v>
          </cell>
        </row>
        <row r="22">
          <cell r="C22" t="str">
            <v>149-26</v>
          </cell>
          <cell r="D22" t="str">
            <v>Predictive Enforcement (2)</v>
          </cell>
          <cell r="E22" t="str">
            <v>PERMANENT SPEED RESTRICTION</v>
          </cell>
          <cell r="F22">
            <v>200</v>
          </cell>
          <cell r="G22">
            <v>176</v>
          </cell>
          <cell r="H22">
            <v>3717</v>
          </cell>
          <cell r="I22" t="str">
            <v>Speed (6)</v>
          </cell>
          <cell r="J22">
            <v>4677</v>
          </cell>
        </row>
        <row r="23">
          <cell r="C23" t="str">
            <v>152-26</v>
          </cell>
          <cell r="D23" t="str">
            <v>Predictive Enforcement (2)</v>
          </cell>
          <cell r="E23" t="str">
            <v>PERMANENT SPEED RESTRICTION</v>
          </cell>
          <cell r="F23">
            <v>300</v>
          </cell>
          <cell r="G23">
            <v>519</v>
          </cell>
          <cell r="H23">
            <v>24777</v>
          </cell>
          <cell r="I23" t="str">
            <v>Speed (6)</v>
          </cell>
          <cell r="J23">
            <v>21848</v>
          </cell>
        </row>
        <row r="24">
          <cell r="C24" t="str">
            <v>159-26</v>
          </cell>
          <cell r="D24" t="str">
            <v>Reactive Enforcement (3)</v>
          </cell>
          <cell r="E24" t="str">
            <v>PERMANENT SPEED RESTRICTION</v>
          </cell>
          <cell r="F24">
            <v>700</v>
          </cell>
          <cell r="G24">
            <v>750</v>
          </cell>
          <cell r="H24">
            <v>180620</v>
          </cell>
          <cell r="I24" t="str">
            <v>Speed (6)</v>
          </cell>
          <cell r="J24">
            <v>161962</v>
          </cell>
        </row>
        <row r="25">
          <cell r="C25" t="str">
            <v>173-26</v>
          </cell>
          <cell r="D25" t="str">
            <v>Predictive Enforcement (2)</v>
          </cell>
          <cell r="E25" t="str">
            <v>PERMANENT SPEED RESTRICTION</v>
          </cell>
          <cell r="F25">
            <v>150</v>
          </cell>
          <cell r="G25">
            <v>134</v>
          </cell>
          <cell r="H25">
            <v>231784</v>
          </cell>
          <cell r="I25" t="str">
            <v>Speed (6)</v>
          </cell>
          <cell r="J25">
            <v>232107</v>
          </cell>
        </row>
        <row r="26">
          <cell r="C26" t="str">
            <v>183-26</v>
          </cell>
          <cell r="D26" t="str">
            <v>Predictive Enforcement (2)</v>
          </cell>
          <cell r="E26" t="str">
            <v>PERMANENT SPEED RESTRICTION</v>
          </cell>
          <cell r="F26">
            <v>450</v>
          </cell>
          <cell r="G26">
            <v>464</v>
          </cell>
          <cell r="H26">
            <v>189716</v>
          </cell>
          <cell r="I26" t="str">
            <v>Speed (6)</v>
          </cell>
          <cell r="J26">
            <v>190834</v>
          </cell>
        </row>
        <row r="27">
          <cell r="C27" t="str">
            <v>185-26</v>
          </cell>
          <cell r="D27" t="str">
            <v>Predictive Enforcement (2)</v>
          </cell>
          <cell r="E27" t="str">
            <v>PERMANENT SPEED RESTRICTION</v>
          </cell>
          <cell r="F27">
            <v>450</v>
          </cell>
          <cell r="G27">
            <v>505</v>
          </cell>
          <cell r="H27">
            <v>10747</v>
          </cell>
          <cell r="I27" t="str">
            <v>Speed (6)</v>
          </cell>
          <cell r="J27">
            <v>11201</v>
          </cell>
        </row>
        <row r="28">
          <cell r="C28" t="str">
            <v>197-26</v>
          </cell>
          <cell r="D28" t="str">
            <v>Predictive Enforcement (2)</v>
          </cell>
          <cell r="E28" t="str">
            <v>PERMANENT SPEED RESTRICTION</v>
          </cell>
          <cell r="F28">
            <v>450</v>
          </cell>
          <cell r="G28">
            <v>411</v>
          </cell>
          <cell r="H28">
            <v>192137</v>
          </cell>
          <cell r="I28" t="str">
            <v>Speed (6)</v>
          </cell>
          <cell r="J28">
            <v>191108</v>
          </cell>
        </row>
        <row r="29">
          <cell r="C29" t="str">
            <v>127-26</v>
          </cell>
          <cell r="D29" t="str">
            <v>Predictive Enforcement (2)</v>
          </cell>
          <cell r="E29" t="str">
            <v>SIGNAL</v>
          </cell>
          <cell r="F29">
            <v>0</v>
          </cell>
          <cell r="G29">
            <v>638</v>
          </cell>
          <cell r="H29">
            <v>104869</v>
          </cell>
          <cell r="I29" t="str">
            <v>Signal based authority (5)</v>
          </cell>
          <cell r="J29">
            <v>107939</v>
          </cell>
        </row>
        <row r="30">
          <cell r="C30" t="str">
            <v>153-26</v>
          </cell>
          <cell r="D30" t="str">
            <v>Predictive Enforcement (2)</v>
          </cell>
          <cell r="E30" t="str">
            <v>SIGNAL</v>
          </cell>
          <cell r="F30">
            <v>0</v>
          </cell>
          <cell r="G30">
            <v>762</v>
          </cell>
          <cell r="H30">
            <v>199601</v>
          </cell>
          <cell r="I30" t="str">
            <v>Signal based authority (5)</v>
          </cell>
          <cell r="J30">
            <v>204300</v>
          </cell>
        </row>
        <row r="31">
          <cell r="C31" t="str">
            <v>166-26</v>
          </cell>
          <cell r="D31" t="str">
            <v>Predictive Enforcement (2)</v>
          </cell>
          <cell r="E31" t="str">
            <v>SIGNAL</v>
          </cell>
          <cell r="F31">
            <v>0</v>
          </cell>
          <cell r="G31">
            <v>338</v>
          </cell>
          <cell r="H31">
            <v>128735</v>
          </cell>
          <cell r="I31" t="str">
            <v>Signal based authority (5)</v>
          </cell>
          <cell r="J31">
            <v>127587</v>
          </cell>
        </row>
        <row r="32">
          <cell r="C32" t="str">
            <v>192-26</v>
          </cell>
          <cell r="D32" t="str">
            <v>Predictive Enforcement (2)</v>
          </cell>
          <cell r="E32" t="str">
            <v>SIGNAL</v>
          </cell>
          <cell r="F32">
            <v>0</v>
          </cell>
          <cell r="G32">
            <v>116</v>
          </cell>
          <cell r="H32">
            <v>127960</v>
          </cell>
          <cell r="I32" t="str">
            <v>Signal based authority (5)</v>
          </cell>
          <cell r="J32">
            <v>127587</v>
          </cell>
        </row>
      </sheetData>
      <sheetData sheetId="2" refreshError="1"/>
      <sheetData sheetId="3" refreshError="1"/>
      <sheetData sheetId="4" refreshError="1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2"/>
  <sheetViews>
    <sheetView showGridLines="0" topLeftCell="A10" zoomScale="85" zoomScaleNormal="85" workbookViewId="0">
      <selection activeCell="J18" sqref="J18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28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38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38" customWidth="1"/>
    <col min="20" max="20" width="12.42578125" bestFit="1" customWidth="1"/>
    <col min="21" max="21" width="4.28515625" style="38" customWidth="1"/>
    <col min="22" max="22" width="19.28515625" style="36" customWidth="1"/>
    <col min="23" max="23" width="10.140625" style="36" customWidth="1"/>
    <col min="24" max="24" width="14.140625" style="36" customWidth="1"/>
    <col min="25" max="27" width="9.140625" style="36"/>
    <col min="28" max="28" width="10.7109375" style="37" bestFit="1" customWidth="1"/>
    <col min="29" max="29" width="17.42578125" style="37" customWidth="1"/>
  </cols>
  <sheetData>
    <row r="1" spans="1:91" s="38" customFormat="1" ht="15.75" thickBot="1" x14ac:dyDescent="0.3">
      <c r="A1" s="2"/>
      <c r="E1" s="13"/>
      <c r="F1" s="13"/>
      <c r="G1" s="28"/>
      <c r="H1" s="13"/>
      <c r="I1" s="13"/>
      <c r="M1" s="1"/>
      <c r="N1" s="4"/>
      <c r="O1" s="4"/>
      <c r="P1" s="4"/>
      <c r="V1" s="36"/>
      <c r="W1" s="36"/>
      <c r="X1" s="36"/>
      <c r="Y1" s="36"/>
      <c r="Z1" s="36"/>
      <c r="AA1" s="36"/>
      <c r="AB1" s="37"/>
      <c r="AC1" s="37"/>
    </row>
    <row r="2" spans="1:91" s="38" customFormat="1" ht="15.75" thickBot="1" x14ac:dyDescent="0.3">
      <c r="A2" s="2"/>
      <c r="E2" s="13"/>
      <c r="F2" s="13"/>
      <c r="G2" s="28"/>
      <c r="H2" s="13"/>
      <c r="I2" s="82">
        <f>Variables!A2</f>
        <v>42548</v>
      </c>
      <c r="J2" s="83"/>
      <c r="K2" s="48"/>
      <c r="L2" s="48"/>
      <c r="M2" s="84" t="s">
        <v>8</v>
      </c>
      <c r="N2" s="85"/>
      <c r="O2" s="86"/>
      <c r="P2" s="4"/>
      <c r="V2" s="36"/>
      <c r="W2" s="36"/>
      <c r="X2" s="36"/>
      <c r="Y2" s="36"/>
      <c r="Z2" s="36"/>
      <c r="AA2" s="36"/>
      <c r="AB2" s="37"/>
      <c r="AC2" s="37"/>
    </row>
    <row r="3" spans="1:91" s="38" customFormat="1" ht="15.75" thickBot="1" x14ac:dyDescent="0.3">
      <c r="A3" s="2"/>
      <c r="E3" s="13"/>
      <c r="F3" s="13"/>
      <c r="G3" s="28"/>
      <c r="H3" s="13"/>
      <c r="I3" s="87" t="s">
        <v>10</v>
      </c>
      <c r="J3" s="88"/>
      <c r="K3" s="71"/>
      <c r="L3" s="71"/>
      <c r="M3" s="8" t="s">
        <v>11</v>
      </c>
      <c r="N3" s="5" t="s">
        <v>12</v>
      </c>
      <c r="O3" s="6" t="s">
        <v>13</v>
      </c>
      <c r="P3" s="4"/>
      <c r="V3" s="36"/>
      <c r="W3" s="36"/>
      <c r="X3" s="36"/>
      <c r="Y3" s="36"/>
      <c r="Z3" s="36"/>
      <c r="AA3" s="36"/>
      <c r="AB3" s="37"/>
      <c r="AC3" s="37"/>
    </row>
    <row r="4" spans="1:91" s="38" customFormat="1" ht="15.75" thickBot="1" x14ac:dyDescent="0.3">
      <c r="A4" s="2"/>
      <c r="E4" s="13"/>
      <c r="F4" s="13"/>
      <c r="G4" s="28"/>
      <c r="H4" s="13"/>
      <c r="I4" s="23" t="s">
        <v>14</v>
      </c>
      <c r="J4" s="3">
        <f>COUNT($N$13:$P$984)</f>
        <v>50</v>
      </c>
      <c r="K4" s="3"/>
      <c r="L4" s="3"/>
      <c r="M4" s="43" t="s">
        <v>15</v>
      </c>
      <c r="N4" s="5" t="s">
        <v>15</v>
      </c>
      <c r="O4" s="6" t="s">
        <v>15</v>
      </c>
      <c r="P4" s="4"/>
      <c r="V4" s="36"/>
      <c r="W4" s="36"/>
      <c r="X4" s="36"/>
      <c r="Y4" s="36"/>
      <c r="Z4" s="36"/>
      <c r="AA4" s="36"/>
      <c r="AB4" s="37"/>
      <c r="AC4" s="37"/>
    </row>
    <row r="5" spans="1:91" s="38" customFormat="1" ht="15.75" thickBot="1" x14ac:dyDescent="0.3">
      <c r="A5" s="2"/>
      <c r="E5" s="13"/>
      <c r="F5" s="13"/>
      <c r="G5" s="28"/>
      <c r="H5" s="13"/>
      <c r="I5" s="23" t="s">
        <v>17</v>
      </c>
      <c r="J5" s="3">
        <f>COUNT(N13:N43)</f>
        <v>31</v>
      </c>
      <c r="K5" s="3"/>
      <c r="L5" s="3"/>
      <c r="M5" s="43">
        <f>AVERAGE(N13:O43)</f>
        <v>20.717204299702821</v>
      </c>
      <c r="N5" s="5">
        <f>MIN(N13:O43)</f>
        <v>4.7999999905005097</v>
      </c>
      <c r="O5" s="6">
        <f>MAX(N13:O43)</f>
        <v>56.516666666138917</v>
      </c>
      <c r="P5" s="4"/>
      <c r="V5" s="36"/>
      <c r="W5" s="36"/>
      <c r="X5" s="36"/>
      <c r="Y5" s="36"/>
      <c r="Z5" s="36"/>
      <c r="AA5" s="36"/>
      <c r="AB5" s="37"/>
      <c r="AC5" s="37"/>
    </row>
    <row r="6" spans="1:91" s="38" customFormat="1" ht="15.75" thickBot="1" x14ac:dyDescent="0.3">
      <c r="A6" s="2"/>
      <c r="E6" s="13"/>
      <c r="F6" s="13"/>
      <c r="G6" s="28"/>
      <c r="H6" s="13"/>
      <c r="I6" s="24" t="s">
        <v>43</v>
      </c>
      <c r="J6" s="3">
        <f>COUNT(#REF!)</f>
        <v>0</v>
      </c>
      <c r="K6" s="3"/>
      <c r="L6" s="3"/>
      <c r="M6" s="43">
        <f>IFERROR(AVERAGE(#REF!),0)</f>
        <v>0</v>
      </c>
      <c r="N6" s="5" t="e">
        <f>MIN(#REF!)</f>
        <v>#REF!</v>
      </c>
      <c r="O6" s="6" t="e">
        <f>MAX(#REF!)</f>
        <v>#REF!</v>
      </c>
      <c r="P6" s="4"/>
      <c r="V6" s="36"/>
      <c r="W6" s="36"/>
      <c r="X6" s="36"/>
      <c r="Y6" s="36"/>
      <c r="Z6" s="36"/>
      <c r="AA6" s="36"/>
      <c r="AB6" s="37"/>
      <c r="AC6" s="37"/>
    </row>
    <row r="7" spans="1:91" s="38" customFormat="1" ht="15.75" thickBot="1" x14ac:dyDescent="0.3">
      <c r="A7" s="2"/>
      <c r="E7" s="13"/>
      <c r="F7" s="13"/>
      <c r="G7" s="28"/>
      <c r="H7" s="13"/>
      <c r="I7" s="25" t="s">
        <v>9</v>
      </c>
      <c r="J7" s="3">
        <f>COUNT(P13:P43)</f>
        <v>0</v>
      </c>
      <c r="K7" s="3"/>
      <c r="L7" s="3"/>
      <c r="M7" s="43" t="s">
        <v>15</v>
      </c>
      <c r="N7" s="5" t="s">
        <v>15</v>
      </c>
      <c r="O7" s="6" t="s">
        <v>15</v>
      </c>
      <c r="P7" s="4"/>
      <c r="V7" s="36"/>
      <c r="W7" s="36"/>
      <c r="X7" s="36"/>
      <c r="Y7" s="36"/>
      <c r="Z7" s="36"/>
      <c r="AA7" s="36"/>
      <c r="AB7" s="37"/>
      <c r="AC7" s="37"/>
    </row>
    <row r="8" spans="1:91" s="38" customFormat="1" ht="30.75" thickBot="1" x14ac:dyDescent="0.3">
      <c r="A8" s="2"/>
      <c r="E8" s="13"/>
      <c r="F8" s="13"/>
      <c r="G8" s="28"/>
      <c r="H8" s="13"/>
      <c r="I8" s="23" t="s">
        <v>16</v>
      </c>
      <c r="J8" s="3">
        <f>COUNT(N13:N43)</f>
        <v>31</v>
      </c>
      <c r="K8" s="3"/>
      <c r="L8" s="3"/>
      <c r="M8" s="43" t="e">
        <f>AVERAGE(#REF!)</f>
        <v>#REF!</v>
      </c>
      <c r="N8" s="5" t="e">
        <f>MIN(#REF!)</f>
        <v>#REF!</v>
      </c>
      <c r="O8" s="6" t="e">
        <f>MAX(#REF!)</f>
        <v>#REF!</v>
      </c>
      <c r="P8" s="4"/>
      <c r="V8" s="36"/>
      <c r="W8" s="36"/>
      <c r="X8" s="36"/>
      <c r="Y8" s="36"/>
      <c r="Z8" s="36"/>
      <c r="AA8" s="36"/>
      <c r="AB8" s="37"/>
      <c r="AC8" s="37"/>
    </row>
    <row r="9" spans="1:91" s="38" customFormat="1" ht="30.75" thickBot="1" x14ac:dyDescent="0.3">
      <c r="A9" s="2"/>
      <c r="E9" s="13"/>
      <c r="F9" s="13"/>
      <c r="G9" s="28"/>
      <c r="H9" s="13"/>
      <c r="I9" s="23" t="s">
        <v>19</v>
      </c>
      <c r="J9" s="7">
        <f>J8/J4</f>
        <v>0.62</v>
      </c>
      <c r="K9" s="7"/>
      <c r="L9" s="7"/>
      <c r="M9" s="1"/>
      <c r="N9" s="4"/>
      <c r="O9" s="4"/>
      <c r="P9" s="4"/>
      <c r="V9" s="36"/>
      <c r="W9" s="36"/>
      <c r="X9" s="36"/>
      <c r="Y9" s="36"/>
      <c r="Z9" s="36"/>
      <c r="AA9" s="36"/>
      <c r="AB9" s="37"/>
      <c r="AC9" s="37"/>
    </row>
    <row r="10" spans="1:91" s="38" customFormat="1" x14ac:dyDescent="0.25">
      <c r="A10" s="2"/>
      <c r="E10" s="13"/>
      <c r="F10" s="13"/>
      <c r="G10" s="28"/>
      <c r="H10" s="13"/>
      <c r="I10" s="13"/>
      <c r="M10" s="1"/>
      <c r="N10" s="4"/>
      <c r="O10" s="4"/>
      <c r="P10" s="4"/>
      <c r="V10" s="36"/>
      <c r="W10" s="36"/>
      <c r="X10" s="36"/>
      <c r="Y10" s="36"/>
      <c r="Z10" s="36"/>
      <c r="AA10" s="36"/>
      <c r="AB10" s="37"/>
      <c r="AC10" s="37"/>
    </row>
    <row r="11" spans="1:91" ht="57.75" customHeight="1" thickBot="1" x14ac:dyDescent="0.3">
      <c r="A11" s="81" t="str">
        <f>"Eagle P3 System Performance - "&amp;TEXT(Variables!A2,"yyyy-mm-dd")</f>
        <v>Eagle P3 System Performance - 2016-06-27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1:91" s="10" customFormat="1" ht="69" customHeight="1" thickBot="1" x14ac:dyDescent="0.3">
      <c r="A12" s="29" t="s">
        <v>0</v>
      </c>
      <c r="B12" s="30" t="s">
        <v>44</v>
      </c>
      <c r="C12" s="30" t="s">
        <v>26</v>
      </c>
      <c r="D12" s="30" t="s">
        <v>1</v>
      </c>
      <c r="E12" s="31" t="s">
        <v>2</v>
      </c>
      <c r="F12" s="31" t="s">
        <v>3</v>
      </c>
      <c r="G12" s="32" t="s">
        <v>4</v>
      </c>
      <c r="H12" s="31" t="s">
        <v>5</v>
      </c>
      <c r="I12" s="31" t="s">
        <v>6</v>
      </c>
      <c r="J12" s="30" t="s">
        <v>7</v>
      </c>
      <c r="K12" s="30" t="s">
        <v>62</v>
      </c>
      <c r="L12" s="30" t="s">
        <v>48</v>
      </c>
      <c r="M12" s="33" t="s">
        <v>8</v>
      </c>
      <c r="N12" s="30" t="s">
        <v>41</v>
      </c>
      <c r="O12" s="34" t="s">
        <v>42</v>
      </c>
      <c r="P12" s="34" t="s">
        <v>18</v>
      </c>
      <c r="Q12" s="35" t="s">
        <v>47</v>
      </c>
      <c r="R12" s="35" t="s">
        <v>24</v>
      </c>
      <c r="S12" s="35" t="s">
        <v>81</v>
      </c>
      <c r="T12" s="9" t="s">
        <v>82</v>
      </c>
      <c r="U12" s="9" t="s">
        <v>83</v>
      </c>
      <c r="V12" s="44" t="s">
        <v>45</v>
      </c>
      <c r="W12" s="44" t="s">
        <v>23</v>
      </c>
      <c r="X12" s="44" t="s">
        <v>49</v>
      </c>
      <c r="Y12" s="44" t="s">
        <v>20</v>
      </c>
      <c r="Z12" s="44" t="s">
        <v>21</v>
      </c>
      <c r="AA12" s="44" t="s">
        <v>22</v>
      </c>
      <c r="AB12" s="45" t="s">
        <v>39</v>
      </c>
      <c r="AC12" s="45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2" t="s">
        <v>164</v>
      </c>
      <c r="B13" s="38">
        <v>4041</v>
      </c>
      <c r="C13" s="38" t="s">
        <v>58</v>
      </c>
      <c r="D13" s="38" t="s">
        <v>165</v>
      </c>
      <c r="E13" s="13">
        <v>42548.215555555558</v>
      </c>
      <c r="F13" s="13">
        <v>42548.216979166667</v>
      </c>
      <c r="G13" s="28">
        <v>2</v>
      </c>
      <c r="H13" s="13" t="s">
        <v>166</v>
      </c>
      <c r="I13" s="13">
        <v>42548.227025462962</v>
      </c>
      <c r="J13" s="38">
        <v>1</v>
      </c>
      <c r="K13" s="39" t="str">
        <f>IF(ISEVEN(B13),(B13-1)&amp;"/"&amp;B13,B13&amp;"/"&amp;(B13+1))</f>
        <v>4041/4042</v>
      </c>
      <c r="L13" s="39" t="str">
        <f>VLOOKUP(A13,'Trips&amp;Operators'!$C$1:$E$10000,3,FALSE)</f>
        <v>NELSON</v>
      </c>
      <c r="M13" s="11">
        <f t="shared" ref="M13" si="0">I13-F13</f>
        <v>1.0046296294603962E-2</v>
      </c>
      <c r="N13" s="12">
        <f t="shared" ref="N13:N62" si="1">24*60*SUM($M13:$M13)</f>
        <v>14.466666664229706</v>
      </c>
      <c r="O13" s="12"/>
      <c r="P13" s="12"/>
      <c r="Q13" s="40"/>
      <c r="R13" s="40"/>
      <c r="S13" s="68" t="e">
        <f t="shared" ref="S13" si="2">SUM(U13:U13)/12</f>
        <v>#VALUE!</v>
      </c>
      <c r="T13" s="2" t="str">
        <f t="shared" ref="T13" si="3">IF(ISEVEN(LEFT(A13,3)),"Southbound","NorthBound")</f>
        <v>Southbound</v>
      </c>
      <c r="U13" s="2" t="e">
        <f>COUNTIFS([1]Variables!$M$2:$M$19, "&gt;=" &amp; Y13, [1]Variables!$M$2:$M$19, "&lt;=" &amp; Z13)</f>
        <v>#VALUE!</v>
      </c>
      <c r="V13" s="46" t="str">
        <f t="shared" ref="V13" si="4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https://search-rtdc-monitor-bjffxe2xuh6vdkpspy63sjmuny.us-east-1.es.amazonaws.com/_plugin/kibana/#/discover/Steve-Slow-Train-Analysis-(2080s-and-2083s)?_g=(refreshInterval:(display:Off,section:0,value:0),time:(from:'2016-06-27 05:09:24-0600',mode:absolute,to:'2016-06-27 05:27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" s="46" t="str">
        <f t="shared" ref="W13" si="5">IF(AA13&lt;23,"Y","N")</f>
        <v>Y</v>
      </c>
      <c r="X13" s="46" t="e">
        <f t="shared" ref="X13" si="6">VALUE(LEFT(A13,3))-VALUE(LEFT(A12,3))</f>
        <v>#VALUE!</v>
      </c>
      <c r="Y13" s="46">
        <f t="shared" ref="Y13" si="7">RIGHT(D13,LEN(D13)-4)/10000</f>
        <v>5.8611000000000004</v>
      </c>
      <c r="Z13" s="46">
        <f t="shared" ref="Z13" si="8">RIGHT(H13,LEN(H13)-4)/10000</f>
        <v>9.1600000000000001E-2</v>
      </c>
      <c r="AA13" s="46">
        <f t="shared" ref="AA13" si="9">ABS(Z13-Y13)</f>
        <v>5.7695000000000007</v>
      </c>
      <c r="AB13" s="47" t="e">
        <f>VLOOKUP(A13,[1]Enforcements!$C$7:$J$32,8,0)</f>
        <v>#N/A</v>
      </c>
      <c r="AC13" s="47" t="e">
        <f>VLOOKUP(A13,[1]Enforcements!$C$7:$E$32,3,0)</f>
        <v>#N/A</v>
      </c>
    </row>
    <row r="14" spans="1:91" s="2" customFormat="1" x14ac:dyDescent="0.25">
      <c r="A14" s="2" t="s">
        <v>167</v>
      </c>
      <c r="B14" s="38">
        <v>4042</v>
      </c>
      <c r="C14" s="38" t="s">
        <v>58</v>
      </c>
      <c r="D14" s="38" t="s">
        <v>168</v>
      </c>
      <c r="E14" s="13">
        <v>42548.238009259258</v>
      </c>
      <c r="F14" s="13">
        <v>42548.239305555559</v>
      </c>
      <c r="G14" s="28">
        <v>1</v>
      </c>
      <c r="H14" s="13" t="s">
        <v>169</v>
      </c>
      <c r="I14" s="13">
        <v>42548.254675925928</v>
      </c>
      <c r="J14" s="38">
        <v>3</v>
      </c>
      <c r="K14" s="39" t="str">
        <f t="shared" ref="K14:K51" si="10">IF(ISEVEN(B14),(B14-1)&amp;"/"&amp;B14,B14&amp;"/"&amp;(B14+1))</f>
        <v>4041/4042</v>
      </c>
      <c r="L14" s="39" t="str">
        <f>VLOOKUP(A14,'Trips&amp;Operators'!$C$1:$E$10000,3,FALSE)</f>
        <v>NELSON</v>
      </c>
      <c r="M14" s="11">
        <f t="shared" ref="M14:M51" si="11">I14-F14</f>
        <v>1.5370370369055308E-2</v>
      </c>
      <c r="N14" s="12">
        <f t="shared" si="1"/>
        <v>22.133333331439644</v>
      </c>
      <c r="O14" s="12"/>
      <c r="P14" s="12"/>
      <c r="Q14" s="40"/>
      <c r="R14" s="40"/>
      <c r="S14" s="68" t="e">
        <f t="shared" ref="S14:S47" si="12">SUM(U14:U14)/12</f>
        <v>#VALUE!</v>
      </c>
      <c r="T14" s="2" t="str">
        <f t="shared" ref="T14:T47" si="13">IF(ISEVEN(LEFT(A14,3)),"Southbound","NorthBound")</f>
        <v>NorthBound</v>
      </c>
      <c r="U14" s="2" t="e">
        <f>COUNTIFS([1]Variables!$M$2:$M$19, "&gt;=" &amp; Y14, [1]Variables!$M$2:$M$19, "&lt;=" &amp; Z14)</f>
        <v>#VALUE!</v>
      </c>
      <c r="V14" s="46" t="str">
        <f t="shared" ref="V14:V47" si="14"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https://search-rtdc-monitor-bjffxe2xuh6vdkpspy63sjmuny.us-east-1.es.amazonaws.com/_plugin/kibana/#/discover/Steve-Slow-Train-Analysis-(2080s-and-2083s)?_g=(refreshInterval:(display:Off,section:0,value:0),time:(from:'2016-06-27 05:41:44-0600',mode:absolute,to:'2016-06-27 06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" s="46" t="str">
        <f t="shared" ref="W14:W47" si="15">IF(AA14&lt;23,"Y","N")</f>
        <v>Y</v>
      </c>
      <c r="X14" s="46">
        <f t="shared" ref="X14:X47" si="16">VALUE(LEFT(A14,3))-VALUE(LEFT(A13,3))</f>
        <v>1</v>
      </c>
      <c r="Y14" s="46">
        <f t="shared" ref="Y14:Y47" si="17">RIGHT(D14,LEN(D14)-4)/10000</f>
        <v>0.12089999999999999</v>
      </c>
      <c r="Z14" s="46">
        <f t="shared" ref="Z14:Z47" si="18">RIGHT(H14,LEN(H14)-4)/10000</f>
        <v>5.8868999999999998</v>
      </c>
      <c r="AA14" s="46">
        <f t="shared" ref="AA14:AA47" si="19">ABS(Z14-Y14)</f>
        <v>5.766</v>
      </c>
      <c r="AB14" s="47" t="e">
        <f>VLOOKUP(A14,[1]Enforcements!$C$7:$J$32,8,0)</f>
        <v>#N/A</v>
      </c>
      <c r="AC14" s="47" t="e">
        <f>VLOOKUP(A14,[1]Enforcements!$C$7:$E$32,3,0)</f>
        <v>#N/A</v>
      </c>
    </row>
    <row r="15" spans="1:91" s="2" customFormat="1" x14ac:dyDescent="0.25">
      <c r="A15" s="2" t="s">
        <v>170</v>
      </c>
      <c r="B15" s="38">
        <v>4041</v>
      </c>
      <c r="C15" s="38" t="s">
        <v>58</v>
      </c>
      <c r="D15" s="38" t="s">
        <v>171</v>
      </c>
      <c r="E15" s="13">
        <v>42548.257465277777</v>
      </c>
      <c r="F15" s="13">
        <v>42548.258287037039</v>
      </c>
      <c r="G15" s="28">
        <v>1</v>
      </c>
      <c r="H15" s="13" t="s">
        <v>172</v>
      </c>
      <c r="I15" s="13">
        <v>42548.269328703704</v>
      </c>
      <c r="J15" s="38">
        <v>2</v>
      </c>
      <c r="K15" s="39" t="str">
        <f t="shared" si="10"/>
        <v>4041/4042</v>
      </c>
      <c r="L15" s="39" t="str">
        <f>VLOOKUP(A15,'Trips&amp;Operators'!$C$1:$E$10000,3,FALSE)</f>
        <v>NELSON</v>
      </c>
      <c r="M15" s="11">
        <f t="shared" si="11"/>
        <v>1.1041666664823424E-2</v>
      </c>
      <c r="N15" s="12">
        <f t="shared" si="1"/>
        <v>15.899999997345731</v>
      </c>
      <c r="O15" s="12"/>
      <c r="P15" s="12"/>
      <c r="Q15" s="40"/>
      <c r="R15" s="40"/>
      <c r="S15" s="68" t="e">
        <f t="shared" si="12"/>
        <v>#VALUE!</v>
      </c>
      <c r="T15" s="2" t="str">
        <f t="shared" si="13"/>
        <v>Southbound</v>
      </c>
      <c r="U15" s="2" t="e">
        <f>COUNTIFS([1]Variables!$M$2:$M$19, "&gt;=" &amp; Y15, [1]Variables!$M$2:$M$19, "&lt;=" &amp; Z15)</f>
        <v>#VALUE!</v>
      </c>
      <c r="V15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06:09:45-0600',mode:absolute,to:'2016-06-27 06:28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" s="46" t="str">
        <f t="shared" si="15"/>
        <v>Y</v>
      </c>
      <c r="X15" s="46">
        <f t="shared" si="16"/>
        <v>1</v>
      </c>
      <c r="Y15" s="46">
        <f t="shared" si="17"/>
        <v>5.8562000000000003</v>
      </c>
      <c r="Z15" s="46">
        <f t="shared" si="18"/>
        <v>0.19489999999999999</v>
      </c>
      <c r="AA15" s="46">
        <f t="shared" si="19"/>
        <v>5.6613000000000007</v>
      </c>
      <c r="AB15" s="47" t="e">
        <f>VLOOKUP(A15,[1]Enforcements!$C$7:$J$32,8,0)</f>
        <v>#N/A</v>
      </c>
      <c r="AC15" s="47" t="e">
        <f>VLOOKUP(A15,[1]Enforcements!$C$7:$E$32,3,0)</f>
        <v>#N/A</v>
      </c>
    </row>
    <row r="16" spans="1:91" s="2" customFormat="1" x14ac:dyDescent="0.25">
      <c r="A16" s="2" t="s">
        <v>173</v>
      </c>
      <c r="B16" s="38">
        <v>4018</v>
      </c>
      <c r="C16" s="38" t="s">
        <v>58</v>
      </c>
      <c r="D16" s="38" t="s">
        <v>174</v>
      </c>
      <c r="E16" s="13">
        <v>42548.260567129626</v>
      </c>
      <c r="F16" s="13">
        <v>42548.261574074073</v>
      </c>
      <c r="G16" s="28">
        <v>1</v>
      </c>
      <c r="H16" s="13" t="s">
        <v>128</v>
      </c>
      <c r="I16" s="13">
        <v>42548.277951388889</v>
      </c>
      <c r="J16" s="38">
        <v>3</v>
      </c>
      <c r="K16" s="39" t="str">
        <f t="shared" si="10"/>
        <v>4017/4018</v>
      </c>
      <c r="L16" s="39" t="str">
        <f>VLOOKUP(A16,'Trips&amp;Operators'!$C$1:$E$10000,3,FALSE)</f>
        <v>ADANE</v>
      </c>
      <c r="M16" s="11">
        <f t="shared" si="11"/>
        <v>1.6377314816054422E-2</v>
      </c>
      <c r="N16" s="12">
        <f t="shared" si="1"/>
        <v>23.583333335118368</v>
      </c>
      <c r="O16" s="12"/>
      <c r="P16" s="12"/>
      <c r="Q16" s="40"/>
      <c r="R16" s="40"/>
      <c r="S16" s="68" t="e">
        <f t="shared" si="12"/>
        <v>#VALUE!</v>
      </c>
      <c r="T16" s="2" t="str">
        <f t="shared" si="13"/>
        <v>NorthBound</v>
      </c>
      <c r="U16" s="2" t="e">
        <f>COUNTIFS([1]Variables!$M$2:$M$19, "&gt;=" &amp; Y16, [1]Variables!$M$2:$M$19, "&lt;=" &amp; Z16)</f>
        <v>#VALUE!</v>
      </c>
      <c r="V16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06:14:13-0600',mode:absolute,to:'2016-06-27 06:41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6" s="46" t="str">
        <f t="shared" si="15"/>
        <v>Y</v>
      </c>
      <c r="X16" s="46">
        <f t="shared" si="16"/>
        <v>1</v>
      </c>
      <c r="Y16" s="46">
        <f t="shared" si="17"/>
        <v>4.53E-2</v>
      </c>
      <c r="Z16" s="46">
        <f t="shared" si="18"/>
        <v>5.8920000000000003</v>
      </c>
      <c r="AA16" s="46">
        <f t="shared" si="19"/>
        <v>5.8467000000000002</v>
      </c>
      <c r="AB16" s="47" t="e">
        <f>VLOOKUP(A16,[1]Enforcements!$C$7:$J$32,8,0)</f>
        <v>#N/A</v>
      </c>
      <c r="AC16" s="47" t="e">
        <f>VLOOKUP(A16,[1]Enforcements!$C$7:$E$32,3,0)</f>
        <v>#N/A</v>
      </c>
    </row>
    <row r="17" spans="1:29" s="2" customFormat="1" x14ac:dyDescent="0.25">
      <c r="A17" s="2" t="s">
        <v>175</v>
      </c>
      <c r="B17" s="38">
        <v>4017</v>
      </c>
      <c r="C17" s="38" t="s">
        <v>58</v>
      </c>
      <c r="D17" s="38" t="s">
        <v>176</v>
      </c>
      <c r="E17" s="13">
        <v>42548.279120370367</v>
      </c>
      <c r="F17" s="13">
        <v>42548.28019675926</v>
      </c>
      <c r="G17" s="28">
        <v>1</v>
      </c>
      <c r="H17" s="13" t="s">
        <v>177</v>
      </c>
      <c r="I17" s="13">
        <v>42548.29109953704</v>
      </c>
      <c r="J17" s="38">
        <v>0</v>
      </c>
      <c r="K17" s="39" t="str">
        <f t="shared" si="10"/>
        <v>4017/4018</v>
      </c>
      <c r="L17" s="39" t="str">
        <f>VLOOKUP(A17,'Trips&amp;Operators'!$C$1:$E$10000,3,FALSE)</f>
        <v>ADANE</v>
      </c>
      <c r="M17" s="11">
        <f t="shared" si="11"/>
        <v>1.0902777779847383E-2</v>
      </c>
      <c r="N17" s="12">
        <f t="shared" si="1"/>
        <v>15.700000002980232</v>
      </c>
      <c r="O17" s="12"/>
      <c r="P17" s="12"/>
      <c r="Q17" s="40"/>
      <c r="R17" s="40"/>
      <c r="S17" s="68" t="e">
        <f t="shared" si="12"/>
        <v>#VALUE!</v>
      </c>
      <c r="T17" s="2" t="str">
        <f t="shared" si="13"/>
        <v>Southbound</v>
      </c>
      <c r="U17" s="2" t="e">
        <f>COUNTIFS([1]Variables!$M$2:$M$19, "&gt;=" &amp; Y17, [1]Variables!$M$2:$M$19, "&lt;=" &amp; Z17)</f>
        <v>#VALUE!</v>
      </c>
      <c r="V17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06:40:56-0600',mode:absolute,to:'2016-06-27 07:00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7" s="46" t="str">
        <f t="shared" si="15"/>
        <v>Y</v>
      </c>
      <c r="X17" s="46">
        <f t="shared" si="16"/>
        <v>1</v>
      </c>
      <c r="Y17" s="46">
        <f t="shared" si="17"/>
        <v>5.86</v>
      </c>
      <c r="Z17" s="46">
        <f t="shared" si="18"/>
        <v>9.11E-2</v>
      </c>
      <c r="AA17" s="46">
        <f t="shared" si="19"/>
        <v>5.7689000000000004</v>
      </c>
      <c r="AB17" s="47" t="e">
        <f>VLOOKUP(A17,[1]Enforcements!$C$7:$J$32,8,0)</f>
        <v>#N/A</v>
      </c>
      <c r="AC17" s="47" t="e">
        <f>VLOOKUP(A17,[1]Enforcements!$C$7:$E$32,3,0)</f>
        <v>#N/A</v>
      </c>
    </row>
    <row r="18" spans="1:29" s="2" customFormat="1" x14ac:dyDescent="0.25">
      <c r="A18" s="2" t="s">
        <v>178</v>
      </c>
      <c r="B18" s="38">
        <v>4042</v>
      </c>
      <c r="C18" s="38" t="s">
        <v>58</v>
      </c>
      <c r="D18" s="38" t="s">
        <v>179</v>
      </c>
      <c r="E18" s="13">
        <v>42548.273773148147</v>
      </c>
      <c r="F18" s="13">
        <v>42548.274618055555</v>
      </c>
      <c r="G18" s="28">
        <v>1</v>
      </c>
      <c r="H18" s="13" t="s">
        <v>180</v>
      </c>
      <c r="I18" s="13">
        <v>42548.294814814813</v>
      </c>
      <c r="J18" s="38">
        <v>1</v>
      </c>
      <c r="K18" s="39" t="str">
        <f t="shared" si="10"/>
        <v>4041/4042</v>
      </c>
      <c r="L18" s="39" t="str">
        <f>VLOOKUP(A18,'Trips&amp;Operators'!$C$1:$E$10000,3,FALSE)</f>
        <v>NELSON</v>
      </c>
      <c r="M18" s="11">
        <f t="shared" si="11"/>
        <v>2.0196759258396924E-2</v>
      </c>
      <c r="N18" s="12">
        <f t="shared" si="1"/>
        <v>29.08333333209157</v>
      </c>
      <c r="O18" s="12"/>
      <c r="P18" s="12"/>
      <c r="Q18" s="40"/>
      <c r="R18" s="40"/>
      <c r="S18" s="68" t="e">
        <f t="shared" si="12"/>
        <v>#VALUE!</v>
      </c>
      <c r="T18" s="2" t="str">
        <f t="shared" si="13"/>
        <v>NorthBound</v>
      </c>
      <c r="U18" s="2" t="e">
        <f>COUNTIFS([1]Variables!$M$2:$M$19, "&gt;=" &amp; Y18, [1]Variables!$M$2:$M$19, "&lt;=" &amp; Z18)</f>
        <v>#VALUE!</v>
      </c>
      <c r="V18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06:33:14-0600',mode:absolute,to:'2016-06-27 07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8" s="46" t="str">
        <f t="shared" si="15"/>
        <v>Y</v>
      </c>
      <c r="X18" s="46">
        <f t="shared" si="16"/>
        <v>1</v>
      </c>
      <c r="Y18" s="46">
        <f t="shared" si="17"/>
        <v>0.1216</v>
      </c>
      <c r="Z18" s="46">
        <f t="shared" si="18"/>
        <v>5.8902999999999999</v>
      </c>
      <c r="AA18" s="46">
        <f t="shared" si="19"/>
        <v>5.7686999999999999</v>
      </c>
      <c r="AB18" s="47" t="e">
        <f>VLOOKUP(A18,[1]Enforcements!$C$7:$J$32,8,0)</f>
        <v>#N/A</v>
      </c>
      <c r="AC18" s="47" t="e">
        <f>VLOOKUP(A18,[1]Enforcements!$C$7:$E$32,3,0)</f>
        <v>#N/A</v>
      </c>
    </row>
    <row r="19" spans="1:29" s="2" customFormat="1" x14ac:dyDescent="0.25">
      <c r="A19" s="2" t="s">
        <v>181</v>
      </c>
      <c r="B19" s="38">
        <v>4041</v>
      </c>
      <c r="C19" s="38" t="s">
        <v>58</v>
      </c>
      <c r="D19" s="38" t="s">
        <v>182</v>
      </c>
      <c r="E19" s="13">
        <v>42548.296319444446</v>
      </c>
      <c r="F19" s="13">
        <v>42548.297303240739</v>
      </c>
      <c r="G19" s="28">
        <v>1</v>
      </c>
      <c r="H19" s="13" t="s">
        <v>183</v>
      </c>
      <c r="I19" s="13">
        <v>42548.30978009259</v>
      </c>
      <c r="J19" s="38">
        <v>0</v>
      </c>
      <c r="K19" s="39" t="str">
        <f t="shared" si="10"/>
        <v>4041/4042</v>
      </c>
      <c r="L19" s="39" t="str">
        <f>VLOOKUP(A19,'Trips&amp;Operators'!$C$1:$E$10000,3,FALSE)</f>
        <v>NELSON</v>
      </c>
      <c r="M19" s="11">
        <f t="shared" si="11"/>
        <v>1.247685185080627E-2</v>
      </c>
      <c r="N19" s="12">
        <f t="shared" si="1"/>
        <v>17.966666665161029</v>
      </c>
      <c r="O19" s="12"/>
      <c r="P19" s="12"/>
      <c r="Q19" s="40"/>
      <c r="R19" s="40"/>
      <c r="S19" s="68" t="e">
        <f t="shared" si="12"/>
        <v>#VALUE!</v>
      </c>
      <c r="T19" s="2" t="str">
        <f t="shared" si="13"/>
        <v>Southbound</v>
      </c>
      <c r="U19" s="2" t="e">
        <f>COUNTIFS([1]Variables!$M$2:$M$19, "&gt;=" &amp; Y19, [1]Variables!$M$2:$M$19, "&lt;=" &amp; Z19)</f>
        <v>#VALUE!</v>
      </c>
      <c r="V19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07:05:42-0600',mode:absolute,to:'2016-06-27 07:27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9" s="46" t="str">
        <f t="shared" si="15"/>
        <v>Y</v>
      </c>
      <c r="X19" s="46">
        <f t="shared" si="16"/>
        <v>1</v>
      </c>
      <c r="Y19" s="46">
        <f t="shared" si="17"/>
        <v>5.8590999999999998</v>
      </c>
      <c r="Z19" s="46">
        <f t="shared" si="18"/>
        <v>0.11600000000000001</v>
      </c>
      <c r="AA19" s="46">
        <f t="shared" si="19"/>
        <v>5.7431000000000001</v>
      </c>
      <c r="AB19" s="47" t="e">
        <f>VLOOKUP(A19,[1]Enforcements!$C$7:$J$32,8,0)</f>
        <v>#N/A</v>
      </c>
      <c r="AC19" s="47" t="e">
        <f>VLOOKUP(A19,[1]Enforcements!$C$7:$E$32,3,0)</f>
        <v>#N/A</v>
      </c>
    </row>
    <row r="20" spans="1:29" s="2" customFormat="1" x14ac:dyDescent="0.25">
      <c r="A20" s="2" t="s">
        <v>184</v>
      </c>
      <c r="B20" s="38">
        <v>4018</v>
      </c>
      <c r="C20" s="38" t="s">
        <v>58</v>
      </c>
      <c r="D20" s="38" t="s">
        <v>185</v>
      </c>
      <c r="E20" s="13">
        <v>42548.302789351852</v>
      </c>
      <c r="F20" s="13">
        <v>42548.303715277776</v>
      </c>
      <c r="G20" s="28">
        <v>1</v>
      </c>
      <c r="H20" s="13" t="s">
        <v>186</v>
      </c>
      <c r="I20" s="13">
        <v>42548.311747685184</v>
      </c>
      <c r="J20" s="38">
        <v>2</v>
      </c>
      <c r="K20" s="39" t="str">
        <f t="shared" si="10"/>
        <v>4017/4018</v>
      </c>
      <c r="L20" s="39" t="str">
        <f>VLOOKUP(A20,'Trips&amp;Operators'!$C$1:$E$10000,3,FALSE)</f>
        <v>ADANE</v>
      </c>
      <c r="M20" s="11">
        <f t="shared" si="11"/>
        <v>8.0324074078816921E-3</v>
      </c>
      <c r="N20" s="12">
        <f t="shared" si="1"/>
        <v>11.566666667349637</v>
      </c>
      <c r="O20" s="12"/>
      <c r="P20" s="12"/>
      <c r="Q20" s="40"/>
      <c r="R20" s="40"/>
      <c r="S20" s="68" t="e">
        <f t="shared" si="12"/>
        <v>#VALUE!</v>
      </c>
      <c r="T20" s="2" t="str">
        <f t="shared" si="13"/>
        <v>NorthBound</v>
      </c>
      <c r="U20" s="2" t="e">
        <f>COUNTIFS([1]Variables!$M$2:$M$19, "&gt;=" &amp; Y20, [1]Variables!$M$2:$M$19, "&lt;=" &amp; Z20)</f>
        <v>#VALUE!</v>
      </c>
      <c r="V20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07:15:01-0600',mode:absolute,to:'2016-06-27 07:29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0" s="46" t="str">
        <f t="shared" si="15"/>
        <v>Y</v>
      </c>
      <c r="X20" s="46">
        <f t="shared" si="16"/>
        <v>1</v>
      </c>
      <c r="Y20" s="46">
        <f t="shared" si="17"/>
        <v>0.12139999999999999</v>
      </c>
      <c r="Z20" s="46">
        <f t="shared" si="18"/>
        <v>3.0649999999999999</v>
      </c>
      <c r="AA20" s="46">
        <f t="shared" si="19"/>
        <v>2.9436</v>
      </c>
      <c r="AB20" s="47" t="e">
        <f>VLOOKUP(A20,[1]Enforcements!$C$7:$J$32,8,0)</f>
        <v>#N/A</v>
      </c>
      <c r="AC20" s="47" t="e">
        <f>VLOOKUP(A20,[1]Enforcements!$C$7:$E$32,3,0)</f>
        <v>#N/A</v>
      </c>
    </row>
    <row r="21" spans="1:29" s="2" customFormat="1" x14ac:dyDescent="0.25">
      <c r="A21" s="2" t="s">
        <v>187</v>
      </c>
      <c r="B21" s="38">
        <v>4017</v>
      </c>
      <c r="C21" s="38" t="s">
        <v>58</v>
      </c>
      <c r="D21" s="38" t="s">
        <v>176</v>
      </c>
      <c r="E21" s="13">
        <v>42548.319456018522</v>
      </c>
      <c r="F21" s="13">
        <v>42548.320196759261</v>
      </c>
      <c r="G21" s="28">
        <v>1</v>
      </c>
      <c r="H21" s="13" t="s">
        <v>188</v>
      </c>
      <c r="I21" s="13">
        <v>42548.330243055556</v>
      </c>
      <c r="J21" s="38">
        <v>0</v>
      </c>
      <c r="K21" s="39" t="str">
        <f t="shared" si="10"/>
        <v>4017/4018</v>
      </c>
      <c r="L21" s="39" t="str">
        <f>VLOOKUP(A21,'Trips&amp;Operators'!$C$1:$E$10000,3,FALSE)</f>
        <v>ADANE</v>
      </c>
      <c r="M21" s="11">
        <f t="shared" si="11"/>
        <v>1.0046296294603962E-2</v>
      </c>
      <c r="N21" s="12">
        <f t="shared" si="1"/>
        <v>14.466666664229706</v>
      </c>
      <c r="O21" s="12"/>
      <c r="P21" s="12"/>
      <c r="Q21" s="40"/>
      <c r="R21" s="40"/>
      <c r="S21" s="68" t="e">
        <f t="shared" si="12"/>
        <v>#VALUE!</v>
      </c>
      <c r="T21" s="2" t="str">
        <f t="shared" si="13"/>
        <v>Southbound</v>
      </c>
      <c r="U21" s="2" t="e">
        <f>COUNTIFS([1]Variables!$M$2:$M$19, "&gt;=" &amp; Y21, [1]Variables!$M$2:$M$19, "&lt;=" &amp; Z21)</f>
        <v>#VALUE!</v>
      </c>
      <c r="V21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07:39:01-0600',mode:absolute,to:'2016-06-27 07:56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1" s="46" t="str">
        <f t="shared" si="15"/>
        <v>Y</v>
      </c>
      <c r="X21" s="46">
        <f t="shared" si="16"/>
        <v>1</v>
      </c>
      <c r="Y21" s="46">
        <f t="shared" si="17"/>
        <v>5.86</v>
      </c>
      <c r="Z21" s="46">
        <f t="shared" si="18"/>
        <v>8.9300000000000004E-2</v>
      </c>
      <c r="AA21" s="46">
        <f t="shared" si="19"/>
        <v>5.7707000000000006</v>
      </c>
      <c r="AB21" s="47" t="e">
        <f>VLOOKUP(A21,[1]Enforcements!$C$7:$J$32,8,0)</f>
        <v>#N/A</v>
      </c>
      <c r="AC21" s="47" t="e">
        <f>VLOOKUP(A21,[1]Enforcements!$C$7:$E$32,3,0)</f>
        <v>#N/A</v>
      </c>
    </row>
    <row r="22" spans="1:29" s="2" customFormat="1" x14ac:dyDescent="0.25">
      <c r="A22" s="2" t="s">
        <v>189</v>
      </c>
      <c r="B22" s="38">
        <v>4042</v>
      </c>
      <c r="C22" s="38" t="s">
        <v>58</v>
      </c>
      <c r="D22" s="38" t="s">
        <v>190</v>
      </c>
      <c r="E22" s="13">
        <v>42548.311863425923</v>
      </c>
      <c r="F22" s="13">
        <v>42548.313159722224</v>
      </c>
      <c r="G22" s="28">
        <v>1</v>
      </c>
      <c r="H22" s="13" t="s">
        <v>191</v>
      </c>
      <c r="I22" s="13">
        <v>42548.336215277777</v>
      </c>
      <c r="J22" s="38">
        <v>0</v>
      </c>
      <c r="K22" s="39" t="str">
        <f t="shared" si="10"/>
        <v>4041/4042</v>
      </c>
      <c r="L22" s="39" t="str">
        <f>VLOOKUP(A22,'Trips&amp;Operators'!$C$1:$E$10000,3,FALSE)</f>
        <v>NELSON</v>
      </c>
      <c r="M22" s="11">
        <f t="shared" si="11"/>
        <v>2.3055555553582963E-2</v>
      </c>
      <c r="N22" s="12">
        <f t="shared" si="1"/>
        <v>33.199999997159466</v>
      </c>
      <c r="O22" s="12"/>
      <c r="P22" s="12"/>
      <c r="Q22" s="40"/>
      <c r="R22" s="40"/>
      <c r="S22" s="68" t="e">
        <f t="shared" si="12"/>
        <v>#VALUE!</v>
      </c>
      <c r="T22" s="2" t="str">
        <f t="shared" si="13"/>
        <v>NorthBound</v>
      </c>
      <c r="U22" s="2" t="e">
        <f>COUNTIFS([1]Variables!$M$2:$M$19, "&gt;=" &amp; Y22, [1]Variables!$M$2:$M$19, "&lt;=" &amp; Z22)</f>
        <v>#VALUE!</v>
      </c>
      <c r="V22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07:28:05-0600',mode:absolute,to:'2016-06-27 08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2" s="46" t="str">
        <f t="shared" si="15"/>
        <v>Y</v>
      </c>
      <c r="X22" s="46">
        <f t="shared" si="16"/>
        <v>1</v>
      </c>
      <c r="Y22" s="46">
        <f t="shared" si="17"/>
        <v>0.14710000000000001</v>
      </c>
      <c r="Z22" s="46">
        <f t="shared" si="18"/>
        <v>5.8882000000000003</v>
      </c>
      <c r="AA22" s="46">
        <f t="shared" si="19"/>
        <v>5.7411000000000003</v>
      </c>
      <c r="AB22" s="47" t="e">
        <f>VLOOKUP(A22,[1]Enforcements!$C$7:$J$32,8,0)</f>
        <v>#N/A</v>
      </c>
      <c r="AC22" s="47" t="e">
        <f>VLOOKUP(A22,[1]Enforcements!$C$7:$E$32,3,0)</f>
        <v>#N/A</v>
      </c>
    </row>
    <row r="23" spans="1:29" s="2" customFormat="1" x14ac:dyDescent="0.25">
      <c r="A23" s="2" t="s">
        <v>192</v>
      </c>
      <c r="B23" s="38">
        <v>4041</v>
      </c>
      <c r="C23" s="38" t="s">
        <v>58</v>
      </c>
      <c r="D23" s="38" t="s">
        <v>193</v>
      </c>
      <c r="E23" s="13">
        <v>42548.337800925925</v>
      </c>
      <c r="F23" s="13">
        <v>42548.338784722226</v>
      </c>
      <c r="G23" s="28">
        <v>1</v>
      </c>
      <c r="H23" s="13" t="s">
        <v>194</v>
      </c>
      <c r="I23" s="13">
        <v>42548.352256944447</v>
      </c>
      <c r="J23" s="38">
        <v>1</v>
      </c>
      <c r="K23" s="39" t="str">
        <f t="shared" si="10"/>
        <v>4041/4042</v>
      </c>
      <c r="L23" s="39" t="str">
        <f>VLOOKUP(A23,'Trips&amp;Operators'!$C$1:$E$10000,3,FALSE)</f>
        <v>NELSON</v>
      </c>
      <c r="M23" s="11">
        <f t="shared" si="11"/>
        <v>1.3472222221025731E-2</v>
      </c>
      <c r="N23" s="12">
        <f t="shared" si="1"/>
        <v>19.399999998277053</v>
      </c>
      <c r="O23" s="12"/>
      <c r="P23" s="12"/>
      <c r="Q23" s="40"/>
      <c r="R23" s="40"/>
      <c r="S23" s="68" t="e">
        <f t="shared" si="12"/>
        <v>#VALUE!</v>
      </c>
      <c r="T23" s="2" t="str">
        <f t="shared" si="13"/>
        <v>Southbound</v>
      </c>
      <c r="U23" s="2" t="e">
        <f>COUNTIFS([1]Variables!$M$2:$M$19, "&gt;=" &amp; Y23, [1]Variables!$M$2:$M$19, "&lt;=" &amp; Z23)</f>
        <v>#VALUE!</v>
      </c>
      <c r="V23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08:05:26-0600',mode:absolute,to:'2016-06-27 08:28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3" s="46" t="str">
        <f t="shared" si="15"/>
        <v>Y</v>
      </c>
      <c r="X23" s="46">
        <f t="shared" si="16"/>
        <v>1</v>
      </c>
      <c r="Y23" s="46">
        <f t="shared" si="17"/>
        <v>5.8552999999999997</v>
      </c>
      <c r="Z23" s="46">
        <f t="shared" si="18"/>
        <v>0.12479999999999999</v>
      </c>
      <c r="AA23" s="46">
        <f t="shared" si="19"/>
        <v>5.7305000000000001</v>
      </c>
      <c r="AB23" s="47" t="e">
        <f>VLOOKUP(A23,[1]Enforcements!$C$7:$J$32,8,0)</f>
        <v>#N/A</v>
      </c>
      <c r="AC23" s="47" t="e">
        <f>VLOOKUP(A23,[1]Enforcements!$C$7:$E$32,3,0)</f>
        <v>#N/A</v>
      </c>
    </row>
    <row r="24" spans="1:29" s="2" customFormat="1" x14ac:dyDescent="0.25">
      <c r="A24" s="2" t="s">
        <v>195</v>
      </c>
      <c r="B24" s="38">
        <v>4018</v>
      </c>
      <c r="C24" s="38" t="s">
        <v>58</v>
      </c>
      <c r="D24" s="38" t="s">
        <v>196</v>
      </c>
      <c r="E24" s="13">
        <v>42548.339826388888</v>
      </c>
      <c r="F24" s="13">
        <v>42548.341307870367</v>
      </c>
      <c r="G24" s="28">
        <v>2</v>
      </c>
      <c r="H24" s="13" t="s">
        <v>197</v>
      </c>
      <c r="I24" s="13">
        <v>42548.354201388887</v>
      </c>
      <c r="J24" s="38">
        <v>3</v>
      </c>
      <c r="K24" s="39" t="str">
        <f t="shared" si="10"/>
        <v>4017/4018</v>
      </c>
      <c r="L24" s="39" t="str">
        <f>VLOOKUP(A24,'Trips&amp;Operators'!$C$1:$E$10000,3,FALSE)</f>
        <v>SNYDER</v>
      </c>
      <c r="M24" s="11">
        <f t="shared" si="11"/>
        <v>1.2893518520286307E-2</v>
      </c>
      <c r="N24" s="12">
        <f t="shared" si="1"/>
        <v>18.566666669212282</v>
      </c>
      <c r="O24" s="12"/>
      <c r="P24" s="12"/>
      <c r="Q24" s="40"/>
      <c r="R24" s="40"/>
      <c r="S24" s="68" t="e">
        <f t="shared" si="12"/>
        <v>#VALUE!</v>
      </c>
      <c r="T24" s="2" t="str">
        <f t="shared" si="13"/>
        <v>NorthBound</v>
      </c>
      <c r="U24" s="2" t="e">
        <f>COUNTIFS([1]Variables!$M$2:$M$19, "&gt;=" &amp; Y24, [1]Variables!$M$2:$M$19, "&lt;=" &amp; Z24)</f>
        <v>#VALUE!</v>
      </c>
      <c r="V24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08:08:21-0600',mode:absolute,to:'2016-06-27 08:31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4" s="46" t="str">
        <f t="shared" si="15"/>
        <v>Y</v>
      </c>
      <c r="X24" s="46">
        <f t="shared" si="16"/>
        <v>1</v>
      </c>
      <c r="Y24" s="46">
        <f t="shared" si="17"/>
        <v>0.121</v>
      </c>
      <c r="Z24" s="46">
        <f t="shared" si="18"/>
        <v>2.2961</v>
      </c>
      <c r="AA24" s="46">
        <f t="shared" si="19"/>
        <v>2.1751</v>
      </c>
      <c r="AB24" s="47" t="e">
        <f>VLOOKUP(A24,[1]Enforcements!$C$7:$J$32,8,0)</f>
        <v>#N/A</v>
      </c>
      <c r="AC24" s="47" t="e">
        <f>VLOOKUP(A24,[1]Enforcements!$C$7:$E$32,3,0)</f>
        <v>#N/A</v>
      </c>
    </row>
    <row r="25" spans="1:29" s="2" customFormat="1" x14ac:dyDescent="0.25">
      <c r="A25" s="2" t="s">
        <v>198</v>
      </c>
      <c r="B25" s="38">
        <v>4017</v>
      </c>
      <c r="C25" s="38" t="s">
        <v>58</v>
      </c>
      <c r="D25" s="38" t="s">
        <v>199</v>
      </c>
      <c r="E25" s="13">
        <v>42548.363055555557</v>
      </c>
      <c r="F25" s="13">
        <v>42548.364594907405</v>
      </c>
      <c r="G25" s="28">
        <v>2</v>
      </c>
      <c r="H25" s="13" t="s">
        <v>200</v>
      </c>
      <c r="I25" s="13">
        <v>42548.40384259259</v>
      </c>
      <c r="J25" s="38">
        <v>2</v>
      </c>
      <c r="K25" s="39" t="str">
        <f t="shared" si="10"/>
        <v>4017/4018</v>
      </c>
      <c r="L25" s="39" t="str">
        <f>VLOOKUP(A25,'Trips&amp;Operators'!$C$1:$E$10000,3,FALSE)</f>
        <v>SNYDER</v>
      </c>
      <c r="M25" s="11">
        <f t="shared" si="11"/>
        <v>3.9247685184818693E-2</v>
      </c>
      <c r="N25" s="12">
        <f t="shared" si="1"/>
        <v>56.516666666138917</v>
      </c>
      <c r="O25" s="12"/>
      <c r="P25" s="12"/>
      <c r="Q25" s="40"/>
      <c r="R25" s="40"/>
      <c r="S25" s="68" t="e">
        <f t="shared" si="12"/>
        <v>#VALUE!</v>
      </c>
      <c r="T25" s="2" t="str">
        <f t="shared" si="13"/>
        <v>Southbound</v>
      </c>
      <c r="U25" s="2" t="e">
        <f>COUNTIFS([1]Variables!$M$2:$M$19, "&gt;=" &amp; Y25, [1]Variables!$M$2:$M$19, "&lt;=" &amp; Z25)</f>
        <v>#VALUE!</v>
      </c>
      <c r="V25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08:41:48-0600',mode:absolute,to:'2016-06-27 09:42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5" s="46" t="str">
        <f t="shared" si="15"/>
        <v>Y</v>
      </c>
      <c r="X25" s="46">
        <f t="shared" si="16"/>
        <v>1</v>
      </c>
      <c r="Y25" s="46">
        <f t="shared" si="17"/>
        <v>5.8597999999999999</v>
      </c>
      <c r="Z25" s="46">
        <f t="shared" si="18"/>
        <v>5.8575999999999997</v>
      </c>
      <c r="AA25" s="46">
        <f t="shared" si="19"/>
        <v>2.2000000000002018E-3</v>
      </c>
      <c r="AB25" s="47" t="e">
        <f>VLOOKUP(A25,[1]Enforcements!$C$7:$J$32,8,0)</f>
        <v>#N/A</v>
      </c>
      <c r="AC25" s="47" t="e">
        <f>VLOOKUP(A25,[1]Enforcements!$C$7:$E$32,3,0)</f>
        <v>#N/A</v>
      </c>
    </row>
    <row r="26" spans="1:29" s="2" customFormat="1" x14ac:dyDescent="0.25">
      <c r="A26" s="2" t="s">
        <v>201</v>
      </c>
      <c r="B26" s="38">
        <v>4018</v>
      </c>
      <c r="C26" s="38" t="s">
        <v>58</v>
      </c>
      <c r="D26" s="38" t="s">
        <v>202</v>
      </c>
      <c r="E26" s="13">
        <v>42548.386620370373</v>
      </c>
      <c r="F26" s="13">
        <v>42548.388101851851</v>
      </c>
      <c r="G26" s="28">
        <v>2</v>
      </c>
      <c r="H26" s="13" t="s">
        <v>203</v>
      </c>
      <c r="I26" s="13">
        <v>42548.403344907405</v>
      </c>
      <c r="J26" s="38">
        <v>0</v>
      </c>
      <c r="K26" s="39" t="str">
        <f t="shared" si="10"/>
        <v>4017/4018</v>
      </c>
      <c r="L26" s="39" t="str">
        <f>VLOOKUP(A26,'Trips&amp;Operators'!$C$1:$E$10000,3,FALSE)</f>
        <v>SNYDER</v>
      </c>
      <c r="M26" s="11">
        <f t="shared" si="11"/>
        <v>1.5243055553582963E-2</v>
      </c>
      <c r="N26" s="12">
        <f t="shared" si="1"/>
        <v>21.949999997159466</v>
      </c>
      <c r="O26" s="12"/>
      <c r="P26" s="12"/>
      <c r="Q26" s="40"/>
      <c r="R26" s="40"/>
      <c r="S26" s="68" t="e">
        <f t="shared" si="12"/>
        <v>#VALUE!</v>
      </c>
      <c r="T26" s="2" t="str">
        <f t="shared" si="13"/>
        <v>NorthBound</v>
      </c>
      <c r="U26" s="2" t="e">
        <f>COUNTIFS([1]Variables!$M$2:$M$19, "&gt;=" &amp; Y26, [1]Variables!$M$2:$M$19, "&lt;=" &amp; Z26)</f>
        <v>#VALUE!</v>
      </c>
      <c r="V26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09:15:44-0600',mode:absolute,to:'2016-06-27 09:41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6" s="46" t="str">
        <f t="shared" si="15"/>
        <v>Y</v>
      </c>
      <c r="X26" s="46">
        <f t="shared" si="16"/>
        <v>1</v>
      </c>
      <c r="Y26" s="46">
        <f t="shared" si="17"/>
        <v>0.1244</v>
      </c>
      <c r="Z26" s="46">
        <f t="shared" si="18"/>
        <v>5.8897000000000004</v>
      </c>
      <c r="AA26" s="46">
        <f t="shared" si="19"/>
        <v>5.7653000000000008</v>
      </c>
      <c r="AB26" s="47" t="e">
        <f>VLOOKUP(A26,[1]Enforcements!$C$7:$J$32,8,0)</f>
        <v>#N/A</v>
      </c>
      <c r="AC26" s="47" t="e">
        <f>VLOOKUP(A26,[1]Enforcements!$C$7:$E$32,3,0)</f>
        <v>#N/A</v>
      </c>
    </row>
    <row r="27" spans="1:29" s="2" customFormat="1" x14ac:dyDescent="0.25">
      <c r="A27" s="2" t="s">
        <v>204</v>
      </c>
      <c r="B27" s="38">
        <v>4018</v>
      </c>
      <c r="C27" s="38" t="s">
        <v>58</v>
      </c>
      <c r="D27" s="38" t="s">
        <v>205</v>
      </c>
      <c r="E27" s="13">
        <v>42548.424872685187</v>
      </c>
      <c r="F27" s="13">
        <v>42548.426018518519</v>
      </c>
      <c r="G27" s="28">
        <v>1</v>
      </c>
      <c r="H27" s="13" t="s">
        <v>206</v>
      </c>
      <c r="I27" s="13">
        <v>42548.441122685188</v>
      </c>
      <c r="J27" s="38">
        <v>1</v>
      </c>
      <c r="K27" s="39" t="str">
        <f t="shared" si="10"/>
        <v>4017/4018</v>
      </c>
      <c r="L27" s="39" t="str">
        <f>VLOOKUP(A27,'Trips&amp;Operators'!$C$1:$E$10000,3,FALSE)</f>
        <v>NELSON</v>
      </c>
      <c r="M27" s="11">
        <f t="shared" si="11"/>
        <v>1.5104166668606922E-2</v>
      </c>
      <c r="N27" s="12">
        <f t="shared" si="1"/>
        <v>21.750000002793968</v>
      </c>
      <c r="O27" s="12"/>
      <c r="P27" s="12"/>
      <c r="Q27" s="40"/>
      <c r="R27" s="40"/>
      <c r="S27" s="68" t="e">
        <f t="shared" si="12"/>
        <v>#VALUE!</v>
      </c>
      <c r="T27" s="2" t="str">
        <f t="shared" si="13"/>
        <v>NorthBound</v>
      </c>
      <c r="U27" s="2" t="e">
        <f>COUNTIFS([1]Variables!$M$2:$M$19, "&gt;=" &amp; Y27, [1]Variables!$M$2:$M$19, "&lt;=" &amp; Z27)</f>
        <v>#VALUE!</v>
      </c>
      <c r="V27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10:10:49-0600',mode:absolute,to:'2016-06-27 10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7" s="46" t="str">
        <f t="shared" si="15"/>
        <v>Y</v>
      </c>
      <c r="X27" s="46">
        <f t="shared" si="16"/>
        <v>2</v>
      </c>
      <c r="Y27" s="46">
        <f t="shared" si="17"/>
        <v>0.14910000000000001</v>
      </c>
      <c r="Z27" s="46">
        <f t="shared" si="18"/>
        <v>5.8891999999999998</v>
      </c>
      <c r="AA27" s="46">
        <f t="shared" si="19"/>
        <v>5.7401</v>
      </c>
      <c r="AB27" s="47" t="e">
        <f>VLOOKUP(A27,[1]Enforcements!$C$7:$J$32,8,0)</f>
        <v>#N/A</v>
      </c>
      <c r="AC27" s="47" t="e">
        <f>VLOOKUP(A27,[1]Enforcements!$C$7:$E$32,3,0)</f>
        <v>#N/A</v>
      </c>
    </row>
    <row r="28" spans="1:29" x14ac:dyDescent="0.25">
      <c r="A28" s="2" t="s">
        <v>207</v>
      </c>
      <c r="B28" s="38">
        <v>4017</v>
      </c>
      <c r="C28" s="38" t="s">
        <v>58</v>
      </c>
      <c r="D28" s="38" t="s">
        <v>208</v>
      </c>
      <c r="E28" s="13">
        <v>42548.404097222221</v>
      </c>
      <c r="F28" s="13">
        <v>42548.405381944445</v>
      </c>
      <c r="G28" s="28">
        <v>1</v>
      </c>
      <c r="H28" s="13" t="s">
        <v>209</v>
      </c>
      <c r="I28" s="13">
        <v>42548.415879629632</v>
      </c>
      <c r="J28" s="38">
        <v>0</v>
      </c>
      <c r="K28" s="39" t="str">
        <f t="shared" si="10"/>
        <v>4017/4018</v>
      </c>
      <c r="L28" s="39" t="str">
        <f>VLOOKUP(A28,'Trips&amp;Operators'!$C$1:$E$10000,3,FALSE)</f>
        <v>NELSON</v>
      </c>
      <c r="M28" s="11">
        <f t="shared" si="11"/>
        <v>1.0497685187146999E-2</v>
      </c>
      <c r="N28" s="12">
        <f t="shared" si="1"/>
        <v>15.116666669491678</v>
      </c>
      <c r="O28" s="12"/>
      <c r="P28" s="12"/>
      <c r="Q28" s="40"/>
      <c r="R28" s="40"/>
      <c r="S28" s="68" t="e">
        <f t="shared" si="12"/>
        <v>#VALUE!</v>
      </c>
      <c r="T28" s="2" t="str">
        <f t="shared" si="13"/>
        <v>Southbound</v>
      </c>
      <c r="U28" s="2" t="e">
        <f>COUNTIFS([1]Variables!$M$2:$M$19, "&gt;=" &amp; Y28, [1]Variables!$M$2:$M$19, "&lt;=" &amp; Z28)</f>
        <v>#VALUE!</v>
      </c>
      <c r="V28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09:40:54-0600',mode:absolute,to:'2016-06-27 09:59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8" s="46" t="str">
        <f t="shared" si="15"/>
        <v>Y</v>
      </c>
      <c r="X28" s="46">
        <f t="shared" si="16"/>
        <v>1</v>
      </c>
      <c r="Y28" s="46">
        <f t="shared" si="17"/>
        <v>5.8577000000000004</v>
      </c>
      <c r="Z28" s="46">
        <f t="shared" si="18"/>
        <v>0.1173</v>
      </c>
      <c r="AA28" s="46">
        <f t="shared" si="19"/>
        <v>5.7404000000000002</v>
      </c>
      <c r="AB28" s="47" t="e">
        <f>VLOOKUP(A28,[1]Enforcements!$C$7:$J$32,8,0)</f>
        <v>#N/A</v>
      </c>
      <c r="AC28" s="47" t="e">
        <f>VLOOKUP(A28,[1]Enforcements!$C$7:$E$32,3,0)</f>
        <v>#N/A</v>
      </c>
    </row>
    <row r="29" spans="1:29" x14ac:dyDescent="0.25">
      <c r="A29" s="2" t="s">
        <v>210</v>
      </c>
      <c r="B29" s="38">
        <v>4018</v>
      </c>
      <c r="C29" s="38" t="s">
        <v>58</v>
      </c>
      <c r="D29" s="38" t="s">
        <v>211</v>
      </c>
      <c r="E29" s="13">
        <v>42548.457546296297</v>
      </c>
      <c r="F29" s="13">
        <v>42548.458333333336</v>
      </c>
      <c r="G29" s="28">
        <v>1</v>
      </c>
      <c r="H29" s="13" t="s">
        <v>212</v>
      </c>
      <c r="I29" s="13">
        <v>42548.483460648145</v>
      </c>
      <c r="J29" s="38">
        <v>0</v>
      </c>
      <c r="K29" s="39" t="str">
        <f t="shared" si="10"/>
        <v>4017/4018</v>
      </c>
      <c r="L29" s="39" t="str">
        <f>VLOOKUP(A29,'Trips&amp;Operators'!$C$1:$E$10000,3,FALSE)</f>
        <v>NELSON</v>
      </c>
      <c r="M29" s="11">
        <f t="shared" si="11"/>
        <v>2.512731480965158E-2</v>
      </c>
      <c r="N29" s="12">
        <f t="shared" si="1"/>
        <v>36.183333325898275</v>
      </c>
      <c r="O29" s="12"/>
      <c r="P29" s="12"/>
      <c r="Q29" s="40"/>
      <c r="R29" s="40"/>
      <c r="S29" s="68" t="e">
        <f t="shared" si="12"/>
        <v>#VALUE!</v>
      </c>
      <c r="T29" s="2" t="str">
        <f t="shared" si="13"/>
        <v>NorthBound</v>
      </c>
      <c r="U29" s="2" t="e">
        <f>COUNTIFS([1]Variables!$M$2:$M$19, "&gt;=" &amp; Y29, [1]Variables!$M$2:$M$19, "&lt;=" &amp; Z29)</f>
        <v>#VALUE!</v>
      </c>
      <c r="V29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10:57:52-0600',mode:absolute,to:'2016-06-27 11:37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9" s="46" t="str">
        <f t="shared" si="15"/>
        <v>Y</v>
      </c>
      <c r="X29" s="46">
        <f t="shared" si="16"/>
        <v>1</v>
      </c>
      <c r="Y29" s="46">
        <f t="shared" si="17"/>
        <v>0.12189999999999999</v>
      </c>
      <c r="Z29" s="46">
        <f t="shared" si="18"/>
        <v>5.8883999999999999</v>
      </c>
      <c r="AA29" s="46">
        <f t="shared" si="19"/>
        <v>5.7664999999999997</v>
      </c>
      <c r="AB29" s="47" t="e">
        <f>VLOOKUP(A29,[1]Enforcements!$C$7:$J$32,8,0)</f>
        <v>#N/A</v>
      </c>
      <c r="AC29" s="47" t="e">
        <f>VLOOKUP(A29,[1]Enforcements!$C$7:$E$32,3,0)</f>
        <v>#N/A</v>
      </c>
    </row>
    <row r="30" spans="1:29" s="2" customFormat="1" x14ac:dyDescent="0.25">
      <c r="A30" s="2" t="s">
        <v>213</v>
      </c>
      <c r="B30" s="38">
        <v>4017</v>
      </c>
      <c r="C30" s="38" t="s">
        <v>58</v>
      </c>
      <c r="D30" s="38" t="s">
        <v>214</v>
      </c>
      <c r="E30" s="13">
        <v>42548.484861111108</v>
      </c>
      <c r="F30" s="13">
        <v>42548.485868055555</v>
      </c>
      <c r="G30" s="28">
        <v>1</v>
      </c>
      <c r="H30" s="13" t="s">
        <v>215</v>
      </c>
      <c r="I30" s="13">
        <v>42548.497361111113</v>
      </c>
      <c r="J30" s="38">
        <v>0</v>
      </c>
      <c r="K30" s="39" t="str">
        <f t="shared" si="10"/>
        <v>4017/4018</v>
      </c>
      <c r="L30" s="39" t="str">
        <f>VLOOKUP(A30,'Trips&amp;Operators'!$C$1:$E$10000,3,FALSE)</f>
        <v>NELSON</v>
      </c>
      <c r="M30" s="11">
        <f t="shared" si="11"/>
        <v>1.1493055557366461E-2</v>
      </c>
      <c r="N30" s="12">
        <f t="shared" si="1"/>
        <v>16.550000002607703</v>
      </c>
      <c r="O30" s="12"/>
      <c r="P30" s="12"/>
      <c r="Q30" s="40"/>
      <c r="R30" s="40"/>
      <c r="S30" s="68" t="e">
        <f t="shared" si="12"/>
        <v>#VALUE!</v>
      </c>
      <c r="T30" s="2" t="str">
        <f t="shared" si="13"/>
        <v>Southbound</v>
      </c>
      <c r="U30" s="2" t="e">
        <f>COUNTIFS([1]Variables!$M$2:$M$19, "&gt;=" &amp; Y30, [1]Variables!$M$2:$M$19, "&lt;=" &amp; Z30)</f>
        <v>#VALUE!</v>
      </c>
      <c r="V30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11:37:12-0600',mode:absolute,to:'2016-06-27 11:57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0" s="46" t="str">
        <f t="shared" si="15"/>
        <v>Y</v>
      </c>
      <c r="X30" s="46">
        <f t="shared" si="16"/>
        <v>1</v>
      </c>
      <c r="Y30" s="46">
        <f t="shared" si="17"/>
        <v>5.8567999999999998</v>
      </c>
      <c r="Z30" s="46">
        <f t="shared" si="18"/>
        <v>9.1999999999999998E-2</v>
      </c>
      <c r="AA30" s="46">
        <f t="shared" si="19"/>
        <v>5.7648000000000001</v>
      </c>
      <c r="AB30" s="47" t="e">
        <f>VLOOKUP(A30,[1]Enforcements!$C$7:$J$32,8,0)</f>
        <v>#N/A</v>
      </c>
      <c r="AC30" s="47" t="e">
        <f>VLOOKUP(A30,[1]Enforcements!$C$7:$E$32,3,0)</f>
        <v>#N/A</v>
      </c>
    </row>
    <row r="31" spans="1:29" x14ac:dyDescent="0.25">
      <c r="A31" s="2" t="s">
        <v>216</v>
      </c>
      <c r="B31" s="38">
        <v>4018</v>
      </c>
      <c r="C31" s="38" t="s">
        <v>58</v>
      </c>
      <c r="D31" s="38" t="s">
        <v>217</v>
      </c>
      <c r="E31" s="13">
        <v>42548.498796296299</v>
      </c>
      <c r="F31" s="13">
        <v>42548.50072916667</v>
      </c>
      <c r="G31" s="28">
        <v>2</v>
      </c>
      <c r="H31" s="13" t="s">
        <v>218</v>
      </c>
      <c r="I31" s="13">
        <v>42548.523298611108</v>
      </c>
      <c r="J31" s="38">
        <v>0</v>
      </c>
      <c r="K31" s="39" t="str">
        <f t="shared" si="10"/>
        <v>4017/4018</v>
      </c>
      <c r="L31" s="39" t="str">
        <f>VLOOKUP(A31,'Trips&amp;Operators'!$C$1:$E$10000,3,FALSE)</f>
        <v>NELSON</v>
      </c>
      <c r="M31" s="11">
        <f t="shared" si="11"/>
        <v>2.2569444437976927E-2</v>
      </c>
      <c r="N31" s="12">
        <f t="shared" si="1"/>
        <v>32.499999990686774</v>
      </c>
      <c r="O31" s="12"/>
      <c r="P31" s="12"/>
      <c r="Q31" s="40"/>
      <c r="R31" s="40"/>
      <c r="S31" s="68" t="e">
        <f t="shared" si="12"/>
        <v>#VALUE!</v>
      </c>
      <c r="T31" s="2" t="str">
        <f t="shared" si="13"/>
        <v>NorthBound</v>
      </c>
      <c r="U31" s="2" t="e">
        <f>COUNTIFS([1]Variables!$M$2:$M$19, "&gt;=" &amp; Y31, [1]Variables!$M$2:$M$19, "&lt;=" &amp; Z31)</f>
        <v>#VALUE!</v>
      </c>
      <c r="V31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11:57:16-0600',mode:absolute,to:'2016-06-27 12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1" s="46" t="str">
        <f t="shared" si="15"/>
        <v>Y</v>
      </c>
      <c r="X31" s="46">
        <f t="shared" si="16"/>
        <v>1</v>
      </c>
      <c r="Y31" s="46">
        <f t="shared" si="17"/>
        <v>0.1212</v>
      </c>
      <c r="Z31" s="46">
        <f t="shared" si="18"/>
        <v>5.8895999999999997</v>
      </c>
      <c r="AA31" s="46">
        <f t="shared" si="19"/>
        <v>5.7683999999999997</v>
      </c>
      <c r="AB31" s="47" t="e">
        <f>VLOOKUP(A31,[1]Enforcements!$C$7:$J$32,8,0)</f>
        <v>#N/A</v>
      </c>
      <c r="AC31" s="47" t="e">
        <f>VLOOKUP(A31,[1]Enforcements!$C$7:$E$32,3,0)</f>
        <v>#N/A</v>
      </c>
    </row>
    <row r="32" spans="1:29" x14ac:dyDescent="0.25">
      <c r="A32" s="2" t="s">
        <v>219</v>
      </c>
      <c r="B32" s="38">
        <v>4017</v>
      </c>
      <c r="C32" s="38" t="s">
        <v>58</v>
      </c>
      <c r="D32" s="38" t="s">
        <v>220</v>
      </c>
      <c r="E32" s="13">
        <v>42548.525243055556</v>
      </c>
      <c r="F32" s="13">
        <v>42548.52615740741</v>
      </c>
      <c r="G32" s="28">
        <v>1</v>
      </c>
      <c r="H32" s="13" t="s">
        <v>166</v>
      </c>
      <c r="I32" s="13">
        <v>42548.537106481483</v>
      </c>
      <c r="J32" s="38">
        <v>0</v>
      </c>
      <c r="K32" s="39" t="str">
        <f t="shared" si="10"/>
        <v>4017/4018</v>
      </c>
      <c r="L32" s="39" t="str">
        <f>VLOOKUP(A32,'Trips&amp;Operators'!$C$1:$E$10000,3,FALSE)</f>
        <v>NELSON</v>
      </c>
      <c r="M32" s="11">
        <f t="shared" si="11"/>
        <v>1.0949074072414078E-2</v>
      </c>
      <c r="N32" s="12">
        <f t="shared" si="1"/>
        <v>15.766666664276272</v>
      </c>
      <c r="O32" s="12"/>
      <c r="P32" s="12"/>
      <c r="Q32" s="40"/>
      <c r="R32" s="40"/>
      <c r="S32" s="68" t="e">
        <f t="shared" si="12"/>
        <v>#VALUE!</v>
      </c>
      <c r="T32" s="2" t="str">
        <f t="shared" si="13"/>
        <v>Southbound</v>
      </c>
      <c r="U32" s="2" t="e">
        <f>COUNTIFS([1]Variables!$M$2:$M$19, "&gt;=" &amp; Y32, [1]Variables!$M$2:$M$19, "&lt;=" &amp; Z32)</f>
        <v>#VALUE!</v>
      </c>
      <c r="V32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12:35:21-0600',mode:absolute,to:'2016-06-27 12:54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2" s="46" t="str">
        <f t="shared" si="15"/>
        <v>Y</v>
      </c>
      <c r="X32" s="46">
        <f t="shared" si="16"/>
        <v>1</v>
      </c>
      <c r="Y32" s="46">
        <f t="shared" si="17"/>
        <v>5.8578999999999999</v>
      </c>
      <c r="Z32" s="46">
        <f t="shared" si="18"/>
        <v>9.1600000000000001E-2</v>
      </c>
      <c r="AA32" s="46">
        <f t="shared" si="19"/>
        <v>5.7663000000000002</v>
      </c>
      <c r="AB32" s="47" t="e">
        <f>VLOOKUP(A32,[1]Enforcements!$C$7:$J$32,8,0)</f>
        <v>#N/A</v>
      </c>
      <c r="AC32" s="47" t="e">
        <f>VLOOKUP(A32,[1]Enforcements!$C$7:$E$32,3,0)</f>
        <v>#N/A</v>
      </c>
    </row>
    <row r="33" spans="1:29" x14ac:dyDescent="0.25">
      <c r="A33" s="2" t="s">
        <v>221</v>
      </c>
      <c r="B33" s="38">
        <v>4018</v>
      </c>
      <c r="C33" s="38" t="s">
        <v>58</v>
      </c>
      <c r="D33" s="38" t="s">
        <v>196</v>
      </c>
      <c r="E33" s="13">
        <v>42548.541527777779</v>
      </c>
      <c r="F33" s="13">
        <v>42548.542430555557</v>
      </c>
      <c r="G33" s="28">
        <v>1</v>
      </c>
      <c r="H33" s="13" t="s">
        <v>112</v>
      </c>
      <c r="I33" s="13">
        <v>42548.564988425926</v>
      </c>
      <c r="J33" s="38">
        <v>0</v>
      </c>
      <c r="K33" s="39" t="str">
        <f t="shared" si="10"/>
        <v>4017/4018</v>
      </c>
      <c r="L33" s="39" t="str">
        <f>VLOOKUP(A33,'Trips&amp;Operators'!$C$1:$E$10000,3,FALSE)</f>
        <v>NELSON</v>
      </c>
      <c r="M33" s="11">
        <f t="shared" si="11"/>
        <v>2.2557870368473232E-2</v>
      </c>
      <c r="N33" s="12">
        <f t="shared" si="1"/>
        <v>32.483333330601454</v>
      </c>
      <c r="O33" s="12"/>
      <c r="P33" s="12"/>
      <c r="Q33" s="40"/>
      <c r="R33" s="40"/>
      <c r="S33" s="68" t="e">
        <f t="shared" si="12"/>
        <v>#VALUE!</v>
      </c>
      <c r="T33" s="2" t="str">
        <f t="shared" si="13"/>
        <v>NorthBound</v>
      </c>
      <c r="U33" s="2" t="e">
        <f>COUNTIFS([1]Variables!$M$2:$M$19, "&gt;=" &amp; Y33, [1]Variables!$M$2:$M$19, "&lt;=" &amp; Z33)</f>
        <v>#VALUE!</v>
      </c>
      <c r="V33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12:58:48-0600',mode:absolute,to:'2016-06-27 13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3" s="46" t="str">
        <f t="shared" si="15"/>
        <v>Y</v>
      </c>
      <c r="X33" s="46">
        <f t="shared" si="16"/>
        <v>1</v>
      </c>
      <c r="Y33" s="46">
        <f t="shared" si="17"/>
        <v>0.121</v>
      </c>
      <c r="Z33" s="46">
        <f t="shared" si="18"/>
        <v>5.8916000000000004</v>
      </c>
      <c r="AA33" s="46">
        <f t="shared" si="19"/>
        <v>5.7706</v>
      </c>
      <c r="AB33" s="47" t="e">
        <f>VLOOKUP(A33,[1]Enforcements!$C$7:$J$32,8,0)</f>
        <v>#N/A</v>
      </c>
      <c r="AC33" s="47" t="e">
        <f>VLOOKUP(A33,[1]Enforcements!$C$7:$E$32,3,0)</f>
        <v>#N/A</v>
      </c>
    </row>
    <row r="34" spans="1:29" x14ac:dyDescent="0.25">
      <c r="A34" s="2" t="s">
        <v>222</v>
      </c>
      <c r="B34" s="38">
        <v>4017</v>
      </c>
      <c r="C34" s="38" t="s">
        <v>58</v>
      </c>
      <c r="D34" s="38" t="s">
        <v>182</v>
      </c>
      <c r="E34" s="13">
        <v>42548.566817129627</v>
      </c>
      <c r="F34" s="13">
        <v>42548.567719907405</v>
      </c>
      <c r="G34" s="28">
        <v>1</v>
      </c>
      <c r="H34" s="13" t="s">
        <v>223</v>
      </c>
      <c r="I34" s="13">
        <v>42548.57885416667</v>
      </c>
      <c r="J34" s="38">
        <v>0</v>
      </c>
      <c r="K34" s="39" t="str">
        <f t="shared" si="10"/>
        <v>4017/4018</v>
      </c>
      <c r="L34" s="39" t="str">
        <f>VLOOKUP(A34,'Trips&amp;Operators'!$C$1:$E$10000,3,FALSE)</f>
        <v>NELSON</v>
      </c>
      <c r="M34" s="11">
        <f t="shared" si="11"/>
        <v>1.1134259264508728E-2</v>
      </c>
      <c r="N34" s="12">
        <f t="shared" si="1"/>
        <v>16.033333340892568</v>
      </c>
      <c r="O34" s="12"/>
      <c r="P34" s="12"/>
      <c r="Q34" s="40"/>
      <c r="R34" s="40"/>
      <c r="S34" s="68" t="e">
        <f t="shared" si="12"/>
        <v>#VALUE!</v>
      </c>
      <c r="T34" s="2" t="str">
        <f t="shared" si="13"/>
        <v>Southbound</v>
      </c>
      <c r="U34" s="2" t="e">
        <f>COUNTIFS([1]Variables!$M$2:$M$19, "&gt;=" &amp; Y34, [1]Variables!$M$2:$M$19, "&lt;=" &amp; Z34)</f>
        <v>#VALUE!</v>
      </c>
      <c r="V34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13:35:13-0600',mode:absolute,to:'2016-06-27 13:54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4" s="46" t="str">
        <f t="shared" si="15"/>
        <v>Y</v>
      </c>
      <c r="X34" s="46">
        <f t="shared" si="16"/>
        <v>1</v>
      </c>
      <c r="Y34" s="46">
        <f t="shared" si="17"/>
        <v>5.8590999999999998</v>
      </c>
      <c r="Z34" s="46">
        <f t="shared" si="18"/>
        <v>9.1499999999999998E-2</v>
      </c>
      <c r="AA34" s="46">
        <f t="shared" si="19"/>
        <v>5.7675999999999998</v>
      </c>
      <c r="AB34" s="47" t="e">
        <f>VLOOKUP(A34,[1]Enforcements!$C$7:$J$32,8,0)</f>
        <v>#N/A</v>
      </c>
      <c r="AC34" s="47" t="e">
        <f>VLOOKUP(A34,[1]Enforcements!$C$7:$E$32,3,0)</f>
        <v>#N/A</v>
      </c>
    </row>
    <row r="35" spans="1:29" x14ac:dyDescent="0.25">
      <c r="A35" s="2" t="s">
        <v>224</v>
      </c>
      <c r="B35" s="38">
        <v>4018</v>
      </c>
      <c r="C35" s="38" t="s">
        <v>58</v>
      </c>
      <c r="D35" s="38" t="s">
        <v>225</v>
      </c>
      <c r="E35" s="13">
        <v>42548.592939814815</v>
      </c>
      <c r="F35" s="13">
        <v>42548.593761574077</v>
      </c>
      <c r="G35" s="28">
        <v>1</v>
      </c>
      <c r="H35" s="13" t="s">
        <v>226</v>
      </c>
      <c r="I35" s="13">
        <v>42548.606087962966</v>
      </c>
      <c r="J35" s="38">
        <v>0</v>
      </c>
      <c r="K35" s="39" t="str">
        <f t="shared" si="10"/>
        <v>4017/4018</v>
      </c>
      <c r="L35" s="39" t="str">
        <f>VLOOKUP(A35,'Trips&amp;Operators'!$C$1:$E$10000,3,FALSE)</f>
        <v>REBOLETTI</v>
      </c>
      <c r="M35" s="11">
        <f t="shared" si="11"/>
        <v>1.2326388889050577E-2</v>
      </c>
      <c r="N35" s="12">
        <f t="shared" si="1"/>
        <v>17.750000000232831</v>
      </c>
      <c r="O35" s="12"/>
      <c r="P35" s="12"/>
      <c r="Q35" s="40"/>
      <c r="R35" s="40"/>
      <c r="S35" s="68" t="e">
        <f t="shared" si="12"/>
        <v>#VALUE!</v>
      </c>
      <c r="T35" s="2" t="str">
        <f t="shared" si="13"/>
        <v>NorthBound</v>
      </c>
      <c r="U35" s="2" t="e">
        <f>COUNTIFS([1]Variables!$M$2:$M$19, "&gt;=" &amp; Y35, [1]Variables!$M$2:$M$19, "&lt;=" &amp; Z35)</f>
        <v>#VALUE!</v>
      </c>
      <c r="V35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14:12:50-0600',mode:absolute,to:'2016-06-27 14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5" s="46" t="str">
        <f t="shared" si="15"/>
        <v>Y</v>
      </c>
      <c r="X35" s="46">
        <f t="shared" si="16"/>
        <v>1</v>
      </c>
      <c r="Y35" s="46">
        <f t="shared" si="17"/>
        <v>0.1198</v>
      </c>
      <c r="Z35" s="46">
        <f t="shared" si="18"/>
        <v>5.8087999999999997</v>
      </c>
      <c r="AA35" s="46">
        <f t="shared" si="19"/>
        <v>5.6890000000000001</v>
      </c>
      <c r="AB35" s="47" t="e">
        <f>VLOOKUP(A35,[1]Enforcements!$C$7:$J$32,8,0)</f>
        <v>#N/A</v>
      </c>
      <c r="AC35" s="47" t="e">
        <f>VLOOKUP(A35,[1]Enforcements!$C$7:$E$32,3,0)</f>
        <v>#N/A</v>
      </c>
    </row>
    <row r="36" spans="1:29" x14ac:dyDescent="0.25">
      <c r="A36" s="2" t="s">
        <v>227</v>
      </c>
      <c r="B36" s="38">
        <v>4017</v>
      </c>
      <c r="C36" s="38" t="s">
        <v>58</v>
      </c>
      <c r="D36" s="38" t="s">
        <v>127</v>
      </c>
      <c r="E36" s="13">
        <v>42548.608819444446</v>
      </c>
      <c r="F36" s="13">
        <v>42548.61010416667</v>
      </c>
      <c r="G36" s="28">
        <v>1</v>
      </c>
      <c r="H36" s="13" t="s">
        <v>228</v>
      </c>
      <c r="I36" s="13">
        <v>42548.613437499997</v>
      </c>
      <c r="J36" s="38">
        <v>0</v>
      </c>
      <c r="K36" s="39" t="str">
        <f t="shared" si="10"/>
        <v>4017/4018</v>
      </c>
      <c r="L36" s="39" t="str">
        <f>VLOOKUP(A36,'Trips&amp;Operators'!$C$1:$E$10000,3,FALSE)</f>
        <v>REBOLETTI</v>
      </c>
      <c r="M36" s="11">
        <f t="shared" si="11"/>
        <v>3.3333333267364651E-3</v>
      </c>
      <c r="N36" s="12">
        <f t="shared" si="1"/>
        <v>4.7999999905005097</v>
      </c>
      <c r="O36" s="12"/>
      <c r="P36" s="12"/>
      <c r="Q36" s="40"/>
      <c r="R36" s="40"/>
      <c r="S36" s="68" t="e">
        <f t="shared" si="12"/>
        <v>#VALUE!</v>
      </c>
      <c r="T36" s="2" t="str">
        <f t="shared" si="13"/>
        <v>Southbound</v>
      </c>
      <c r="U36" s="2" t="e">
        <f>COUNTIFS([1]Variables!$M$2:$M$19, "&gt;=" &amp; Y36, [1]Variables!$M$2:$M$19, "&lt;=" &amp; Z36)</f>
        <v>#VALUE!</v>
      </c>
      <c r="V36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14:35:42-0600',mode:absolute,to:'2016-06-27 14:44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6" s="46" t="str">
        <f t="shared" si="15"/>
        <v>Y</v>
      </c>
      <c r="X36" s="46">
        <f t="shared" si="16"/>
        <v>1</v>
      </c>
      <c r="Y36" s="46">
        <f t="shared" si="17"/>
        <v>5.8623000000000003</v>
      </c>
      <c r="Z36" s="46">
        <f t="shared" si="18"/>
        <v>5.7808000000000002</v>
      </c>
      <c r="AA36" s="46">
        <f t="shared" si="19"/>
        <v>8.1500000000000128E-2</v>
      </c>
      <c r="AB36" s="47" t="e">
        <f>VLOOKUP(A36,[1]Enforcements!$C$7:$J$32,8,0)</f>
        <v>#N/A</v>
      </c>
      <c r="AC36" s="47" t="e">
        <f>VLOOKUP(A36,[1]Enforcements!$C$7:$E$32,3,0)</f>
        <v>#N/A</v>
      </c>
    </row>
    <row r="37" spans="1:29" x14ac:dyDescent="0.25">
      <c r="A37" s="2" t="s">
        <v>229</v>
      </c>
      <c r="B37" s="38">
        <v>4018</v>
      </c>
      <c r="C37" s="38" t="s">
        <v>58</v>
      </c>
      <c r="D37" s="38" t="s">
        <v>230</v>
      </c>
      <c r="E37" s="13">
        <v>42548.642997685187</v>
      </c>
      <c r="F37" s="13">
        <v>42548.643750000003</v>
      </c>
      <c r="G37" s="28">
        <v>1</v>
      </c>
      <c r="H37" s="13" t="s">
        <v>231</v>
      </c>
      <c r="I37" s="13">
        <v>42548.654664351852</v>
      </c>
      <c r="J37" s="38">
        <v>2</v>
      </c>
      <c r="K37" s="39" t="str">
        <f t="shared" si="10"/>
        <v>4017/4018</v>
      </c>
      <c r="L37" s="39" t="str">
        <f>VLOOKUP(A37,'Trips&amp;Operators'!$C$1:$E$10000,3,FALSE)</f>
        <v>REBOLETTI</v>
      </c>
      <c r="M37" s="11">
        <f t="shared" si="11"/>
        <v>1.0914351849351078E-2</v>
      </c>
      <c r="N37" s="12">
        <f t="shared" si="1"/>
        <v>15.716666663065553</v>
      </c>
      <c r="O37" s="12"/>
      <c r="P37" s="12"/>
      <c r="Q37" s="40"/>
      <c r="R37" s="40"/>
      <c r="S37" s="68" t="e">
        <f t="shared" si="12"/>
        <v>#VALUE!</v>
      </c>
      <c r="T37" s="2" t="str">
        <f t="shared" si="13"/>
        <v>NorthBound</v>
      </c>
      <c r="U37" s="2" t="e">
        <f>COUNTIFS([1]Variables!$M$2:$M$19, "&gt;=" &amp; Y37, [1]Variables!$M$2:$M$19, "&lt;=" &amp; Z37)</f>
        <v>#VALUE!</v>
      </c>
      <c r="V37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15:24:55-0600',mode:absolute,to:'2016-06-27 15:43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7" s="46" t="str">
        <f t="shared" si="15"/>
        <v>Y</v>
      </c>
      <c r="X37" s="46">
        <f t="shared" si="16"/>
        <v>1</v>
      </c>
      <c r="Y37" s="46">
        <f t="shared" si="17"/>
        <v>8.8999999999999996E-2</v>
      </c>
      <c r="Z37" s="46">
        <f t="shared" si="18"/>
        <v>5.8935000000000004</v>
      </c>
      <c r="AA37" s="46">
        <f t="shared" si="19"/>
        <v>5.8045</v>
      </c>
      <c r="AB37" s="47" t="e">
        <f>VLOOKUP(A37,[1]Enforcements!$C$7:$J$32,8,0)</f>
        <v>#N/A</v>
      </c>
      <c r="AC37" s="47" t="e">
        <f>VLOOKUP(A37,[1]Enforcements!$C$7:$E$32,3,0)</f>
        <v>#N/A</v>
      </c>
    </row>
    <row r="38" spans="1:29" x14ac:dyDescent="0.25">
      <c r="A38" s="2" t="s">
        <v>232</v>
      </c>
      <c r="B38" s="38">
        <v>4017</v>
      </c>
      <c r="C38" s="38" t="s">
        <v>58</v>
      </c>
      <c r="D38" s="38" t="s">
        <v>165</v>
      </c>
      <c r="E38" s="13">
        <v>42548.655451388891</v>
      </c>
      <c r="F38" s="13">
        <v>42548.656319444446</v>
      </c>
      <c r="G38" s="28">
        <v>1</v>
      </c>
      <c r="H38" s="13" t="s">
        <v>233</v>
      </c>
      <c r="I38" s="13">
        <v>42548.665324074071</v>
      </c>
      <c r="J38" s="38">
        <v>0</v>
      </c>
      <c r="K38" s="39" t="str">
        <f t="shared" si="10"/>
        <v>4017/4018</v>
      </c>
      <c r="L38" s="39" t="str">
        <f>VLOOKUP(A38,'Trips&amp;Operators'!$C$1:$E$10000,3,FALSE)</f>
        <v>REBOLETTI</v>
      </c>
      <c r="M38" s="11">
        <f t="shared" si="11"/>
        <v>9.0046296245418489E-3</v>
      </c>
      <c r="N38" s="12">
        <f t="shared" si="1"/>
        <v>12.966666659340262</v>
      </c>
      <c r="O38" s="12"/>
      <c r="P38" s="12"/>
      <c r="Q38" s="40"/>
      <c r="R38" s="40"/>
      <c r="S38" s="68" t="e">
        <f t="shared" si="12"/>
        <v>#VALUE!</v>
      </c>
      <c r="T38" s="2" t="str">
        <f t="shared" si="13"/>
        <v>Southbound</v>
      </c>
      <c r="U38" s="2" t="e">
        <f>COUNTIFS([1]Variables!$M$2:$M$19, "&gt;=" &amp; Y38, [1]Variables!$M$2:$M$19, "&lt;=" &amp; Z38)</f>
        <v>#VALUE!</v>
      </c>
      <c r="V38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15:42:51-0600',mode:absolute,to:'2016-06-27 15:59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8" s="46" t="str">
        <f t="shared" si="15"/>
        <v>Y</v>
      </c>
      <c r="X38" s="46">
        <f t="shared" si="16"/>
        <v>1</v>
      </c>
      <c r="Y38" s="46">
        <f t="shared" si="17"/>
        <v>5.8611000000000004</v>
      </c>
      <c r="Z38" s="46">
        <f t="shared" si="18"/>
        <v>8.3799999999999999E-2</v>
      </c>
      <c r="AA38" s="46">
        <f t="shared" si="19"/>
        <v>5.7773000000000003</v>
      </c>
      <c r="AB38" s="47" t="e">
        <f>VLOOKUP(A38,[1]Enforcements!$C$7:$J$32,8,0)</f>
        <v>#N/A</v>
      </c>
      <c r="AC38" s="47" t="e">
        <f>VLOOKUP(A38,[1]Enforcements!$C$7:$E$32,3,0)</f>
        <v>#N/A</v>
      </c>
    </row>
    <row r="39" spans="1:29" x14ac:dyDescent="0.25">
      <c r="A39" s="2" t="s">
        <v>234</v>
      </c>
      <c r="B39" s="38">
        <v>4042</v>
      </c>
      <c r="C39" s="38" t="s">
        <v>58</v>
      </c>
      <c r="D39" s="38" t="s">
        <v>235</v>
      </c>
      <c r="E39" s="13">
        <v>42548.659826388888</v>
      </c>
      <c r="F39" s="13">
        <v>42548.66064814815</v>
      </c>
      <c r="G39" s="28">
        <v>1</v>
      </c>
      <c r="H39" s="13" t="s">
        <v>180</v>
      </c>
      <c r="I39" s="13">
        <v>42548.673437500001</v>
      </c>
      <c r="J39" s="38">
        <v>2</v>
      </c>
      <c r="K39" s="39" t="str">
        <f t="shared" si="10"/>
        <v>4041/4042</v>
      </c>
      <c r="L39" s="39" t="str">
        <f>VLOOKUP(A39,'Trips&amp;Operators'!$C$1:$E$10000,3,FALSE)</f>
        <v>CHANDLER</v>
      </c>
      <c r="M39" s="11">
        <f t="shared" si="11"/>
        <v>1.2789351851097308E-2</v>
      </c>
      <c r="N39" s="12">
        <f t="shared" si="1"/>
        <v>18.416666665580124</v>
      </c>
      <c r="O39" s="12"/>
      <c r="P39" s="12"/>
      <c r="Q39" s="40"/>
      <c r="R39" s="40"/>
      <c r="S39" s="68" t="e">
        <f t="shared" si="12"/>
        <v>#VALUE!</v>
      </c>
      <c r="T39" s="2" t="str">
        <f t="shared" si="13"/>
        <v>NorthBound</v>
      </c>
      <c r="U39" s="2" t="e">
        <f>COUNTIFS([1]Variables!$M$2:$M$19, "&gt;=" &amp; Y39, [1]Variables!$M$2:$M$19, "&lt;=" &amp; Z39)</f>
        <v>#VALUE!</v>
      </c>
      <c r="V39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15:49:09-0600',mode:absolute,to:'2016-06-27 16:10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9" s="46" t="str">
        <f t="shared" si="15"/>
        <v>Y</v>
      </c>
      <c r="X39" s="46">
        <f t="shared" si="16"/>
        <v>1</v>
      </c>
      <c r="Y39" s="46">
        <f t="shared" si="17"/>
        <v>9.69E-2</v>
      </c>
      <c r="Z39" s="46">
        <f t="shared" si="18"/>
        <v>5.8902999999999999</v>
      </c>
      <c r="AA39" s="46">
        <f t="shared" si="19"/>
        <v>5.7934000000000001</v>
      </c>
      <c r="AB39" s="47" t="e">
        <f>VLOOKUP(A39,[1]Enforcements!$C$7:$J$32,8,0)</f>
        <v>#N/A</v>
      </c>
      <c r="AC39" s="47" t="e">
        <f>VLOOKUP(A39,[1]Enforcements!$C$7:$E$32,3,0)</f>
        <v>#N/A</v>
      </c>
    </row>
    <row r="40" spans="1:29" x14ac:dyDescent="0.25">
      <c r="A40" s="2" t="s">
        <v>236</v>
      </c>
      <c r="B40" s="38">
        <v>4041</v>
      </c>
      <c r="C40" s="38" t="s">
        <v>58</v>
      </c>
      <c r="D40" s="38" t="s">
        <v>237</v>
      </c>
      <c r="E40" s="13">
        <v>42548.675428240742</v>
      </c>
      <c r="F40" s="13">
        <v>42548.676412037035</v>
      </c>
      <c r="G40" s="28">
        <v>1</v>
      </c>
      <c r="H40" s="13" t="s">
        <v>238</v>
      </c>
      <c r="I40" s="13">
        <v>42548.68891203704</v>
      </c>
      <c r="J40" s="38">
        <v>1</v>
      </c>
      <c r="K40" s="39" t="str">
        <f t="shared" si="10"/>
        <v>4041/4042</v>
      </c>
      <c r="L40" s="39" t="str">
        <f>VLOOKUP(A40,'Trips&amp;Operators'!$C$1:$E$10000,3,FALSE)</f>
        <v>CHANDLER</v>
      </c>
      <c r="M40" s="11">
        <f t="shared" si="11"/>
        <v>1.2500000004365575E-2</v>
      </c>
      <c r="N40" s="12">
        <f t="shared" si="1"/>
        <v>18.000000006286427</v>
      </c>
      <c r="O40" s="12"/>
      <c r="P40" s="12"/>
      <c r="Q40" s="40"/>
      <c r="R40" s="40"/>
      <c r="S40" s="68" t="e">
        <f t="shared" si="12"/>
        <v>#VALUE!</v>
      </c>
      <c r="T40" s="2" t="str">
        <f t="shared" si="13"/>
        <v>Southbound</v>
      </c>
      <c r="U40" s="2" t="e">
        <f>COUNTIFS([1]Variables!$M$2:$M$19, "&gt;=" &amp; Y40, [1]Variables!$M$2:$M$19, "&lt;=" &amp; Z40)</f>
        <v>#VALUE!</v>
      </c>
      <c r="V40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16:11:37-0600',mode:absolute,to:'2016-06-27 16:33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0" s="46" t="str">
        <f t="shared" si="15"/>
        <v>Y</v>
      </c>
      <c r="X40" s="46">
        <f t="shared" si="16"/>
        <v>1</v>
      </c>
      <c r="Y40" s="46">
        <f t="shared" si="17"/>
        <v>5.8582999999999998</v>
      </c>
      <c r="Z40" s="46">
        <f t="shared" si="18"/>
        <v>6.8699999999999997E-2</v>
      </c>
      <c r="AA40" s="46">
        <f t="shared" si="19"/>
        <v>5.7896000000000001</v>
      </c>
      <c r="AB40" s="47" t="e">
        <f>VLOOKUP(A40,[1]Enforcements!$C$7:$J$32,8,0)</f>
        <v>#N/A</v>
      </c>
      <c r="AC40" s="47" t="e">
        <f>VLOOKUP(A40,[1]Enforcements!$C$7:$E$32,3,0)</f>
        <v>#N/A</v>
      </c>
    </row>
    <row r="41" spans="1:29" x14ac:dyDescent="0.25">
      <c r="A41" s="2" t="s">
        <v>239</v>
      </c>
      <c r="B41" s="38">
        <v>4018</v>
      </c>
      <c r="C41" s="38" t="s">
        <v>58</v>
      </c>
      <c r="D41" s="38" t="s">
        <v>240</v>
      </c>
      <c r="E41" s="13">
        <v>42548.675520833334</v>
      </c>
      <c r="F41" s="13">
        <v>42548.676527777781</v>
      </c>
      <c r="G41" s="28">
        <v>1</v>
      </c>
      <c r="H41" s="13" t="s">
        <v>131</v>
      </c>
      <c r="I41" s="13">
        <v>42548.691354166665</v>
      </c>
      <c r="J41" s="38">
        <v>1</v>
      </c>
      <c r="K41" s="39" t="str">
        <f t="shared" si="10"/>
        <v>4017/4018</v>
      </c>
      <c r="L41" s="39" t="str">
        <f>VLOOKUP(A41,'Trips&amp;Operators'!$C$1:$E$10000,3,FALSE)</f>
        <v>REBOLETTI</v>
      </c>
      <c r="M41" s="11">
        <f t="shared" si="11"/>
        <v>1.4826388884102926E-2</v>
      </c>
      <c r="N41" s="12">
        <f t="shared" si="1"/>
        <v>21.349999993108213</v>
      </c>
      <c r="O41" s="12"/>
      <c r="P41" s="12"/>
      <c r="Q41" s="40"/>
      <c r="R41" s="40"/>
      <c r="S41" s="68" t="e">
        <f t="shared" si="12"/>
        <v>#VALUE!</v>
      </c>
      <c r="T41" s="2" t="str">
        <f t="shared" si="13"/>
        <v>NorthBound</v>
      </c>
      <c r="U41" s="2" t="e">
        <f>COUNTIFS([1]Variables!$M$2:$M$19, "&gt;=" &amp; Y41, [1]Variables!$M$2:$M$19, "&lt;=" &amp; Z41)</f>
        <v>#VALUE!</v>
      </c>
      <c r="V41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16:11:45-0600',mode:absolute,to:'2016-06-27 16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1" s="46" t="str">
        <f t="shared" si="15"/>
        <v>Y</v>
      </c>
      <c r="X41" s="46">
        <f t="shared" si="16"/>
        <v>1</v>
      </c>
      <c r="Y41" s="46">
        <f t="shared" si="17"/>
        <v>0.1128</v>
      </c>
      <c r="Z41" s="46">
        <f t="shared" si="18"/>
        <v>5.8940999999999999</v>
      </c>
      <c r="AA41" s="46">
        <f t="shared" si="19"/>
        <v>5.7812999999999999</v>
      </c>
      <c r="AB41" s="47" t="e">
        <f>VLOOKUP(A41,[1]Enforcements!$C$7:$J$32,8,0)</f>
        <v>#N/A</v>
      </c>
      <c r="AC41" s="47" t="e">
        <f>VLOOKUP(A41,[1]Enforcements!$C$7:$E$32,3,0)</f>
        <v>#N/A</v>
      </c>
    </row>
    <row r="42" spans="1:29" x14ac:dyDescent="0.25">
      <c r="A42" s="2" t="s">
        <v>241</v>
      </c>
      <c r="B42" s="38">
        <v>4017</v>
      </c>
      <c r="C42" s="38" t="s">
        <v>58</v>
      </c>
      <c r="D42" s="38" t="s">
        <v>242</v>
      </c>
      <c r="E42" s="13">
        <v>42548.693599537037</v>
      </c>
      <c r="F42" s="13">
        <v>42548.694421296299</v>
      </c>
      <c r="G42" s="28">
        <v>1</v>
      </c>
      <c r="H42" s="13" t="s">
        <v>233</v>
      </c>
      <c r="I42" s="13">
        <v>42548.706064814818</v>
      </c>
      <c r="J42" s="38">
        <v>0</v>
      </c>
      <c r="K42" s="39" t="str">
        <f t="shared" si="10"/>
        <v>4017/4018</v>
      </c>
      <c r="L42" s="39" t="str">
        <f>VLOOKUP(A42,'Trips&amp;Operators'!$C$1:$E$10000,3,FALSE)</f>
        <v>REBOLETTI</v>
      </c>
      <c r="M42" s="11">
        <f t="shared" si="11"/>
        <v>1.1643518519122154E-2</v>
      </c>
      <c r="N42" s="12">
        <f t="shared" si="1"/>
        <v>16.766666667535901</v>
      </c>
      <c r="O42" s="12"/>
      <c r="P42" s="12"/>
      <c r="Q42" s="40"/>
      <c r="R42" s="40"/>
      <c r="S42" s="68" t="e">
        <f t="shared" si="12"/>
        <v>#VALUE!</v>
      </c>
      <c r="T42" s="2" t="str">
        <f t="shared" si="13"/>
        <v>Southbound</v>
      </c>
      <c r="U42" s="2" t="e">
        <f>COUNTIFS([1]Variables!$M$2:$M$19, "&gt;=" &amp; Y42, [1]Variables!$M$2:$M$19, "&lt;=" &amp; Z42)</f>
        <v>#VALUE!</v>
      </c>
      <c r="V42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16:37:47-0600',mode:absolute,to:'2016-06-27 16:57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2" s="46" t="str">
        <f t="shared" si="15"/>
        <v>Y</v>
      </c>
      <c r="X42" s="46">
        <f t="shared" si="16"/>
        <v>1</v>
      </c>
      <c r="Y42" s="46">
        <f t="shared" si="17"/>
        <v>5.8625999999999996</v>
      </c>
      <c r="Z42" s="46">
        <f t="shared" si="18"/>
        <v>8.3799999999999999E-2</v>
      </c>
      <c r="AA42" s="46">
        <f t="shared" si="19"/>
        <v>5.7787999999999995</v>
      </c>
      <c r="AB42" s="47" t="e">
        <f>VLOOKUP(A42,[1]Enforcements!$C$7:$J$32,8,0)</f>
        <v>#N/A</v>
      </c>
      <c r="AC42" s="47" t="e">
        <f>VLOOKUP(A42,[1]Enforcements!$C$7:$E$32,3,0)</f>
        <v>#N/A</v>
      </c>
    </row>
    <row r="43" spans="1:29" x14ac:dyDescent="0.25">
      <c r="A43" s="2" t="s">
        <v>243</v>
      </c>
      <c r="B43" s="38">
        <v>4042</v>
      </c>
      <c r="C43" s="38" t="s">
        <v>58</v>
      </c>
      <c r="D43" s="38" t="s">
        <v>235</v>
      </c>
      <c r="E43" s="13">
        <v>42548.701863425929</v>
      </c>
      <c r="F43" s="13">
        <v>42548.702881944446</v>
      </c>
      <c r="G43" s="28">
        <v>1</v>
      </c>
      <c r="H43" s="13" t="s">
        <v>244</v>
      </c>
      <c r="I43" s="13">
        <v>42548.713703703703</v>
      </c>
      <c r="J43" s="38">
        <v>0</v>
      </c>
      <c r="K43" s="39" t="str">
        <f t="shared" si="10"/>
        <v>4041/4042</v>
      </c>
      <c r="L43" s="39" t="str">
        <f>VLOOKUP(A43,'Trips&amp;Operators'!$C$1:$E$10000,3,FALSE)</f>
        <v>CHANDLER</v>
      </c>
      <c r="M43" s="11">
        <f t="shared" si="11"/>
        <v>1.0821759256941732E-2</v>
      </c>
      <c r="N43" s="12">
        <f t="shared" si="1"/>
        <v>15.583333329996094</v>
      </c>
      <c r="O43" s="12"/>
      <c r="P43" s="12"/>
      <c r="Q43" s="40"/>
      <c r="R43" s="40"/>
      <c r="S43" s="68" t="e">
        <f t="shared" si="12"/>
        <v>#VALUE!</v>
      </c>
      <c r="T43" s="2" t="str">
        <f t="shared" si="13"/>
        <v>NorthBound</v>
      </c>
      <c r="U43" s="2" t="e">
        <f>COUNTIFS([1]Variables!$M$2:$M$19, "&gt;=" &amp; Y43, [1]Variables!$M$2:$M$19, "&lt;=" &amp; Z43)</f>
        <v>#VALUE!</v>
      </c>
      <c r="V43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16:49:41-0600',mode:absolute,to:'2016-06-27 17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3" s="46" t="str">
        <f t="shared" si="15"/>
        <v>Y</v>
      </c>
      <c r="X43" s="46">
        <f t="shared" si="16"/>
        <v>1</v>
      </c>
      <c r="Y43" s="46">
        <f t="shared" si="17"/>
        <v>9.69E-2</v>
      </c>
      <c r="Z43" s="46">
        <f t="shared" si="18"/>
        <v>5.8906999999999998</v>
      </c>
      <c r="AA43" s="46">
        <f t="shared" si="19"/>
        <v>5.7938000000000001</v>
      </c>
      <c r="AB43" s="47" t="e">
        <f>VLOOKUP(A43,[1]Enforcements!$C$7:$J$32,8,0)</f>
        <v>#N/A</v>
      </c>
      <c r="AC43" s="47" t="e">
        <f>VLOOKUP(A43,[1]Enforcements!$C$7:$E$32,3,0)</f>
        <v>#N/A</v>
      </c>
    </row>
    <row r="44" spans="1:29" x14ac:dyDescent="0.25">
      <c r="A44" s="2" t="s">
        <v>245</v>
      </c>
      <c r="B44" s="38">
        <v>4041</v>
      </c>
      <c r="C44" s="38" t="s">
        <v>58</v>
      </c>
      <c r="D44" s="38" t="s">
        <v>237</v>
      </c>
      <c r="E44" s="13">
        <v>42548.715497685182</v>
      </c>
      <c r="F44" s="13">
        <v>42548.716458333336</v>
      </c>
      <c r="G44" s="28">
        <v>1</v>
      </c>
      <c r="H44" s="13" t="s">
        <v>246</v>
      </c>
      <c r="I44" s="13">
        <v>42548.726967592593</v>
      </c>
      <c r="J44" s="38">
        <v>1</v>
      </c>
      <c r="K44" s="39" t="str">
        <f t="shared" si="10"/>
        <v>4041/4042</v>
      </c>
      <c r="L44" s="39" t="str">
        <f>VLOOKUP(A44,'Trips&amp;Operators'!$C$1:$E$10000,3,FALSE)</f>
        <v>CHANDLER</v>
      </c>
      <c r="M44" s="11">
        <f t="shared" si="11"/>
        <v>1.0509259256650694E-2</v>
      </c>
      <c r="N44" s="12">
        <f t="shared" si="1"/>
        <v>15.133333329576999</v>
      </c>
      <c r="O44" s="12"/>
      <c r="P44" s="12"/>
      <c r="Q44" s="40"/>
      <c r="R44" s="40"/>
      <c r="S44" s="68" t="e">
        <f t="shared" si="12"/>
        <v>#VALUE!</v>
      </c>
      <c r="T44" s="2" t="str">
        <f t="shared" si="13"/>
        <v>Southbound</v>
      </c>
      <c r="U44" s="2" t="e">
        <f>COUNTIFS([1]Variables!$M$2:$M$19, "&gt;=" &amp; Y44, [1]Variables!$M$2:$M$19, "&lt;=" &amp; Z44)</f>
        <v>#VALUE!</v>
      </c>
      <c r="V44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17:09:19-0600',mode:absolute,to:'2016-06-27 17:27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4" s="46" t="str">
        <f t="shared" si="15"/>
        <v>Y</v>
      </c>
      <c r="X44" s="46">
        <f t="shared" si="16"/>
        <v>1</v>
      </c>
      <c r="Y44" s="46">
        <f t="shared" si="17"/>
        <v>5.8582999999999998</v>
      </c>
      <c r="Z44" s="46">
        <f t="shared" si="18"/>
        <v>7.22E-2</v>
      </c>
      <c r="AA44" s="46">
        <f t="shared" si="19"/>
        <v>5.7861000000000002</v>
      </c>
      <c r="AB44" s="47" t="e">
        <f>VLOOKUP(A44,[1]Enforcements!$C$7:$J$32,8,0)</f>
        <v>#N/A</v>
      </c>
      <c r="AC44" s="47" t="e">
        <f>VLOOKUP(A44,[1]Enforcements!$C$7:$E$32,3,0)</f>
        <v>#N/A</v>
      </c>
    </row>
    <row r="45" spans="1:29" x14ac:dyDescent="0.25">
      <c r="A45" s="2" t="s">
        <v>247</v>
      </c>
      <c r="B45" s="38">
        <v>4018</v>
      </c>
      <c r="C45" s="38" t="s">
        <v>58</v>
      </c>
      <c r="D45" s="38" t="s">
        <v>240</v>
      </c>
      <c r="E45" s="13">
        <v>42548.719490740739</v>
      </c>
      <c r="F45" s="13">
        <v>42548.720312500001</v>
      </c>
      <c r="G45" s="28">
        <v>1</v>
      </c>
      <c r="H45" s="13" t="s">
        <v>129</v>
      </c>
      <c r="I45" s="13">
        <v>42548.733344907407</v>
      </c>
      <c r="J45" s="38">
        <v>1</v>
      </c>
      <c r="K45" s="39" t="str">
        <f t="shared" si="10"/>
        <v>4017/4018</v>
      </c>
      <c r="L45" s="39" t="str">
        <f>VLOOKUP(A45,'Trips&amp;Operators'!$C$1:$E$10000,3,FALSE)</f>
        <v>REBOLETTI</v>
      </c>
      <c r="M45" s="11">
        <f t="shared" si="11"/>
        <v>1.3032407405262347E-2</v>
      </c>
      <c r="N45" s="12">
        <f t="shared" si="1"/>
        <v>18.76666666357778</v>
      </c>
      <c r="O45" s="12"/>
      <c r="P45" s="12"/>
      <c r="Q45" s="40"/>
      <c r="R45" s="40"/>
      <c r="S45" s="68" t="e">
        <f t="shared" si="12"/>
        <v>#VALUE!</v>
      </c>
      <c r="T45" s="2" t="str">
        <f t="shared" si="13"/>
        <v>NorthBound</v>
      </c>
      <c r="U45" s="2" t="e">
        <f>COUNTIFS([1]Variables!$M$2:$M$19, "&gt;=" &amp; Y45, [1]Variables!$M$2:$M$19, "&lt;=" &amp; Z45)</f>
        <v>#VALUE!</v>
      </c>
      <c r="V45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17:15:04-0600',mode:absolute,to:'2016-06-27 17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5" s="46" t="str">
        <f t="shared" si="15"/>
        <v>Y</v>
      </c>
      <c r="X45" s="46">
        <f t="shared" si="16"/>
        <v>1</v>
      </c>
      <c r="Y45" s="46">
        <f t="shared" si="17"/>
        <v>0.1128</v>
      </c>
      <c r="Z45" s="46">
        <f t="shared" si="18"/>
        <v>5.8956</v>
      </c>
      <c r="AA45" s="46">
        <f t="shared" si="19"/>
        <v>5.7827999999999999</v>
      </c>
      <c r="AB45" s="47" t="e">
        <f>VLOOKUP(A45,[1]Enforcements!$C$7:$J$32,8,0)</f>
        <v>#N/A</v>
      </c>
      <c r="AC45" s="47" t="e">
        <f>VLOOKUP(A45,[1]Enforcements!$C$7:$E$32,3,0)</f>
        <v>#N/A</v>
      </c>
    </row>
    <row r="46" spans="1:29" x14ac:dyDescent="0.25">
      <c r="A46" s="2" t="s">
        <v>248</v>
      </c>
      <c r="B46" s="38">
        <v>4017</v>
      </c>
      <c r="C46" s="38" t="s">
        <v>58</v>
      </c>
      <c r="D46" s="38" t="s">
        <v>249</v>
      </c>
      <c r="E46" s="13">
        <v>42548.735671296294</v>
      </c>
      <c r="F46" s="13">
        <v>42548.736585648148</v>
      </c>
      <c r="G46" s="28">
        <v>1</v>
      </c>
      <c r="H46" s="13" t="s">
        <v>250</v>
      </c>
      <c r="I46" s="13">
        <v>42548.746701388889</v>
      </c>
      <c r="J46" s="38">
        <v>0</v>
      </c>
      <c r="K46" s="39" t="str">
        <f t="shared" si="10"/>
        <v>4017/4018</v>
      </c>
      <c r="L46" s="39" t="str">
        <f>VLOOKUP(A46,'Trips&amp;Operators'!$C$1:$E$10000,3,FALSE)</f>
        <v>REBOLETTI</v>
      </c>
      <c r="M46" s="11">
        <f t="shared" si="11"/>
        <v>1.0115740740729962E-2</v>
      </c>
      <c r="N46" s="12">
        <f t="shared" si="1"/>
        <v>14.566666666651145</v>
      </c>
      <c r="O46" s="12"/>
      <c r="P46" s="12"/>
      <c r="Q46" s="40"/>
      <c r="R46" s="40"/>
      <c r="S46" s="68" t="e">
        <f t="shared" si="12"/>
        <v>#VALUE!</v>
      </c>
      <c r="T46" s="2" t="str">
        <f t="shared" si="13"/>
        <v>Southbound</v>
      </c>
      <c r="U46" s="2" t="e">
        <f>COUNTIFS([1]Variables!$M$2:$M$19, "&gt;=" &amp; Y46, [1]Variables!$M$2:$M$19, "&lt;=" &amp; Z46)</f>
        <v>#VALUE!</v>
      </c>
      <c r="V46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17:38:22-0600',mode:absolute,to:'2016-06-27 17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6" s="46" t="str">
        <f t="shared" si="15"/>
        <v>Y</v>
      </c>
      <c r="X46" s="46">
        <f t="shared" si="16"/>
        <v>1</v>
      </c>
      <c r="Y46" s="46">
        <f t="shared" si="17"/>
        <v>5.8630000000000004</v>
      </c>
      <c r="Z46" s="46">
        <f t="shared" si="18"/>
        <v>7.8200000000000006E-2</v>
      </c>
      <c r="AA46" s="46">
        <f t="shared" si="19"/>
        <v>5.7848000000000006</v>
      </c>
      <c r="AB46" s="47" t="e">
        <f>VLOOKUP(A46,[1]Enforcements!$C$7:$J$32,8,0)</f>
        <v>#N/A</v>
      </c>
      <c r="AC46" s="47" t="e">
        <f>VLOOKUP(A46,[1]Enforcements!$C$7:$E$32,3,0)</f>
        <v>#N/A</v>
      </c>
    </row>
    <row r="47" spans="1:29" x14ac:dyDescent="0.25">
      <c r="A47" s="2" t="s">
        <v>251</v>
      </c>
      <c r="B47" s="38">
        <v>4042</v>
      </c>
      <c r="C47" s="38" t="s">
        <v>58</v>
      </c>
      <c r="D47" s="38" t="s">
        <v>252</v>
      </c>
      <c r="E47" s="13">
        <v>42548.739108796297</v>
      </c>
      <c r="F47" s="13">
        <v>42548.739837962959</v>
      </c>
      <c r="G47" s="28">
        <v>1</v>
      </c>
      <c r="H47" s="13" t="s">
        <v>253</v>
      </c>
      <c r="I47" s="13">
        <v>42548.754745370374</v>
      </c>
      <c r="J47" s="38">
        <v>1</v>
      </c>
      <c r="K47" s="39" t="str">
        <f t="shared" si="10"/>
        <v>4041/4042</v>
      </c>
      <c r="L47" s="39" t="str">
        <f>VLOOKUP(A47,'Trips&amp;Operators'!$C$1:$E$10000,3,FALSE)</f>
        <v>CHANDLER</v>
      </c>
      <c r="M47" s="11">
        <f t="shared" si="11"/>
        <v>1.4907407414284535E-2</v>
      </c>
      <c r="N47" s="12">
        <f t="shared" si="1"/>
        <v>21.46666667656973</v>
      </c>
      <c r="O47" s="12"/>
      <c r="P47" s="12"/>
      <c r="Q47" s="40"/>
      <c r="R47" s="40"/>
      <c r="S47" s="68" t="e">
        <f t="shared" si="12"/>
        <v>#VALUE!</v>
      </c>
      <c r="T47" s="2" t="str">
        <f t="shared" si="13"/>
        <v>NorthBound</v>
      </c>
      <c r="U47" s="2" t="e">
        <f>COUNTIFS([1]Variables!$M$2:$M$19, "&gt;=" &amp; Y47, [1]Variables!$M$2:$M$19, "&lt;=" &amp; Z47)</f>
        <v>#VALUE!</v>
      </c>
      <c r="V47" s="46" t="str">
        <f t="shared" si="14"/>
        <v>https://search-rtdc-monitor-bjffxe2xuh6vdkpspy63sjmuny.us-east-1.es.amazonaws.com/_plugin/kibana/#/discover/Steve-Slow-Train-Analysis-(2080s-and-2083s)?_g=(refreshInterval:(display:Off,section:0,value:0),time:(from:'2016-06-27 17:43:19-0600',mode:absolute,to:'2016-06-27 18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7" s="46" t="str">
        <f t="shared" si="15"/>
        <v>Y</v>
      </c>
      <c r="X47" s="46">
        <f t="shared" si="16"/>
        <v>1</v>
      </c>
      <c r="Y47" s="46">
        <f t="shared" si="17"/>
        <v>0.1014</v>
      </c>
      <c r="Z47" s="46">
        <f t="shared" si="18"/>
        <v>5.8856999999999999</v>
      </c>
      <c r="AA47" s="46">
        <f t="shared" si="19"/>
        <v>5.7843</v>
      </c>
      <c r="AB47" s="47" t="e">
        <f>VLOOKUP(A47,[1]Enforcements!$C$7:$J$32,8,0)</f>
        <v>#N/A</v>
      </c>
      <c r="AC47" s="47" t="e">
        <f>VLOOKUP(A47,[1]Enforcements!$C$7:$E$32,3,0)</f>
        <v>#N/A</v>
      </c>
    </row>
    <row r="48" spans="1:29" x14ac:dyDescent="0.25">
      <c r="A48" s="2" t="s">
        <v>254</v>
      </c>
      <c r="B48" s="38">
        <v>4041</v>
      </c>
      <c r="C48" s="38" t="s">
        <v>58</v>
      </c>
      <c r="D48" s="38" t="s">
        <v>255</v>
      </c>
      <c r="E48" s="13">
        <v>42548.756365740737</v>
      </c>
      <c r="F48" s="13">
        <v>42548.75744212963</v>
      </c>
      <c r="G48" s="28">
        <v>1</v>
      </c>
      <c r="H48" s="13" t="s">
        <v>256</v>
      </c>
      <c r="I48" s="13">
        <v>42548.769317129627</v>
      </c>
      <c r="J48" s="38">
        <v>0</v>
      </c>
      <c r="K48" s="39" t="str">
        <f t="shared" si="10"/>
        <v>4041/4042</v>
      </c>
      <c r="L48" s="39" t="str">
        <f>VLOOKUP(A48,'Trips&amp;Operators'!$C$1:$E$10000,3,FALSE)</f>
        <v>CHANDLER</v>
      </c>
      <c r="M48" s="11">
        <f t="shared" si="11"/>
        <v>1.187499999650754E-2</v>
      </c>
      <c r="N48" s="12">
        <f t="shared" si="1"/>
        <v>17.099999994970858</v>
      </c>
      <c r="O48" s="12"/>
      <c r="P48" s="12"/>
      <c r="Q48" s="40"/>
      <c r="R48" s="40"/>
      <c r="S48" s="68" t="e">
        <f t="shared" ref="S48:S51" si="20">SUM(U48:U48)/12</f>
        <v>#VALUE!</v>
      </c>
      <c r="T48" s="2" t="str">
        <f t="shared" ref="T48:T51" si="21">IF(ISEVEN(LEFT(A48,3)),"Southbound","NorthBound")</f>
        <v>Southbound</v>
      </c>
      <c r="U48" s="2" t="e">
        <f>COUNTIFS([1]Variables!$M$2:$M$19, "&gt;=" &amp; Y48, [1]Variables!$M$2:$M$19, "&lt;=" &amp; Z48)</f>
        <v>#VALUE!</v>
      </c>
      <c r="V48" s="46" t="str">
        <f t="shared" ref="V48:V51" si="22"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https://search-rtdc-monitor-bjffxe2xuh6vdkpspy63sjmuny.us-east-1.es.amazonaws.com/_plugin/kibana/#/discover/Steve-Slow-Train-Analysis-(2080s-and-2083s)?_g=(refreshInterval:(display:Off,section:0,value:0),time:(from:'2016-06-27 18:08:10-0600',mode:absolute,to:'2016-06-27 18:28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8" s="46" t="str">
        <f t="shared" ref="W48:W51" si="23">IF(AA48&lt;23,"Y","N")</f>
        <v>Y</v>
      </c>
      <c r="X48" s="46">
        <f t="shared" ref="X48:X51" si="24">VALUE(LEFT(A48,3))-VALUE(LEFT(A47,3))</f>
        <v>1</v>
      </c>
      <c r="Y48" s="46">
        <f t="shared" ref="Y48:Y51" si="25">RIGHT(D48,LEN(D48)-4)/10000</f>
        <v>5.8536999999999999</v>
      </c>
      <c r="Z48" s="46">
        <f t="shared" ref="Z48:Z51" si="26">RIGHT(H48,LEN(H48)-4)/10000</f>
        <v>7.4700000000000003E-2</v>
      </c>
      <c r="AA48" s="46">
        <f t="shared" ref="AA48:AA51" si="27">ABS(Z48-Y48)</f>
        <v>5.7789999999999999</v>
      </c>
      <c r="AB48" s="47" t="e">
        <f>VLOOKUP(A48,[1]Enforcements!$C$7:$J$32,8,0)</f>
        <v>#N/A</v>
      </c>
      <c r="AC48" s="47" t="e">
        <f>VLOOKUP(A48,[1]Enforcements!$C$7:$E$32,3,0)</f>
        <v>#N/A</v>
      </c>
    </row>
    <row r="49" spans="1:29" x14ac:dyDescent="0.25">
      <c r="A49" s="2" t="s">
        <v>257</v>
      </c>
      <c r="B49" s="38">
        <v>4018</v>
      </c>
      <c r="C49" s="38" t="s">
        <v>58</v>
      </c>
      <c r="D49" s="38" t="s">
        <v>258</v>
      </c>
      <c r="E49" s="13">
        <v>42548.761203703703</v>
      </c>
      <c r="F49" s="13">
        <v>42548.761956018519</v>
      </c>
      <c r="G49" s="28">
        <v>1</v>
      </c>
      <c r="H49" s="13" t="s">
        <v>259</v>
      </c>
      <c r="I49" s="13">
        <v>42548.773553240739</v>
      </c>
      <c r="J49" s="38">
        <v>0</v>
      </c>
      <c r="K49" s="39" t="str">
        <f t="shared" si="10"/>
        <v>4017/4018</v>
      </c>
      <c r="L49" s="39" t="str">
        <f>VLOOKUP(A49,'Trips&amp;Operators'!$C$1:$E$10000,3,FALSE)</f>
        <v>REBOLETTI</v>
      </c>
      <c r="M49" s="11">
        <f t="shared" si="11"/>
        <v>1.1597222219279502E-2</v>
      </c>
      <c r="N49" s="12">
        <f t="shared" si="1"/>
        <v>16.699999995762482</v>
      </c>
      <c r="O49" s="12"/>
      <c r="P49" s="12"/>
      <c r="Q49" s="40"/>
      <c r="R49" s="40"/>
      <c r="S49" s="68" t="e">
        <f t="shared" si="20"/>
        <v>#VALUE!</v>
      </c>
      <c r="T49" s="2" t="str">
        <f t="shared" si="21"/>
        <v>NorthBound</v>
      </c>
      <c r="U49" s="2" t="e">
        <f>COUNTIFS([1]Variables!$M$2:$M$19, "&gt;=" &amp; Y49, [1]Variables!$M$2:$M$19, "&lt;=" &amp; Z49)</f>
        <v>#VALUE!</v>
      </c>
      <c r="V49" s="46" t="str">
        <f t="shared" si="22"/>
        <v>https://search-rtdc-monitor-bjffxe2xuh6vdkpspy63sjmuny.us-east-1.es.amazonaws.com/_plugin/kibana/#/discover/Steve-Slow-Train-Analysis-(2080s-and-2083s)?_g=(refreshInterval:(display:Off,section:0,value:0),time:(from:'2016-06-27 18:15:08-0600',mode:absolute,to:'2016-06-27 18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9" s="46" t="str">
        <f t="shared" si="23"/>
        <v>Y</v>
      </c>
      <c r="X49" s="46">
        <f t="shared" si="24"/>
        <v>1</v>
      </c>
      <c r="Y49" s="46">
        <f t="shared" si="25"/>
        <v>0.10929999999999999</v>
      </c>
      <c r="Z49" s="46">
        <f t="shared" si="26"/>
        <v>5.8958000000000004</v>
      </c>
      <c r="AA49" s="46">
        <f t="shared" si="27"/>
        <v>5.7865000000000002</v>
      </c>
      <c r="AB49" s="47" t="e">
        <f>VLOOKUP(A49,[1]Enforcements!$C$7:$J$32,8,0)</f>
        <v>#N/A</v>
      </c>
      <c r="AC49" s="47" t="e">
        <f>VLOOKUP(A49,[1]Enforcements!$C$7:$E$32,3,0)</f>
        <v>#N/A</v>
      </c>
    </row>
    <row r="50" spans="1:29" x14ac:dyDescent="0.25">
      <c r="A50" s="2" t="s">
        <v>260</v>
      </c>
      <c r="B50" s="38">
        <v>4017</v>
      </c>
      <c r="C50" s="38" t="s">
        <v>58</v>
      </c>
      <c r="D50" s="38" t="s">
        <v>261</v>
      </c>
      <c r="E50" s="13">
        <v>42548.776701388888</v>
      </c>
      <c r="F50" s="13">
        <v>42548.777557870373</v>
      </c>
      <c r="G50" s="28">
        <v>1</v>
      </c>
      <c r="H50" s="13" t="s">
        <v>262</v>
      </c>
      <c r="I50" s="13">
        <v>42548.788807870369</v>
      </c>
      <c r="J50" s="38">
        <v>0</v>
      </c>
      <c r="K50" s="39" t="str">
        <f t="shared" si="10"/>
        <v>4017/4018</v>
      </c>
      <c r="L50" s="39" t="str">
        <f>VLOOKUP(A50,'Trips&amp;Operators'!$C$1:$E$10000,3,FALSE)</f>
        <v>REBOLETTI</v>
      </c>
      <c r="M50" s="11">
        <f t="shared" si="11"/>
        <v>1.1249999995925464E-2</v>
      </c>
      <c r="N50" s="12">
        <f t="shared" si="1"/>
        <v>16.199999994132668</v>
      </c>
      <c r="O50" s="12"/>
      <c r="P50" s="12"/>
      <c r="Q50" s="40"/>
      <c r="R50" s="40"/>
      <c r="S50" s="68" t="e">
        <f t="shared" si="20"/>
        <v>#VALUE!</v>
      </c>
      <c r="T50" s="2" t="str">
        <f t="shared" si="21"/>
        <v>Southbound</v>
      </c>
      <c r="U50" s="2" t="e">
        <f>COUNTIFS([1]Variables!$M$2:$M$19, "&gt;=" &amp; Y50, [1]Variables!$M$2:$M$19, "&lt;=" &amp; Z50)</f>
        <v>#VALUE!</v>
      </c>
      <c r="V50" s="46" t="str">
        <f t="shared" si="22"/>
        <v>https://search-rtdc-monitor-bjffxe2xuh6vdkpspy63sjmuny.us-east-1.es.amazonaws.com/_plugin/kibana/#/discover/Steve-Slow-Train-Analysis-(2080s-and-2083s)?_g=(refreshInterval:(display:Off,section:0,value:0),time:(from:'2016-06-27 18:37:27-0600',mode:absolute,to:'2016-06-27 18:56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0" s="46" t="str">
        <f t="shared" si="23"/>
        <v>Y</v>
      </c>
      <c r="X50" s="46">
        <f t="shared" si="24"/>
        <v>1</v>
      </c>
      <c r="Y50" s="46">
        <f t="shared" si="25"/>
        <v>5.8632</v>
      </c>
      <c r="Z50" s="46">
        <f t="shared" si="26"/>
        <v>8.5699999999999998E-2</v>
      </c>
      <c r="AA50" s="46">
        <f t="shared" si="27"/>
        <v>5.7774999999999999</v>
      </c>
      <c r="AB50" s="47" t="e">
        <f>VLOOKUP(A50,[1]Enforcements!$C$7:$J$32,8,0)</f>
        <v>#N/A</v>
      </c>
      <c r="AC50" s="47" t="e">
        <f>VLOOKUP(A50,[1]Enforcements!$C$7:$E$32,3,0)</f>
        <v>#N/A</v>
      </c>
    </row>
    <row r="51" spans="1:29" x14ac:dyDescent="0.25">
      <c r="A51" s="2" t="s">
        <v>263</v>
      </c>
      <c r="B51" s="38">
        <v>4042</v>
      </c>
      <c r="C51" s="38" t="s">
        <v>58</v>
      </c>
      <c r="D51" s="38" t="s">
        <v>264</v>
      </c>
      <c r="E51" s="13">
        <v>42548.780439814815</v>
      </c>
      <c r="F51" s="13">
        <v>42548.781435185185</v>
      </c>
      <c r="G51" s="28">
        <v>1</v>
      </c>
      <c r="H51" s="13" t="s">
        <v>265</v>
      </c>
      <c r="I51" s="13">
        <v>42548.796226851853</v>
      </c>
      <c r="J51" s="38">
        <v>0</v>
      </c>
      <c r="K51" s="39" t="str">
        <f t="shared" si="10"/>
        <v>4041/4042</v>
      </c>
      <c r="L51" s="39" t="str">
        <f>VLOOKUP(A51,'Trips&amp;Operators'!$C$1:$E$10000,3,FALSE)</f>
        <v>CHANDLER</v>
      </c>
      <c r="M51" s="11">
        <f t="shared" si="11"/>
        <v>1.4791666668315884E-2</v>
      </c>
      <c r="N51" s="12">
        <f t="shared" si="1"/>
        <v>21.300000002374873</v>
      </c>
      <c r="O51" s="12"/>
      <c r="P51" s="12"/>
      <c r="Q51" s="40"/>
      <c r="R51" s="40"/>
      <c r="S51" s="68" t="e">
        <f t="shared" si="20"/>
        <v>#VALUE!</v>
      </c>
      <c r="T51" s="2" t="str">
        <f t="shared" si="21"/>
        <v>NorthBound</v>
      </c>
      <c r="U51" s="2" t="e">
        <f>COUNTIFS([1]Variables!$M$2:$M$19, "&gt;=" &amp; Y51, [1]Variables!$M$2:$M$19, "&lt;=" &amp; Z51)</f>
        <v>#VALUE!</v>
      </c>
      <c r="V51" s="46" t="str">
        <f t="shared" si="22"/>
        <v>https://search-rtdc-monitor-bjffxe2xuh6vdkpspy63sjmuny.us-east-1.es.amazonaws.com/_plugin/kibana/#/discover/Steve-Slow-Train-Analysis-(2080s-and-2083s)?_g=(refreshInterval:(display:Off,section:0,value:0),time:(from:'2016-06-27 18:42:50-0600',mode:absolute,to:'2016-06-27 19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1" s="46" t="str">
        <f t="shared" si="23"/>
        <v>Y</v>
      </c>
      <c r="X51" s="46">
        <f t="shared" si="24"/>
        <v>1</v>
      </c>
      <c r="Y51" s="46">
        <f t="shared" si="25"/>
        <v>0.10299999999999999</v>
      </c>
      <c r="Z51" s="46">
        <f t="shared" si="26"/>
        <v>5.8914</v>
      </c>
      <c r="AA51" s="46">
        <f t="shared" si="27"/>
        <v>5.7884000000000002</v>
      </c>
      <c r="AB51" s="47" t="e">
        <f>VLOOKUP(A51,[1]Enforcements!$C$7:$J$32,8,0)</f>
        <v>#N/A</v>
      </c>
      <c r="AC51" s="47" t="e">
        <f>VLOOKUP(A51,[1]Enforcements!$C$7:$E$32,3,0)</f>
        <v>#N/A</v>
      </c>
    </row>
    <row r="52" spans="1:29" x14ac:dyDescent="0.25">
      <c r="A52" s="2" t="s">
        <v>266</v>
      </c>
      <c r="B52" s="38">
        <v>4017</v>
      </c>
      <c r="C52" s="38" t="s">
        <v>58</v>
      </c>
      <c r="D52" s="38" t="s">
        <v>267</v>
      </c>
      <c r="E52" s="13">
        <v>42548.81890046296</v>
      </c>
      <c r="F52" s="13">
        <v>42548.819849537038</v>
      </c>
      <c r="G52" s="28">
        <v>1</v>
      </c>
      <c r="H52" s="13" t="s">
        <v>268</v>
      </c>
      <c r="I52" s="13">
        <v>42548.828842592593</v>
      </c>
      <c r="J52" s="38">
        <v>0</v>
      </c>
      <c r="K52" s="39" t="str">
        <f t="shared" ref="K52:K62" si="28">IF(ISEVEN(B52),(B52-1)&amp;"/"&amp;B52,B52&amp;"/"&amp;(B52+1))</f>
        <v>4017/4018</v>
      </c>
      <c r="L52" s="39" t="str">
        <f>VLOOKUP(A52,'Trips&amp;Operators'!$C$1:$E$10000,3,FALSE)</f>
        <v>REBOLETTI</v>
      </c>
      <c r="M52" s="11">
        <f t="shared" ref="M52:M62" si="29">I52-F52</f>
        <v>8.9930555550381541E-3</v>
      </c>
      <c r="N52" s="12">
        <f t="shared" si="1"/>
        <v>12.949999999254942</v>
      </c>
      <c r="O52" s="12"/>
      <c r="P52" s="12"/>
      <c r="Q52" s="40"/>
      <c r="R52" s="40"/>
      <c r="S52" s="68" t="e">
        <f t="shared" ref="S52:S62" si="30">SUM(U52:U52)/12</f>
        <v>#VALUE!</v>
      </c>
      <c r="T52" s="2" t="str">
        <f t="shared" ref="T52:T62" si="31">IF(ISEVEN(LEFT(A52,3)),"Southbound","NorthBound")</f>
        <v>Southbound</v>
      </c>
      <c r="U52" s="2" t="e">
        <f>COUNTIFS([1]Variables!$M$2:$M$19, "&gt;=" &amp; Y52, [1]Variables!$M$2:$M$19, "&lt;=" &amp; Z52)</f>
        <v>#VALUE!</v>
      </c>
      <c r="V52" s="46" t="str">
        <f t="shared" ref="V52:V62" si="32"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https://search-rtdc-monitor-bjffxe2xuh6vdkpspy63sjmuny.us-east-1.es.amazonaws.com/_plugin/kibana/#/discover/Steve-Slow-Train-Analysis-(2080s-and-2083s)?_g=(refreshInterval:(display:Off,section:0,value:0),time:(from:'2016-06-27 19:38:13-0600',mode:absolute,to:'2016-06-27 19:54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2" s="46" t="str">
        <f t="shared" ref="W52:W62" si="33">IF(AA52&lt;23,"Y","N")</f>
        <v>Y</v>
      </c>
      <c r="X52" s="46">
        <f t="shared" ref="X52:X62" si="34">VALUE(LEFT(A52,3))-VALUE(LEFT(A51,3))</f>
        <v>1</v>
      </c>
      <c r="Y52" s="46">
        <f t="shared" ref="Y52:Y62" si="35">RIGHT(D52,LEN(D52)-4)/10000</f>
        <v>5.8628</v>
      </c>
      <c r="Z52" s="46">
        <f t="shared" ref="Z52:Z62" si="36">RIGHT(H52,LEN(H52)-4)/10000</f>
        <v>7.9600000000000004E-2</v>
      </c>
      <c r="AA52" s="46">
        <f t="shared" ref="AA52:AA62" si="37">ABS(Z52-Y52)</f>
        <v>5.7831999999999999</v>
      </c>
      <c r="AB52" s="47" t="e">
        <f>VLOOKUP(A52,[1]Enforcements!$C$7:$J$32,8,0)</f>
        <v>#N/A</v>
      </c>
      <c r="AC52" s="47" t="e">
        <f>VLOOKUP(A52,[1]Enforcements!$C$7:$E$32,3,0)</f>
        <v>#N/A</v>
      </c>
    </row>
    <row r="53" spans="1:29" x14ac:dyDescent="0.25">
      <c r="A53" s="2" t="s">
        <v>269</v>
      </c>
      <c r="B53" s="38">
        <v>4018</v>
      </c>
      <c r="C53" s="38" t="s">
        <v>58</v>
      </c>
      <c r="D53" s="38" t="s">
        <v>270</v>
      </c>
      <c r="E53" s="13">
        <v>42548.803287037037</v>
      </c>
      <c r="F53" s="13">
        <v>42548.804085648146</v>
      </c>
      <c r="G53" s="28">
        <v>1</v>
      </c>
      <c r="H53" s="13" t="s">
        <v>271</v>
      </c>
      <c r="I53" s="13">
        <v>42548.81763888889</v>
      </c>
      <c r="J53" s="38">
        <v>1</v>
      </c>
      <c r="K53" s="39" t="str">
        <f t="shared" si="28"/>
        <v>4017/4018</v>
      </c>
      <c r="L53" s="39" t="str">
        <f>VLOOKUP(A53,'Trips&amp;Operators'!$C$1:$E$10000,3,FALSE)</f>
        <v>REBOLETTI</v>
      </c>
      <c r="M53" s="11">
        <f t="shared" si="29"/>
        <v>1.3553240743931383E-2</v>
      </c>
      <c r="N53" s="12">
        <f t="shared" si="1"/>
        <v>19.516666671261191</v>
      </c>
      <c r="O53" s="12"/>
      <c r="P53" s="12"/>
      <c r="Q53" s="40"/>
      <c r="R53" s="40"/>
      <c r="S53" s="68" t="e">
        <f t="shared" si="30"/>
        <v>#VALUE!</v>
      </c>
      <c r="T53" s="2" t="str">
        <f t="shared" si="31"/>
        <v>NorthBound</v>
      </c>
      <c r="U53" s="2" t="e">
        <f>COUNTIFS([1]Variables!$M$2:$M$19, "&gt;=" &amp; Y53, [1]Variables!$M$2:$M$19, "&lt;=" &amp; Z53)</f>
        <v>#VALUE!</v>
      </c>
      <c r="V53" s="46" t="str">
        <f t="shared" si="32"/>
        <v>https://search-rtdc-monitor-bjffxe2xuh6vdkpspy63sjmuny.us-east-1.es.amazonaws.com/_plugin/kibana/#/discover/Steve-Slow-Train-Analysis-(2080s-and-2083s)?_g=(refreshInterval:(display:Off,section:0,value:0),time:(from:'2016-06-27 19:15:44-0600',mode:absolute,to:'2016-06-27 19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3" s="46" t="str">
        <f t="shared" si="33"/>
        <v>Y</v>
      </c>
      <c r="X53" s="46">
        <f t="shared" si="34"/>
        <v>1</v>
      </c>
      <c r="Y53" s="46">
        <f t="shared" si="35"/>
        <v>0.1123</v>
      </c>
      <c r="Z53" s="46">
        <f t="shared" si="36"/>
        <v>5.8944000000000001</v>
      </c>
      <c r="AA53" s="46">
        <f t="shared" si="37"/>
        <v>5.7820999999999998</v>
      </c>
      <c r="AB53" s="47" t="e">
        <f>VLOOKUP(A53,[1]Enforcements!$C$7:$J$32,8,0)</f>
        <v>#N/A</v>
      </c>
      <c r="AC53" s="47" t="e">
        <f>VLOOKUP(A53,[1]Enforcements!$C$7:$E$32,3,0)</f>
        <v>#N/A</v>
      </c>
    </row>
    <row r="54" spans="1:29" x14ac:dyDescent="0.25">
      <c r="A54" s="2" t="s">
        <v>269</v>
      </c>
      <c r="B54" s="38">
        <v>4018</v>
      </c>
      <c r="C54" s="38" t="s">
        <v>58</v>
      </c>
      <c r="D54" s="38" t="s">
        <v>272</v>
      </c>
      <c r="E54" s="13">
        <v>42548.806817129633</v>
      </c>
      <c r="F54" s="13">
        <v>42548.807453703703</v>
      </c>
      <c r="G54" s="28">
        <v>0</v>
      </c>
      <c r="H54" s="13" t="s">
        <v>271</v>
      </c>
      <c r="I54" s="13">
        <v>42548.81763888889</v>
      </c>
      <c r="J54" s="38">
        <v>1</v>
      </c>
      <c r="K54" s="39" t="str">
        <f t="shared" si="28"/>
        <v>4017/4018</v>
      </c>
      <c r="L54" s="39" t="str">
        <f>VLOOKUP(A54,'Trips&amp;Operators'!$C$1:$E$10000,3,FALSE)</f>
        <v>REBOLETTI</v>
      </c>
      <c r="M54" s="11">
        <f t="shared" si="29"/>
        <v>1.0185185186855961E-2</v>
      </c>
      <c r="N54" s="12">
        <f t="shared" si="1"/>
        <v>14.666666669072583</v>
      </c>
      <c r="O54" s="12"/>
      <c r="P54" s="12"/>
      <c r="Q54" s="40"/>
      <c r="R54" s="40"/>
      <c r="S54" s="68" t="e">
        <f t="shared" si="30"/>
        <v>#VALUE!</v>
      </c>
      <c r="T54" s="2" t="str">
        <f t="shared" si="31"/>
        <v>NorthBound</v>
      </c>
      <c r="U54" s="2" t="e">
        <f>COUNTIFS([1]Variables!$M$2:$M$19, "&gt;=" &amp; Y54, [1]Variables!$M$2:$M$19, "&lt;=" &amp; Z54)</f>
        <v>#VALUE!</v>
      </c>
      <c r="V54" s="46" t="str">
        <f t="shared" si="32"/>
        <v>https://search-rtdc-monitor-bjffxe2xuh6vdkpspy63sjmuny.us-east-1.es.amazonaws.com/_plugin/kibana/#/discover/Steve-Slow-Train-Analysis-(2080s-and-2083s)?_g=(refreshInterval:(display:Off,section:0,value:0),time:(from:'2016-06-27 19:20:49-0600',mode:absolute,to:'2016-06-27 19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4" s="46" t="str">
        <f t="shared" si="33"/>
        <v>Y</v>
      </c>
      <c r="X54" s="46">
        <f t="shared" si="34"/>
        <v>0</v>
      </c>
      <c r="Y54" s="46">
        <f t="shared" si="35"/>
        <v>0.12330000000000001</v>
      </c>
      <c r="Z54" s="46">
        <f t="shared" si="36"/>
        <v>5.8944000000000001</v>
      </c>
      <c r="AA54" s="46">
        <f t="shared" si="37"/>
        <v>5.7710999999999997</v>
      </c>
      <c r="AB54" s="47" t="e">
        <f>VLOOKUP(A54,[1]Enforcements!$C$7:$J$32,8,0)</f>
        <v>#N/A</v>
      </c>
      <c r="AC54" s="47" t="e">
        <f>VLOOKUP(A54,[1]Enforcements!$C$7:$E$32,3,0)</f>
        <v>#N/A</v>
      </c>
    </row>
    <row r="55" spans="1:29" x14ac:dyDescent="0.25">
      <c r="A55" s="2" t="s">
        <v>273</v>
      </c>
      <c r="B55" s="38">
        <v>4017</v>
      </c>
      <c r="C55" s="38" t="s">
        <v>58</v>
      </c>
      <c r="D55" s="38" t="s">
        <v>274</v>
      </c>
      <c r="E55" s="13">
        <v>42548.859884259262</v>
      </c>
      <c r="F55" s="13">
        <v>42548.860625000001</v>
      </c>
      <c r="G55" s="28">
        <v>1</v>
      </c>
      <c r="H55" s="13" t="s">
        <v>275</v>
      </c>
      <c r="I55" s="13">
        <v>42548.871863425928</v>
      </c>
      <c r="J55" s="38">
        <v>2</v>
      </c>
      <c r="K55" s="39" t="str">
        <f t="shared" si="28"/>
        <v>4017/4018</v>
      </c>
      <c r="L55" s="39" t="str">
        <f>VLOOKUP(A55,'Trips&amp;Operators'!$C$1:$E$10000,3,FALSE)</f>
        <v>REBOLETTI</v>
      </c>
      <c r="M55" s="11">
        <f t="shared" si="29"/>
        <v>1.1238425926421769E-2</v>
      </c>
      <c r="N55" s="12">
        <f t="shared" si="1"/>
        <v>16.183333334047347</v>
      </c>
      <c r="O55" s="12"/>
      <c r="P55" s="12"/>
      <c r="Q55" s="40"/>
      <c r="R55" s="40"/>
      <c r="S55" s="68" t="e">
        <f t="shared" si="30"/>
        <v>#VALUE!</v>
      </c>
      <c r="T55" s="2" t="str">
        <f t="shared" si="31"/>
        <v>Southbound</v>
      </c>
      <c r="U55" s="2" t="e">
        <f>COUNTIFS([1]Variables!$M$2:$M$19, "&gt;=" &amp; Y55, [1]Variables!$M$2:$M$19, "&lt;=" &amp; Z55)</f>
        <v>#VALUE!</v>
      </c>
      <c r="V55" s="46" t="str">
        <f t="shared" si="32"/>
        <v>https://search-rtdc-monitor-bjffxe2xuh6vdkpspy63sjmuny.us-east-1.es.amazonaws.com/_plugin/kibana/#/discover/Steve-Slow-Train-Analysis-(2080s-and-2083s)?_g=(refreshInterval:(display:Off,section:0,value:0),time:(from:'2016-06-27 20:37:14-0600',mode:absolute,to:'2016-06-27 20:56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5" s="46" t="str">
        <f t="shared" si="33"/>
        <v>Y</v>
      </c>
      <c r="X55" s="46">
        <f t="shared" si="34"/>
        <v>1</v>
      </c>
      <c r="Y55" s="46">
        <f t="shared" si="35"/>
        <v>5.8639999999999999</v>
      </c>
      <c r="Z55" s="46">
        <f t="shared" si="36"/>
        <v>7.8899999999999998E-2</v>
      </c>
      <c r="AA55" s="46">
        <f t="shared" si="37"/>
        <v>5.7850999999999999</v>
      </c>
      <c r="AB55" s="47" t="e">
        <f>VLOOKUP(A55,[1]Enforcements!$C$7:$J$32,8,0)</f>
        <v>#N/A</v>
      </c>
      <c r="AC55" s="47" t="e">
        <f>VLOOKUP(A55,[1]Enforcements!$C$7:$E$32,3,0)</f>
        <v>#N/A</v>
      </c>
    </row>
    <row r="56" spans="1:29" x14ac:dyDescent="0.25">
      <c r="A56" s="2" t="s">
        <v>276</v>
      </c>
      <c r="B56" s="38">
        <v>4018</v>
      </c>
      <c r="C56" s="38" t="s">
        <v>58</v>
      </c>
      <c r="D56" s="38" t="s">
        <v>277</v>
      </c>
      <c r="E56" s="13">
        <v>42548.844606481478</v>
      </c>
      <c r="F56" s="13">
        <v>42548.845949074072</v>
      </c>
      <c r="G56" s="28">
        <v>1</v>
      </c>
      <c r="H56" s="13" t="s">
        <v>278</v>
      </c>
      <c r="I56" s="13">
        <v>42548.857395833336</v>
      </c>
      <c r="J56" s="38">
        <v>1</v>
      </c>
      <c r="K56" s="39" t="str">
        <f t="shared" si="28"/>
        <v>4017/4018</v>
      </c>
      <c r="L56" s="39" t="str">
        <f>VLOOKUP(A56,'Trips&amp;Operators'!$C$1:$E$10000,3,FALSE)</f>
        <v>REBOLETTI</v>
      </c>
      <c r="M56" s="11">
        <f t="shared" si="29"/>
        <v>1.1446759264799766E-2</v>
      </c>
      <c r="N56" s="12">
        <f t="shared" si="1"/>
        <v>16.483333341311663</v>
      </c>
      <c r="O56" s="12"/>
      <c r="P56" s="12"/>
      <c r="Q56" s="40"/>
      <c r="R56" s="40"/>
      <c r="S56" s="68" t="e">
        <f t="shared" si="30"/>
        <v>#VALUE!</v>
      </c>
      <c r="T56" s="2" t="str">
        <f t="shared" si="31"/>
        <v>NorthBound</v>
      </c>
      <c r="U56" s="2" t="e">
        <f>COUNTIFS([1]Variables!$M$2:$M$19, "&gt;=" &amp; Y56, [1]Variables!$M$2:$M$19, "&lt;=" &amp; Z56)</f>
        <v>#VALUE!</v>
      </c>
      <c r="V56" s="46" t="str">
        <f t="shared" si="32"/>
        <v>https://search-rtdc-monitor-bjffxe2xuh6vdkpspy63sjmuny.us-east-1.es.amazonaws.com/_plugin/kibana/#/discover/Steve-Slow-Train-Analysis-(2080s-and-2083s)?_g=(refreshInterval:(display:Off,section:0,value:0),time:(from:'2016-06-27 20:15:14-0600',mode:absolute,to:'2016-06-27 20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6" s="46" t="str">
        <f t="shared" si="33"/>
        <v>Y</v>
      </c>
      <c r="X56" s="46">
        <f t="shared" si="34"/>
        <v>1</v>
      </c>
      <c r="Y56" s="46">
        <f t="shared" si="35"/>
        <v>0.1095</v>
      </c>
      <c r="Z56" s="46">
        <f t="shared" si="36"/>
        <v>5.8959999999999999</v>
      </c>
      <c r="AA56" s="46">
        <f t="shared" si="37"/>
        <v>5.7865000000000002</v>
      </c>
      <c r="AB56" s="47" t="e">
        <f>VLOOKUP(A56,[1]Enforcements!$C$7:$J$32,8,0)</f>
        <v>#N/A</v>
      </c>
      <c r="AC56" s="47" t="e">
        <f>VLOOKUP(A56,[1]Enforcements!$C$7:$E$32,3,0)</f>
        <v>#N/A</v>
      </c>
    </row>
    <row r="57" spans="1:29" x14ac:dyDescent="0.25">
      <c r="A57" s="2" t="s">
        <v>279</v>
      </c>
      <c r="B57" s="38">
        <v>4017</v>
      </c>
      <c r="C57" s="38" t="s">
        <v>58</v>
      </c>
      <c r="D57" s="38" t="s">
        <v>280</v>
      </c>
      <c r="E57" s="13">
        <v>42548.902060185188</v>
      </c>
      <c r="F57" s="13">
        <v>42548.903229166666</v>
      </c>
      <c r="G57" s="28">
        <v>1</v>
      </c>
      <c r="H57" s="13" t="s">
        <v>281</v>
      </c>
      <c r="I57" s="13">
        <v>42548.913368055553</v>
      </c>
      <c r="J57" s="38">
        <v>0</v>
      </c>
      <c r="K57" s="39" t="str">
        <f t="shared" si="28"/>
        <v>4017/4018</v>
      </c>
      <c r="L57" s="39" t="str">
        <f>VLOOKUP(A57,'Trips&amp;Operators'!$C$1:$E$10000,3,FALSE)</f>
        <v>REBOLETTI</v>
      </c>
      <c r="M57" s="11">
        <f t="shared" si="29"/>
        <v>1.0138888887013309E-2</v>
      </c>
      <c r="N57" s="12">
        <f t="shared" si="1"/>
        <v>14.599999997299165</v>
      </c>
      <c r="O57" s="12"/>
      <c r="P57" s="12"/>
      <c r="Q57" s="40"/>
      <c r="R57" s="40"/>
      <c r="S57" s="68" t="e">
        <f t="shared" si="30"/>
        <v>#VALUE!</v>
      </c>
      <c r="T57" s="2" t="str">
        <f t="shared" si="31"/>
        <v>Southbound</v>
      </c>
      <c r="U57" s="2" t="e">
        <f>COUNTIFS([1]Variables!$M$2:$M$19, "&gt;=" &amp; Y57, [1]Variables!$M$2:$M$19, "&lt;=" &amp; Z57)</f>
        <v>#VALUE!</v>
      </c>
      <c r="V57" s="46" t="str">
        <f t="shared" si="32"/>
        <v>https://search-rtdc-monitor-bjffxe2xuh6vdkpspy63sjmuny.us-east-1.es.amazonaws.com/_plugin/kibana/#/discover/Steve-Slow-Train-Analysis-(2080s-and-2083s)?_g=(refreshInterval:(display:Off,section:0,value:0),time:(from:'2016-06-27 21:37:58-0600',mode:absolute,to:'2016-06-27 21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7" s="46" t="str">
        <f t="shared" si="33"/>
        <v>Y</v>
      </c>
      <c r="X57" s="46">
        <f t="shared" si="34"/>
        <v>1</v>
      </c>
      <c r="Y57" s="46">
        <f t="shared" si="35"/>
        <v>5.8638000000000003</v>
      </c>
      <c r="Z57" s="46">
        <f t="shared" si="36"/>
        <v>7.5399999999999995E-2</v>
      </c>
      <c r="AA57" s="46">
        <f t="shared" si="37"/>
        <v>5.7884000000000002</v>
      </c>
      <c r="AB57" s="47" t="e">
        <f>VLOOKUP(A57,[1]Enforcements!$C$7:$J$32,8,0)</f>
        <v>#N/A</v>
      </c>
      <c r="AC57" s="47" t="e">
        <f>VLOOKUP(A57,[1]Enforcements!$C$7:$E$32,3,0)</f>
        <v>#N/A</v>
      </c>
    </row>
    <row r="58" spans="1:29" x14ac:dyDescent="0.25">
      <c r="A58" s="2" t="s">
        <v>282</v>
      </c>
      <c r="B58" s="38">
        <v>4018</v>
      </c>
      <c r="C58" s="38" t="s">
        <v>58</v>
      </c>
      <c r="D58" s="38" t="s">
        <v>283</v>
      </c>
      <c r="E58" s="13">
        <v>42548.886921296296</v>
      </c>
      <c r="F58" s="13">
        <v>42548.88790509259</v>
      </c>
      <c r="G58" s="28">
        <v>1</v>
      </c>
      <c r="H58" s="13" t="s">
        <v>284</v>
      </c>
      <c r="I58" s="13">
        <v>42548.898599537039</v>
      </c>
      <c r="J58" s="38">
        <v>0</v>
      </c>
      <c r="K58" s="39" t="str">
        <f t="shared" si="28"/>
        <v>4017/4018</v>
      </c>
      <c r="L58" s="39" t="str">
        <f>VLOOKUP(A58,'Trips&amp;Operators'!$C$1:$E$10000,3,FALSE)</f>
        <v>REBOLETTI</v>
      </c>
      <c r="M58" s="11">
        <f t="shared" si="29"/>
        <v>1.0694444448745344E-2</v>
      </c>
      <c r="N58" s="12">
        <f t="shared" si="1"/>
        <v>15.400000006193295</v>
      </c>
      <c r="O58" s="12"/>
      <c r="P58" s="12"/>
      <c r="Q58" s="40"/>
      <c r="R58" s="40"/>
      <c r="S58" s="68" t="e">
        <f t="shared" si="30"/>
        <v>#VALUE!</v>
      </c>
      <c r="T58" s="2" t="str">
        <f t="shared" si="31"/>
        <v>NorthBound</v>
      </c>
      <c r="U58" s="2" t="e">
        <f>COUNTIFS([1]Variables!$M$2:$M$19, "&gt;=" &amp; Y58, [1]Variables!$M$2:$M$19, "&lt;=" &amp; Z58)</f>
        <v>#VALUE!</v>
      </c>
      <c r="V58" s="46" t="str">
        <f t="shared" si="32"/>
        <v>https://search-rtdc-monitor-bjffxe2xuh6vdkpspy63sjmuny.us-east-1.es.amazonaws.com/_plugin/kibana/#/discover/Steve-Slow-Train-Analysis-(2080s-and-2083s)?_g=(refreshInterval:(display:Off,section:0,value:0),time:(from:'2016-06-27 21:16:10-0600',mode:absolute,to:'2016-06-27 21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8" s="46" t="str">
        <f t="shared" si="33"/>
        <v>Y</v>
      </c>
      <c r="X58" s="46">
        <f t="shared" si="34"/>
        <v>1</v>
      </c>
      <c r="Y58" s="46">
        <f t="shared" si="35"/>
        <v>0.1077</v>
      </c>
      <c r="Z58" s="46">
        <f t="shared" si="36"/>
        <v>5.8954000000000004</v>
      </c>
      <c r="AA58" s="46">
        <f t="shared" si="37"/>
        <v>5.7877000000000001</v>
      </c>
      <c r="AB58" s="47" t="e">
        <f>VLOOKUP(A58,[1]Enforcements!$C$7:$J$32,8,0)</f>
        <v>#N/A</v>
      </c>
      <c r="AC58" s="47" t="e">
        <f>VLOOKUP(A58,[1]Enforcements!$C$7:$E$32,3,0)</f>
        <v>#N/A</v>
      </c>
    </row>
    <row r="59" spans="1:29" x14ac:dyDescent="0.25">
      <c r="A59" s="2" t="s">
        <v>285</v>
      </c>
      <c r="B59" s="38">
        <v>4018</v>
      </c>
      <c r="C59" s="38" t="s">
        <v>58</v>
      </c>
      <c r="D59" s="38" t="s">
        <v>286</v>
      </c>
      <c r="E59" s="13">
        <v>42548.929432870369</v>
      </c>
      <c r="F59" s="13">
        <v>42548.930185185185</v>
      </c>
      <c r="G59" s="28">
        <v>1</v>
      </c>
      <c r="H59" s="13" t="s">
        <v>287</v>
      </c>
      <c r="I59" s="13">
        <v>42548.941006944442</v>
      </c>
      <c r="J59" s="38">
        <v>1</v>
      </c>
      <c r="K59" s="39" t="str">
        <f t="shared" si="28"/>
        <v>4017/4018</v>
      </c>
      <c r="L59" s="39" t="str">
        <f>VLOOKUP(A59,'Trips&amp;Operators'!$C$1:$E$10000,3,FALSE)</f>
        <v>REBOLETTI</v>
      </c>
      <c r="M59" s="11">
        <f t="shared" si="29"/>
        <v>1.0821759256941732E-2</v>
      </c>
      <c r="N59" s="12">
        <f t="shared" si="1"/>
        <v>15.583333329996094</v>
      </c>
      <c r="O59" s="12"/>
      <c r="P59" s="12"/>
      <c r="Q59" s="40"/>
      <c r="R59" s="40"/>
      <c r="S59" s="68" t="e">
        <f t="shared" si="30"/>
        <v>#VALUE!</v>
      </c>
      <c r="T59" s="2" t="str">
        <f t="shared" si="31"/>
        <v>NorthBound</v>
      </c>
      <c r="U59" s="2" t="e">
        <f>COUNTIFS([1]Variables!$M$2:$M$19, "&gt;=" &amp; Y59, [1]Variables!$M$2:$M$19, "&lt;=" &amp; Z59)</f>
        <v>#VALUE!</v>
      </c>
      <c r="V59" s="46" t="str">
        <f t="shared" si="32"/>
        <v>https://search-rtdc-monitor-bjffxe2xuh6vdkpspy63sjmuny.us-east-1.es.amazonaws.com/_plugin/kibana/#/discover/Steve-Slow-Train-Analysis-(2080s-and-2083s)?_g=(refreshInterval:(display:Off,section:0,value:0),time:(from:'2016-06-27 22:17:23-0600',mode:absolute,to:'2016-06-27 22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9" s="46" t="str">
        <f t="shared" si="33"/>
        <v>Y</v>
      </c>
      <c r="X59" s="46">
        <f t="shared" si="34"/>
        <v>2</v>
      </c>
      <c r="Y59" s="46">
        <f t="shared" si="35"/>
        <v>0.1037</v>
      </c>
      <c r="Z59" s="46">
        <f t="shared" si="36"/>
        <v>5.8949999999999996</v>
      </c>
      <c r="AA59" s="46">
        <f t="shared" si="37"/>
        <v>5.7912999999999997</v>
      </c>
      <c r="AB59" s="47" t="e">
        <f>VLOOKUP(A59,[1]Enforcements!$C$7:$J$32,8,0)</f>
        <v>#N/A</v>
      </c>
      <c r="AC59" s="47" t="e">
        <f>VLOOKUP(A59,[1]Enforcements!$C$7:$E$32,3,0)</f>
        <v>#N/A</v>
      </c>
    </row>
    <row r="60" spans="1:29" x14ac:dyDescent="0.25">
      <c r="A60" s="2" t="s">
        <v>288</v>
      </c>
      <c r="B60" s="38">
        <v>4017</v>
      </c>
      <c r="C60" s="38" t="s">
        <v>58</v>
      </c>
      <c r="D60" s="38" t="s">
        <v>289</v>
      </c>
      <c r="E60" s="13">
        <v>42548.239664351851</v>
      </c>
      <c r="F60" s="13">
        <v>42548.245023148149</v>
      </c>
      <c r="G60" s="28">
        <v>7</v>
      </c>
      <c r="H60" s="13" t="s">
        <v>290</v>
      </c>
      <c r="I60" s="13">
        <v>42548.245347222219</v>
      </c>
      <c r="J60" s="38">
        <v>1</v>
      </c>
      <c r="K60" s="39" t="str">
        <f t="shared" si="28"/>
        <v>4017/4018</v>
      </c>
      <c r="L60" s="39" t="str">
        <f>VLOOKUP(A60,'Trips&amp;Operators'!$C$1:$E$10000,3,FALSE)</f>
        <v>ADANE</v>
      </c>
      <c r="M60" s="11">
        <f t="shared" si="29"/>
        <v>3.2407406979473308E-4</v>
      </c>
      <c r="N60" s="12">
        <f t="shared" si="1"/>
        <v>0.46666666050441563</v>
      </c>
      <c r="O60" s="12"/>
      <c r="P60" s="12"/>
      <c r="Q60" s="40"/>
      <c r="R60" s="40"/>
      <c r="S60" s="68" t="e">
        <f t="shared" si="30"/>
        <v>#VALUE!</v>
      </c>
      <c r="T60" s="2" t="str">
        <f t="shared" si="31"/>
        <v>Southbound</v>
      </c>
      <c r="U60" s="2" t="e">
        <f>COUNTIFS([1]Variables!$M$2:$M$19, "&gt;=" &amp; Y60, [1]Variables!$M$2:$M$19, "&lt;=" &amp; Z60)</f>
        <v>#VALUE!</v>
      </c>
      <c r="V60" s="46" t="str">
        <f t="shared" si="32"/>
        <v>https://search-rtdc-monitor-bjffxe2xuh6vdkpspy63sjmuny.us-east-1.es.amazonaws.com/_plugin/kibana/#/discover/Steve-Slow-Train-Analysis-(2080s-and-2083s)?_g=(refreshInterval:(display:Off,section:0,value:0),time:(from:'2016-06-27 05:44:07-0600',mode:absolute,to:'2016-06-27 05:54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0" s="46" t="str">
        <f t="shared" si="33"/>
        <v>Y</v>
      </c>
      <c r="X60" s="46">
        <f t="shared" si="34"/>
        <v>55</v>
      </c>
      <c r="Y60" s="46">
        <f t="shared" si="35"/>
        <v>2.3056000000000001</v>
      </c>
      <c r="Z60" s="46">
        <f t="shared" si="36"/>
        <v>2.2585999999999999</v>
      </c>
      <c r="AA60" s="46">
        <f t="shared" si="37"/>
        <v>4.7000000000000153E-2</v>
      </c>
      <c r="AB60" s="47" t="e">
        <f>VLOOKUP(A60,[1]Enforcements!$C$7:$J$32,8,0)</f>
        <v>#N/A</v>
      </c>
      <c r="AC60" s="47" t="e">
        <f>VLOOKUP(A60,[1]Enforcements!$C$7:$E$32,3,0)</f>
        <v>#N/A</v>
      </c>
    </row>
    <row r="61" spans="1:29" x14ac:dyDescent="0.25">
      <c r="A61" s="2" t="s">
        <v>291</v>
      </c>
      <c r="B61" s="38">
        <v>4041</v>
      </c>
      <c r="C61" s="38" t="s">
        <v>58</v>
      </c>
      <c r="D61" s="38" t="s">
        <v>292</v>
      </c>
      <c r="E61" s="13">
        <v>42548.797465277778</v>
      </c>
      <c r="F61" s="13">
        <v>42548.798344907409</v>
      </c>
      <c r="G61" s="28">
        <v>1</v>
      </c>
      <c r="H61" s="13" t="s">
        <v>293</v>
      </c>
      <c r="I61" s="13">
        <v>42548.806631944448</v>
      </c>
      <c r="J61" s="38">
        <v>0</v>
      </c>
      <c r="K61" s="39" t="str">
        <f t="shared" si="28"/>
        <v>4041/4042</v>
      </c>
      <c r="L61" s="39" t="str">
        <f>VLOOKUP(A61,'Trips&amp;Operators'!$C$1:$E$10000,3,FALSE)</f>
        <v>CHANDLER</v>
      </c>
      <c r="M61" s="11">
        <f t="shared" si="29"/>
        <v>8.2870370388263837E-3</v>
      </c>
      <c r="N61" s="12">
        <f t="shared" si="1"/>
        <v>11.933333335909992</v>
      </c>
      <c r="O61" s="12"/>
      <c r="P61" s="12"/>
      <c r="Q61" s="40"/>
      <c r="R61" s="40"/>
      <c r="S61" s="68" t="e">
        <f t="shared" si="30"/>
        <v>#VALUE!</v>
      </c>
      <c r="T61" s="2" t="str">
        <f t="shared" si="31"/>
        <v>Southbound</v>
      </c>
      <c r="U61" s="2" t="e">
        <f>COUNTIFS([1]Variables!$M$2:$M$19, "&gt;=" &amp; Y61, [1]Variables!$M$2:$M$19, "&lt;=" &amp; Z61)</f>
        <v>#VALUE!</v>
      </c>
      <c r="V61" s="46" t="str">
        <f t="shared" si="32"/>
        <v>https://search-rtdc-monitor-bjffxe2xuh6vdkpspy63sjmuny.us-east-1.es.amazonaws.com/_plugin/kibana/#/discover/Steve-Slow-Train-Analysis-(2080s-and-2083s)?_g=(refreshInterval:(display:Off,section:0,value:0),time:(from:'2016-06-27 19:07:21-0600',mode:absolute,to:'2016-06-27 19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1" s="46" t="str">
        <f t="shared" si="33"/>
        <v>Y</v>
      </c>
      <c r="X61" s="46">
        <f t="shared" si="34"/>
        <v>4</v>
      </c>
      <c r="Y61" s="46">
        <f t="shared" si="35"/>
        <v>5.8596000000000004</v>
      </c>
      <c r="Z61" s="46">
        <f t="shared" si="36"/>
        <v>2.7677</v>
      </c>
      <c r="AA61" s="46">
        <f t="shared" si="37"/>
        <v>3.0919000000000003</v>
      </c>
      <c r="AB61" s="47" t="e">
        <f>VLOOKUP(A61,[1]Enforcements!$C$7:$J$32,8,0)</f>
        <v>#N/A</v>
      </c>
      <c r="AC61" s="47" t="e">
        <f>VLOOKUP(A61,[1]Enforcements!$C$7:$E$32,3,0)</f>
        <v>#N/A</v>
      </c>
    </row>
    <row r="62" spans="1:29" x14ac:dyDescent="0.25">
      <c r="A62" s="2" t="s">
        <v>294</v>
      </c>
      <c r="B62" s="38">
        <v>4017</v>
      </c>
      <c r="C62" s="38" t="s">
        <v>58</v>
      </c>
      <c r="D62" s="38" t="s">
        <v>295</v>
      </c>
      <c r="E62" s="13">
        <v>42548.94290509259</v>
      </c>
      <c r="F62" s="13">
        <v>42548.943622685183</v>
      </c>
      <c r="G62" s="28">
        <v>1</v>
      </c>
      <c r="H62" s="13" t="s">
        <v>296</v>
      </c>
      <c r="I62" s="13">
        <v>42548.949571759258</v>
      </c>
      <c r="J62" s="38">
        <v>0</v>
      </c>
      <c r="K62" s="39" t="str">
        <f t="shared" si="28"/>
        <v>4017/4018</v>
      </c>
      <c r="L62" s="39" t="str">
        <f>VLOOKUP(A62,'Trips&amp;Operators'!$C$1:$E$10000,3,FALSE)</f>
        <v>REBOLETTI</v>
      </c>
      <c r="M62" s="11">
        <f t="shared" si="29"/>
        <v>5.9490740750334226E-3</v>
      </c>
      <c r="N62" s="12">
        <f t="shared" si="1"/>
        <v>8.5666666680481285</v>
      </c>
      <c r="O62" s="12"/>
      <c r="P62" s="12"/>
      <c r="Q62" s="40"/>
      <c r="R62" s="40"/>
      <c r="S62" s="68" t="e">
        <f t="shared" si="30"/>
        <v>#VALUE!</v>
      </c>
      <c r="T62" s="2" t="str">
        <f t="shared" si="31"/>
        <v>Southbound</v>
      </c>
      <c r="U62" s="2" t="e">
        <f>COUNTIFS([1]Variables!$M$2:$M$19, "&gt;=" &amp; Y62, [1]Variables!$M$2:$M$19, "&lt;=" &amp; Z62)</f>
        <v>#VALUE!</v>
      </c>
      <c r="V62" s="46" t="str">
        <f t="shared" si="32"/>
        <v>https://search-rtdc-monitor-bjffxe2xuh6vdkpspy63sjmuny.us-east-1.es.amazonaws.com/_plugin/kibana/#/discover/Steve-Slow-Train-Analysis-(2080s-and-2083s)?_g=(refreshInterval:(display:Off,section:0,value:0),time:(from:'2016-06-27 22:36:47-0600',mode:absolute,to:'2016-06-27 22:48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2" s="46" t="str">
        <f t="shared" si="33"/>
        <v>Y</v>
      </c>
      <c r="X62" s="46">
        <f t="shared" si="34"/>
        <v>2</v>
      </c>
      <c r="Y62" s="46">
        <f t="shared" si="35"/>
        <v>5.8635999999999999</v>
      </c>
      <c r="Z62" s="46">
        <f t="shared" si="36"/>
        <v>2.1739999999999999</v>
      </c>
      <c r="AA62" s="46">
        <f t="shared" si="37"/>
        <v>3.6896</v>
      </c>
      <c r="AB62" s="47" t="e">
        <f>VLOOKUP(A62,[1]Enforcements!$C$7:$J$32,8,0)</f>
        <v>#N/A</v>
      </c>
      <c r="AC62" s="47" t="e">
        <f>VLOOKUP(A62,[1]Enforcements!$C$7:$E$32,3,0)</f>
        <v>#N/A</v>
      </c>
    </row>
  </sheetData>
  <autoFilter ref="A12:AC12">
    <sortState ref="A13:AC44">
      <sortCondition ref="A3:A145"/>
      <sortCondition ref="F3:F145"/>
    </sortState>
  </autoFilter>
  <sortState ref="A67:CM92">
    <sortCondition ref="A3:A150"/>
    <sortCondition ref="F3:F150"/>
  </sortState>
  <mergeCells count="4">
    <mergeCell ref="A11:P11"/>
    <mergeCell ref="I2:J2"/>
    <mergeCell ref="M2:O2"/>
    <mergeCell ref="I3:J3"/>
  </mergeCells>
  <conditionalFormatting sqref="W11:W12 W63:X1048576">
    <cfRule type="cellIs" dxfId="18" priority="114" operator="equal">
      <formula>"Y"</formula>
    </cfRule>
  </conditionalFormatting>
  <conditionalFormatting sqref="X63:X1048576">
    <cfRule type="cellIs" dxfId="17" priority="97" operator="greaterThan">
      <formula>1</formula>
    </cfRule>
  </conditionalFormatting>
  <conditionalFormatting sqref="X12 X63:X1048576">
    <cfRule type="cellIs" dxfId="16" priority="94" operator="equal">
      <formula>0</formula>
    </cfRule>
  </conditionalFormatting>
  <conditionalFormatting sqref="W13:X62">
    <cfRule type="cellIs" dxfId="15" priority="45" operator="equal">
      <formula>"Y"</formula>
    </cfRule>
  </conditionalFormatting>
  <conditionalFormatting sqref="X13:X62">
    <cfRule type="cellIs" dxfId="14" priority="44" operator="greaterThan">
      <formula>1</formula>
    </cfRule>
  </conditionalFormatting>
  <conditionalFormatting sqref="X13:X62">
    <cfRule type="cellIs" dxfId="13" priority="43" operator="equal">
      <formula>0</formula>
    </cfRule>
  </conditionalFormatting>
  <conditionalFormatting sqref="K13:K62">
    <cfRule type="expression" dxfId="12" priority="21">
      <formula>$O13&gt;0</formula>
    </cfRule>
  </conditionalFormatting>
  <conditionalFormatting sqref="K13:K62">
    <cfRule type="expression" dxfId="11" priority="20">
      <formula>$P13&gt;0</formula>
    </cfRule>
  </conditionalFormatting>
  <conditionalFormatting sqref="L13:N62">
    <cfRule type="expression" dxfId="10" priority="18">
      <formula>$O13&gt;0</formula>
    </cfRule>
  </conditionalFormatting>
  <conditionalFormatting sqref="L13:N62">
    <cfRule type="expression" dxfId="9" priority="17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6987402-5994-4D52-BFC7-CEA8538E4D62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K13:K62</xm:sqref>
        </x14:conditionalFormatting>
        <x14:conditionalFormatting xmlns:xm="http://schemas.microsoft.com/office/excel/2006/main">
          <x14:cfRule type="expression" priority="16" id="{21ECED0C-4928-41CD-A3D5-6B0F78316B63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L13:N62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showGridLines="0" tabSelected="1" zoomScale="85" zoomScaleNormal="85" workbookViewId="0">
      <selection activeCell="M42" sqref="M42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53"/>
  </cols>
  <sheetData>
    <row r="1" spans="1:17" s="38" customFormat="1" ht="15.75" thickBot="1" x14ac:dyDescent="0.3">
      <c r="A1" s="13"/>
      <c r="P1" s="53"/>
    </row>
    <row r="2" spans="1:17" s="38" customFormat="1" ht="30" x14ac:dyDescent="0.25">
      <c r="A2" s="13"/>
      <c r="K2" s="72" t="s">
        <v>101</v>
      </c>
      <c r="L2" s="73"/>
      <c r="M2" s="74">
        <f>COUNTIF($M$7:$M$967,"=Y")</f>
        <v>19</v>
      </c>
      <c r="P2" s="53"/>
    </row>
    <row r="3" spans="1:17" s="38" customFormat="1" ht="15.75" thickBot="1" x14ac:dyDescent="0.3">
      <c r="A3" s="13"/>
      <c r="K3" s="75" t="s">
        <v>102</v>
      </c>
      <c r="L3" s="76"/>
      <c r="M3" s="77">
        <f>COUNTA($M$7:$M$967)-M2</f>
        <v>17</v>
      </c>
      <c r="P3" s="53"/>
    </row>
    <row r="4" spans="1:17" s="38" customFormat="1" x14ac:dyDescent="0.25">
      <c r="A4" s="13"/>
      <c r="P4" s="53"/>
    </row>
    <row r="5" spans="1:17" s="19" customFormat="1" ht="15" customHeight="1" x14ac:dyDescent="0.25">
      <c r="A5" s="89" t="str">
        <f>"Eagle P3 Braking Events - "&amp;TEXT(Variables!$A$2,"YYYY-mm-dd")</f>
        <v>Eagle P3 Braking Events - 2016-06-27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20"/>
      <c r="P5" s="51"/>
    </row>
    <row r="6" spans="1:17" s="2" customFormat="1" ht="75" x14ac:dyDescent="0.25">
      <c r="A6" s="18" t="s">
        <v>38</v>
      </c>
      <c r="B6" s="17" t="s">
        <v>37</v>
      </c>
      <c r="C6" s="17" t="s">
        <v>36</v>
      </c>
      <c r="D6" s="17" t="s">
        <v>35</v>
      </c>
      <c r="E6" s="17" t="s">
        <v>34</v>
      </c>
      <c r="F6" s="17" t="s">
        <v>33</v>
      </c>
      <c r="G6" s="17" t="s">
        <v>32</v>
      </c>
      <c r="H6" s="17" t="s">
        <v>31</v>
      </c>
      <c r="I6" s="17" t="s">
        <v>30</v>
      </c>
      <c r="J6" s="17" t="s">
        <v>29</v>
      </c>
      <c r="K6" s="17" t="s">
        <v>28</v>
      </c>
      <c r="L6" s="17" t="s">
        <v>48</v>
      </c>
      <c r="M6" s="17" t="s">
        <v>27</v>
      </c>
      <c r="N6" s="17" t="s">
        <v>24</v>
      </c>
      <c r="P6" s="54" t="s">
        <v>64</v>
      </c>
    </row>
    <row r="7" spans="1:17" s="2" customFormat="1" x14ac:dyDescent="0.25">
      <c r="A7" s="57">
        <v>42548.268726851849</v>
      </c>
      <c r="B7" s="50" t="s">
        <v>67</v>
      </c>
      <c r="C7" s="50" t="s">
        <v>173</v>
      </c>
      <c r="D7" s="50" t="s">
        <v>50</v>
      </c>
      <c r="E7" s="50" t="s">
        <v>56</v>
      </c>
      <c r="F7" s="50">
        <v>300</v>
      </c>
      <c r="G7" s="50">
        <v>327</v>
      </c>
      <c r="H7" s="50">
        <v>21172</v>
      </c>
      <c r="I7" s="50" t="s">
        <v>57</v>
      </c>
      <c r="J7" s="50">
        <v>21314</v>
      </c>
      <c r="K7" s="50" t="s">
        <v>53</v>
      </c>
      <c r="L7" s="16" t="str">
        <f>VLOOKUP(C7,'Trips&amp;Operators'!$C$2:$E$10000,3,FALSE)</f>
        <v>ADANE</v>
      </c>
      <c r="M7" s="15" t="s">
        <v>100</v>
      </c>
      <c r="N7" s="16"/>
      <c r="P7" s="52"/>
      <c r="Q7" s="14"/>
    </row>
    <row r="8" spans="1:17" s="2" customFormat="1" x14ac:dyDescent="0.25">
      <c r="A8" s="57">
        <v>42548.352430555555</v>
      </c>
      <c r="B8" s="50" t="s">
        <v>67</v>
      </c>
      <c r="C8" s="50" t="s">
        <v>195</v>
      </c>
      <c r="D8" s="50" t="s">
        <v>50</v>
      </c>
      <c r="E8" s="50" t="s">
        <v>56</v>
      </c>
      <c r="F8" s="50">
        <v>300</v>
      </c>
      <c r="G8" s="50">
        <v>329</v>
      </c>
      <c r="H8" s="50">
        <v>20481</v>
      </c>
      <c r="I8" s="50" t="s">
        <v>57</v>
      </c>
      <c r="J8" s="50">
        <v>21314</v>
      </c>
      <c r="K8" s="50" t="s">
        <v>53</v>
      </c>
      <c r="L8" s="16" t="str">
        <f>VLOOKUP(C8,'Trips&amp;Operators'!$C$2:$E$10000,3,FALSE)</f>
        <v>SNYDER</v>
      </c>
      <c r="M8" s="15" t="s">
        <v>100</v>
      </c>
      <c r="N8" s="16"/>
      <c r="P8" s="52"/>
      <c r="Q8" s="14"/>
    </row>
    <row r="9" spans="1:17" s="2" customFormat="1" x14ac:dyDescent="0.25">
      <c r="A9" s="57">
        <v>42548.366886574076</v>
      </c>
      <c r="B9" s="50" t="s">
        <v>68</v>
      </c>
      <c r="C9" s="50" t="s">
        <v>198</v>
      </c>
      <c r="D9" s="50" t="s">
        <v>55</v>
      </c>
      <c r="E9" s="50" t="s">
        <v>56</v>
      </c>
      <c r="F9" s="50">
        <v>150</v>
      </c>
      <c r="G9" s="50">
        <v>206</v>
      </c>
      <c r="H9" s="50">
        <v>56868</v>
      </c>
      <c r="I9" s="50" t="s">
        <v>57</v>
      </c>
      <c r="J9" s="50">
        <v>59050</v>
      </c>
      <c r="K9" s="50" t="s">
        <v>54</v>
      </c>
      <c r="L9" s="16" t="str">
        <f>VLOOKUP(C9,'Trips&amp;Operators'!$C$2:$E$10000,3,FALSE)</f>
        <v>SNYDER</v>
      </c>
      <c r="M9" s="15" t="s">
        <v>100</v>
      </c>
      <c r="N9" s="16"/>
      <c r="P9" s="52"/>
      <c r="Q9" s="14"/>
    </row>
    <row r="10" spans="1:17" s="2" customFormat="1" x14ac:dyDescent="0.25">
      <c r="A10" s="57">
        <v>42548.395115740743</v>
      </c>
      <c r="B10" s="50" t="s">
        <v>68</v>
      </c>
      <c r="C10" s="50" t="s">
        <v>198</v>
      </c>
      <c r="D10" s="50" t="s">
        <v>50</v>
      </c>
      <c r="E10" s="50" t="s">
        <v>56</v>
      </c>
      <c r="F10" s="50">
        <v>300</v>
      </c>
      <c r="G10" s="50">
        <v>319</v>
      </c>
      <c r="H10" s="50">
        <v>19959</v>
      </c>
      <c r="I10" s="50" t="s">
        <v>57</v>
      </c>
      <c r="J10" s="50">
        <v>21314</v>
      </c>
      <c r="K10" s="50" t="s">
        <v>53</v>
      </c>
      <c r="L10" s="16" t="str">
        <f>VLOOKUP(C10,'Trips&amp;Operators'!$C$2:$E$10000,3,FALSE)</f>
        <v>SNYDER</v>
      </c>
      <c r="M10" s="15" t="s">
        <v>100</v>
      </c>
      <c r="N10" s="16"/>
      <c r="P10" s="52"/>
      <c r="Q10" s="14"/>
    </row>
    <row r="11" spans="1:17" s="2" customFormat="1" x14ac:dyDescent="0.25">
      <c r="A11" s="13">
        <v>42548.653148148151</v>
      </c>
      <c r="B11" s="38" t="s">
        <v>67</v>
      </c>
      <c r="C11" s="38" t="s">
        <v>229</v>
      </c>
      <c r="D11" s="38" t="s">
        <v>50</v>
      </c>
      <c r="E11" s="38" t="s">
        <v>56</v>
      </c>
      <c r="F11" s="38">
        <v>150</v>
      </c>
      <c r="G11" s="38">
        <v>146</v>
      </c>
      <c r="H11" s="38">
        <v>56777</v>
      </c>
      <c r="I11" s="38" t="s">
        <v>57</v>
      </c>
      <c r="J11" s="38">
        <v>57008</v>
      </c>
      <c r="K11" s="38" t="s">
        <v>53</v>
      </c>
      <c r="L11" s="16" t="str">
        <f>VLOOKUP(C11,'Trips&amp;Operators'!$C$2:$E$10000,3,FALSE)</f>
        <v>REBOLETTI</v>
      </c>
      <c r="M11" s="15" t="s">
        <v>100</v>
      </c>
      <c r="N11" s="16"/>
      <c r="P11" s="52"/>
      <c r="Q11" s="14"/>
    </row>
    <row r="12" spans="1:17" s="2" customFormat="1" x14ac:dyDescent="0.25">
      <c r="A12" s="13">
        <v>42548.665266203701</v>
      </c>
      <c r="B12" s="38" t="s">
        <v>78</v>
      </c>
      <c r="C12" s="38" t="s">
        <v>234</v>
      </c>
      <c r="D12" s="38" t="s">
        <v>50</v>
      </c>
      <c r="E12" s="38" t="s">
        <v>56</v>
      </c>
      <c r="F12" s="38">
        <v>300</v>
      </c>
      <c r="G12" s="38">
        <v>325</v>
      </c>
      <c r="H12" s="38">
        <v>20112</v>
      </c>
      <c r="I12" s="38" t="s">
        <v>57</v>
      </c>
      <c r="J12" s="38">
        <v>21314</v>
      </c>
      <c r="K12" s="38" t="s">
        <v>53</v>
      </c>
      <c r="L12" s="16" t="str">
        <f>VLOOKUP(C12,'Trips&amp;Operators'!$C$2:$E$10000,3,FALSE)</f>
        <v>CHANDLER</v>
      </c>
      <c r="M12" s="15" t="s">
        <v>100</v>
      </c>
      <c r="N12" s="16"/>
      <c r="P12" s="52"/>
      <c r="Q12" s="14"/>
    </row>
    <row r="13" spans="1:17" s="2" customFormat="1" x14ac:dyDescent="0.25">
      <c r="A13" s="57">
        <v>42548.248159722221</v>
      </c>
      <c r="B13" s="50" t="s">
        <v>78</v>
      </c>
      <c r="C13" s="50" t="s">
        <v>167</v>
      </c>
      <c r="D13" s="50" t="s">
        <v>50</v>
      </c>
      <c r="E13" s="50" t="s">
        <v>105</v>
      </c>
      <c r="F13" s="50">
        <v>0</v>
      </c>
      <c r="G13" s="50">
        <v>461</v>
      </c>
      <c r="H13" s="50">
        <v>31250</v>
      </c>
      <c r="I13" s="50" t="s">
        <v>106</v>
      </c>
      <c r="J13" s="50">
        <v>33252</v>
      </c>
      <c r="K13" s="50" t="s">
        <v>53</v>
      </c>
      <c r="L13" s="16" t="str">
        <f>VLOOKUP(C13,'Trips&amp;Operators'!$C$2:$E$10000,3,FALSE)</f>
        <v>NELSON</v>
      </c>
      <c r="M13" s="15" t="s">
        <v>464</v>
      </c>
      <c r="N13" s="16"/>
      <c r="P13" s="52"/>
      <c r="Q13" s="14"/>
    </row>
    <row r="14" spans="1:17" x14ac:dyDescent="0.25">
      <c r="A14" s="57">
        <v>42548.249120370368</v>
      </c>
      <c r="B14" s="50" t="s">
        <v>78</v>
      </c>
      <c r="C14" s="50" t="s">
        <v>167</v>
      </c>
      <c r="D14" s="50" t="s">
        <v>50</v>
      </c>
      <c r="E14" s="50" t="s">
        <v>105</v>
      </c>
      <c r="F14" s="50">
        <v>0</v>
      </c>
      <c r="G14" s="50">
        <v>313</v>
      </c>
      <c r="H14" s="50">
        <v>34396</v>
      </c>
      <c r="I14" s="50" t="s">
        <v>106</v>
      </c>
      <c r="J14" s="50">
        <v>34671</v>
      </c>
      <c r="K14" s="50" t="s">
        <v>53</v>
      </c>
      <c r="L14" s="16" t="str">
        <f>VLOOKUP(C14,'Trips&amp;Operators'!$C$2:$E$10000,3,FALSE)</f>
        <v>NELSON</v>
      </c>
      <c r="M14" s="15" t="s">
        <v>464</v>
      </c>
      <c r="N14" s="16"/>
      <c r="O14" s="2"/>
      <c r="P14" s="52"/>
      <c r="Q14" s="14"/>
    </row>
    <row r="15" spans="1:17" x14ac:dyDescent="0.25">
      <c r="A15" s="57">
        <v>42548.269108796296</v>
      </c>
      <c r="B15" s="50" t="s">
        <v>67</v>
      </c>
      <c r="C15" s="50" t="s">
        <v>173</v>
      </c>
      <c r="D15" s="50" t="s">
        <v>50</v>
      </c>
      <c r="E15" s="50" t="s">
        <v>105</v>
      </c>
      <c r="F15" s="50">
        <v>0</v>
      </c>
      <c r="G15" s="50">
        <v>22</v>
      </c>
      <c r="H15" s="50">
        <v>22202</v>
      </c>
      <c r="I15" s="50" t="s">
        <v>106</v>
      </c>
      <c r="J15" s="50">
        <v>22314</v>
      </c>
      <c r="K15" s="50" t="s">
        <v>53</v>
      </c>
      <c r="L15" s="16" t="str">
        <f>VLOOKUP(C15,'Trips&amp;Operators'!$C$2:$E$10000,3,FALSE)</f>
        <v>ADANE</v>
      </c>
      <c r="M15" s="15" t="s">
        <v>464</v>
      </c>
      <c r="N15" s="16"/>
      <c r="O15" s="2"/>
      <c r="P15" s="52"/>
      <c r="Q15" s="14"/>
    </row>
    <row r="16" spans="1:17" x14ac:dyDescent="0.25">
      <c r="A16" s="78">
        <v>42548.269652777781</v>
      </c>
      <c r="B16" s="79" t="s">
        <v>67</v>
      </c>
      <c r="C16" s="79" t="s">
        <v>173</v>
      </c>
      <c r="D16" s="79" t="s">
        <v>50</v>
      </c>
      <c r="E16" s="79" t="s">
        <v>105</v>
      </c>
      <c r="F16" s="79">
        <v>0</v>
      </c>
      <c r="G16" s="79">
        <v>11</v>
      </c>
      <c r="H16" s="79">
        <v>22263</v>
      </c>
      <c r="I16" s="79" t="s">
        <v>106</v>
      </c>
      <c r="J16" s="79">
        <v>22314</v>
      </c>
      <c r="K16" s="80" t="s">
        <v>53</v>
      </c>
      <c r="L16" s="16" t="str">
        <f>VLOOKUP(C16,'Trips&amp;Operators'!$C$2:$E$10000,3,FALSE)</f>
        <v>ADANE</v>
      </c>
      <c r="M16" s="15" t="s">
        <v>464</v>
      </c>
      <c r="N16" s="16"/>
      <c r="O16" s="2"/>
      <c r="P16" s="52"/>
      <c r="Q16" s="14"/>
    </row>
    <row r="17" spans="1:17" x14ac:dyDescent="0.25">
      <c r="A17" s="78">
        <v>42548.310312499998</v>
      </c>
      <c r="B17" s="79" t="s">
        <v>67</v>
      </c>
      <c r="C17" s="79" t="s">
        <v>184</v>
      </c>
      <c r="D17" s="79" t="s">
        <v>50</v>
      </c>
      <c r="E17" s="79" t="s">
        <v>105</v>
      </c>
      <c r="F17" s="79">
        <v>0</v>
      </c>
      <c r="G17" s="79">
        <v>305</v>
      </c>
      <c r="H17" s="79">
        <v>24244</v>
      </c>
      <c r="I17" s="79" t="s">
        <v>106</v>
      </c>
      <c r="J17" s="79">
        <v>25696</v>
      </c>
      <c r="K17" s="80" t="s">
        <v>53</v>
      </c>
      <c r="L17" s="16" t="str">
        <f>VLOOKUP(C17,'Trips&amp;Operators'!$C$2:$E$10000,3,FALSE)</f>
        <v>ADANE</v>
      </c>
      <c r="M17" s="15" t="s">
        <v>464</v>
      </c>
      <c r="N17" s="16"/>
      <c r="O17" s="2"/>
      <c r="P17" s="52"/>
      <c r="Q17" s="14"/>
    </row>
    <row r="18" spans="1:17" x14ac:dyDescent="0.25">
      <c r="A18" s="78">
        <v>42548.311550925922</v>
      </c>
      <c r="B18" s="79" t="s">
        <v>67</v>
      </c>
      <c r="C18" s="79" t="s">
        <v>184</v>
      </c>
      <c r="D18" s="79" t="s">
        <v>50</v>
      </c>
      <c r="E18" s="79" t="s">
        <v>105</v>
      </c>
      <c r="F18" s="79">
        <v>0</v>
      </c>
      <c r="G18" s="79">
        <v>550</v>
      </c>
      <c r="H18" s="79">
        <v>28704</v>
      </c>
      <c r="I18" s="79" t="s">
        <v>106</v>
      </c>
      <c r="J18" s="79">
        <v>28990</v>
      </c>
      <c r="K18" s="80" t="s">
        <v>53</v>
      </c>
      <c r="L18" s="16" t="str">
        <f>VLOOKUP(C18,'Trips&amp;Operators'!$C$2:$E$10000,3,FALSE)</f>
        <v>ADANE</v>
      </c>
      <c r="M18" s="15" t="s">
        <v>464</v>
      </c>
      <c r="N18" s="16"/>
      <c r="O18" s="2"/>
      <c r="P18" s="52"/>
      <c r="Q18" s="14"/>
    </row>
    <row r="19" spans="1:17" x14ac:dyDescent="0.25">
      <c r="A19" s="57">
        <v>42548.353206018517</v>
      </c>
      <c r="B19" s="50" t="s">
        <v>67</v>
      </c>
      <c r="C19" s="50" t="s">
        <v>195</v>
      </c>
      <c r="D19" s="50" t="s">
        <v>55</v>
      </c>
      <c r="E19" s="50" t="s">
        <v>105</v>
      </c>
      <c r="F19" s="50">
        <v>0</v>
      </c>
      <c r="G19" s="50">
        <v>220</v>
      </c>
      <c r="H19" s="50">
        <v>22348</v>
      </c>
      <c r="I19" s="50" t="s">
        <v>106</v>
      </c>
      <c r="J19" s="50">
        <v>22314</v>
      </c>
      <c r="K19" s="50" t="s">
        <v>53</v>
      </c>
      <c r="L19" s="16" t="str">
        <f>VLOOKUP(C19,'Trips&amp;Operators'!$C$2:$E$10000,3,FALSE)</f>
        <v>SNYDER</v>
      </c>
      <c r="M19" s="15" t="s">
        <v>464</v>
      </c>
      <c r="N19" s="16"/>
      <c r="O19" s="2"/>
      <c r="P19" s="52"/>
      <c r="Q19" s="14"/>
    </row>
    <row r="20" spans="1:17" x14ac:dyDescent="0.25">
      <c r="A20" s="78">
        <v>42548.354027777779</v>
      </c>
      <c r="B20" s="79" t="s">
        <v>67</v>
      </c>
      <c r="C20" s="79" t="s">
        <v>195</v>
      </c>
      <c r="D20" s="79" t="s">
        <v>55</v>
      </c>
      <c r="E20" s="79" t="s">
        <v>105</v>
      </c>
      <c r="F20" s="79">
        <v>0</v>
      </c>
      <c r="G20" s="79">
        <v>12</v>
      </c>
      <c r="H20" s="79">
        <v>22965</v>
      </c>
      <c r="I20" s="79" t="s">
        <v>106</v>
      </c>
      <c r="J20" s="79">
        <v>22314</v>
      </c>
      <c r="K20" s="80" t="s">
        <v>53</v>
      </c>
      <c r="L20" s="16" t="str">
        <f>VLOOKUP(C20,'Trips&amp;Operators'!$C$2:$E$10000,3,FALSE)</f>
        <v>SNYDER</v>
      </c>
      <c r="M20" s="15" t="s">
        <v>464</v>
      </c>
      <c r="N20" s="16"/>
      <c r="O20" s="2"/>
      <c r="P20" s="52"/>
      <c r="Q20" s="14"/>
    </row>
    <row r="21" spans="1:17" x14ac:dyDescent="0.25">
      <c r="A21" s="13">
        <v>42548.613391203704</v>
      </c>
      <c r="B21" s="38" t="s">
        <v>68</v>
      </c>
      <c r="C21" s="38" t="s">
        <v>227</v>
      </c>
      <c r="D21" s="38" t="s">
        <v>50</v>
      </c>
      <c r="E21" s="38" t="s">
        <v>105</v>
      </c>
      <c r="F21" s="38">
        <v>0</v>
      </c>
      <c r="G21" s="38">
        <v>38</v>
      </c>
      <c r="H21" s="38">
        <v>57804</v>
      </c>
      <c r="I21" s="38" t="s">
        <v>106</v>
      </c>
      <c r="J21" s="38">
        <v>24193</v>
      </c>
      <c r="K21" s="38" t="s">
        <v>54</v>
      </c>
      <c r="L21" s="16" t="str">
        <f>VLOOKUP(C21,'Trips&amp;Operators'!$C$2:$E$10000,3,FALSE)</f>
        <v>REBOLETTI</v>
      </c>
      <c r="M21" s="15" t="s">
        <v>464</v>
      </c>
      <c r="N21" s="16"/>
      <c r="O21" s="2"/>
      <c r="P21" s="52"/>
      <c r="Q21" s="14"/>
    </row>
    <row r="22" spans="1:17" x14ac:dyDescent="0.25">
      <c r="A22" s="13">
        <v>42548.648912037039</v>
      </c>
      <c r="B22" s="38" t="s">
        <v>67</v>
      </c>
      <c r="C22" s="38" t="s">
        <v>229</v>
      </c>
      <c r="D22" s="38" t="s">
        <v>50</v>
      </c>
      <c r="E22" s="38" t="s">
        <v>105</v>
      </c>
      <c r="F22" s="38">
        <v>0</v>
      </c>
      <c r="G22" s="38">
        <v>548</v>
      </c>
      <c r="H22" s="38">
        <v>31208</v>
      </c>
      <c r="I22" s="38" t="s">
        <v>106</v>
      </c>
      <c r="J22" s="38">
        <v>33252</v>
      </c>
      <c r="K22" s="38" t="s">
        <v>53</v>
      </c>
      <c r="L22" s="16" t="str">
        <f>VLOOKUP(C22,'Trips&amp;Operators'!$C$2:$E$10000,3,FALSE)</f>
        <v>REBOLETTI</v>
      </c>
      <c r="M22" s="15" t="s">
        <v>464</v>
      </c>
      <c r="N22" s="16"/>
      <c r="O22" s="2"/>
      <c r="P22" s="52"/>
      <c r="Q22" s="14"/>
    </row>
    <row r="23" spans="1:17" x14ac:dyDescent="0.25">
      <c r="A23" s="13">
        <v>42548.86855324074</v>
      </c>
      <c r="B23" s="38" t="s">
        <v>68</v>
      </c>
      <c r="C23" s="38" t="s">
        <v>273</v>
      </c>
      <c r="D23" s="38" t="s">
        <v>55</v>
      </c>
      <c r="E23" s="38" t="s">
        <v>105</v>
      </c>
      <c r="F23" s="38">
        <v>200</v>
      </c>
      <c r="G23" s="38">
        <v>254</v>
      </c>
      <c r="H23" s="38">
        <v>14969</v>
      </c>
      <c r="I23" s="38" t="s">
        <v>106</v>
      </c>
      <c r="J23" s="38">
        <v>16590</v>
      </c>
      <c r="K23" s="38" t="s">
        <v>54</v>
      </c>
      <c r="L23" s="16" t="str">
        <f>VLOOKUP(C23,'Trips&amp;Operators'!$C$2:$E$10000,3,FALSE)</f>
        <v>REBOLETTI</v>
      </c>
      <c r="M23" s="15" t="s">
        <v>464</v>
      </c>
      <c r="N23" s="16"/>
      <c r="O23" s="2"/>
      <c r="P23" s="52"/>
      <c r="Q23" s="14"/>
    </row>
    <row r="24" spans="1:17" x14ac:dyDescent="0.25">
      <c r="A24" s="13">
        <v>42548.851388888892</v>
      </c>
      <c r="B24" s="38" t="s">
        <v>67</v>
      </c>
      <c r="C24" s="38" t="s">
        <v>276</v>
      </c>
      <c r="D24" s="38" t="s">
        <v>50</v>
      </c>
      <c r="E24" s="38" t="s">
        <v>105</v>
      </c>
      <c r="F24" s="38">
        <v>0</v>
      </c>
      <c r="G24" s="38">
        <v>289</v>
      </c>
      <c r="H24" s="38">
        <v>20685</v>
      </c>
      <c r="I24" s="38" t="s">
        <v>106</v>
      </c>
      <c r="J24" s="38">
        <v>22314</v>
      </c>
      <c r="K24" s="38" t="s">
        <v>53</v>
      </c>
      <c r="L24" s="16" t="str">
        <f>VLOOKUP(C24,'Trips&amp;Operators'!$C$2:$E$10000,3,FALSE)</f>
        <v>REBOLETTI</v>
      </c>
      <c r="M24" s="15" t="s">
        <v>464</v>
      </c>
      <c r="N24" s="16"/>
      <c r="O24" s="2"/>
      <c r="P24" s="52"/>
      <c r="Q24" s="14"/>
    </row>
    <row r="25" spans="1:17" x14ac:dyDescent="0.25">
      <c r="A25" s="13">
        <v>42548.936354166668</v>
      </c>
      <c r="B25" s="38" t="s">
        <v>67</v>
      </c>
      <c r="C25" s="38" t="s">
        <v>285</v>
      </c>
      <c r="D25" s="38" t="s">
        <v>50</v>
      </c>
      <c r="E25" s="38" t="s">
        <v>105</v>
      </c>
      <c r="F25" s="38">
        <v>0</v>
      </c>
      <c r="G25" s="38">
        <v>343</v>
      </c>
      <c r="H25" s="38">
        <v>36930</v>
      </c>
      <c r="I25" s="38" t="s">
        <v>106</v>
      </c>
      <c r="J25" s="38">
        <v>37602</v>
      </c>
      <c r="K25" s="38" t="s">
        <v>53</v>
      </c>
      <c r="L25" s="16" t="str">
        <f>VLOOKUP(C25,'Trips&amp;Operators'!$C$2:$E$10000,3,FALSE)</f>
        <v>REBOLETTI</v>
      </c>
      <c r="M25" s="15" t="s">
        <v>464</v>
      </c>
      <c r="N25" s="16"/>
      <c r="O25" s="2"/>
      <c r="P25" s="52"/>
      <c r="Q25" s="14"/>
    </row>
    <row r="26" spans="1:17" x14ac:dyDescent="0.25">
      <c r="A26" s="57">
        <v>42548.24523148148</v>
      </c>
      <c r="B26" s="50" t="s">
        <v>68</v>
      </c>
      <c r="C26" s="50" t="s">
        <v>288</v>
      </c>
      <c r="D26" s="50" t="s">
        <v>55</v>
      </c>
      <c r="E26" s="50" t="s">
        <v>105</v>
      </c>
      <c r="F26" s="50">
        <v>0</v>
      </c>
      <c r="G26" s="50">
        <v>117</v>
      </c>
      <c r="H26" s="50">
        <v>22691</v>
      </c>
      <c r="I26" s="50" t="s">
        <v>106</v>
      </c>
      <c r="J26" s="50">
        <v>22888</v>
      </c>
      <c r="K26" s="50" t="s">
        <v>54</v>
      </c>
      <c r="L26" s="16" t="str">
        <f>VLOOKUP(C26,'Trips&amp;Operators'!$C$2:$E$10000,3,FALSE)</f>
        <v>ADANE</v>
      </c>
      <c r="M26" s="15" t="s">
        <v>464</v>
      </c>
      <c r="N26" s="16"/>
      <c r="O26" s="2"/>
      <c r="P26" s="52"/>
      <c r="Q26" s="14"/>
    </row>
    <row r="27" spans="1:17" x14ac:dyDescent="0.25">
      <c r="A27" s="57">
        <v>42548.223298611112</v>
      </c>
      <c r="B27" s="50" t="s">
        <v>77</v>
      </c>
      <c r="C27" s="50" t="s">
        <v>164</v>
      </c>
      <c r="D27" s="50" t="s">
        <v>50</v>
      </c>
      <c r="E27" s="50" t="s">
        <v>103</v>
      </c>
      <c r="F27" s="50">
        <v>0</v>
      </c>
      <c r="G27" s="50">
        <v>524</v>
      </c>
      <c r="H27" s="50">
        <v>16837</v>
      </c>
      <c r="I27" s="50" t="s">
        <v>104</v>
      </c>
      <c r="J27" s="50">
        <v>14977</v>
      </c>
      <c r="K27" s="50" t="s">
        <v>54</v>
      </c>
      <c r="L27" s="16" t="str">
        <f>VLOOKUP(C27,'Trips&amp;Operators'!$C$2:$E$10000,3,FALSE)</f>
        <v>NELSON</v>
      </c>
      <c r="M27" s="15" t="s">
        <v>464</v>
      </c>
      <c r="N27" s="16"/>
      <c r="O27" s="2"/>
      <c r="P27" s="52"/>
      <c r="Q27" s="14"/>
    </row>
    <row r="28" spans="1:17" x14ac:dyDescent="0.25">
      <c r="A28" s="57">
        <v>42548.348819444444</v>
      </c>
      <c r="B28" s="50" t="s">
        <v>77</v>
      </c>
      <c r="C28" s="50" t="s">
        <v>192</v>
      </c>
      <c r="D28" s="50" t="s">
        <v>50</v>
      </c>
      <c r="E28" s="50" t="s">
        <v>103</v>
      </c>
      <c r="F28" s="50">
        <v>0</v>
      </c>
      <c r="G28" s="50">
        <v>501</v>
      </c>
      <c r="H28" s="50">
        <v>17967</v>
      </c>
      <c r="I28" s="50" t="s">
        <v>104</v>
      </c>
      <c r="J28" s="50">
        <v>14977</v>
      </c>
      <c r="K28" s="50" t="s">
        <v>54</v>
      </c>
      <c r="L28" s="16" t="str">
        <f>VLOOKUP(C28,'Trips&amp;Operators'!$C$2:$E$10000,3,FALSE)</f>
        <v>NELSON</v>
      </c>
      <c r="M28" s="15" t="s">
        <v>464</v>
      </c>
      <c r="N28" s="16"/>
      <c r="O28" s="2"/>
      <c r="P28" s="52"/>
      <c r="Q28" s="14"/>
    </row>
    <row r="29" spans="1:17" x14ac:dyDescent="0.25">
      <c r="A29" s="13">
        <v>42548.727280092593</v>
      </c>
      <c r="B29" s="38" t="s">
        <v>67</v>
      </c>
      <c r="C29" s="38" t="s">
        <v>247</v>
      </c>
      <c r="D29" s="38" t="s">
        <v>50</v>
      </c>
      <c r="E29" s="38" t="s">
        <v>103</v>
      </c>
      <c r="F29" s="38">
        <v>0</v>
      </c>
      <c r="G29" s="38">
        <v>607</v>
      </c>
      <c r="H29" s="38">
        <v>28357</v>
      </c>
      <c r="I29" s="38" t="s">
        <v>104</v>
      </c>
      <c r="J29" s="38">
        <v>28990</v>
      </c>
      <c r="K29" s="38" t="s">
        <v>53</v>
      </c>
      <c r="L29" s="16" t="str">
        <f>VLOOKUP(C29,'Trips&amp;Operators'!$C$2:$E$10000,3,FALSE)</f>
        <v>REBOLETTI</v>
      </c>
      <c r="M29" s="15" t="s">
        <v>464</v>
      </c>
      <c r="N29" s="16"/>
      <c r="O29" s="2"/>
      <c r="P29" s="52"/>
      <c r="Q29" s="14"/>
    </row>
    <row r="30" spans="1:17" x14ac:dyDescent="0.25">
      <c r="A30" s="13">
        <v>42548.867800925924</v>
      </c>
      <c r="B30" s="38" t="s">
        <v>68</v>
      </c>
      <c r="C30" s="38" t="s">
        <v>273</v>
      </c>
      <c r="D30" s="38" t="s">
        <v>50</v>
      </c>
      <c r="E30" s="38" t="s">
        <v>103</v>
      </c>
      <c r="F30" s="38">
        <v>0</v>
      </c>
      <c r="G30" s="38">
        <v>455</v>
      </c>
      <c r="H30" s="38">
        <v>17922</v>
      </c>
      <c r="I30" s="38" t="s">
        <v>104</v>
      </c>
      <c r="J30" s="38">
        <v>14977</v>
      </c>
      <c r="K30" s="38" t="s">
        <v>54</v>
      </c>
      <c r="L30" s="16" t="str">
        <f>VLOOKUP(C30,'Trips&amp;Operators'!$C$2:$E$10000,3,FALSE)</f>
        <v>REBOLETTI</v>
      </c>
      <c r="M30" s="15" t="s">
        <v>464</v>
      </c>
      <c r="N30" s="16"/>
      <c r="O30" s="2"/>
      <c r="P30" s="52"/>
      <c r="Q30" s="14"/>
    </row>
    <row r="31" spans="1:17" x14ac:dyDescent="0.25">
      <c r="A31" s="57">
        <v>42548.254583333335</v>
      </c>
      <c r="B31" s="50" t="s">
        <v>78</v>
      </c>
      <c r="C31" s="50" t="s">
        <v>167</v>
      </c>
      <c r="D31" s="50" t="s">
        <v>50</v>
      </c>
      <c r="E31" s="50" t="s">
        <v>51</v>
      </c>
      <c r="F31" s="50">
        <v>0</v>
      </c>
      <c r="G31" s="50">
        <v>7</v>
      </c>
      <c r="H31" s="50">
        <v>58899</v>
      </c>
      <c r="I31" s="50" t="s">
        <v>52</v>
      </c>
      <c r="J31" s="50">
        <v>59048</v>
      </c>
      <c r="K31" s="50" t="s">
        <v>53</v>
      </c>
      <c r="L31" s="16" t="str">
        <f>VLOOKUP(C31,'Trips&amp;Operators'!$C$2:$E$10000,3,FALSE)</f>
        <v>NELSON</v>
      </c>
      <c r="M31" s="15" t="s">
        <v>100</v>
      </c>
      <c r="N31" s="16"/>
      <c r="O31" s="2"/>
      <c r="P31" s="52"/>
      <c r="Q31" s="14"/>
    </row>
    <row r="32" spans="1:17" x14ac:dyDescent="0.25">
      <c r="A32" s="78">
        <v>42548.268599537034</v>
      </c>
      <c r="B32" s="79" t="s">
        <v>77</v>
      </c>
      <c r="C32" s="79" t="s">
        <v>170</v>
      </c>
      <c r="D32" s="79" t="s">
        <v>50</v>
      </c>
      <c r="E32" s="79" t="s">
        <v>51</v>
      </c>
      <c r="F32" s="79">
        <v>0</v>
      </c>
      <c r="G32" s="79">
        <v>9</v>
      </c>
      <c r="H32" s="79">
        <v>2014</v>
      </c>
      <c r="I32" s="79" t="s">
        <v>52</v>
      </c>
      <c r="J32" s="79">
        <v>826</v>
      </c>
      <c r="K32" s="80" t="s">
        <v>54</v>
      </c>
      <c r="L32" s="16" t="str">
        <f>VLOOKUP(C32,'Trips&amp;Operators'!$C$2:$E$10000,3,FALSE)</f>
        <v>NELSON</v>
      </c>
      <c r="M32" s="15" t="s">
        <v>100</v>
      </c>
      <c r="N32" s="16"/>
      <c r="O32" s="2"/>
      <c r="P32" s="52"/>
      <c r="Q32" s="14"/>
    </row>
    <row r="33" spans="1:17" x14ac:dyDescent="0.25">
      <c r="A33" s="78">
        <v>42548.269201388888</v>
      </c>
      <c r="B33" s="79" t="s">
        <v>77</v>
      </c>
      <c r="C33" s="79" t="s">
        <v>170</v>
      </c>
      <c r="D33" s="79" t="s">
        <v>50</v>
      </c>
      <c r="E33" s="79" t="s">
        <v>51</v>
      </c>
      <c r="F33" s="79">
        <v>0</v>
      </c>
      <c r="G33" s="79">
        <v>7</v>
      </c>
      <c r="H33" s="79">
        <v>1945</v>
      </c>
      <c r="I33" s="79" t="s">
        <v>52</v>
      </c>
      <c r="J33" s="79">
        <v>826</v>
      </c>
      <c r="K33" s="80" t="s">
        <v>54</v>
      </c>
      <c r="L33" s="16" t="str">
        <f>VLOOKUP(C33,'Trips&amp;Operators'!$C$2:$E$10000,3,FALSE)</f>
        <v>NELSON</v>
      </c>
      <c r="M33" s="15" t="s">
        <v>100</v>
      </c>
      <c r="N33" s="16"/>
      <c r="O33" s="2"/>
      <c r="P33" s="52"/>
      <c r="Q33" s="14"/>
    </row>
    <row r="34" spans="1:17" x14ac:dyDescent="0.25">
      <c r="A34" s="57">
        <v>42548.439965277779</v>
      </c>
      <c r="B34" s="50" t="s">
        <v>67</v>
      </c>
      <c r="C34" s="50" t="s">
        <v>204</v>
      </c>
      <c r="D34" s="50" t="s">
        <v>50</v>
      </c>
      <c r="E34" s="50" t="s">
        <v>51</v>
      </c>
      <c r="F34" s="50">
        <v>0</v>
      </c>
      <c r="G34" s="50">
        <v>8</v>
      </c>
      <c r="H34" s="50">
        <v>57658</v>
      </c>
      <c r="I34" s="50" t="s">
        <v>52</v>
      </c>
      <c r="J34" s="50">
        <v>59048</v>
      </c>
      <c r="K34" s="50" t="s">
        <v>53</v>
      </c>
      <c r="L34" s="16" t="str">
        <f>VLOOKUP(C34,'Trips&amp;Operators'!$C$2:$E$10000,3,FALSE)</f>
        <v>NELSON</v>
      </c>
      <c r="M34" s="15" t="s">
        <v>100</v>
      </c>
      <c r="N34" s="16"/>
      <c r="O34" s="2"/>
      <c r="P34" s="52"/>
      <c r="Q34" s="14"/>
    </row>
    <row r="35" spans="1:17" x14ac:dyDescent="0.25">
      <c r="A35" s="13">
        <v>42548.673310185186</v>
      </c>
      <c r="B35" s="38" t="s">
        <v>78</v>
      </c>
      <c r="C35" s="38" t="s">
        <v>234</v>
      </c>
      <c r="D35" s="38" t="s">
        <v>50</v>
      </c>
      <c r="E35" s="38" t="s">
        <v>51</v>
      </c>
      <c r="F35" s="38">
        <v>0</v>
      </c>
      <c r="G35" s="38">
        <v>2</v>
      </c>
      <c r="H35" s="38">
        <v>58937</v>
      </c>
      <c r="I35" s="38" t="s">
        <v>52</v>
      </c>
      <c r="J35" s="38">
        <v>59048</v>
      </c>
      <c r="K35" s="38" t="s">
        <v>53</v>
      </c>
      <c r="L35" s="16" t="str">
        <f>VLOOKUP(C35,'Trips&amp;Operators'!$C$2:$E$10000,3,FALSE)</f>
        <v>CHANDLER</v>
      </c>
      <c r="M35" s="15" t="s">
        <v>100</v>
      </c>
      <c r="N35" s="16"/>
      <c r="O35" s="2"/>
      <c r="P35" s="52"/>
      <c r="Q35" s="14"/>
    </row>
    <row r="36" spans="1:17" x14ac:dyDescent="0.25">
      <c r="A36" s="13">
        <v>42548.688819444447</v>
      </c>
      <c r="B36" s="38" t="s">
        <v>77</v>
      </c>
      <c r="C36" s="38" t="s">
        <v>236</v>
      </c>
      <c r="D36" s="38" t="s">
        <v>50</v>
      </c>
      <c r="E36" s="38" t="s">
        <v>51</v>
      </c>
      <c r="F36" s="38">
        <v>0</v>
      </c>
      <c r="G36" s="38">
        <v>3</v>
      </c>
      <c r="H36" s="38">
        <v>640</v>
      </c>
      <c r="I36" s="38" t="s">
        <v>52</v>
      </c>
      <c r="J36" s="38">
        <v>575</v>
      </c>
      <c r="K36" s="38" t="s">
        <v>54</v>
      </c>
      <c r="L36" s="16" t="str">
        <f>VLOOKUP(C36,'Trips&amp;Operators'!$C$2:$E$10000,3,FALSE)</f>
        <v>CHANDLER</v>
      </c>
      <c r="M36" s="15" t="s">
        <v>100</v>
      </c>
      <c r="N36" s="16"/>
      <c r="O36" s="2"/>
      <c r="P36" s="52"/>
      <c r="Q36" s="14"/>
    </row>
    <row r="37" spans="1:17" x14ac:dyDescent="0.25">
      <c r="A37" s="13">
        <v>42548.691261574073</v>
      </c>
      <c r="B37" s="38" t="s">
        <v>67</v>
      </c>
      <c r="C37" s="38" t="s">
        <v>239</v>
      </c>
      <c r="D37" s="38" t="s">
        <v>50</v>
      </c>
      <c r="E37" s="38" t="s">
        <v>51</v>
      </c>
      <c r="F37" s="38">
        <v>0</v>
      </c>
      <c r="G37" s="38">
        <v>7</v>
      </c>
      <c r="H37" s="38">
        <v>58973</v>
      </c>
      <c r="I37" s="38" t="s">
        <v>52</v>
      </c>
      <c r="J37" s="38">
        <v>59058</v>
      </c>
      <c r="K37" s="38" t="s">
        <v>53</v>
      </c>
      <c r="L37" s="16" t="str">
        <f>VLOOKUP(C37,'Trips&amp;Operators'!$C$2:$E$10000,3,FALSE)</f>
        <v>REBOLETTI</v>
      </c>
      <c r="M37" s="15" t="s">
        <v>100</v>
      </c>
      <c r="N37" s="16"/>
      <c r="O37" s="2"/>
      <c r="P37" s="52"/>
      <c r="Q37" s="14"/>
    </row>
    <row r="38" spans="1:17" x14ac:dyDescent="0.25">
      <c r="A38" s="13">
        <v>42548.726875</v>
      </c>
      <c r="B38" s="38" t="s">
        <v>77</v>
      </c>
      <c r="C38" s="38" t="s">
        <v>245</v>
      </c>
      <c r="D38" s="38" t="s">
        <v>50</v>
      </c>
      <c r="E38" s="38" t="s">
        <v>51</v>
      </c>
      <c r="F38" s="38">
        <v>0</v>
      </c>
      <c r="G38" s="38">
        <v>51</v>
      </c>
      <c r="H38" s="38">
        <v>743</v>
      </c>
      <c r="I38" s="38" t="s">
        <v>52</v>
      </c>
      <c r="J38" s="38">
        <v>575</v>
      </c>
      <c r="K38" s="38" t="s">
        <v>54</v>
      </c>
      <c r="L38" s="16" t="str">
        <f>VLOOKUP(C38,'Trips&amp;Operators'!$C$2:$E$10000,3,FALSE)</f>
        <v>CHANDLER</v>
      </c>
      <c r="M38" s="15" t="s">
        <v>100</v>
      </c>
      <c r="N38" s="16"/>
      <c r="O38" s="2"/>
      <c r="P38" s="52"/>
      <c r="Q38" s="14"/>
    </row>
    <row r="39" spans="1:17" x14ac:dyDescent="0.25">
      <c r="A39" s="13">
        <v>42548.754641203705</v>
      </c>
      <c r="B39" s="38" t="s">
        <v>78</v>
      </c>
      <c r="C39" s="38" t="s">
        <v>251</v>
      </c>
      <c r="D39" s="38" t="s">
        <v>50</v>
      </c>
      <c r="E39" s="38" t="s">
        <v>51</v>
      </c>
      <c r="F39" s="38">
        <v>0</v>
      </c>
      <c r="G39" s="38">
        <v>6</v>
      </c>
      <c r="H39" s="38">
        <v>58886</v>
      </c>
      <c r="I39" s="38" t="s">
        <v>52</v>
      </c>
      <c r="J39" s="38">
        <v>59058</v>
      </c>
      <c r="K39" s="38" t="s">
        <v>53</v>
      </c>
      <c r="L39" s="16" t="str">
        <f>VLOOKUP(C39,'Trips&amp;Operators'!$C$2:$E$10000,3,FALSE)</f>
        <v>CHANDLER</v>
      </c>
      <c r="M39" s="15" t="s">
        <v>100</v>
      </c>
      <c r="N39" s="16"/>
      <c r="O39" s="2"/>
      <c r="P39" s="52"/>
      <c r="Q39" s="14"/>
    </row>
    <row r="40" spans="1:17" x14ac:dyDescent="0.25">
      <c r="A40" s="13">
        <v>42548.817546296297</v>
      </c>
      <c r="B40" s="38" t="s">
        <v>67</v>
      </c>
      <c r="C40" s="38" t="s">
        <v>269</v>
      </c>
      <c r="D40" s="38" t="s">
        <v>50</v>
      </c>
      <c r="E40" s="38" t="s">
        <v>51</v>
      </c>
      <c r="F40" s="38">
        <v>0</v>
      </c>
      <c r="G40" s="38">
        <v>9</v>
      </c>
      <c r="H40" s="38">
        <v>58967</v>
      </c>
      <c r="I40" s="38" t="s">
        <v>52</v>
      </c>
      <c r="J40" s="38">
        <v>59048</v>
      </c>
      <c r="K40" s="38" t="s">
        <v>53</v>
      </c>
      <c r="L40" s="16" t="str">
        <f>VLOOKUP(C40,'Trips&amp;Operators'!$C$2:$E$10000,3,FALSE)</f>
        <v>REBOLETTI</v>
      </c>
      <c r="M40" s="15" t="s">
        <v>100</v>
      </c>
      <c r="N40" s="16"/>
      <c r="O40" s="2"/>
      <c r="P40" s="52"/>
      <c r="Q40" s="14"/>
    </row>
    <row r="41" spans="1:17" x14ac:dyDescent="0.25">
      <c r="A41" s="13">
        <v>42548.818020833336</v>
      </c>
      <c r="B41" s="38" t="s">
        <v>114</v>
      </c>
      <c r="C41" s="38" t="s">
        <v>463</v>
      </c>
      <c r="D41" s="38" t="s">
        <v>50</v>
      </c>
      <c r="E41" s="38" t="s">
        <v>51</v>
      </c>
      <c r="F41" s="38">
        <v>0</v>
      </c>
      <c r="G41" s="38">
        <v>41</v>
      </c>
      <c r="H41" s="38">
        <v>176</v>
      </c>
      <c r="I41" s="38" t="s">
        <v>52</v>
      </c>
      <c r="J41" s="38">
        <v>1</v>
      </c>
      <c r="K41" s="38" t="s">
        <v>54</v>
      </c>
      <c r="L41" s="16" t="e">
        <f>VLOOKUP(C41,'Trips&amp;Operators'!$C$2:$E$10000,3,FALSE)</f>
        <v>#N/A</v>
      </c>
      <c r="M41" s="15" t="s">
        <v>100</v>
      </c>
      <c r="N41" s="16"/>
      <c r="O41" s="2"/>
      <c r="P41" s="52"/>
      <c r="Q41" s="14"/>
    </row>
    <row r="42" spans="1:17" x14ac:dyDescent="0.25">
      <c r="A42" s="57">
        <v>42548.287499999999</v>
      </c>
      <c r="B42" s="50" t="s">
        <v>78</v>
      </c>
      <c r="C42" s="50" t="s">
        <v>178</v>
      </c>
      <c r="D42" s="50" t="s">
        <v>50</v>
      </c>
      <c r="E42" s="50" t="s">
        <v>461</v>
      </c>
      <c r="F42" s="50">
        <v>470</v>
      </c>
      <c r="G42" s="50">
        <v>489</v>
      </c>
      <c r="H42" s="50">
        <v>8510</v>
      </c>
      <c r="I42" s="50" t="s">
        <v>462</v>
      </c>
      <c r="J42" s="50">
        <v>10716</v>
      </c>
      <c r="K42" s="50" t="s">
        <v>53</v>
      </c>
      <c r="L42" s="16" t="str">
        <f>VLOOKUP(C42,'Trips&amp;Operators'!$C$2:$E$10000,3,FALSE)</f>
        <v>NELSON</v>
      </c>
      <c r="M42" s="15" t="s">
        <v>464</v>
      </c>
      <c r="N42" s="16"/>
      <c r="O42" s="2"/>
      <c r="P42" s="52"/>
      <c r="Q42" s="14"/>
    </row>
  </sheetData>
  <autoFilter ref="A6:N13">
    <sortState ref="A7:N42">
      <sortCondition ref="E6:E13"/>
    </sortState>
  </autoFilter>
  <sortState ref="A29:N36">
    <sortCondition ref="N29:N36"/>
  </sortState>
  <mergeCells count="1">
    <mergeCell ref="A5:M5"/>
  </mergeCells>
  <conditionalFormatting sqref="P6 M6:N6 M43:M1048576">
    <cfRule type="cellIs" dxfId="6" priority="21" operator="equal">
      <formula>"Y"</formula>
    </cfRule>
  </conditionalFormatting>
  <conditionalFormatting sqref="M2:M3">
    <cfRule type="cellIs" dxfId="5" priority="12" operator="equal">
      <formula>"Y"</formula>
    </cfRule>
  </conditionalFormatting>
  <conditionalFormatting sqref="M7:M42">
    <cfRule type="cellIs" dxfId="4" priority="7" operator="equal">
      <formula>"Y"</formula>
    </cfRule>
  </conditionalFormatting>
  <conditionalFormatting sqref="L7:N42">
    <cfRule type="expression" dxfId="3" priority="6">
      <formula>$M7="Y"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D17" sqref="D17"/>
    </sheetView>
  </sheetViews>
  <sheetFormatPr defaultRowHeight="15" x14ac:dyDescent="0.25"/>
  <cols>
    <col min="1" max="1" width="9.140625" customWidth="1"/>
    <col min="2" max="2" width="8" style="58" bestFit="1" customWidth="1"/>
    <col min="3" max="3" width="7.85546875" style="60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8" customFormat="1" x14ac:dyDescent="0.25">
      <c r="A1" s="90" t="str">
        <f>"Trips that did not appear in PTC Data "&amp;TEXT(Variables!$A$2,"YYYY-mm-dd")</f>
        <v>Trips that did not appear in PTC Data 2016-06-27</v>
      </c>
      <c r="B1" s="90"/>
      <c r="C1" s="90"/>
      <c r="D1" s="90"/>
      <c r="E1" s="90"/>
    </row>
    <row r="2" spans="1:10" s="50" customFormat="1" ht="45" x14ac:dyDescent="0.25">
      <c r="A2" s="49" t="s">
        <v>74</v>
      </c>
      <c r="B2" s="61" t="s">
        <v>75</v>
      </c>
      <c r="C2" s="59" t="s">
        <v>76</v>
      </c>
      <c r="D2" s="50" t="s">
        <v>72</v>
      </c>
      <c r="E2" s="50" t="s">
        <v>73</v>
      </c>
      <c r="F2" s="50" t="s">
        <v>79</v>
      </c>
      <c r="G2" s="62" t="s">
        <v>80</v>
      </c>
    </row>
    <row r="3" spans="1:10" x14ac:dyDescent="0.25">
      <c r="A3" s="64"/>
      <c r="B3" s="64"/>
      <c r="C3" s="64"/>
      <c r="D3" s="64"/>
      <c r="E3" s="39" t="e">
        <f>VLOOKUP(A3,'Trips&amp;Operators'!$C$2:$E$10000,3,FALSE)</f>
        <v>#N/A</v>
      </c>
      <c r="F3" s="39" t="e">
        <f>VLOOKUP(A3,'Trips&amp;Operators'!$C$1:$F$10000,4,FALSE)</f>
        <v>#N/A</v>
      </c>
      <c r="G3" s="63" t="e">
        <f>VLOOKUP(A3,'Trips&amp;Operators'!$C$1:$H$10000,5,FALSE)</f>
        <v>#N/A</v>
      </c>
      <c r="H3" s="38"/>
      <c r="I3" s="38"/>
      <c r="J3" s="38"/>
    </row>
    <row r="4" spans="1:10" x14ac:dyDescent="0.25">
      <c r="A4" s="64"/>
      <c r="B4" s="64"/>
      <c r="C4" s="64"/>
      <c r="D4" s="64"/>
      <c r="E4" s="39" t="e">
        <f>VLOOKUP(A4,'Trips&amp;Operators'!$C$2:$E$10000,3,FALSE)</f>
        <v>#N/A</v>
      </c>
      <c r="F4" s="39" t="e">
        <f>VLOOKUP(A4,'Trips&amp;Operators'!$C$1:$F$10000,4,FALSE)</f>
        <v>#N/A</v>
      </c>
      <c r="G4" s="63" t="e">
        <f>VLOOKUP(A4,'Trips&amp;Operators'!$C$1:$H$10000,5,FALSE)</f>
        <v>#N/A</v>
      </c>
      <c r="H4" s="38"/>
      <c r="I4" s="38"/>
      <c r="J4" s="38"/>
    </row>
    <row r="5" spans="1:10" x14ac:dyDescent="0.25">
      <c r="A5" s="64"/>
      <c r="B5" s="64"/>
      <c r="C5" s="64"/>
      <c r="D5" s="64"/>
      <c r="E5" s="39" t="e">
        <f>VLOOKUP(A5,'Trips&amp;Operators'!$C$2:$E$10000,3,FALSE)</f>
        <v>#N/A</v>
      </c>
      <c r="F5" s="39" t="e">
        <f>VLOOKUP(A5,'Trips&amp;Operators'!$C$1:$F$10000,4,FALSE)</f>
        <v>#N/A</v>
      </c>
      <c r="G5" s="63" t="e">
        <f>VLOOKUP(A5,'Trips&amp;Operators'!$C$1:$H$10000,5,FALSE)</f>
        <v>#N/A</v>
      </c>
      <c r="H5" s="38"/>
      <c r="I5" s="38"/>
      <c r="J5" s="38"/>
    </row>
    <row r="6" spans="1:10" x14ac:dyDescent="0.25">
      <c r="A6" s="64"/>
      <c r="B6" s="64"/>
      <c r="C6" s="64"/>
      <c r="D6" s="64"/>
      <c r="E6" s="39" t="e">
        <f>VLOOKUP(A6,'Trips&amp;Operators'!$C$2:$E$10000,3,FALSE)</f>
        <v>#N/A</v>
      </c>
      <c r="F6" s="39" t="e">
        <f>VLOOKUP(A6,'Trips&amp;Operators'!$C$1:$F$10000,4,FALSE)</f>
        <v>#N/A</v>
      </c>
      <c r="G6" s="63" t="e">
        <f>VLOOKUP(A6,'Trips&amp;Operators'!$C$1:$H$10000,5,FALSE)</f>
        <v>#N/A</v>
      </c>
      <c r="H6" s="38"/>
      <c r="I6" s="38"/>
      <c r="J6" s="38"/>
    </row>
    <row r="7" spans="1:10" x14ac:dyDescent="0.25">
      <c r="A7" s="64"/>
      <c r="B7" s="64"/>
      <c r="C7" s="64"/>
      <c r="D7" s="64"/>
      <c r="E7" s="39" t="e">
        <f>VLOOKUP(A7,'Trips&amp;Operators'!$C$2:$E$10000,3,FALSE)</f>
        <v>#N/A</v>
      </c>
      <c r="F7" s="39" t="e">
        <f>VLOOKUP(A7,'Trips&amp;Operators'!$C$1:$F$10000,4,FALSE)</f>
        <v>#N/A</v>
      </c>
      <c r="G7" s="63" t="e">
        <f>VLOOKUP(A7,'Trips&amp;Operators'!$C$1:$H$10000,5,FALSE)</f>
        <v>#N/A</v>
      </c>
      <c r="H7" s="38"/>
      <c r="I7" s="38"/>
      <c r="J7" s="38"/>
    </row>
    <row r="8" spans="1:10" x14ac:dyDescent="0.25">
      <c r="A8" s="64"/>
      <c r="B8" s="64"/>
      <c r="C8" s="64"/>
      <c r="D8" s="64"/>
      <c r="E8" s="39" t="e">
        <f>VLOOKUP(A8,'Trips&amp;Operators'!$C$2:$E$10000,3,FALSE)</f>
        <v>#N/A</v>
      </c>
      <c r="F8" s="39" t="e">
        <f>VLOOKUP(A8,'Trips&amp;Operators'!$C$1:$F$10000,4,FALSE)</f>
        <v>#N/A</v>
      </c>
      <c r="G8" s="63" t="e">
        <f>VLOOKUP(A8,'Trips&amp;Operators'!$C$1:$H$10000,5,FALSE)</f>
        <v>#N/A</v>
      </c>
      <c r="H8" s="38"/>
      <c r="I8" s="38"/>
      <c r="J8" s="38"/>
    </row>
    <row r="9" spans="1:10" x14ac:dyDescent="0.25">
      <c r="A9" s="64"/>
      <c r="B9" s="64"/>
      <c r="C9" s="64"/>
      <c r="D9" s="64"/>
      <c r="E9" s="39" t="e">
        <f>VLOOKUP(A9,'Trips&amp;Operators'!$C$2:$E$10000,3,FALSE)</f>
        <v>#N/A</v>
      </c>
      <c r="F9" s="39" t="e">
        <f>VLOOKUP(A9,'Trips&amp;Operators'!$C$1:$F$10000,4,FALSE)</f>
        <v>#N/A</v>
      </c>
      <c r="G9" s="63" t="e">
        <f>VLOOKUP(A9,'Trips&amp;Operators'!$C$1:$H$10000,5,FALSE)</f>
        <v>#N/A</v>
      </c>
      <c r="H9" s="38"/>
      <c r="I9" s="38"/>
      <c r="J9" s="38"/>
    </row>
    <row r="10" spans="1:10" x14ac:dyDescent="0.25">
      <c r="A10" s="64"/>
      <c r="B10" s="64"/>
      <c r="C10" s="64"/>
      <c r="D10" s="64"/>
      <c r="E10" s="39" t="e">
        <f>VLOOKUP(A10,'Trips&amp;Operators'!$C$2:$E$10000,3,FALSE)</f>
        <v>#N/A</v>
      </c>
      <c r="F10" s="39" t="e">
        <f>VLOOKUP(A10,'Trips&amp;Operators'!$C$1:$F$10000,4,FALSE)</f>
        <v>#N/A</v>
      </c>
      <c r="G10" s="63" t="e">
        <f>VLOOKUP(A10,'Trips&amp;Operators'!$C$1:$H$10000,5,FALSE)</f>
        <v>#N/A</v>
      </c>
      <c r="H10" s="38"/>
      <c r="I10" s="38"/>
      <c r="J10" s="38"/>
    </row>
    <row r="11" spans="1:10" x14ac:dyDescent="0.25">
      <c r="A11" s="50"/>
      <c r="B11" s="69"/>
      <c r="C11" s="41"/>
      <c r="D11" s="42"/>
      <c r="E11" s="41"/>
      <c r="F11" s="41"/>
      <c r="G11" s="70"/>
      <c r="H11" s="38"/>
      <c r="I11" s="38"/>
      <c r="J11" s="38"/>
    </row>
    <row r="12" spans="1:10" x14ac:dyDescent="0.25">
      <c r="A12" s="50"/>
      <c r="B12" s="69"/>
      <c r="C12" s="41"/>
      <c r="D12" s="42"/>
      <c r="E12" s="41"/>
      <c r="F12" s="41"/>
      <c r="G12" s="70"/>
      <c r="H12" s="38"/>
      <c r="I12" s="38"/>
      <c r="J12" s="38"/>
    </row>
    <row r="13" spans="1:10" x14ac:dyDescent="0.25">
      <c r="A13" s="50"/>
      <c r="B13" s="69"/>
      <c r="C13" s="41"/>
      <c r="D13" s="42"/>
      <c r="E13" s="41"/>
      <c r="F13" s="41"/>
      <c r="G13" s="70"/>
      <c r="H13" s="38"/>
      <c r="I13" s="38"/>
      <c r="J13" s="38"/>
    </row>
    <row r="14" spans="1:10" x14ac:dyDescent="0.25">
      <c r="A14" s="50"/>
      <c r="B14" s="69"/>
      <c r="C14" s="41"/>
      <c r="D14" s="42"/>
      <c r="E14" s="41"/>
      <c r="F14" s="41"/>
      <c r="G14" s="70"/>
      <c r="H14" s="38"/>
      <c r="I14" s="38"/>
      <c r="J14" s="38"/>
    </row>
    <row r="15" spans="1:10" x14ac:dyDescent="0.25">
      <c r="B15"/>
      <c r="C15"/>
      <c r="H15" s="38"/>
      <c r="I15" s="38"/>
      <c r="J15" s="38"/>
    </row>
    <row r="16" spans="1:10" x14ac:dyDescent="0.25">
      <c r="B16"/>
      <c r="C16"/>
      <c r="H16" s="38"/>
      <c r="I16" s="38"/>
      <c r="J16" s="38"/>
    </row>
    <row r="17" spans="2:10" x14ac:dyDescent="0.25">
      <c r="B17"/>
      <c r="C17"/>
      <c r="H17" s="38"/>
      <c r="I17" s="38"/>
      <c r="J17" s="38"/>
    </row>
    <row r="18" spans="2:10" x14ac:dyDescent="0.25">
      <c r="B18"/>
      <c r="C18"/>
      <c r="H18" s="38"/>
      <c r="I18" s="38"/>
      <c r="J18" s="38"/>
    </row>
    <row r="19" spans="2:10" x14ac:dyDescent="0.25">
      <c r="B19"/>
      <c r="C19"/>
      <c r="H19" s="38"/>
      <c r="I19" s="38"/>
      <c r="J19" s="38"/>
    </row>
    <row r="20" spans="2:10" x14ac:dyDescent="0.25">
      <c r="B20"/>
      <c r="C20"/>
      <c r="H20" s="38"/>
      <c r="I20" s="38"/>
      <c r="J20" s="38"/>
    </row>
    <row r="21" spans="2:10" x14ac:dyDescent="0.25">
      <c r="B21"/>
      <c r="C21"/>
      <c r="H21" s="38"/>
      <c r="I21" s="38"/>
      <c r="J21" s="38"/>
    </row>
    <row r="22" spans="2:10" x14ac:dyDescent="0.25">
      <c r="B22"/>
      <c r="C22"/>
      <c r="H22" s="38"/>
      <c r="I22" s="38"/>
      <c r="J22" s="38"/>
    </row>
    <row r="23" spans="2:10" x14ac:dyDescent="0.25">
      <c r="B23"/>
      <c r="C23"/>
      <c r="H23" s="38"/>
      <c r="I23" s="38"/>
      <c r="J23" s="38"/>
    </row>
    <row r="24" spans="2:10" x14ac:dyDescent="0.25">
      <c r="B24"/>
      <c r="C24"/>
      <c r="H24" s="38"/>
      <c r="I24" s="38"/>
      <c r="J24" s="38"/>
    </row>
    <row r="25" spans="2:10" x14ac:dyDescent="0.25">
      <c r="B25"/>
      <c r="C25"/>
      <c r="H25" s="38"/>
      <c r="I25" s="38"/>
      <c r="J25" s="38"/>
    </row>
    <row r="26" spans="2:10" x14ac:dyDescent="0.25">
      <c r="B26"/>
      <c r="C26"/>
      <c r="H26" s="38"/>
      <c r="I26" s="38"/>
      <c r="J26" s="38"/>
    </row>
    <row r="27" spans="2:10" x14ac:dyDescent="0.25">
      <c r="B27"/>
      <c r="C27"/>
      <c r="H27" s="38"/>
      <c r="I27" s="38"/>
      <c r="J27" s="38"/>
    </row>
    <row r="28" spans="2:10" x14ac:dyDescent="0.25">
      <c r="B28"/>
      <c r="C28"/>
      <c r="H28" s="38"/>
      <c r="I28" s="38"/>
      <c r="J28" s="38"/>
    </row>
    <row r="29" spans="2:10" x14ac:dyDescent="0.25">
      <c r="B29"/>
      <c r="C29"/>
      <c r="H29" s="38"/>
      <c r="I29" s="38"/>
      <c r="J29" s="38"/>
    </row>
    <row r="30" spans="2:10" x14ac:dyDescent="0.25">
      <c r="B30"/>
      <c r="C30"/>
      <c r="H30" s="38"/>
      <c r="I30" s="38"/>
      <c r="J30" s="38"/>
    </row>
    <row r="31" spans="2:10" x14ac:dyDescent="0.25">
      <c r="B31"/>
      <c r="C31"/>
      <c r="H31" s="38"/>
      <c r="I31" s="38"/>
      <c r="J31" s="38"/>
    </row>
    <row r="32" spans="2:10" x14ac:dyDescent="0.25">
      <c r="B32"/>
      <c r="C32"/>
      <c r="H32" s="38"/>
      <c r="I32" s="38"/>
      <c r="J32" s="38"/>
    </row>
    <row r="33" spans="2:10" x14ac:dyDescent="0.25">
      <c r="B33"/>
      <c r="C33"/>
      <c r="H33" s="38"/>
      <c r="I33" s="38"/>
      <c r="J33" s="38"/>
    </row>
    <row r="34" spans="2:10" x14ac:dyDescent="0.25">
      <c r="B34"/>
      <c r="C34"/>
      <c r="H34" s="38"/>
      <c r="I34" s="38"/>
      <c r="J34" s="38"/>
    </row>
    <row r="35" spans="2:10" x14ac:dyDescent="0.25">
      <c r="B35"/>
      <c r="C35"/>
      <c r="H35" s="38"/>
      <c r="I35" s="38"/>
      <c r="J35" s="38"/>
    </row>
    <row r="36" spans="2:10" x14ac:dyDescent="0.25">
      <c r="B36"/>
      <c r="C36"/>
      <c r="H36" s="38"/>
      <c r="I36" s="38"/>
      <c r="J36" s="38"/>
    </row>
    <row r="37" spans="2:10" x14ac:dyDescent="0.25">
      <c r="B37"/>
      <c r="C37"/>
      <c r="H37" s="38"/>
      <c r="I37" s="38"/>
      <c r="J37" s="38"/>
    </row>
    <row r="38" spans="2:10" x14ac:dyDescent="0.25">
      <c r="B38"/>
      <c r="C38"/>
      <c r="H38" s="38"/>
      <c r="I38" s="38"/>
      <c r="J38" s="38"/>
    </row>
    <row r="39" spans="2:10" x14ac:dyDescent="0.25">
      <c r="B39"/>
      <c r="C39"/>
      <c r="H39" s="38"/>
      <c r="I39" s="38"/>
      <c r="J39" s="38"/>
    </row>
    <row r="40" spans="2:10" x14ac:dyDescent="0.25">
      <c r="B40"/>
      <c r="C40"/>
      <c r="H40" s="38"/>
      <c r="I40" s="38"/>
      <c r="J40" s="38"/>
    </row>
    <row r="41" spans="2:10" x14ac:dyDescent="0.25">
      <c r="B41"/>
      <c r="C41"/>
      <c r="H41" s="38"/>
      <c r="I41" s="38"/>
      <c r="J41" s="38"/>
    </row>
    <row r="42" spans="2:10" x14ac:dyDescent="0.25">
      <c r="B42"/>
      <c r="C42"/>
      <c r="H42" s="38"/>
      <c r="I42" s="38"/>
      <c r="J42" s="38"/>
    </row>
    <row r="43" spans="2:10" x14ac:dyDescent="0.25">
      <c r="B43"/>
      <c r="C43"/>
      <c r="H43" s="38"/>
      <c r="I43" s="38"/>
      <c r="J43" s="38"/>
    </row>
    <row r="44" spans="2:10" x14ac:dyDescent="0.25">
      <c r="B44"/>
      <c r="C44"/>
      <c r="H44" s="38"/>
      <c r="I44" s="38"/>
      <c r="J44" s="38"/>
    </row>
    <row r="45" spans="2:10" x14ac:dyDescent="0.25">
      <c r="B45"/>
      <c r="C45"/>
      <c r="H45" s="38"/>
      <c r="I45" s="38"/>
      <c r="J45" s="38"/>
    </row>
    <row r="46" spans="2:10" x14ac:dyDescent="0.25">
      <c r="B46"/>
      <c r="C46"/>
      <c r="H46" s="38"/>
      <c r="I46" s="38"/>
      <c r="J46" s="38"/>
    </row>
    <row r="47" spans="2:10" x14ac:dyDescent="0.25">
      <c r="B47"/>
      <c r="C47"/>
      <c r="H47" s="38"/>
      <c r="I47" s="38"/>
      <c r="J47" s="38"/>
    </row>
    <row r="48" spans="2:10" x14ac:dyDescent="0.25">
      <c r="B48"/>
      <c r="C48"/>
      <c r="H48" s="38"/>
      <c r="I48" s="38"/>
      <c r="J48" s="38"/>
    </row>
    <row r="49" spans="2:10" x14ac:dyDescent="0.25">
      <c r="B49"/>
      <c r="C49"/>
      <c r="H49" s="38"/>
      <c r="I49" s="38"/>
      <c r="J49" s="38"/>
    </row>
    <row r="50" spans="2:10" x14ac:dyDescent="0.25">
      <c r="B50"/>
      <c r="C50"/>
      <c r="H50" s="38"/>
      <c r="I50" s="38"/>
      <c r="J50" s="38"/>
    </row>
    <row r="51" spans="2:10" x14ac:dyDescent="0.25">
      <c r="B51"/>
      <c r="C51"/>
      <c r="H51" s="38"/>
      <c r="I51" s="38"/>
      <c r="J51" s="38"/>
    </row>
    <row r="52" spans="2:10" x14ac:dyDescent="0.25">
      <c r="B52"/>
      <c r="C52"/>
      <c r="H52" s="38"/>
      <c r="I52" s="38"/>
      <c r="J52" s="38"/>
    </row>
    <row r="53" spans="2:10" x14ac:dyDescent="0.25">
      <c r="B53"/>
      <c r="C53"/>
      <c r="H53" s="38"/>
      <c r="I53" s="38"/>
      <c r="J53" s="38"/>
    </row>
    <row r="54" spans="2:10" x14ac:dyDescent="0.25">
      <c r="B54"/>
      <c r="C54"/>
      <c r="H54" s="38"/>
      <c r="I54" s="38"/>
      <c r="J54" s="38"/>
    </row>
    <row r="55" spans="2:10" x14ac:dyDescent="0.25">
      <c r="B55"/>
      <c r="C55"/>
      <c r="H55" s="38"/>
      <c r="I55" s="38"/>
      <c r="J55" s="38"/>
    </row>
    <row r="56" spans="2:10" x14ac:dyDescent="0.25">
      <c r="B56"/>
      <c r="C56"/>
      <c r="H56" s="38"/>
      <c r="I56" s="38"/>
      <c r="J56" s="38"/>
    </row>
    <row r="57" spans="2:10" x14ac:dyDescent="0.25">
      <c r="B57"/>
      <c r="C57"/>
      <c r="H57" s="38"/>
      <c r="I57" s="38"/>
      <c r="J57" s="38"/>
    </row>
    <row r="58" spans="2:10" x14ac:dyDescent="0.25">
      <c r="B58"/>
      <c r="C58"/>
      <c r="H58" s="38"/>
      <c r="I58" s="38"/>
      <c r="J58" s="38"/>
    </row>
    <row r="59" spans="2:10" x14ac:dyDescent="0.25">
      <c r="B59"/>
      <c r="C59"/>
      <c r="H59" s="38"/>
      <c r="I59" s="38"/>
      <c r="J59" s="38"/>
    </row>
    <row r="60" spans="2:10" x14ac:dyDescent="0.25">
      <c r="B60"/>
      <c r="C60"/>
      <c r="H60" s="38"/>
      <c r="I60" s="38"/>
      <c r="J60" s="38"/>
    </row>
    <row r="61" spans="2:10" x14ac:dyDescent="0.25">
      <c r="B61"/>
      <c r="C61"/>
      <c r="H61" s="38"/>
      <c r="I61" s="38"/>
      <c r="J61" s="38"/>
    </row>
    <row r="62" spans="2:10" x14ac:dyDescent="0.25">
      <c r="B62"/>
      <c r="C62"/>
      <c r="H62" s="38"/>
      <c r="I62" s="38"/>
      <c r="J62" s="38"/>
    </row>
    <row r="63" spans="2:10" x14ac:dyDescent="0.25">
      <c r="B63"/>
      <c r="C63"/>
      <c r="H63" s="38"/>
      <c r="I63" s="38"/>
      <c r="J63" s="38"/>
    </row>
    <row r="64" spans="2:10" x14ac:dyDescent="0.25">
      <c r="B64"/>
      <c r="C64"/>
      <c r="H64" s="38"/>
      <c r="I64" s="38"/>
      <c r="J64" s="38"/>
    </row>
    <row r="65" spans="2:10" x14ac:dyDescent="0.25">
      <c r="B65"/>
      <c r="C65"/>
      <c r="H65" s="38"/>
      <c r="I65" s="38"/>
      <c r="J65" s="38"/>
    </row>
    <row r="66" spans="2:10" x14ac:dyDescent="0.25">
      <c r="B66"/>
      <c r="C66"/>
      <c r="H66" s="38"/>
      <c r="I66" s="38"/>
      <c r="J66" s="38"/>
    </row>
    <row r="67" spans="2:10" x14ac:dyDescent="0.25">
      <c r="B67"/>
      <c r="C67"/>
      <c r="H67" s="38"/>
      <c r="I67" s="38"/>
      <c r="J67" s="38"/>
    </row>
    <row r="68" spans="2:10" x14ac:dyDescent="0.25">
      <c r="B68"/>
      <c r="C68"/>
      <c r="H68" s="38"/>
      <c r="I68" s="38"/>
      <c r="J68" s="38"/>
    </row>
    <row r="69" spans="2:10" x14ac:dyDescent="0.25">
      <c r="B69"/>
      <c r="C69"/>
      <c r="H69" s="38"/>
      <c r="I69" s="38"/>
      <c r="J69" s="38"/>
    </row>
    <row r="70" spans="2:10" x14ac:dyDescent="0.25">
      <c r="B70"/>
      <c r="C70"/>
      <c r="H70" s="38"/>
      <c r="I70" s="38"/>
      <c r="J70" s="38"/>
    </row>
    <row r="71" spans="2:10" x14ac:dyDescent="0.25">
      <c r="B71"/>
      <c r="C71"/>
      <c r="H71" s="38"/>
      <c r="I71" s="38"/>
      <c r="J71" s="38"/>
    </row>
    <row r="72" spans="2:10" x14ac:dyDescent="0.25">
      <c r="B72"/>
      <c r="C72"/>
      <c r="H72" s="38"/>
      <c r="I72" s="38"/>
      <c r="J72" s="38"/>
    </row>
    <row r="73" spans="2:10" x14ac:dyDescent="0.25">
      <c r="B73"/>
      <c r="C73"/>
      <c r="H73" s="38"/>
      <c r="I73" s="38"/>
      <c r="J73" s="38"/>
    </row>
    <row r="74" spans="2:10" x14ac:dyDescent="0.25">
      <c r="B74"/>
      <c r="C74"/>
      <c r="H74" s="38"/>
      <c r="I74" s="38"/>
      <c r="J74" s="38"/>
    </row>
    <row r="75" spans="2:10" x14ac:dyDescent="0.25">
      <c r="B75"/>
      <c r="C75"/>
      <c r="H75" s="38"/>
      <c r="I75" s="38"/>
      <c r="J75" s="38"/>
    </row>
    <row r="76" spans="2:10" x14ac:dyDescent="0.25">
      <c r="B76"/>
      <c r="C76"/>
      <c r="H76" s="38"/>
      <c r="I76" s="38"/>
      <c r="J76" s="38"/>
    </row>
    <row r="77" spans="2:10" x14ac:dyDescent="0.25">
      <c r="B77"/>
      <c r="C77"/>
      <c r="H77" s="38"/>
      <c r="I77" s="38"/>
      <c r="J77" s="38"/>
    </row>
    <row r="78" spans="2:10" x14ac:dyDescent="0.25">
      <c r="B78"/>
      <c r="C78"/>
      <c r="H78" s="38"/>
      <c r="I78" s="38"/>
      <c r="J78" s="38"/>
    </row>
    <row r="79" spans="2:10" x14ac:dyDescent="0.25">
      <c r="B79"/>
      <c r="C79"/>
      <c r="H79" s="38"/>
      <c r="I79" s="38"/>
      <c r="J79" s="38"/>
    </row>
    <row r="80" spans="2:10" x14ac:dyDescent="0.25">
      <c r="B80"/>
      <c r="C80"/>
      <c r="H80" s="38"/>
      <c r="I80" s="38"/>
      <c r="J80" s="38"/>
    </row>
    <row r="81" spans="2:10" x14ac:dyDescent="0.25">
      <c r="B81"/>
      <c r="C81"/>
      <c r="H81" s="38"/>
      <c r="I81" s="38"/>
      <c r="J81" s="38"/>
    </row>
    <row r="82" spans="2:10" x14ac:dyDescent="0.25">
      <c r="B82"/>
      <c r="C82"/>
      <c r="H82" s="38"/>
      <c r="I82" s="38"/>
      <c r="J82" s="38"/>
    </row>
    <row r="83" spans="2:10" x14ac:dyDescent="0.25">
      <c r="B83"/>
      <c r="C83"/>
      <c r="H83" s="38"/>
      <c r="I83" s="38"/>
      <c r="J83" s="38"/>
    </row>
    <row r="84" spans="2:10" x14ac:dyDescent="0.25">
      <c r="B84"/>
      <c r="C84"/>
      <c r="H84" s="38"/>
      <c r="I84" s="38"/>
      <c r="J84" s="38"/>
    </row>
    <row r="85" spans="2:10" x14ac:dyDescent="0.25">
      <c r="B85"/>
      <c r="C85"/>
      <c r="H85" s="38"/>
      <c r="I85" s="38"/>
      <c r="J85" s="38"/>
    </row>
    <row r="86" spans="2:10" x14ac:dyDescent="0.25">
      <c r="B86"/>
      <c r="C86"/>
      <c r="H86" s="38"/>
      <c r="I86" s="38"/>
      <c r="J86" s="38"/>
    </row>
    <row r="87" spans="2:10" x14ac:dyDescent="0.25">
      <c r="B87"/>
      <c r="C87"/>
      <c r="H87" s="38"/>
      <c r="I87" s="38"/>
      <c r="J87" s="38"/>
    </row>
    <row r="88" spans="2:10" x14ac:dyDescent="0.25">
      <c r="B88"/>
      <c r="C88"/>
      <c r="H88" s="38"/>
      <c r="I88" s="38"/>
      <c r="J88" s="38"/>
    </row>
    <row r="89" spans="2:10" x14ac:dyDescent="0.25">
      <c r="B89"/>
      <c r="C89"/>
      <c r="H89" s="38"/>
      <c r="I89" s="38"/>
      <c r="J89" s="38"/>
    </row>
    <row r="90" spans="2:10" x14ac:dyDescent="0.25">
      <c r="B90"/>
      <c r="C90"/>
      <c r="H90" s="38"/>
      <c r="I90" s="38"/>
      <c r="J90" s="38"/>
    </row>
    <row r="91" spans="2:10" x14ac:dyDescent="0.25">
      <c r="B91"/>
      <c r="C91"/>
      <c r="H91" s="38"/>
      <c r="I91" s="38"/>
      <c r="J91" s="38"/>
    </row>
    <row r="92" spans="2:10" x14ac:dyDescent="0.25">
      <c r="B92"/>
      <c r="C92"/>
      <c r="H92" s="38"/>
      <c r="I92" s="38"/>
      <c r="J92" s="38"/>
    </row>
    <row r="93" spans="2:10" x14ac:dyDescent="0.25">
      <c r="B93"/>
      <c r="C93"/>
      <c r="H93" s="38"/>
      <c r="I93" s="38"/>
      <c r="J93" s="38"/>
    </row>
    <row r="94" spans="2:10" x14ac:dyDescent="0.25">
      <c r="B94"/>
      <c r="C94"/>
      <c r="H94" s="38"/>
      <c r="I94" s="38"/>
      <c r="J94" s="38"/>
    </row>
    <row r="95" spans="2:10" x14ac:dyDescent="0.25">
      <c r="B95"/>
      <c r="C95"/>
      <c r="H95" s="38"/>
      <c r="I95" s="38"/>
      <c r="J95" s="38"/>
    </row>
    <row r="96" spans="2:10" x14ac:dyDescent="0.25">
      <c r="B96"/>
      <c r="C96"/>
      <c r="H96" s="38"/>
      <c r="I96" s="38"/>
      <c r="J96" s="38"/>
    </row>
    <row r="97" spans="2:10" x14ac:dyDescent="0.25">
      <c r="B97"/>
      <c r="C97"/>
      <c r="H97" s="38"/>
      <c r="I97" s="38"/>
      <c r="J97" s="38"/>
    </row>
    <row r="98" spans="2:10" x14ac:dyDescent="0.25">
      <c r="B98"/>
      <c r="C98"/>
      <c r="H98" s="38"/>
      <c r="I98" s="38"/>
      <c r="J98" s="38"/>
    </row>
    <row r="99" spans="2:10" x14ac:dyDescent="0.25">
      <c r="B99"/>
      <c r="C99"/>
      <c r="H99" s="38"/>
      <c r="I99" s="38"/>
      <c r="J99" s="38"/>
    </row>
    <row r="100" spans="2:10" x14ac:dyDescent="0.25">
      <c r="B100"/>
      <c r="C100"/>
      <c r="H100" s="38"/>
      <c r="I100" s="38"/>
      <c r="J100" s="38"/>
    </row>
    <row r="101" spans="2:10" x14ac:dyDescent="0.25">
      <c r="B101"/>
      <c r="C101"/>
      <c r="H101" s="38"/>
      <c r="I101" s="38"/>
      <c r="J101" s="38"/>
    </row>
    <row r="102" spans="2:10" x14ac:dyDescent="0.25">
      <c r="B102"/>
      <c r="C102"/>
      <c r="H102" s="38"/>
      <c r="I102" s="38"/>
      <c r="J102" s="38"/>
    </row>
    <row r="103" spans="2:10" x14ac:dyDescent="0.25">
      <c r="B103"/>
      <c r="C103"/>
      <c r="H103" s="38"/>
      <c r="I103" s="38"/>
      <c r="J103" s="38"/>
    </row>
    <row r="104" spans="2:10" x14ac:dyDescent="0.25">
      <c r="B104"/>
      <c r="C104"/>
      <c r="H104" s="38"/>
      <c r="I104" s="38"/>
      <c r="J104" s="38"/>
    </row>
    <row r="105" spans="2:10" x14ac:dyDescent="0.25">
      <c r="B105"/>
      <c r="C105"/>
      <c r="H105" s="38"/>
      <c r="I105" s="38"/>
      <c r="J105" s="38"/>
    </row>
    <row r="106" spans="2:10" x14ac:dyDescent="0.25">
      <c r="B106"/>
      <c r="C106"/>
      <c r="H106" s="38"/>
      <c r="I106" s="38"/>
      <c r="J106" s="38"/>
    </row>
    <row r="107" spans="2:10" x14ac:dyDescent="0.25">
      <c r="B107"/>
      <c r="C107"/>
      <c r="H107" s="38"/>
      <c r="I107" s="38"/>
      <c r="J107" s="38"/>
    </row>
    <row r="108" spans="2:10" x14ac:dyDescent="0.25">
      <c r="B108"/>
      <c r="C108"/>
      <c r="H108" s="38"/>
      <c r="I108" s="38"/>
      <c r="J108" s="38"/>
    </row>
    <row r="109" spans="2:10" x14ac:dyDescent="0.25">
      <c r="B109"/>
      <c r="C109"/>
      <c r="H109" s="38"/>
      <c r="I109" s="38"/>
      <c r="J109" s="38"/>
    </row>
    <row r="110" spans="2:10" x14ac:dyDescent="0.25">
      <c r="B110"/>
      <c r="C110"/>
      <c r="H110" s="38"/>
      <c r="I110" s="38"/>
      <c r="J110" s="38"/>
    </row>
    <row r="111" spans="2:10" x14ac:dyDescent="0.25">
      <c r="B111"/>
      <c r="C111"/>
      <c r="H111" s="38"/>
      <c r="I111" s="38"/>
      <c r="J111" s="38"/>
    </row>
    <row r="112" spans="2:10" x14ac:dyDescent="0.25">
      <c r="B112"/>
      <c r="C112"/>
      <c r="H112" s="38"/>
      <c r="I112" s="38"/>
      <c r="J112" s="38"/>
    </row>
    <row r="113" spans="2:10" x14ac:dyDescent="0.25">
      <c r="B113"/>
      <c r="C113"/>
      <c r="H113" s="38"/>
      <c r="I113" s="38"/>
      <c r="J113" s="38"/>
    </row>
    <row r="114" spans="2:10" x14ac:dyDescent="0.25">
      <c r="B114"/>
      <c r="C114"/>
      <c r="H114" s="38"/>
      <c r="I114" s="38"/>
      <c r="J114" s="38"/>
    </row>
    <row r="115" spans="2:10" x14ac:dyDescent="0.25">
      <c r="B115"/>
      <c r="C115"/>
      <c r="H115" s="38"/>
      <c r="I115" s="38"/>
      <c r="J115" s="38"/>
    </row>
    <row r="116" spans="2:10" x14ac:dyDescent="0.25">
      <c r="B116"/>
      <c r="C116"/>
      <c r="H116" s="38"/>
      <c r="I116" s="38"/>
      <c r="J116" s="38"/>
    </row>
    <row r="117" spans="2:10" x14ac:dyDescent="0.25">
      <c r="B117"/>
      <c r="C117"/>
      <c r="H117" s="38"/>
      <c r="I117" s="38"/>
      <c r="J117" s="38"/>
    </row>
    <row r="118" spans="2:10" x14ac:dyDescent="0.25">
      <c r="B118"/>
      <c r="C118"/>
      <c r="H118" s="38"/>
      <c r="I118" s="38"/>
      <c r="J118" s="38"/>
    </row>
    <row r="119" spans="2:10" x14ac:dyDescent="0.25">
      <c r="B119"/>
      <c r="C119"/>
      <c r="H119" s="38"/>
      <c r="I119" s="38"/>
      <c r="J119" s="38"/>
    </row>
    <row r="120" spans="2:10" x14ac:dyDescent="0.25">
      <c r="B120"/>
      <c r="C120"/>
      <c r="H120" s="38"/>
      <c r="I120" s="38"/>
      <c r="J120" s="38"/>
    </row>
    <row r="121" spans="2:10" x14ac:dyDescent="0.25">
      <c r="B121"/>
      <c r="C121"/>
      <c r="H121" s="38"/>
      <c r="I121" s="38"/>
      <c r="J121" s="38"/>
    </row>
    <row r="122" spans="2:10" x14ac:dyDescent="0.25">
      <c r="B122"/>
      <c r="C122"/>
      <c r="H122" s="38"/>
      <c r="I122" s="38"/>
      <c r="J122" s="38"/>
    </row>
    <row r="123" spans="2:10" x14ac:dyDescent="0.25">
      <c r="B123"/>
      <c r="C123"/>
      <c r="H123" s="38"/>
      <c r="I123" s="38"/>
      <c r="J123" s="38"/>
    </row>
    <row r="124" spans="2:10" x14ac:dyDescent="0.25">
      <c r="B124"/>
      <c r="C124"/>
      <c r="H124" s="38"/>
      <c r="I124" s="38"/>
      <c r="J124" s="38"/>
    </row>
    <row r="125" spans="2:10" x14ac:dyDescent="0.25">
      <c r="B125"/>
      <c r="C125"/>
      <c r="H125" s="38"/>
      <c r="I125" s="38"/>
      <c r="J125" s="38"/>
    </row>
    <row r="126" spans="2:10" x14ac:dyDescent="0.25">
      <c r="B126"/>
      <c r="C126"/>
      <c r="H126" s="38"/>
      <c r="I126" s="38"/>
      <c r="J126" s="38"/>
    </row>
    <row r="127" spans="2:10" x14ac:dyDescent="0.25">
      <c r="B127"/>
      <c r="C127"/>
      <c r="H127" s="38"/>
      <c r="I127" s="38"/>
      <c r="J127" s="38"/>
    </row>
    <row r="128" spans="2:10" x14ac:dyDescent="0.25">
      <c r="B128"/>
      <c r="C128"/>
      <c r="H128" s="38"/>
      <c r="I128" s="38"/>
      <c r="J128" s="38"/>
    </row>
    <row r="129" spans="2:10" x14ac:dyDescent="0.25">
      <c r="B129"/>
      <c r="C129"/>
      <c r="H129" s="38"/>
      <c r="I129" s="38"/>
      <c r="J129" s="38"/>
    </row>
    <row r="130" spans="2:10" x14ac:dyDescent="0.25">
      <c r="B130"/>
      <c r="C130"/>
      <c r="H130" s="38"/>
      <c r="I130" s="38"/>
      <c r="J130" s="38"/>
    </row>
    <row r="131" spans="2:10" x14ac:dyDescent="0.25">
      <c r="B131"/>
      <c r="C131"/>
      <c r="H131" s="38"/>
      <c r="I131" s="38"/>
      <c r="J131" s="38"/>
    </row>
    <row r="132" spans="2:10" x14ac:dyDescent="0.25">
      <c r="B132"/>
      <c r="C132"/>
      <c r="H132" s="38"/>
      <c r="I132" s="38"/>
      <c r="J132" s="38"/>
    </row>
    <row r="133" spans="2:10" x14ac:dyDescent="0.25">
      <c r="B133"/>
      <c r="C133"/>
      <c r="H133" s="38"/>
      <c r="I133" s="38"/>
      <c r="J133" s="38"/>
    </row>
    <row r="134" spans="2:10" x14ac:dyDescent="0.25">
      <c r="B134"/>
      <c r="C134"/>
      <c r="H134" s="38"/>
      <c r="I134" s="38"/>
      <c r="J134" s="38"/>
    </row>
    <row r="135" spans="2:10" x14ac:dyDescent="0.25">
      <c r="B135"/>
      <c r="C135"/>
      <c r="H135" s="38"/>
      <c r="I135" s="38"/>
      <c r="J135" s="38"/>
    </row>
    <row r="136" spans="2:10" x14ac:dyDescent="0.25">
      <c r="B136"/>
      <c r="C136"/>
      <c r="H136" s="38"/>
      <c r="I136" s="38"/>
      <c r="J136" s="38"/>
    </row>
    <row r="137" spans="2:10" x14ac:dyDescent="0.25">
      <c r="B137"/>
      <c r="C137"/>
      <c r="H137" s="38"/>
      <c r="I137" s="38"/>
      <c r="J137" s="38"/>
    </row>
    <row r="138" spans="2:10" x14ac:dyDescent="0.25">
      <c r="B138"/>
      <c r="C138"/>
      <c r="H138" s="38"/>
      <c r="I138" s="38"/>
      <c r="J138" s="38"/>
    </row>
    <row r="139" spans="2:10" x14ac:dyDescent="0.25">
      <c r="B139"/>
      <c r="C139"/>
      <c r="H139" s="38"/>
      <c r="I139" s="38"/>
      <c r="J139" s="38"/>
    </row>
    <row r="140" spans="2:10" x14ac:dyDescent="0.25">
      <c r="B140"/>
      <c r="C140"/>
      <c r="H140" s="38"/>
      <c r="I140" s="38"/>
      <c r="J140" s="38"/>
    </row>
    <row r="141" spans="2:10" x14ac:dyDescent="0.25">
      <c r="B141"/>
      <c r="C141"/>
      <c r="H141" s="38"/>
      <c r="I141" s="38"/>
      <c r="J141" s="38"/>
    </row>
    <row r="142" spans="2:10" x14ac:dyDescent="0.25">
      <c r="B142"/>
      <c r="C142"/>
      <c r="H142" s="38"/>
      <c r="I142" s="38"/>
      <c r="J142" s="38"/>
    </row>
    <row r="143" spans="2:10" x14ac:dyDescent="0.25">
      <c r="H143" s="38"/>
      <c r="I143" s="38"/>
      <c r="J143" s="38"/>
    </row>
  </sheetData>
  <autoFilter ref="A2:G2">
    <sortState ref="A3:G13">
      <sortCondition ref="E2"/>
    </sortState>
  </autoFilter>
  <mergeCells count="1">
    <mergeCell ref="A1:E1"/>
  </mergeCells>
  <conditionalFormatting sqref="B3:D3">
    <cfRule type="expression" dxfId="2" priority="82">
      <formula>$H139&gt;0</formula>
    </cfRule>
    <cfRule type="expression" dxfId="1" priority="83">
      <formula>$G139&gt;0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EB016D9B-668F-4EEA-859B-63F0F621CEF6}">
            <xm:f>$F139&gt;Variables!$C$2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65"/>
  <sheetViews>
    <sheetView workbookViewId="0">
      <selection sqref="A1:G265"/>
    </sheetView>
  </sheetViews>
  <sheetFormatPr defaultRowHeight="15" x14ac:dyDescent="0.25"/>
  <cols>
    <col min="1" max="1" width="18.28515625" style="13" bestFit="1" customWidth="1"/>
    <col min="2" max="2" width="17" style="38" bestFit="1" customWidth="1"/>
    <col min="3" max="3" width="10.140625" style="38" bestFit="1" customWidth="1"/>
    <col min="4" max="4" width="8" style="38" bestFit="1" customWidth="1"/>
    <col min="5" max="5" width="12.140625" style="38" bestFit="1" customWidth="1"/>
    <col min="6" max="6" width="17" style="38" bestFit="1" customWidth="1"/>
    <col min="7" max="7" width="18.28515625" style="13" bestFit="1" customWidth="1"/>
    <col min="8" max="16384" width="9.140625" style="38"/>
  </cols>
  <sheetData>
    <row r="1" spans="1:7" x14ac:dyDescent="0.25">
      <c r="A1" s="13">
        <v>42547.82917824074</v>
      </c>
      <c r="B1" s="38" t="s">
        <v>124</v>
      </c>
      <c r="C1" s="38" t="s">
        <v>160</v>
      </c>
      <c r="D1" s="38">
        <v>1770000</v>
      </c>
      <c r="E1" s="38" t="s">
        <v>111</v>
      </c>
      <c r="F1" s="38" t="str">
        <f>B1</f>
        <v>rtdc.l.rtdc.4025:itc</v>
      </c>
      <c r="G1" s="13">
        <f>A1</f>
        <v>42547.82917824074</v>
      </c>
    </row>
    <row r="2" spans="1:7" x14ac:dyDescent="0.25">
      <c r="A2" s="13">
        <v>42548.580740740741</v>
      </c>
      <c r="B2" s="38" t="s">
        <v>126</v>
      </c>
      <c r="C2" s="38" t="s">
        <v>297</v>
      </c>
      <c r="D2" s="38">
        <v>2000000</v>
      </c>
      <c r="E2" s="38" t="s">
        <v>298</v>
      </c>
      <c r="F2" s="38" t="str">
        <f t="shared" ref="F2:F65" si="0">B2</f>
        <v>rtdc.l.rtdc.4013:itc</v>
      </c>
      <c r="G2" s="13">
        <f t="shared" ref="G2:G65" si="1">A2</f>
        <v>42548.580740740741</v>
      </c>
    </row>
    <row r="3" spans="1:7" x14ac:dyDescent="0.25">
      <c r="A3" s="13">
        <v>42548.682974537034</v>
      </c>
      <c r="B3" s="38" t="s">
        <v>120</v>
      </c>
      <c r="C3" s="38" t="s">
        <v>299</v>
      </c>
      <c r="D3" s="38">
        <v>2000000</v>
      </c>
      <c r="E3" s="38" t="s">
        <v>298</v>
      </c>
      <c r="F3" s="38" t="str">
        <f t="shared" si="0"/>
        <v>rtdc.l.rtdc.4014:itc</v>
      </c>
      <c r="G3" s="13">
        <f t="shared" si="1"/>
        <v>42548.682974537034</v>
      </c>
    </row>
    <row r="4" spans="1:7" x14ac:dyDescent="0.25">
      <c r="A4" s="13">
        <v>42548.276550925926</v>
      </c>
      <c r="B4" s="38" t="s">
        <v>300</v>
      </c>
      <c r="C4" s="38" t="s">
        <v>301</v>
      </c>
      <c r="D4" s="38">
        <v>2010000</v>
      </c>
      <c r="E4" s="38" t="s">
        <v>302</v>
      </c>
      <c r="F4" s="38" t="str">
        <f t="shared" si="0"/>
        <v>rtdc.l.rtdc.4029:itc</v>
      </c>
      <c r="G4" s="13">
        <f t="shared" si="1"/>
        <v>42548.276550925926</v>
      </c>
    </row>
    <row r="5" spans="1:7" x14ac:dyDescent="0.25">
      <c r="A5" s="13">
        <v>42548.481747685182</v>
      </c>
      <c r="B5" s="38" t="s">
        <v>63</v>
      </c>
      <c r="C5" s="38" t="s">
        <v>303</v>
      </c>
      <c r="D5" s="38">
        <v>1540000</v>
      </c>
      <c r="E5" s="38" t="s">
        <v>122</v>
      </c>
      <c r="F5" s="38" t="str">
        <f t="shared" si="0"/>
        <v>rtdc.l.rtdc.4032:itc</v>
      </c>
      <c r="G5" s="13">
        <f t="shared" si="1"/>
        <v>42548.481747685182</v>
      </c>
    </row>
    <row r="6" spans="1:7" x14ac:dyDescent="0.25">
      <c r="A6" s="13">
        <v>42548.526944444442</v>
      </c>
      <c r="B6" s="38" t="s">
        <v>125</v>
      </c>
      <c r="C6" s="38" t="s">
        <v>304</v>
      </c>
      <c r="D6" s="38">
        <v>1120000</v>
      </c>
      <c r="E6" s="38" t="s">
        <v>118</v>
      </c>
      <c r="F6" s="38" t="str">
        <f t="shared" si="0"/>
        <v>rtdc.l.rtdc.4026:itc</v>
      </c>
      <c r="G6" s="13">
        <f t="shared" si="1"/>
        <v>42548.526944444442</v>
      </c>
    </row>
    <row r="7" spans="1:7" x14ac:dyDescent="0.25">
      <c r="A7" s="13">
        <v>42548.659270833334</v>
      </c>
      <c r="B7" s="38" t="s">
        <v>150</v>
      </c>
      <c r="C7" s="38" t="s">
        <v>305</v>
      </c>
      <c r="D7" s="38">
        <v>2040000</v>
      </c>
      <c r="E7" s="38" t="s">
        <v>306</v>
      </c>
      <c r="F7" s="38" t="str">
        <f t="shared" si="0"/>
        <v>rtdc.l.rtdc.4037:itc</v>
      </c>
      <c r="G7" s="13">
        <f t="shared" si="1"/>
        <v>42548.659270833334</v>
      </c>
    </row>
    <row r="8" spans="1:7" x14ac:dyDescent="0.25">
      <c r="A8" s="13">
        <v>42548.706979166665</v>
      </c>
      <c r="B8" s="38" t="s">
        <v>71</v>
      </c>
      <c r="C8" s="38" t="s">
        <v>307</v>
      </c>
      <c r="D8" s="38">
        <v>1120000</v>
      </c>
      <c r="E8" s="38" t="s">
        <v>118</v>
      </c>
      <c r="F8" s="38" t="str">
        <f t="shared" si="0"/>
        <v>rtdc.l.rtdc.4031:itc</v>
      </c>
      <c r="G8" s="13">
        <f t="shared" si="1"/>
        <v>42548.706979166665</v>
      </c>
    </row>
    <row r="9" spans="1:7" ht="15.75" thickBot="1" x14ac:dyDescent="0.3">
      <c r="A9" s="55">
        <v>42548.809039351851</v>
      </c>
      <c r="B9" s="38" t="s">
        <v>70</v>
      </c>
      <c r="C9" s="38" t="s">
        <v>308</v>
      </c>
      <c r="D9" s="38">
        <v>1780000</v>
      </c>
      <c r="E9" s="38" t="s">
        <v>147</v>
      </c>
      <c r="F9" s="38" t="str">
        <f t="shared" si="0"/>
        <v>rtdc.l.rtdc.4007:itc</v>
      </c>
      <c r="G9" s="13">
        <f t="shared" si="1"/>
        <v>42548.809039351851</v>
      </c>
    </row>
    <row r="10" spans="1:7" x14ac:dyDescent="0.25">
      <c r="A10" s="13">
        <v>42548.233460648145</v>
      </c>
      <c r="B10" s="38" t="s">
        <v>70</v>
      </c>
      <c r="C10" s="38" t="s">
        <v>309</v>
      </c>
      <c r="D10" s="38">
        <v>2030000</v>
      </c>
      <c r="E10" s="38" t="s">
        <v>310</v>
      </c>
      <c r="F10" s="38" t="str">
        <f t="shared" si="0"/>
        <v>rtdc.l.rtdc.4007:itc</v>
      </c>
      <c r="G10" s="13">
        <f t="shared" si="1"/>
        <v>42548.233460648145</v>
      </c>
    </row>
    <row r="11" spans="1:7" x14ac:dyDescent="0.25">
      <c r="A11" s="13">
        <v>42548.476770833331</v>
      </c>
      <c r="B11" s="38" t="s">
        <v>109</v>
      </c>
      <c r="C11" s="38" t="s">
        <v>311</v>
      </c>
      <c r="D11" s="38">
        <v>2040000</v>
      </c>
      <c r="E11" s="38" t="s">
        <v>306</v>
      </c>
      <c r="F11" s="38" t="str">
        <f t="shared" si="0"/>
        <v>rtdc.l.rtdc.4038:itc</v>
      </c>
      <c r="G11" s="13">
        <f t="shared" si="1"/>
        <v>42548.476770833331</v>
      </c>
    </row>
    <row r="12" spans="1:7" x14ac:dyDescent="0.25">
      <c r="A12" s="13">
        <v>42548.633206018516</v>
      </c>
      <c r="B12" s="38" t="s">
        <v>124</v>
      </c>
      <c r="C12" s="38" t="s">
        <v>312</v>
      </c>
      <c r="D12" s="38">
        <v>1120000</v>
      </c>
      <c r="E12" s="38" t="s">
        <v>118</v>
      </c>
      <c r="F12" s="38" t="str">
        <f t="shared" si="0"/>
        <v>rtdc.l.rtdc.4025:itc</v>
      </c>
      <c r="G12" s="13">
        <f t="shared" si="1"/>
        <v>42548.633206018516</v>
      </c>
    </row>
    <row r="13" spans="1:7" x14ac:dyDescent="0.25">
      <c r="A13" s="13">
        <v>42548.340856481482</v>
      </c>
      <c r="B13" s="38" t="s">
        <v>67</v>
      </c>
      <c r="C13" s="38" t="s">
        <v>195</v>
      </c>
      <c r="D13" s="38">
        <v>310000</v>
      </c>
      <c r="E13" s="38" t="s">
        <v>313</v>
      </c>
      <c r="F13" s="38" t="str">
        <f t="shared" si="0"/>
        <v>rtdc.l.rtdc.4018:itc</v>
      </c>
      <c r="G13" s="13">
        <f t="shared" si="1"/>
        <v>42548.340856481482</v>
      </c>
    </row>
    <row r="14" spans="1:7" x14ac:dyDescent="0.25">
      <c r="A14" s="13">
        <v>42548.658703703702</v>
      </c>
      <c r="B14" s="38" t="s">
        <v>78</v>
      </c>
      <c r="C14" s="38" t="s">
        <v>234</v>
      </c>
      <c r="D14" s="38">
        <v>1800000</v>
      </c>
      <c r="E14" s="38" t="s">
        <v>119</v>
      </c>
      <c r="F14" s="38" t="str">
        <f t="shared" si="0"/>
        <v>rtdc.l.rtdc.4042:itc</v>
      </c>
      <c r="G14" s="13">
        <f t="shared" si="1"/>
        <v>42548.658703703702</v>
      </c>
    </row>
    <row r="15" spans="1:7" x14ac:dyDescent="0.25">
      <c r="A15" s="13">
        <v>42548.273715277777</v>
      </c>
      <c r="B15" s="38" t="s">
        <v>69</v>
      </c>
      <c r="C15" s="38" t="s">
        <v>314</v>
      </c>
      <c r="D15" s="38">
        <v>2030000</v>
      </c>
      <c r="E15" s="38" t="s">
        <v>310</v>
      </c>
      <c r="F15" s="38" t="str">
        <f t="shared" si="0"/>
        <v>rtdc.l.rtdc.4008:itc</v>
      </c>
      <c r="G15" s="13">
        <f t="shared" si="1"/>
        <v>42548.273715277777</v>
      </c>
    </row>
    <row r="16" spans="1:7" x14ac:dyDescent="0.25">
      <c r="A16" s="13">
        <v>42549.017222222225</v>
      </c>
      <c r="B16" s="38" t="s">
        <v>71</v>
      </c>
      <c r="C16" s="38" t="s">
        <v>315</v>
      </c>
      <c r="D16" s="38">
        <v>1280000</v>
      </c>
      <c r="E16" s="38" t="s">
        <v>139</v>
      </c>
      <c r="F16" s="38" t="str">
        <f t="shared" si="0"/>
        <v>rtdc.l.rtdc.4031:itc</v>
      </c>
      <c r="G16" s="13">
        <f t="shared" si="1"/>
        <v>42549.017222222225</v>
      </c>
    </row>
    <row r="17" spans="1:7" x14ac:dyDescent="0.25">
      <c r="A17" s="13">
        <v>42548.847002314818</v>
      </c>
      <c r="B17" s="38" t="s">
        <v>69</v>
      </c>
      <c r="C17" s="38" t="s">
        <v>316</v>
      </c>
      <c r="D17" s="38">
        <v>1780000</v>
      </c>
      <c r="E17" s="38" t="s">
        <v>147</v>
      </c>
      <c r="F17" s="38" t="str">
        <f t="shared" si="0"/>
        <v>rtdc.l.rtdc.4008:itc</v>
      </c>
      <c r="G17" s="13">
        <f t="shared" si="1"/>
        <v>42548.847002314818</v>
      </c>
    </row>
    <row r="18" spans="1:7" x14ac:dyDescent="0.25">
      <c r="A18" s="13">
        <v>42548.404814814814</v>
      </c>
      <c r="B18" s="38" t="s">
        <v>109</v>
      </c>
      <c r="C18" s="38" t="s">
        <v>317</v>
      </c>
      <c r="D18" s="38">
        <v>1230000</v>
      </c>
      <c r="E18" s="38" t="s">
        <v>318</v>
      </c>
      <c r="F18" s="38" t="str">
        <f t="shared" si="0"/>
        <v>rtdc.l.rtdc.4038:itc</v>
      </c>
      <c r="G18" s="13">
        <f t="shared" si="1"/>
        <v>42548.404814814814</v>
      </c>
    </row>
    <row r="19" spans="1:7" x14ac:dyDescent="0.25">
      <c r="A19" s="13">
        <v>42548.774768518517</v>
      </c>
      <c r="B19" s="38" t="s">
        <v>69</v>
      </c>
      <c r="C19" s="38" t="s">
        <v>319</v>
      </c>
      <c r="D19" s="38">
        <v>1780000</v>
      </c>
      <c r="E19" s="38" t="s">
        <v>147</v>
      </c>
      <c r="F19" s="38" t="str">
        <f t="shared" si="0"/>
        <v>rtdc.l.rtdc.4008:itc</v>
      </c>
      <c r="G19" s="13">
        <f t="shared" si="1"/>
        <v>42548.774768518517</v>
      </c>
    </row>
    <row r="20" spans="1:7" x14ac:dyDescent="0.25">
      <c r="A20" s="13">
        <v>42548.609479166669</v>
      </c>
      <c r="B20" s="38" t="s">
        <v>68</v>
      </c>
      <c r="C20" s="38" t="s">
        <v>227</v>
      </c>
      <c r="D20" s="38">
        <v>1750000</v>
      </c>
      <c r="E20" s="38" t="s">
        <v>144</v>
      </c>
      <c r="F20" s="38" t="str">
        <f t="shared" si="0"/>
        <v>rtdc.l.rtdc.4017:itc</v>
      </c>
      <c r="G20" s="13">
        <f t="shared" si="1"/>
        <v>42548.609479166669</v>
      </c>
    </row>
    <row r="21" spans="1:7" x14ac:dyDescent="0.25">
      <c r="A21" s="13">
        <v>42548.757002314815</v>
      </c>
      <c r="B21" s="38" t="s">
        <v>77</v>
      </c>
      <c r="C21" s="38" t="s">
        <v>254</v>
      </c>
      <c r="D21" s="38">
        <v>1800000</v>
      </c>
      <c r="E21" s="38" t="s">
        <v>119</v>
      </c>
      <c r="F21" s="38" t="str">
        <f t="shared" si="0"/>
        <v>rtdc.l.rtdc.4041:itc</v>
      </c>
      <c r="G21" s="13">
        <f t="shared" si="1"/>
        <v>42548.757002314815</v>
      </c>
    </row>
    <row r="22" spans="1:7" x14ac:dyDescent="0.25">
      <c r="A22" s="57">
        <v>42548.626736111109</v>
      </c>
      <c r="B22" s="38" t="s">
        <v>120</v>
      </c>
      <c r="C22" s="38" t="s">
        <v>320</v>
      </c>
      <c r="D22" s="38">
        <v>2000000</v>
      </c>
      <c r="E22" s="38" t="s">
        <v>298</v>
      </c>
      <c r="F22" s="38" t="str">
        <f t="shared" si="0"/>
        <v>rtdc.l.rtdc.4014:itc</v>
      </c>
      <c r="G22" s="13">
        <f t="shared" si="1"/>
        <v>42548.626736111109</v>
      </c>
    </row>
    <row r="23" spans="1:7" x14ac:dyDescent="0.25">
      <c r="A23" s="13">
        <v>42548.454826388886</v>
      </c>
      <c r="B23" s="38" t="s">
        <v>70</v>
      </c>
      <c r="C23" s="38" t="s">
        <v>321</v>
      </c>
      <c r="D23" s="38">
        <v>1310000</v>
      </c>
      <c r="E23" s="38" t="s">
        <v>110</v>
      </c>
      <c r="F23" s="38" t="str">
        <f t="shared" si="0"/>
        <v>rtdc.l.rtdc.4007:itc</v>
      </c>
      <c r="G23" s="13">
        <f t="shared" si="1"/>
        <v>42548.454826388886</v>
      </c>
    </row>
    <row r="24" spans="1:7" x14ac:dyDescent="0.25">
      <c r="A24" s="13">
        <v>42548.736145833333</v>
      </c>
      <c r="B24" s="38" t="s">
        <v>68</v>
      </c>
      <c r="C24" s="38" t="s">
        <v>248</v>
      </c>
      <c r="D24" s="38">
        <v>1750000</v>
      </c>
      <c r="E24" s="38" t="s">
        <v>144</v>
      </c>
      <c r="F24" s="38" t="str">
        <f t="shared" si="0"/>
        <v>rtdc.l.rtdc.4017:itc</v>
      </c>
      <c r="G24" s="13">
        <f t="shared" si="1"/>
        <v>42548.736145833333</v>
      </c>
    </row>
    <row r="25" spans="1:7" x14ac:dyDescent="0.25">
      <c r="A25" s="13">
        <v>42548.245127314818</v>
      </c>
      <c r="B25" s="38" t="s">
        <v>322</v>
      </c>
      <c r="C25" s="38" t="s">
        <v>323</v>
      </c>
      <c r="D25" s="38">
        <v>2010000</v>
      </c>
      <c r="E25" s="38" t="s">
        <v>302</v>
      </c>
      <c r="F25" s="38" t="str">
        <f t="shared" si="0"/>
        <v>rtdc.l.rtdc.4030:itc</v>
      </c>
      <c r="G25" s="13">
        <f t="shared" si="1"/>
        <v>42548.245127314818</v>
      </c>
    </row>
    <row r="26" spans="1:7" x14ac:dyDescent="0.25">
      <c r="A26" s="13">
        <v>42548.769166666665</v>
      </c>
      <c r="B26" s="38" t="s">
        <v>109</v>
      </c>
      <c r="C26" s="38" t="s">
        <v>324</v>
      </c>
      <c r="D26" s="38">
        <v>1280000</v>
      </c>
      <c r="E26" s="38" t="s">
        <v>139</v>
      </c>
      <c r="F26" s="38" t="str">
        <f t="shared" si="0"/>
        <v>rtdc.l.rtdc.4038:itc</v>
      </c>
      <c r="G26" s="13">
        <f t="shared" si="1"/>
        <v>42548.769166666665</v>
      </c>
    </row>
    <row r="27" spans="1:7" x14ac:dyDescent="0.25">
      <c r="A27" s="13">
        <v>42548.726574074077</v>
      </c>
      <c r="B27" s="38" t="s">
        <v>325</v>
      </c>
      <c r="C27" s="38" t="s">
        <v>326</v>
      </c>
      <c r="D27" s="38">
        <v>2020000</v>
      </c>
      <c r="E27" s="38" t="s">
        <v>327</v>
      </c>
      <c r="F27" s="38" t="str">
        <f t="shared" si="0"/>
        <v>rtdc.l.rtdc.4027:itc</v>
      </c>
      <c r="G27" s="13">
        <f t="shared" si="1"/>
        <v>42548.726574074077</v>
      </c>
    </row>
    <row r="28" spans="1:7" x14ac:dyDescent="0.25">
      <c r="A28" s="13">
        <v>42548.279722222222</v>
      </c>
      <c r="B28" s="38" t="s">
        <v>300</v>
      </c>
      <c r="C28" s="38" t="s">
        <v>301</v>
      </c>
      <c r="D28" s="38">
        <v>2010000</v>
      </c>
      <c r="E28" s="38" t="s">
        <v>302</v>
      </c>
      <c r="F28" s="38" t="str">
        <f t="shared" si="0"/>
        <v>rtdc.l.rtdc.4029:itc</v>
      </c>
      <c r="G28" s="13">
        <f t="shared" si="1"/>
        <v>42548.279722222222</v>
      </c>
    </row>
    <row r="29" spans="1:7" x14ac:dyDescent="0.25">
      <c r="A29" s="13">
        <v>42548.466145833336</v>
      </c>
      <c r="B29" s="38" t="s">
        <v>113</v>
      </c>
      <c r="C29" s="38" t="s">
        <v>328</v>
      </c>
      <c r="D29" s="38">
        <v>2000000</v>
      </c>
      <c r="E29" s="38" t="s">
        <v>298</v>
      </c>
      <c r="F29" s="38" t="str">
        <f t="shared" si="0"/>
        <v>rtdc.l.rtdc.4024:itc</v>
      </c>
      <c r="G29" s="13">
        <f t="shared" si="1"/>
        <v>42548.466145833336</v>
      </c>
    </row>
    <row r="30" spans="1:7" x14ac:dyDescent="0.25">
      <c r="A30" s="13">
        <v>42548.319131944445</v>
      </c>
      <c r="B30" s="38" t="s">
        <v>113</v>
      </c>
      <c r="C30" s="38" t="s">
        <v>329</v>
      </c>
      <c r="D30" s="38">
        <v>900000</v>
      </c>
      <c r="E30" s="38" t="s">
        <v>330</v>
      </c>
      <c r="F30" s="38" t="str">
        <f t="shared" si="0"/>
        <v>rtdc.l.rtdc.4024:itc</v>
      </c>
      <c r="G30" s="13">
        <f t="shared" si="1"/>
        <v>42548.319131944445</v>
      </c>
    </row>
    <row r="31" spans="1:7" x14ac:dyDescent="0.25">
      <c r="A31" s="13">
        <v>42548.457951388889</v>
      </c>
      <c r="B31" s="38" t="s">
        <v>67</v>
      </c>
      <c r="C31" s="38" t="s">
        <v>210</v>
      </c>
      <c r="D31" s="38">
        <v>1460000</v>
      </c>
      <c r="E31" s="38" t="s">
        <v>108</v>
      </c>
      <c r="F31" s="38" t="str">
        <f t="shared" si="0"/>
        <v>rtdc.l.rtdc.4018:itc</v>
      </c>
      <c r="G31" s="13">
        <f t="shared" si="1"/>
        <v>42548.457951388889</v>
      </c>
    </row>
    <row r="32" spans="1:7" x14ac:dyDescent="0.25">
      <c r="A32" s="13">
        <v>42548.534513888888</v>
      </c>
      <c r="B32" s="38" t="s">
        <v>322</v>
      </c>
      <c r="C32" s="38" t="s">
        <v>331</v>
      </c>
      <c r="D32" s="38">
        <v>1260000</v>
      </c>
      <c r="E32" s="38" t="s">
        <v>121</v>
      </c>
      <c r="F32" s="38" t="str">
        <f t="shared" si="0"/>
        <v>rtdc.l.rtdc.4030:itc</v>
      </c>
      <c r="G32" s="13">
        <f t="shared" si="1"/>
        <v>42548.534513888888</v>
      </c>
    </row>
    <row r="33" spans="1:7" x14ac:dyDescent="0.25">
      <c r="A33" s="13">
        <v>42548.393159722225</v>
      </c>
      <c r="B33" s="38" t="s">
        <v>113</v>
      </c>
      <c r="C33" s="38" t="s">
        <v>332</v>
      </c>
      <c r="D33" s="38">
        <v>900000</v>
      </c>
      <c r="E33" s="38" t="s">
        <v>330</v>
      </c>
      <c r="F33" s="38" t="str">
        <f t="shared" si="0"/>
        <v>rtdc.l.rtdc.4024:itc</v>
      </c>
      <c r="G33" s="13">
        <f t="shared" si="1"/>
        <v>42548.393159722225</v>
      </c>
    </row>
    <row r="34" spans="1:7" x14ac:dyDescent="0.25">
      <c r="A34" s="13">
        <v>42548.58929398148</v>
      </c>
      <c r="B34" s="38" t="s">
        <v>150</v>
      </c>
      <c r="C34" s="38" t="s">
        <v>333</v>
      </c>
      <c r="D34" s="38">
        <v>2040000</v>
      </c>
      <c r="E34" s="38" t="s">
        <v>306</v>
      </c>
      <c r="F34" s="38" t="str">
        <f t="shared" si="0"/>
        <v>rtdc.l.rtdc.4037:itc</v>
      </c>
      <c r="G34" s="13">
        <f t="shared" si="1"/>
        <v>42548.58929398148</v>
      </c>
    </row>
    <row r="35" spans="1:7" x14ac:dyDescent="0.25">
      <c r="A35" s="13">
        <v>42547.945729166669</v>
      </c>
      <c r="B35" s="38" t="s">
        <v>63</v>
      </c>
      <c r="C35" s="38" t="s">
        <v>137</v>
      </c>
      <c r="D35" s="38">
        <v>1750000</v>
      </c>
      <c r="E35" s="38" t="s">
        <v>144</v>
      </c>
      <c r="F35" s="38" t="str">
        <f t="shared" si="0"/>
        <v>rtdc.l.rtdc.4032:itc</v>
      </c>
      <c r="G35" s="13">
        <f t="shared" si="1"/>
        <v>42547.945729166669</v>
      </c>
    </row>
    <row r="36" spans="1:7" x14ac:dyDescent="0.25">
      <c r="A36" s="13">
        <v>42548.599328703705</v>
      </c>
      <c r="B36" s="38" t="s">
        <v>125</v>
      </c>
      <c r="C36" s="38" t="s">
        <v>334</v>
      </c>
      <c r="D36" s="38">
        <v>1120000</v>
      </c>
      <c r="E36" s="38" t="s">
        <v>118</v>
      </c>
      <c r="F36" s="38" t="str">
        <f t="shared" si="0"/>
        <v>rtdc.l.rtdc.4026:itc</v>
      </c>
      <c r="G36" s="13">
        <f t="shared" si="1"/>
        <v>42548.599328703705</v>
      </c>
    </row>
    <row r="37" spans="1:7" x14ac:dyDescent="0.25">
      <c r="A37" s="13">
        <v>42547.88989583333</v>
      </c>
      <c r="B37" s="38" t="s">
        <v>65</v>
      </c>
      <c r="C37" s="38" t="s">
        <v>140</v>
      </c>
      <c r="D37" s="38">
        <v>1280000</v>
      </c>
      <c r="E37" s="38" t="s">
        <v>139</v>
      </c>
      <c r="F37" s="38" t="str">
        <f t="shared" si="0"/>
        <v>rtdc.l.rtdc.4019:itc</v>
      </c>
      <c r="G37" s="13">
        <f t="shared" si="1"/>
        <v>42547.88989583333</v>
      </c>
    </row>
    <row r="38" spans="1:7" x14ac:dyDescent="0.25">
      <c r="A38" s="13">
        <v>42548.628483796296</v>
      </c>
      <c r="B38" s="38" t="s">
        <v>63</v>
      </c>
      <c r="C38" s="38" t="s">
        <v>335</v>
      </c>
      <c r="D38" s="38">
        <v>1540000</v>
      </c>
      <c r="E38" s="38" t="s">
        <v>122</v>
      </c>
      <c r="F38" s="38" t="str">
        <f t="shared" si="0"/>
        <v>rtdc.l.rtdc.4032:itc</v>
      </c>
      <c r="G38" s="13">
        <f t="shared" si="1"/>
        <v>42548.628483796296</v>
      </c>
    </row>
    <row r="39" spans="1:7" x14ac:dyDescent="0.25">
      <c r="A39" s="13">
        <v>42548.201481481483</v>
      </c>
      <c r="B39" s="38" t="s">
        <v>109</v>
      </c>
      <c r="C39" s="38" t="s">
        <v>336</v>
      </c>
      <c r="D39" s="38">
        <v>1230000</v>
      </c>
      <c r="E39" s="38" t="s">
        <v>318</v>
      </c>
      <c r="F39" s="38" t="str">
        <f t="shared" si="0"/>
        <v>rtdc.l.rtdc.4038:itc</v>
      </c>
      <c r="G39" s="13">
        <f t="shared" si="1"/>
        <v>42548.201481481483</v>
      </c>
    </row>
    <row r="40" spans="1:7" x14ac:dyDescent="0.25">
      <c r="A40" s="13">
        <v>42548.675995370373</v>
      </c>
      <c r="B40" s="56" t="s">
        <v>77</v>
      </c>
      <c r="C40" s="38" t="s">
        <v>236</v>
      </c>
      <c r="D40" s="38">
        <v>1800000</v>
      </c>
      <c r="E40" s="38" t="s">
        <v>119</v>
      </c>
      <c r="F40" s="38" t="str">
        <f t="shared" si="0"/>
        <v>rtdc.l.rtdc.4041:itc</v>
      </c>
      <c r="G40" s="13">
        <f t="shared" si="1"/>
        <v>42548.675995370373</v>
      </c>
    </row>
    <row r="41" spans="1:7" x14ac:dyDescent="0.25">
      <c r="A41" s="13">
        <v>42548.031423611108</v>
      </c>
      <c r="B41" s="38" t="s">
        <v>125</v>
      </c>
      <c r="C41" s="38" t="s">
        <v>337</v>
      </c>
      <c r="D41" s="38">
        <v>1770000</v>
      </c>
      <c r="E41" s="38" t="s">
        <v>111</v>
      </c>
      <c r="F41" s="38" t="str">
        <f t="shared" si="0"/>
        <v>rtdc.l.rtdc.4026:itc</v>
      </c>
      <c r="G41" s="13">
        <f t="shared" si="1"/>
        <v>42548.031423611108</v>
      </c>
    </row>
    <row r="42" spans="1:7" x14ac:dyDescent="0.25">
      <c r="A42" s="13">
        <v>42548.747303240743</v>
      </c>
      <c r="B42" s="38" t="s">
        <v>113</v>
      </c>
      <c r="C42" s="38" t="s">
        <v>338</v>
      </c>
      <c r="D42" s="38">
        <v>1990000</v>
      </c>
      <c r="E42" s="38" t="s">
        <v>339</v>
      </c>
      <c r="F42" s="38" t="str">
        <f t="shared" si="0"/>
        <v>rtdc.l.rtdc.4024:itc</v>
      </c>
      <c r="G42" s="13">
        <f t="shared" si="1"/>
        <v>42548.747303240743</v>
      </c>
    </row>
    <row r="43" spans="1:7" x14ac:dyDescent="0.25">
      <c r="A43" s="13">
        <v>42547.872789351852</v>
      </c>
      <c r="B43" s="38" t="s">
        <v>109</v>
      </c>
      <c r="C43" s="38" t="s">
        <v>142</v>
      </c>
      <c r="D43" s="38">
        <v>1290000</v>
      </c>
      <c r="E43" s="38" t="s">
        <v>143</v>
      </c>
      <c r="F43" s="38" t="str">
        <f t="shared" si="0"/>
        <v>rtdc.l.rtdc.4038:itc</v>
      </c>
      <c r="G43" s="13">
        <f t="shared" si="1"/>
        <v>42547.872789351852</v>
      </c>
    </row>
    <row r="44" spans="1:7" x14ac:dyDescent="0.25">
      <c r="A44" s="13">
        <v>42548.845659722225</v>
      </c>
      <c r="B44" s="38" t="s">
        <v>69</v>
      </c>
      <c r="C44" s="38" t="s">
        <v>316</v>
      </c>
      <c r="D44" s="38">
        <v>1780000</v>
      </c>
      <c r="E44" s="38" t="s">
        <v>147</v>
      </c>
      <c r="F44" s="38" t="str">
        <f t="shared" si="0"/>
        <v>rtdc.l.rtdc.4008:itc</v>
      </c>
      <c r="G44" s="13">
        <f t="shared" si="1"/>
        <v>42548.845659722225</v>
      </c>
    </row>
    <row r="45" spans="1:7" x14ac:dyDescent="0.25">
      <c r="A45" s="13">
        <v>42547.81045138889</v>
      </c>
      <c r="B45" s="38" t="s">
        <v>117</v>
      </c>
      <c r="C45" s="38" t="s">
        <v>148</v>
      </c>
      <c r="D45" s="38">
        <v>1800000</v>
      </c>
      <c r="E45" s="38" t="s">
        <v>119</v>
      </c>
      <c r="F45" s="38" t="str">
        <f t="shared" si="0"/>
        <v>rtdc.l.rtdc.4011:itc</v>
      </c>
      <c r="G45" s="13">
        <f t="shared" si="1"/>
        <v>42547.81045138889</v>
      </c>
    </row>
    <row r="46" spans="1:7" x14ac:dyDescent="0.25">
      <c r="A46" s="13">
        <v>42548.912754629629</v>
      </c>
      <c r="B46" s="38" t="s">
        <v>340</v>
      </c>
      <c r="C46" s="38" t="s">
        <v>341</v>
      </c>
      <c r="D46" s="38">
        <v>1770000</v>
      </c>
      <c r="E46" s="38" t="s">
        <v>111</v>
      </c>
      <c r="F46" s="38" t="str">
        <f t="shared" si="0"/>
        <v>rtdc.l.rtdc.4040:itc</v>
      </c>
      <c r="G46" s="13">
        <f t="shared" si="1"/>
        <v>42548.912754629629</v>
      </c>
    </row>
    <row r="47" spans="1:7" x14ac:dyDescent="0.25">
      <c r="A47" s="13">
        <v>42548.216585648152</v>
      </c>
      <c r="B47" s="38" t="s">
        <v>77</v>
      </c>
      <c r="C47" s="38" t="s">
        <v>164</v>
      </c>
      <c r="D47" s="38">
        <v>1460000</v>
      </c>
      <c r="E47" s="38" t="s">
        <v>108</v>
      </c>
      <c r="F47" s="38" t="str">
        <f t="shared" si="0"/>
        <v>rtdc.l.rtdc.4041:itc</v>
      </c>
      <c r="G47" s="13">
        <f t="shared" si="1"/>
        <v>42548.216585648152</v>
      </c>
    </row>
    <row r="48" spans="1:7" x14ac:dyDescent="0.25">
      <c r="A48" s="13">
        <v>42547.866493055553</v>
      </c>
      <c r="B48" s="38" t="s">
        <v>125</v>
      </c>
      <c r="C48" s="38" t="s">
        <v>152</v>
      </c>
      <c r="D48" s="38">
        <v>1770000</v>
      </c>
      <c r="E48" s="38" t="s">
        <v>111</v>
      </c>
      <c r="F48" s="38" t="str">
        <f t="shared" si="0"/>
        <v>rtdc.l.rtdc.4026:itc</v>
      </c>
      <c r="G48" s="13">
        <f t="shared" si="1"/>
        <v>42547.866493055553</v>
      </c>
    </row>
    <row r="49" spans="1:7" x14ac:dyDescent="0.25">
      <c r="A49" s="13">
        <v>42547.928217592591</v>
      </c>
      <c r="B49" s="38" t="s">
        <v>66</v>
      </c>
      <c r="C49" s="38" t="s">
        <v>146</v>
      </c>
      <c r="D49" s="38">
        <v>1280000</v>
      </c>
      <c r="E49" s="38" t="s">
        <v>139</v>
      </c>
      <c r="F49" s="38" t="str">
        <f t="shared" si="0"/>
        <v>rtdc.l.rtdc.4020:itc</v>
      </c>
      <c r="G49" s="13">
        <f t="shared" si="1"/>
        <v>42547.928217592591</v>
      </c>
    </row>
    <row r="50" spans="1:7" x14ac:dyDescent="0.25">
      <c r="A50" s="13">
        <v>42547.909444444442</v>
      </c>
      <c r="B50" s="38" t="s">
        <v>124</v>
      </c>
      <c r="C50" s="38" t="s">
        <v>153</v>
      </c>
      <c r="D50" s="38">
        <v>1770000</v>
      </c>
      <c r="E50" s="38" t="s">
        <v>111</v>
      </c>
      <c r="F50" s="38" t="str">
        <f t="shared" si="0"/>
        <v>rtdc.l.rtdc.4025:itc</v>
      </c>
      <c r="G50" s="13">
        <f t="shared" si="1"/>
        <v>42547.909444444442</v>
      </c>
    </row>
    <row r="51" spans="1:7" x14ac:dyDescent="0.25">
      <c r="A51" s="13">
        <v>42548.211782407408</v>
      </c>
      <c r="B51" s="38" t="s">
        <v>325</v>
      </c>
      <c r="C51" s="38" t="s">
        <v>342</v>
      </c>
      <c r="D51" s="38">
        <v>1840000</v>
      </c>
      <c r="E51" s="38" t="s">
        <v>107</v>
      </c>
      <c r="F51" s="38" t="str">
        <f t="shared" si="0"/>
        <v>rtdc.l.rtdc.4027:itc</v>
      </c>
      <c r="G51" s="13">
        <f t="shared" si="1"/>
        <v>42548.211782407408</v>
      </c>
    </row>
    <row r="52" spans="1:7" x14ac:dyDescent="0.25">
      <c r="A52" s="13">
        <v>42548.184398148151</v>
      </c>
      <c r="B52" s="38" t="s">
        <v>109</v>
      </c>
      <c r="C52" s="38" t="s">
        <v>336</v>
      </c>
      <c r="D52" s="38">
        <v>1230000</v>
      </c>
      <c r="E52" s="38" t="s">
        <v>318</v>
      </c>
      <c r="F52" s="38" t="str">
        <f t="shared" si="0"/>
        <v>rtdc.l.rtdc.4038:itc</v>
      </c>
      <c r="G52" s="13">
        <f t="shared" si="1"/>
        <v>42548.184398148151</v>
      </c>
    </row>
    <row r="53" spans="1:7" x14ac:dyDescent="0.25">
      <c r="A53" s="13">
        <v>42548.199097222219</v>
      </c>
      <c r="B53" s="38" t="s">
        <v>124</v>
      </c>
      <c r="C53" s="38" t="s">
        <v>343</v>
      </c>
      <c r="D53" s="38">
        <v>1090000</v>
      </c>
      <c r="E53" s="38" t="s">
        <v>344</v>
      </c>
      <c r="F53" s="38" t="str">
        <f t="shared" si="0"/>
        <v>rtdc.l.rtdc.4025:itc</v>
      </c>
      <c r="G53" s="13">
        <f t="shared" si="1"/>
        <v>42548.199097222219</v>
      </c>
    </row>
    <row r="54" spans="1:7" x14ac:dyDescent="0.25">
      <c r="A54" s="13">
        <v>42548.257337962961</v>
      </c>
      <c r="B54" s="38" t="s">
        <v>109</v>
      </c>
      <c r="C54" s="38" t="s">
        <v>345</v>
      </c>
      <c r="D54" s="38">
        <v>1230000</v>
      </c>
      <c r="E54" s="38" t="s">
        <v>318</v>
      </c>
      <c r="F54" s="38" t="str">
        <f t="shared" si="0"/>
        <v>rtdc.l.rtdc.4038:itc</v>
      </c>
      <c r="G54" s="13">
        <f t="shared" si="1"/>
        <v>42548.257337962961</v>
      </c>
    </row>
    <row r="55" spans="1:7" x14ac:dyDescent="0.25">
      <c r="A55" s="13">
        <v>42548.191851851851</v>
      </c>
      <c r="B55" s="38" t="s">
        <v>69</v>
      </c>
      <c r="C55" s="38" t="s">
        <v>346</v>
      </c>
      <c r="D55" s="38">
        <v>1480000</v>
      </c>
      <c r="E55" s="38" t="s">
        <v>116</v>
      </c>
      <c r="F55" s="38" t="str">
        <f t="shared" si="0"/>
        <v>rtdc.l.rtdc.4008:itc</v>
      </c>
      <c r="G55" s="13">
        <f t="shared" si="1"/>
        <v>42548.191851851851</v>
      </c>
    </row>
    <row r="56" spans="1:7" x14ac:dyDescent="0.25">
      <c r="A56" s="13">
        <v>42548.361550925925</v>
      </c>
      <c r="B56" s="38" t="s">
        <v>325</v>
      </c>
      <c r="C56" s="38" t="s">
        <v>347</v>
      </c>
      <c r="D56" s="38">
        <v>1840000</v>
      </c>
      <c r="E56" s="38" t="s">
        <v>107</v>
      </c>
      <c r="F56" s="38" t="str">
        <f t="shared" si="0"/>
        <v>rtdc.l.rtdc.4027:itc</v>
      </c>
      <c r="G56" s="13">
        <f t="shared" si="1"/>
        <v>42548.361550925925</v>
      </c>
    </row>
    <row r="57" spans="1:7" x14ac:dyDescent="0.25">
      <c r="A57" s="13">
        <v>42548.130011574074</v>
      </c>
      <c r="B57" s="38" t="s">
        <v>300</v>
      </c>
      <c r="C57" s="38" t="s">
        <v>348</v>
      </c>
      <c r="D57" s="38">
        <v>1840000</v>
      </c>
      <c r="E57" s="38" t="s">
        <v>107</v>
      </c>
      <c r="F57" s="38" t="str">
        <f t="shared" si="0"/>
        <v>rtdc.l.rtdc.4029:itc</v>
      </c>
      <c r="G57" s="13">
        <f t="shared" si="1"/>
        <v>42548.130011574074</v>
      </c>
    </row>
    <row r="58" spans="1:7" x14ac:dyDescent="0.25">
      <c r="A58" s="13">
        <v>42547.894618055558</v>
      </c>
      <c r="B58" s="38" t="s">
        <v>71</v>
      </c>
      <c r="C58" s="38" t="s">
        <v>135</v>
      </c>
      <c r="D58" s="38">
        <v>1750000</v>
      </c>
      <c r="E58" s="38" t="s">
        <v>144</v>
      </c>
      <c r="F58" s="38" t="str">
        <f t="shared" si="0"/>
        <v>rtdc.l.rtdc.4031:itc</v>
      </c>
      <c r="G58" s="13">
        <f t="shared" si="1"/>
        <v>42547.894618055558</v>
      </c>
    </row>
    <row r="59" spans="1:7" x14ac:dyDescent="0.25">
      <c r="A59" s="13">
        <v>42547.905023148145</v>
      </c>
      <c r="B59" s="38" t="s">
        <v>71</v>
      </c>
      <c r="C59" s="38" t="s">
        <v>135</v>
      </c>
      <c r="D59" s="38">
        <v>1750000</v>
      </c>
      <c r="E59" s="38" t="s">
        <v>144</v>
      </c>
      <c r="F59" s="38" t="str">
        <f t="shared" si="0"/>
        <v>rtdc.l.rtdc.4031:itc</v>
      </c>
      <c r="G59" s="13">
        <f t="shared" si="1"/>
        <v>42547.905023148145</v>
      </c>
    </row>
    <row r="60" spans="1:7" x14ac:dyDescent="0.25">
      <c r="A60" s="13">
        <v>42548.151307870372</v>
      </c>
      <c r="B60" s="38" t="s">
        <v>71</v>
      </c>
      <c r="C60" s="38" t="s">
        <v>349</v>
      </c>
      <c r="D60" s="38">
        <v>1480000</v>
      </c>
      <c r="E60" s="38" t="s">
        <v>116</v>
      </c>
      <c r="F60" s="38" t="str">
        <f t="shared" si="0"/>
        <v>rtdc.l.rtdc.4031:itc</v>
      </c>
      <c r="G60" s="13">
        <f t="shared" si="1"/>
        <v>42548.151307870372</v>
      </c>
    </row>
    <row r="61" spans="1:7" x14ac:dyDescent="0.25">
      <c r="A61" s="13">
        <v>42547.972962962966</v>
      </c>
      <c r="B61" s="38" t="s">
        <v>65</v>
      </c>
      <c r="C61" s="38" t="s">
        <v>141</v>
      </c>
      <c r="D61" s="38">
        <v>1280000</v>
      </c>
      <c r="E61" s="38" t="s">
        <v>139</v>
      </c>
      <c r="F61" s="38" t="str">
        <f t="shared" si="0"/>
        <v>rtdc.l.rtdc.4019:itc</v>
      </c>
      <c r="G61" s="13">
        <f t="shared" si="1"/>
        <v>42547.972962962966</v>
      </c>
    </row>
    <row r="62" spans="1:7" x14ac:dyDescent="0.25">
      <c r="A62" s="13">
        <v>42548.308333333334</v>
      </c>
      <c r="B62" s="38" t="s">
        <v>70</v>
      </c>
      <c r="C62" s="38" t="s">
        <v>350</v>
      </c>
      <c r="D62" s="38">
        <v>2030000</v>
      </c>
      <c r="E62" s="38" t="s">
        <v>310</v>
      </c>
      <c r="F62" s="38" t="str">
        <f t="shared" si="0"/>
        <v>rtdc.l.rtdc.4007:itc</v>
      </c>
      <c r="G62" s="13">
        <f t="shared" si="1"/>
        <v>42548.308333333334</v>
      </c>
    </row>
    <row r="63" spans="1:7" x14ac:dyDescent="0.25">
      <c r="A63" s="13">
        <v>42547.84952546296</v>
      </c>
      <c r="B63" s="38" t="s">
        <v>66</v>
      </c>
      <c r="C63" s="38" t="s">
        <v>138</v>
      </c>
      <c r="D63" s="38">
        <v>1280000</v>
      </c>
      <c r="E63" s="38" t="s">
        <v>139</v>
      </c>
      <c r="F63" s="38" t="str">
        <f t="shared" si="0"/>
        <v>rtdc.l.rtdc.4020:itc</v>
      </c>
      <c r="G63" s="13">
        <f t="shared" si="1"/>
        <v>42547.84952546296</v>
      </c>
    </row>
    <row r="64" spans="1:7" x14ac:dyDescent="0.25">
      <c r="A64" s="57">
        <v>42548.414143518516</v>
      </c>
      <c r="B64" s="38" t="s">
        <v>69</v>
      </c>
      <c r="C64" s="38" t="s">
        <v>351</v>
      </c>
      <c r="D64" s="38">
        <v>2030000</v>
      </c>
      <c r="E64" s="38" t="s">
        <v>310</v>
      </c>
      <c r="F64" s="38" t="str">
        <f t="shared" si="0"/>
        <v>rtdc.l.rtdc.4008:itc</v>
      </c>
      <c r="G64" s="13">
        <f t="shared" si="1"/>
        <v>42548.414143518516</v>
      </c>
    </row>
    <row r="65" spans="1:7" x14ac:dyDescent="0.25">
      <c r="A65" s="13">
        <v>42547.951597222222</v>
      </c>
      <c r="B65" s="38" t="s">
        <v>125</v>
      </c>
      <c r="C65" s="38" t="s">
        <v>149</v>
      </c>
      <c r="D65" s="38">
        <v>1770000</v>
      </c>
      <c r="E65" s="38" t="s">
        <v>111</v>
      </c>
      <c r="F65" s="38" t="str">
        <f t="shared" si="0"/>
        <v>rtdc.l.rtdc.4026:itc</v>
      </c>
      <c r="G65" s="13">
        <f t="shared" si="1"/>
        <v>42547.951597222222</v>
      </c>
    </row>
    <row r="66" spans="1:7" x14ac:dyDescent="0.25">
      <c r="A66" s="13">
        <v>42547.89266203704</v>
      </c>
      <c r="B66" s="38" t="s">
        <v>117</v>
      </c>
      <c r="C66" s="38" t="s">
        <v>154</v>
      </c>
      <c r="D66" s="38">
        <v>1800000</v>
      </c>
      <c r="E66" s="38" t="s">
        <v>119</v>
      </c>
      <c r="F66" s="38" t="str">
        <f t="shared" ref="F66:F129" si="2">B66</f>
        <v>rtdc.l.rtdc.4011:itc</v>
      </c>
      <c r="G66" s="13">
        <f t="shared" ref="G66:G129" si="3">A66</f>
        <v>42547.89266203704</v>
      </c>
    </row>
    <row r="67" spans="1:7" x14ac:dyDescent="0.25">
      <c r="A67" s="13">
        <v>42547.842928240738</v>
      </c>
      <c r="B67" s="38" t="s">
        <v>71</v>
      </c>
      <c r="C67" s="38" t="s">
        <v>133</v>
      </c>
      <c r="D67" s="38">
        <v>1750000</v>
      </c>
      <c r="E67" s="38" t="s">
        <v>144</v>
      </c>
      <c r="F67" s="38" t="str">
        <f t="shared" si="2"/>
        <v>rtdc.l.rtdc.4031:itc</v>
      </c>
      <c r="G67" s="13">
        <f t="shared" si="3"/>
        <v>42547.842928240738</v>
      </c>
    </row>
    <row r="68" spans="1:7" x14ac:dyDescent="0.25">
      <c r="A68" s="13">
        <v>42547.95988425926</v>
      </c>
      <c r="B68" s="38" t="s">
        <v>125</v>
      </c>
      <c r="C68" s="38" t="s">
        <v>149</v>
      </c>
      <c r="D68" s="38">
        <v>1770000</v>
      </c>
      <c r="E68" s="38" t="s">
        <v>111</v>
      </c>
      <c r="F68" s="38" t="str">
        <f t="shared" si="2"/>
        <v>rtdc.l.rtdc.4026:itc</v>
      </c>
      <c r="G68" s="13">
        <f t="shared" si="3"/>
        <v>42547.95988425926</v>
      </c>
    </row>
    <row r="69" spans="1:7" x14ac:dyDescent="0.25">
      <c r="A69" s="13">
        <v>42547.850439814814</v>
      </c>
      <c r="B69" s="38" t="s">
        <v>115</v>
      </c>
      <c r="C69" s="38" t="s">
        <v>145</v>
      </c>
      <c r="D69" s="38">
        <v>1800000</v>
      </c>
      <c r="E69" s="38" t="s">
        <v>119</v>
      </c>
      <c r="F69" s="38" t="str">
        <f t="shared" si="2"/>
        <v>rtdc.l.rtdc.4012:itc</v>
      </c>
      <c r="G69" s="13">
        <f t="shared" si="3"/>
        <v>42547.850439814814</v>
      </c>
    </row>
    <row r="70" spans="1:7" x14ac:dyDescent="0.25">
      <c r="A70" s="13">
        <v>42547.976446759261</v>
      </c>
      <c r="B70" s="38" t="s">
        <v>117</v>
      </c>
      <c r="C70" s="38" t="s">
        <v>155</v>
      </c>
      <c r="D70" s="38">
        <v>1800000</v>
      </c>
      <c r="E70" s="38" t="s">
        <v>119</v>
      </c>
      <c r="F70" s="38" t="str">
        <f t="shared" si="2"/>
        <v>rtdc.l.rtdc.4011:itc</v>
      </c>
      <c r="G70" s="13">
        <f t="shared" si="3"/>
        <v>42547.976446759261</v>
      </c>
    </row>
    <row r="71" spans="1:7" x14ac:dyDescent="0.25">
      <c r="A71" s="13">
        <v>42548.758101851854</v>
      </c>
      <c r="B71" s="38" t="s">
        <v>340</v>
      </c>
      <c r="C71" s="38" t="s">
        <v>352</v>
      </c>
      <c r="D71" s="38">
        <v>1770000</v>
      </c>
      <c r="E71" s="38" t="s">
        <v>111</v>
      </c>
      <c r="F71" s="38" t="str">
        <f t="shared" si="2"/>
        <v>rtdc.l.rtdc.4040:itc</v>
      </c>
      <c r="G71" s="13">
        <f t="shared" si="3"/>
        <v>42548.758101851854</v>
      </c>
    </row>
    <row r="72" spans="1:7" x14ac:dyDescent="0.25">
      <c r="A72" s="13">
        <v>42548.012731481482</v>
      </c>
      <c r="B72" s="38" t="s">
        <v>353</v>
      </c>
      <c r="C72" s="38" t="s">
        <v>354</v>
      </c>
      <c r="D72" s="38">
        <v>1280000</v>
      </c>
      <c r="E72" s="38" t="s">
        <v>139</v>
      </c>
      <c r="F72" s="38" t="str">
        <f t="shared" si="2"/>
        <v>rtdc.l.rtdc.4044:itc</v>
      </c>
      <c r="G72" s="13">
        <f t="shared" si="3"/>
        <v>42548.012731481482</v>
      </c>
    </row>
    <row r="73" spans="1:7" x14ac:dyDescent="0.25">
      <c r="A73" s="13">
        <v>42548.739490740743</v>
      </c>
      <c r="B73" s="38" t="s">
        <v>78</v>
      </c>
      <c r="C73" s="38" t="s">
        <v>251</v>
      </c>
      <c r="D73" s="38">
        <v>1800000</v>
      </c>
      <c r="E73" s="38" t="s">
        <v>119</v>
      </c>
      <c r="F73" s="38" t="str">
        <f t="shared" si="2"/>
        <v>rtdc.l.rtdc.4042:itc</v>
      </c>
      <c r="G73" s="13">
        <f t="shared" si="3"/>
        <v>42548.739490740743</v>
      </c>
    </row>
    <row r="74" spans="1:7" x14ac:dyDescent="0.25">
      <c r="A74" s="13">
        <v>42548.238854166666</v>
      </c>
      <c r="B74" s="38" t="s">
        <v>78</v>
      </c>
      <c r="C74" s="38" t="s">
        <v>167</v>
      </c>
      <c r="D74" s="38">
        <v>1460000</v>
      </c>
      <c r="E74" s="38" t="s">
        <v>108</v>
      </c>
      <c r="F74" s="38" t="str">
        <f t="shared" si="2"/>
        <v>rtdc.l.rtdc.4042:itc</v>
      </c>
      <c r="G74" s="13">
        <f t="shared" si="3"/>
        <v>42548.238854166666</v>
      </c>
    </row>
    <row r="75" spans="1:7" x14ac:dyDescent="0.25">
      <c r="A75" s="13">
        <v>42548.71534722222</v>
      </c>
      <c r="B75" s="38" t="s">
        <v>114</v>
      </c>
      <c r="C75" s="38" t="s">
        <v>355</v>
      </c>
      <c r="D75" s="38">
        <v>1990000</v>
      </c>
      <c r="E75" s="38" t="s">
        <v>339</v>
      </c>
      <c r="F75" s="38" t="str">
        <f t="shared" si="2"/>
        <v>rtdc.l.rtdc.4023:itc</v>
      </c>
      <c r="G75" s="13">
        <f t="shared" si="3"/>
        <v>42548.71534722222</v>
      </c>
    </row>
    <row r="76" spans="1:7" x14ac:dyDescent="0.25">
      <c r="A76" s="13">
        <v>42548.256747685184</v>
      </c>
      <c r="B76" s="38" t="s">
        <v>109</v>
      </c>
      <c r="C76" s="38" t="s">
        <v>345</v>
      </c>
      <c r="D76" s="38">
        <v>1230000</v>
      </c>
      <c r="E76" s="38" t="s">
        <v>318</v>
      </c>
      <c r="F76" s="38" t="str">
        <f t="shared" si="2"/>
        <v>rtdc.l.rtdc.4038:itc</v>
      </c>
      <c r="G76" s="13">
        <f t="shared" si="3"/>
        <v>42548.256747685184</v>
      </c>
    </row>
    <row r="77" spans="1:7" x14ac:dyDescent="0.25">
      <c r="A77" s="13">
        <v>42548.94327546296</v>
      </c>
      <c r="B77" s="38" t="s">
        <v>68</v>
      </c>
      <c r="C77" s="38" t="s">
        <v>294</v>
      </c>
      <c r="D77" s="38">
        <v>1750000</v>
      </c>
      <c r="E77" s="38" t="s">
        <v>144</v>
      </c>
      <c r="F77" s="38" t="str">
        <f t="shared" si="2"/>
        <v>rtdc.l.rtdc.4017:itc</v>
      </c>
      <c r="G77" s="13">
        <f t="shared" si="3"/>
        <v>42548.94327546296</v>
      </c>
    </row>
    <row r="78" spans="1:7" x14ac:dyDescent="0.25">
      <c r="A78" s="13">
        <v>42548.29515046296</v>
      </c>
      <c r="B78" s="38" t="s">
        <v>150</v>
      </c>
      <c r="C78" s="38" t="s">
        <v>356</v>
      </c>
      <c r="D78" s="38">
        <v>1230000</v>
      </c>
      <c r="E78" s="38" t="s">
        <v>318</v>
      </c>
      <c r="F78" s="38" t="str">
        <f t="shared" si="2"/>
        <v>rtdc.l.rtdc.4037:itc</v>
      </c>
      <c r="G78" s="13">
        <f t="shared" si="3"/>
        <v>42548.29515046296</v>
      </c>
    </row>
    <row r="79" spans="1:7" x14ac:dyDescent="0.25">
      <c r="A79" s="13">
        <v>42548.794548611113</v>
      </c>
      <c r="B79" s="38" t="s">
        <v>357</v>
      </c>
      <c r="C79" s="38" t="s">
        <v>358</v>
      </c>
      <c r="D79" s="38">
        <v>1770000</v>
      </c>
      <c r="E79" s="38" t="s">
        <v>111</v>
      </c>
      <c r="F79" s="38" t="str">
        <f t="shared" si="2"/>
        <v>rtdc.l.rtdc.4039:itc</v>
      </c>
      <c r="G79" s="13">
        <f t="shared" si="3"/>
        <v>42548.794548611113</v>
      </c>
    </row>
    <row r="80" spans="1:7" x14ac:dyDescent="0.25">
      <c r="A80" s="13">
        <v>42548.345543981479</v>
      </c>
      <c r="B80" s="38" t="s">
        <v>69</v>
      </c>
      <c r="C80" s="38" t="s">
        <v>359</v>
      </c>
      <c r="D80" s="38">
        <v>2030000</v>
      </c>
      <c r="E80" s="38" t="s">
        <v>310</v>
      </c>
      <c r="F80" s="38" t="str">
        <f t="shared" si="2"/>
        <v>rtdc.l.rtdc.4008:itc</v>
      </c>
      <c r="G80" s="13">
        <f t="shared" si="3"/>
        <v>42548.345543981479</v>
      </c>
    </row>
    <row r="81" spans="1:7" x14ac:dyDescent="0.25">
      <c r="A81" s="13">
        <v>42548.652546296296</v>
      </c>
      <c r="B81" s="38" t="s">
        <v>325</v>
      </c>
      <c r="C81" s="38" t="s">
        <v>360</v>
      </c>
      <c r="D81" s="38">
        <v>2020000</v>
      </c>
      <c r="E81" s="38" t="s">
        <v>327</v>
      </c>
      <c r="F81" s="38" t="str">
        <f t="shared" si="2"/>
        <v>rtdc.l.rtdc.4027:itc</v>
      </c>
      <c r="G81" s="13">
        <f t="shared" si="3"/>
        <v>42548.652546296296</v>
      </c>
    </row>
    <row r="82" spans="1:7" x14ac:dyDescent="0.25">
      <c r="A82" s="13">
        <v>42548.289224537039</v>
      </c>
      <c r="B82" s="38" t="s">
        <v>114</v>
      </c>
      <c r="C82" s="38" t="s">
        <v>361</v>
      </c>
      <c r="D82" s="38">
        <v>900000</v>
      </c>
      <c r="E82" s="38" t="s">
        <v>330</v>
      </c>
      <c r="F82" s="38" t="str">
        <f t="shared" si="2"/>
        <v>rtdc.l.rtdc.4023:itc</v>
      </c>
      <c r="G82" s="13">
        <f t="shared" si="3"/>
        <v>42548.289224537039</v>
      </c>
    </row>
    <row r="83" spans="1:7" x14ac:dyDescent="0.25">
      <c r="A83" s="13">
        <v>42548.589745370373</v>
      </c>
      <c r="B83" s="38" t="s">
        <v>71</v>
      </c>
      <c r="C83" s="38" t="s">
        <v>362</v>
      </c>
      <c r="D83" s="38">
        <v>1540000</v>
      </c>
      <c r="E83" s="38" t="s">
        <v>122</v>
      </c>
      <c r="F83" s="38" t="str">
        <f t="shared" si="2"/>
        <v>rtdc.l.rtdc.4031:itc</v>
      </c>
      <c r="G83" s="13">
        <f t="shared" si="3"/>
        <v>42548.589745370373</v>
      </c>
    </row>
    <row r="84" spans="1:7" x14ac:dyDescent="0.25">
      <c r="A84" s="13">
        <v>42548.01662037037</v>
      </c>
      <c r="B84" s="38" t="s">
        <v>115</v>
      </c>
      <c r="C84" s="38" t="s">
        <v>363</v>
      </c>
      <c r="D84" s="38">
        <v>1800000</v>
      </c>
      <c r="E84" s="38" t="s">
        <v>119</v>
      </c>
      <c r="F84" s="38" t="str">
        <f t="shared" si="2"/>
        <v>rtdc.l.rtdc.4012:itc</v>
      </c>
      <c r="G84" s="13">
        <f t="shared" si="3"/>
        <v>42548.01662037037</v>
      </c>
    </row>
    <row r="85" spans="1:7" x14ac:dyDescent="0.25">
      <c r="A85" s="13">
        <v>42549.059525462966</v>
      </c>
      <c r="B85" s="38" t="s">
        <v>63</v>
      </c>
      <c r="C85" s="38" t="s">
        <v>364</v>
      </c>
      <c r="D85" s="38">
        <v>1280000</v>
      </c>
      <c r="E85" s="38" t="s">
        <v>139</v>
      </c>
      <c r="F85" s="38" t="str">
        <f t="shared" si="2"/>
        <v>rtdc.l.rtdc.4032:itc</v>
      </c>
      <c r="G85" s="13">
        <f t="shared" si="3"/>
        <v>42549.059525462966</v>
      </c>
    </row>
    <row r="86" spans="1:7" x14ac:dyDescent="0.25">
      <c r="A86" s="13">
        <v>42548.226226851853</v>
      </c>
      <c r="B86" s="38" t="s">
        <v>150</v>
      </c>
      <c r="C86" s="38" t="s">
        <v>365</v>
      </c>
      <c r="D86" s="38">
        <v>1230000</v>
      </c>
      <c r="E86" s="38" t="s">
        <v>318</v>
      </c>
      <c r="F86" s="38" t="str">
        <f t="shared" si="2"/>
        <v>rtdc.l.rtdc.4037:itc</v>
      </c>
      <c r="G86" s="13">
        <f t="shared" si="3"/>
        <v>42548.226226851853</v>
      </c>
    </row>
    <row r="87" spans="1:7" x14ac:dyDescent="0.25">
      <c r="A87" s="13">
        <v>42548.730509259258</v>
      </c>
      <c r="B87" s="38" t="s">
        <v>150</v>
      </c>
      <c r="C87" s="38" t="s">
        <v>366</v>
      </c>
      <c r="D87" s="38">
        <v>2040000</v>
      </c>
      <c r="E87" s="38" t="s">
        <v>306</v>
      </c>
      <c r="F87" s="38" t="str">
        <f t="shared" si="2"/>
        <v>rtdc.l.rtdc.4037:itc</v>
      </c>
      <c r="G87" s="13">
        <f t="shared" si="3"/>
        <v>42548.730509259258</v>
      </c>
    </row>
    <row r="88" spans="1:7" x14ac:dyDescent="0.25">
      <c r="A88" s="13">
        <v>42548.279594907406</v>
      </c>
      <c r="B88" s="38" t="s">
        <v>68</v>
      </c>
      <c r="C88" s="38" t="s">
        <v>175</v>
      </c>
      <c r="D88" s="38">
        <v>1820000</v>
      </c>
      <c r="E88" s="38" t="s">
        <v>99</v>
      </c>
      <c r="F88" s="38" t="str">
        <f t="shared" si="2"/>
        <v>rtdc.l.rtdc.4017:itc</v>
      </c>
      <c r="G88" s="13">
        <f t="shared" si="3"/>
        <v>42548.279594907406</v>
      </c>
    </row>
    <row r="89" spans="1:7" x14ac:dyDescent="0.25">
      <c r="A89" s="13">
        <v>42548.693043981482</v>
      </c>
      <c r="B89" s="38" t="s">
        <v>123</v>
      </c>
      <c r="C89" s="38" t="s">
        <v>367</v>
      </c>
      <c r="D89" s="38">
        <v>2020000</v>
      </c>
      <c r="E89" s="38" t="s">
        <v>327</v>
      </c>
      <c r="F89" s="38" t="str">
        <f t="shared" si="2"/>
        <v>rtdc.l.rtdc.4028:itc</v>
      </c>
      <c r="G89" s="13">
        <f t="shared" si="3"/>
        <v>42548.693043981482</v>
      </c>
    </row>
    <row r="90" spans="1:7" x14ac:dyDescent="0.25">
      <c r="A90" s="13">
        <v>42548.319837962961</v>
      </c>
      <c r="B90" s="38" t="s">
        <v>68</v>
      </c>
      <c r="C90" s="38" t="s">
        <v>187</v>
      </c>
      <c r="D90" s="38">
        <v>1820000</v>
      </c>
      <c r="E90" s="38" t="s">
        <v>99</v>
      </c>
      <c r="F90" s="38" t="str">
        <f t="shared" si="2"/>
        <v>rtdc.l.rtdc.4017:itc</v>
      </c>
      <c r="G90" s="13">
        <f t="shared" si="3"/>
        <v>42548.319837962961</v>
      </c>
    </row>
    <row r="91" spans="1:7" x14ac:dyDescent="0.25">
      <c r="A91" s="13">
        <v>42548.612905092596</v>
      </c>
      <c r="B91" s="38" t="s">
        <v>120</v>
      </c>
      <c r="C91" s="38" t="s">
        <v>320</v>
      </c>
      <c r="D91" s="38">
        <v>2000000</v>
      </c>
      <c r="E91" s="38" t="s">
        <v>298</v>
      </c>
      <c r="F91" s="38" t="str">
        <f t="shared" si="2"/>
        <v>rtdc.l.rtdc.4014:itc</v>
      </c>
      <c r="G91" s="13">
        <f t="shared" si="3"/>
        <v>42548.612905092596</v>
      </c>
    </row>
    <row r="92" spans="1:7" x14ac:dyDescent="0.25">
      <c r="A92" s="13">
        <v>42548.330960648149</v>
      </c>
      <c r="B92" s="38" t="s">
        <v>109</v>
      </c>
      <c r="C92" s="38" t="s">
        <v>368</v>
      </c>
      <c r="D92" s="38">
        <v>1230000</v>
      </c>
      <c r="E92" s="38" t="s">
        <v>318</v>
      </c>
      <c r="F92" s="38" t="str">
        <f t="shared" si="2"/>
        <v>rtdc.l.rtdc.4038:itc</v>
      </c>
      <c r="G92" s="13">
        <f t="shared" si="3"/>
        <v>42548.330960648149</v>
      </c>
    </row>
    <row r="93" spans="1:7" x14ac:dyDescent="0.25">
      <c r="A93" s="13">
        <v>42548.525671296295</v>
      </c>
      <c r="B93" s="38" t="s">
        <v>68</v>
      </c>
      <c r="C93" s="38" t="s">
        <v>219</v>
      </c>
      <c r="D93" s="38">
        <v>1460000</v>
      </c>
      <c r="E93" s="38" t="s">
        <v>108</v>
      </c>
      <c r="F93" s="38" t="str">
        <f t="shared" si="2"/>
        <v>rtdc.l.rtdc.4017:itc</v>
      </c>
      <c r="G93" s="13">
        <f t="shared" si="3"/>
        <v>42548.525671296295</v>
      </c>
    </row>
    <row r="94" spans="1:7" x14ac:dyDescent="0.25">
      <c r="A94" s="13">
        <v>42547.806516203702</v>
      </c>
      <c r="B94" s="38" t="s">
        <v>65</v>
      </c>
      <c r="C94" s="38" t="s">
        <v>157</v>
      </c>
      <c r="D94" s="38">
        <v>1280000</v>
      </c>
      <c r="E94" s="38" t="s">
        <v>139</v>
      </c>
      <c r="F94" s="38" t="str">
        <f t="shared" si="2"/>
        <v>rtdc.l.rtdc.4019:itc</v>
      </c>
      <c r="G94" s="13">
        <f t="shared" si="3"/>
        <v>42547.806516203702</v>
      </c>
    </row>
    <row r="95" spans="1:7" x14ac:dyDescent="0.25">
      <c r="A95" s="13">
        <v>42548.548379629632</v>
      </c>
      <c r="B95" s="38" t="s">
        <v>109</v>
      </c>
      <c r="C95" s="38" t="s">
        <v>369</v>
      </c>
      <c r="D95" s="38">
        <v>2040000</v>
      </c>
      <c r="E95" s="38" t="s">
        <v>306</v>
      </c>
      <c r="F95" s="38" t="str">
        <f t="shared" si="2"/>
        <v>rtdc.l.rtdc.4038:itc</v>
      </c>
      <c r="G95" s="13">
        <f t="shared" si="3"/>
        <v>42548.548379629632</v>
      </c>
    </row>
    <row r="96" spans="1:7" x14ac:dyDescent="0.25">
      <c r="A96" s="13">
        <v>42548.131145833337</v>
      </c>
      <c r="B96" s="38" t="s">
        <v>300</v>
      </c>
      <c r="C96" s="38" t="s">
        <v>348</v>
      </c>
      <c r="D96" s="38">
        <v>1840000</v>
      </c>
      <c r="E96" s="38" t="s">
        <v>107</v>
      </c>
      <c r="F96" s="38" t="str">
        <f t="shared" si="2"/>
        <v>rtdc.l.rtdc.4029:itc</v>
      </c>
      <c r="G96" s="13">
        <f t="shared" si="3"/>
        <v>42548.131145833337</v>
      </c>
    </row>
    <row r="97" spans="1:7" x14ac:dyDescent="0.25">
      <c r="A97" s="13">
        <v>42548.78087962963</v>
      </c>
      <c r="B97" s="38" t="s">
        <v>78</v>
      </c>
      <c r="C97" s="38" t="s">
        <v>263</v>
      </c>
      <c r="D97" s="38">
        <v>1800000</v>
      </c>
      <c r="E97" s="38" t="s">
        <v>119</v>
      </c>
      <c r="F97" s="38" t="str">
        <f t="shared" si="2"/>
        <v>rtdc.l.rtdc.4042:itc</v>
      </c>
      <c r="G97" s="13">
        <f t="shared" si="3"/>
        <v>42548.78087962963</v>
      </c>
    </row>
    <row r="98" spans="1:7" x14ac:dyDescent="0.25">
      <c r="A98" s="13">
        <v>42548.29277777778</v>
      </c>
      <c r="B98" s="38" t="s">
        <v>120</v>
      </c>
      <c r="C98" s="38" t="s">
        <v>370</v>
      </c>
      <c r="D98" s="38">
        <v>1840000</v>
      </c>
      <c r="E98" s="38" t="s">
        <v>107</v>
      </c>
      <c r="F98" s="38" t="str">
        <f t="shared" si="2"/>
        <v>rtdc.l.rtdc.4014:itc</v>
      </c>
      <c r="G98" s="13">
        <f t="shared" si="3"/>
        <v>42548.29277777778</v>
      </c>
    </row>
    <row r="99" spans="1:7" x14ac:dyDescent="0.25">
      <c r="A99" s="13">
        <v>42548.735011574077</v>
      </c>
      <c r="B99" s="38" t="s">
        <v>70</v>
      </c>
      <c r="C99" s="38" t="s">
        <v>371</v>
      </c>
      <c r="D99" s="38">
        <v>1780000</v>
      </c>
      <c r="E99" s="38" t="s">
        <v>147</v>
      </c>
      <c r="F99" s="38" t="str">
        <f t="shared" si="2"/>
        <v>rtdc.l.rtdc.4007:itc</v>
      </c>
      <c r="G99" s="13">
        <f t="shared" si="3"/>
        <v>42548.735011574077</v>
      </c>
    </row>
    <row r="100" spans="1:7" x14ac:dyDescent="0.25">
      <c r="A100" s="13">
        <v>42548.337118055555</v>
      </c>
      <c r="B100" s="38" t="s">
        <v>63</v>
      </c>
      <c r="C100" s="38" t="s">
        <v>372</v>
      </c>
      <c r="D100" s="38">
        <v>1310000</v>
      </c>
      <c r="E100" s="38" t="s">
        <v>110</v>
      </c>
      <c r="F100" s="38" t="str">
        <f t="shared" si="2"/>
        <v>rtdc.l.rtdc.4032:itc</v>
      </c>
      <c r="G100" s="13">
        <f t="shared" si="3"/>
        <v>42548.337118055555</v>
      </c>
    </row>
    <row r="101" spans="1:7" x14ac:dyDescent="0.25">
      <c r="A101" s="13">
        <v>42548.676041666666</v>
      </c>
      <c r="B101" s="38" t="s">
        <v>113</v>
      </c>
      <c r="C101" s="38" t="s">
        <v>373</v>
      </c>
      <c r="D101" s="38">
        <v>1990000</v>
      </c>
      <c r="E101" s="38" t="s">
        <v>339</v>
      </c>
      <c r="F101" s="38" t="str">
        <f t="shared" si="2"/>
        <v>rtdc.l.rtdc.4024:itc</v>
      </c>
      <c r="G101" s="13">
        <f t="shared" si="3"/>
        <v>42548.676041666666</v>
      </c>
    </row>
    <row r="102" spans="1:7" x14ac:dyDescent="0.25">
      <c r="A102" s="13">
        <v>42548.241365740738</v>
      </c>
      <c r="B102" s="38" t="s">
        <v>68</v>
      </c>
      <c r="C102" s="38" t="s">
        <v>288</v>
      </c>
      <c r="D102" s="38">
        <v>1820000</v>
      </c>
      <c r="E102" s="38" t="s">
        <v>99</v>
      </c>
      <c r="F102" s="38" t="str">
        <f t="shared" si="2"/>
        <v>rtdc.l.rtdc.4017:itc</v>
      </c>
      <c r="G102" s="13">
        <f t="shared" si="3"/>
        <v>42548.241365740738</v>
      </c>
    </row>
    <row r="103" spans="1:7" x14ac:dyDescent="0.25">
      <c r="A103" s="13">
        <v>42548.652013888888</v>
      </c>
      <c r="B103" s="38" t="s">
        <v>126</v>
      </c>
      <c r="C103" s="38" t="s">
        <v>374</v>
      </c>
      <c r="D103" s="38">
        <v>2000000</v>
      </c>
      <c r="E103" s="38" t="s">
        <v>298</v>
      </c>
      <c r="F103" s="38" t="str">
        <f t="shared" si="2"/>
        <v>rtdc.l.rtdc.4013:itc</v>
      </c>
      <c r="G103" s="13">
        <f t="shared" si="3"/>
        <v>42548.652013888888</v>
      </c>
    </row>
    <row r="104" spans="1:7" x14ac:dyDescent="0.25">
      <c r="A104" s="13">
        <v>42548.668055555558</v>
      </c>
      <c r="B104" s="38" t="s">
        <v>70</v>
      </c>
      <c r="C104" s="38" t="s">
        <v>375</v>
      </c>
      <c r="D104" s="38">
        <v>1540000</v>
      </c>
      <c r="E104" s="38" t="s">
        <v>122</v>
      </c>
      <c r="F104" s="38" t="str">
        <f t="shared" si="2"/>
        <v>rtdc.l.rtdc.4007:itc</v>
      </c>
      <c r="G104" s="13">
        <f t="shared" si="3"/>
        <v>42548.668055555558</v>
      </c>
    </row>
    <row r="105" spans="1:7" x14ac:dyDescent="0.25">
      <c r="A105" s="13">
        <v>42548.860208333332</v>
      </c>
      <c r="B105" s="38" t="s">
        <v>68</v>
      </c>
      <c r="C105" s="38" t="s">
        <v>273</v>
      </c>
      <c r="D105" s="38">
        <v>1750000</v>
      </c>
      <c r="E105" s="38" t="s">
        <v>144</v>
      </c>
      <c r="F105" s="38" t="str">
        <f t="shared" si="2"/>
        <v>rtdc.l.rtdc.4017:itc</v>
      </c>
      <c r="G105" s="13">
        <f t="shared" si="3"/>
        <v>42548.860208333332</v>
      </c>
    </row>
    <row r="106" spans="1:7" x14ac:dyDescent="0.25">
      <c r="A106" s="13">
        <v>42548.643935185188</v>
      </c>
      <c r="B106" s="38" t="s">
        <v>300</v>
      </c>
      <c r="C106" s="38" t="s">
        <v>376</v>
      </c>
      <c r="D106" s="38">
        <v>1260000</v>
      </c>
      <c r="E106" s="38" t="s">
        <v>121</v>
      </c>
      <c r="F106" s="38" t="str">
        <f t="shared" si="2"/>
        <v>rtdc.l.rtdc.4029:itc</v>
      </c>
      <c r="G106" s="13">
        <f t="shared" si="3"/>
        <v>42548.643935185188</v>
      </c>
    </row>
    <row r="107" spans="1:7" x14ac:dyDescent="0.25">
      <c r="A107" s="13">
        <v>42548.844976851855</v>
      </c>
      <c r="B107" s="38" t="s">
        <v>67</v>
      </c>
      <c r="C107" s="38" t="s">
        <v>276</v>
      </c>
      <c r="D107" s="38">
        <v>1750000</v>
      </c>
      <c r="E107" s="38" t="s">
        <v>144</v>
      </c>
      <c r="F107" s="38" t="str">
        <f t="shared" si="2"/>
        <v>rtdc.l.rtdc.4018:itc</v>
      </c>
      <c r="G107" s="13">
        <f t="shared" si="3"/>
        <v>42548.844976851855</v>
      </c>
    </row>
    <row r="108" spans="1:7" x14ac:dyDescent="0.25">
      <c r="A108" s="13">
        <v>42548.745868055557</v>
      </c>
      <c r="B108" s="38" t="s">
        <v>63</v>
      </c>
      <c r="C108" s="38" t="s">
        <v>377</v>
      </c>
      <c r="D108" s="38">
        <v>1120000</v>
      </c>
      <c r="E108" s="38" t="s">
        <v>118</v>
      </c>
      <c r="F108" s="38" t="str">
        <f t="shared" si="2"/>
        <v>rtdc.l.rtdc.4032:itc</v>
      </c>
      <c r="G108" s="13">
        <f t="shared" si="3"/>
        <v>42548.745868055557</v>
      </c>
    </row>
    <row r="109" spans="1:7" x14ac:dyDescent="0.25">
      <c r="A109" s="13">
        <v>42548.807685185187</v>
      </c>
      <c r="B109" s="38" t="s">
        <v>150</v>
      </c>
      <c r="C109" s="38" t="s">
        <v>378</v>
      </c>
      <c r="D109" s="38">
        <v>1280000</v>
      </c>
      <c r="E109" s="38" t="s">
        <v>139</v>
      </c>
      <c r="F109" s="38" t="str">
        <f t="shared" si="2"/>
        <v>rtdc.l.rtdc.4037:itc</v>
      </c>
      <c r="G109" s="13">
        <f t="shared" si="3"/>
        <v>42548.807685185187</v>
      </c>
    </row>
    <row r="110" spans="1:7" x14ac:dyDescent="0.25">
      <c r="A110" s="13">
        <v>42548.766180555554</v>
      </c>
      <c r="B110" s="38" t="s">
        <v>123</v>
      </c>
      <c r="C110" s="38" t="s">
        <v>379</v>
      </c>
      <c r="D110" s="38">
        <v>2020000</v>
      </c>
      <c r="E110" s="38" t="s">
        <v>327</v>
      </c>
      <c r="F110" s="38" t="str">
        <f t="shared" si="2"/>
        <v>rtdc.l.rtdc.4028:itc</v>
      </c>
      <c r="G110" s="13">
        <f t="shared" si="3"/>
        <v>42548.766180555554</v>
      </c>
    </row>
    <row r="111" spans="1:7" x14ac:dyDescent="0.25">
      <c r="A111" s="13">
        <v>42548.75172453704</v>
      </c>
      <c r="B111" s="38" t="s">
        <v>322</v>
      </c>
      <c r="C111" s="38" t="s">
        <v>380</v>
      </c>
      <c r="D111" s="38">
        <v>1140000</v>
      </c>
      <c r="E111" s="38" t="s">
        <v>381</v>
      </c>
      <c r="F111" s="38" t="str">
        <f t="shared" si="2"/>
        <v>rtdc.l.rtdc.4030:itc</v>
      </c>
      <c r="G111" s="13">
        <f t="shared" si="3"/>
        <v>42548.75172453704</v>
      </c>
    </row>
    <row r="112" spans="1:7" x14ac:dyDescent="0.25">
      <c r="A112" s="13">
        <v>42548.863298611112</v>
      </c>
      <c r="B112" s="38" t="s">
        <v>300</v>
      </c>
      <c r="C112" s="38" t="s">
        <v>382</v>
      </c>
      <c r="D112" s="38">
        <v>1140000</v>
      </c>
      <c r="E112" s="38" t="s">
        <v>381</v>
      </c>
      <c r="F112" s="38" t="str">
        <f t="shared" si="2"/>
        <v>rtdc.l.rtdc.4029:itc</v>
      </c>
      <c r="G112" s="13">
        <f t="shared" si="3"/>
        <v>42548.863298611112</v>
      </c>
    </row>
    <row r="113" spans="1:7" x14ac:dyDescent="0.25">
      <c r="A113" s="13">
        <v>42548.693993055553</v>
      </c>
      <c r="B113" s="38" t="s">
        <v>68</v>
      </c>
      <c r="C113" s="38" t="s">
        <v>241</v>
      </c>
      <c r="D113" s="38">
        <v>1750000</v>
      </c>
      <c r="E113" s="38" t="s">
        <v>144</v>
      </c>
      <c r="F113" s="38" t="str">
        <f t="shared" si="2"/>
        <v>rtdc.l.rtdc.4017:itc</v>
      </c>
      <c r="G113" s="13">
        <f t="shared" si="3"/>
        <v>42548.693993055553</v>
      </c>
    </row>
    <row r="114" spans="1:7" x14ac:dyDescent="0.25">
      <c r="A114" s="13">
        <v>42548.902638888889</v>
      </c>
      <c r="B114" s="38" t="s">
        <v>68</v>
      </c>
      <c r="C114" s="38" t="s">
        <v>279</v>
      </c>
      <c r="D114" s="38">
        <v>1750000</v>
      </c>
      <c r="E114" s="38" t="s">
        <v>144</v>
      </c>
      <c r="F114" s="38" t="str">
        <f t="shared" si="2"/>
        <v>rtdc.l.rtdc.4017:itc</v>
      </c>
      <c r="G114" s="13">
        <f t="shared" si="3"/>
        <v>42548.902638888889</v>
      </c>
    </row>
    <row r="115" spans="1:7" x14ac:dyDescent="0.25">
      <c r="A115" s="13">
        <v>42548.672013888892</v>
      </c>
      <c r="B115" s="38" t="s">
        <v>125</v>
      </c>
      <c r="C115" s="38" t="s">
        <v>383</v>
      </c>
      <c r="D115" s="38">
        <v>1120000</v>
      </c>
      <c r="E115" s="38" t="s">
        <v>118</v>
      </c>
      <c r="F115" s="38" t="str">
        <f t="shared" si="2"/>
        <v>rtdc.l.rtdc.4026:itc</v>
      </c>
      <c r="G115" s="13">
        <f t="shared" si="3"/>
        <v>42548.672013888892</v>
      </c>
    </row>
    <row r="116" spans="1:7" x14ac:dyDescent="0.25">
      <c r="A116" s="13">
        <v>42548.929861111108</v>
      </c>
      <c r="B116" s="38" t="s">
        <v>67</v>
      </c>
      <c r="C116" s="38" t="s">
        <v>285</v>
      </c>
      <c r="D116" s="38">
        <v>1750000</v>
      </c>
      <c r="E116" s="38" t="s">
        <v>144</v>
      </c>
      <c r="F116" s="38" t="str">
        <f t="shared" si="2"/>
        <v>rtdc.l.rtdc.4018:itc</v>
      </c>
      <c r="G116" s="13">
        <f t="shared" si="3"/>
        <v>42548.929861111108</v>
      </c>
    </row>
    <row r="117" spans="1:7" x14ac:dyDescent="0.25">
      <c r="A117" s="13">
        <v>42548.606724537036</v>
      </c>
      <c r="B117" s="38" t="s">
        <v>113</v>
      </c>
      <c r="C117" s="38" t="s">
        <v>384</v>
      </c>
      <c r="D117" s="38">
        <v>1990000</v>
      </c>
      <c r="E117" s="38" t="s">
        <v>339</v>
      </c>
      <c r="F117" s="38" t="str">
        <f t="shared" si="2"/>
        <v>rtdc.l.rtdc.4024:itc</v>
      </c>
      <c r="G117" s="13">
        <f t="shared" si="3"/>
        <v>42548.606724537036</v>
      </c>
    </row>
    <row r="118" spans="1:7" x14ac:dyDescent="0.25">
      <c r="A118" s="13">
        <v>42548.97452546296</v>
      </c>
      <c r="B118" s="38" t="s">
        <v>63</v>
      </c>
      <c r="C118" s="38" t="s">
        <v>385</v>
      </c>
      <c r="D118" s="38">
        <v>1280000</v>
      </c>
      <c r="E118" s="38" t="s">
        <v>139</v>
      </c>
      <c r="F118" s="38" t="str">
        <f t="shared" si="2"/>
        <v>rtdc.l.rtdc.4032:itc</v>
      </c>
      <c r="G118" s="13">
        <f t="shared" si="3"/>
        <v>42548.97452546296</v>
      </c>
    </row>
    <row r="119" spans="1:7" x14ac:dyDescent="0.25">
      <c r="A119" s="13">
        <v>42548.58730324074</v>
      </c>
      <c r="B119" s="38" t="s">
        <v>150</v>
      </c>
      <c r="C119" s="38" t="s">
        <v>333</v>
      </c>
      <c r="D119" s="38">
        <v>2040000</v>
      </c>
      <c r="E119" s="38" t="s">
        <v>306</v>
      </c>
      <c r="F119" s="38" t="str">
        <f t="shared" si="2"/>
        <v>rtdc.l.rtdc.4037:itc</v>
      </c>
      <c r="G119" s="13">
        <f t="shared" si="3"/>
        <v>42548.58730324074</v>
      </c>
    </row>
    <row r="120" spans="1:7" x14ac:dyDescent="0.25">
      <c r="A120" s="13">
        <v>42548.607268518521</v>
      </c>
      <c r="B120" s="38" t="s">
        <v>322</v>
      </c>
      <c r="C120" s="38" t="s">
        <v>386</v>
      </c>
      <c r="D120" s="38">
        <v>1260000</v>
      </c>
      <c r="E120" s="38" t="s">
        <v>121</v>
      </c>
      <c r="F120" s="38" t="str">
        <f t="shared" si="2"/>
        <v>rtdc.l.rtdc.4030:itc</v>
      </c>
      <c r="G120" s="13">
        <f t="shared" si="3"/>
        <v>42548.607268518521</v>
      </c>
    </row>
    <row r="121" spans="1:7" x14ac:dyDescent="0.25">
      <c r="A121" s="13">
        <v>42548.421469907407</v>
      </c>
      <c r="B121" s="38" t="s">
        <v>63</v>
      </c>
      <c r="C121" s="38" t="s">
        <v>387</v>
      </c>
      <c r="D121" s="38">
        <v>1310000</v>
      </c>
      <c r="E121" s="38" t="s">
        <v>110</v>
      </c>
      <c r="F121" s="38" t="str">
        <f t="shared" si="2"/>
        <v>rtdc.l.rtdc.4032:itc</v>
      </c>
      <c r="G121" s="13">
        <f t="shared" si="3"/>
        <v>42548.421469907407</v>
      </c>
    </row>
    <row r="122" spans="1:7" x14ac:dyDescent="0.25">
      <c r="A122" s="13">
        <v>42548.744814814818</v>
      </c>
      <c r="B122" s="56" t="s">
        <v>63</v>
      </c>
      <c r="C122" s="38" t="s">
        <v>377</v>
      </c>
      <c r="D122" s="38">
        <v>1120000</v>
      </c>
      <c r="E122" s="38" t="s">
        <v>118</v>
      </c>
      <c r="F122" s="38" t="str">
        <f t="shared" si="2"/>
        <v>rtdc.l.rtdc.4032:itc</v>
      </c>
      <c r="G122" s="13">
        <f t="shared" si="3"/>
        <v>42548.744814814818</v>
      </c>
    </row>
    <row r="123" spans="1:7" x14ac:dyDescent="0.25">
      <c r="A123" s="13">
        <v>42548.399942129632</v>
      </c>
      <c r="B123" s="38" t="s">
        <v>123</v>
      </c>
      <c r="C123" s="38" t="s">
        <v>388</v>
      </c>
      <c r="D123" s="38">
        <v>1840000</v>
      </c>
      <c r="E123" s="38" t="s">
        <v>107</v>
      </c>
      <c r="F123" s="38" t="str">
        <f t="shared" si="2"/>
        <v>rtdc.l.rtdc.4028:itc</v>
      </c>
      <c r="G123" s="13">
        <f t="shared" si="3"/>
        <v>42548.399942129632</v>
      </c>
    </row>
    <row r="124" spans="1:7" x14ac:dyDescent="0.25">
      <c r="A124" s="13">
        <v>42548.77611111111</v>
      </c>
      <c r="B124" s="38" t="s">
        <v>69</v>
      </c>
      <c r="C124" s="38" t="s">
        <v>319</v>
      </c>
      <c r="D124" s="38">
        <v>1780000</v>
      </c>
      <c r="E124" s="38" t="s">
        <v>147</v>
      </c>
      <c r="F124" s="38" t="str">
        <f t="shared" si="2"/>
        <v>rtdc.l.rtdc.4008:itc</v>
      </c>
      <c r="G124" s="13">
        <f t="shared" si="3"/>
        <v>42548.77611111111</v>
      </c>
    </row>
    <row r="125" spans="1:7" x14ac:dyDescent="0.25">
      <c r="A125" s="13">
        <v>42548.412939814814</v>
      </c>
      <c r="B125" s="38" t="s">
        <v>63</v>
      </c>
      <c r="C125" s="38" t="s">
        <v>387</v>
      </c>
      <c r="D125" s="38">
        <v>1310000</v>
      </c>
      <c r="E125" s="38" t="s">
        <v>110</v>
      </c>
      <c r="F125" s="38" t="str">
        <f t="shared" si="2"/>
        <v>rtdc.l.rtdc.4032:itc</v>
      </c>
      <c r="G125" s="13">
        <f t="shared" si="3"/>
        <v>42548.412939814814</v>
      </c>
    </row>
    <row r="126" spans="1:7" x14ac:dyDescent="0.25">
      <c r="A126" s="13">
        <v>42548.819409722222</v>
      </c>
      <c r="B126" s="38" t="s">
        <v>68</v>
      </c>
      <c r="C126" s="38" t="s">
        <v>266</v>
      </c>
      <c r="D126" s="38">
        <v>1750000</v>
      </c>
      <c r="E126" s="38" t="s">
        <v>144</v>
      </c>
      <c r="F126" s="38" t="str">
        <f t="shared" si="2"/>
        <v>rtdc.l.rtdc.4017:itc</v>
      </c>
      <c r="G126" s="13">
        <f t="shared" si="3"/>
        <v>42548.819409722222</v>
      </c>
    </row>
    <row r="127" spans="1:7" x14ac:dyDescent="0.25">
      <c r="A127" s="13">
        <v>42548.368518518517</v>
      </c>
      <c r="B127" s="38" t="s">
        <v>150</v>
      </c>
      <c r="C127" s="38" t="s">
        <v>389</v>
      </c>
      <c r="D127" s="38">
        <v>1230000</v>
      </c>
      <c r="E127" s="38" t="s">
        <v>318</v>
      </c>
      <c r="F127" s="38" t="str">
        <f t="shared" si="2"/>
        <v>rtdc.l.rtdc.4037:itc</v>
      </c>
      <c r="G127" s="13">
        <f t="shared" si="3"/>
        <v>42548.368518518517</v>
      </c>
    </row>
    <row r="128" spans="1:7" x14ac:dyDescent="0.25">
      <c r="A128" s="13">
        <v>42548.892743055556</v>
      </c>
      <c r="B128" s="38" t="s">
        <v>63</v>
      </c>
      <c r="C128" s="38" t="s">
        <v>390</v>
      </c>
      <c r="D128" s="38">
        <v>1280000</v>
      </c>
      <c r="E128" s="38" t="s">
        <v>139</v>
      </c>
      <c r="F128" s="38" t="str">
        <f t="shared" si="2"/>
        <v>rtdc.l.rtdc.4032:itc</v>
      </c>
      <c r="G128" s="13">
        <f t="shared" si="3"/>
        <v>42548.892743055556</v>
      </c>
    </row>
    <row r="129" spans="1:7" x14ac:dyDescent="0.25">
      <c r="A129" s="13">
        <v>42548.318009259259</v>
      </c>
      <c r="B129" s="38" t="s">
        <v>113</v>
      </c>
      <c r="C129" s="38" t="s">
        <v>329</v>
      </c>
      <c r="D129" s="38">
        <v>900000</v>
      </c>
      <c r="E129" s="38" t="s">
        <v>330</v>
      </c>
      <c r="F129" s="38" t="str">
        <f t="shared" si="2"/>
        <v>rtdc.l.rtdc.4024:itc</v>
      </c>
      <c r="G129" s="13">
        <f t="shared" si="3"/>
        <v>42548.318009259259</v>
      </c>
    </row>
    <row r="130" spans="1:7" x14ac:dyDescent="0.25">
      <c r="A130" s="13">
        <v>42548.973414351851</v>
      </c>
      <c r="B130" s="38" t="s">
        <v>70</v>
      </c>
      <c r="C130" s="38" t="s">
        <v>391</v>
      </c>
      <c r="D130" s="38">
        <v>1800000</v>
      </c>
      <c r="E130" s="38" t="s">
        <v>119</v>
      </c>
      <c r="F130" s="38" t="str">
        <f t="shared" ref="F130:F193" si="4">B130</f>
        <v>rtdc.l.rtdc.4007:itc</v>
      </c>
      <c r="G130" s="13">
        <f t="shared" ref="G130:G193" si="5">A130</f>
        <v>42548.973414351851</v>
      </c>
    </row>
    <row r="131" spans="1:7" x14ac:dyDescent="0.25">
      <c r="A131" s="13">
        <v>42547.818738425929</v>
      </c>
      <c r="B131" s="38" t="s">
        <v>63</v>
      </c>
      <c r="C131" s="38" t="s">
        <v>132</v>
      </c>
      <c r="D131" s="38">
        <v>1750000</v>
      </c>
      <c r="E131" s="38" t="s">
        <v>144</v>
      </c>
      <c r="F131" s="38" t="str">
        <f t="shared" si="4"/>
        <v>rtdc.l.rtdc.4032:itc</v>
      </c>
      <c r="G131" s="13">
        <f t="shared" si="5"/>
        <v>42547.818738425929</v>
      </c>
    </row>
    <row r="132" spans="1:7" x14ac:dyDescent="0.25">
      <c r="A132" s="13">
        <v>42548.660254629627</v>
      </c>
      <c r="B132" s="38" t="s">
        <v>78</v>
      </c>
      <c r="C132" s="38" t="s">
        <v>234</v>
      </c>
      <c r="D132" s="38">
        <v>1800000</v>
      </c>
      <c r="E132" s="38" t="s">
        <v>119</v>
      </c>
      <c r="F132" s="38" t="str">
        <f t="shared" si="4"/>
        <v>rtdc.l.rtdc.4042:itc</v>
      </c>
      <c r="G132" s="13">
        <f t="shared" si="5"/>
        <v>42548.660254629627</v>
      </c>
    </row>
    <row r="133" spans="1:7" x14ac:dyDescent="0.25">
      <c r="A133" s="13">
        <v>42548.364120370374</v>
      </c>
      <c r="B133" s="38" t="s">
        <v>68</v>
      </c>
      <c r="C133" s="38" t="s">
        <v>198</v>
      </c>
      <c r="D133" s="38">
        <v>310000</v>
      </c>
      <c r="E133" s="38" t="s">
        <v>313</v>
      </c>
      <c r="F133" s="38" t="str">
        <f t="shared" si="4"/>
        <v>rtdc.l.rtdc.4017:itc</v>
      </c>
      <c r="G133" s="13">
        <f t="shared" si="5"/>
        <v>42548.364120370374</v>
      </c>
    </row>
    <row r="134" spans="1:7" x14ac:dyDescent="0.25">
      <c r="A134" s="13">
        <v>42548.789375</v>
      </c>
      <c r="B134" s="38" t="s">
        <v>300</v>
      </c>
      <c r="C134" s="38" t="s">
        <v>392</v>
      </c>
      <c r="D134" s="38">
        <v>1140000</v>
      </c>
      <c r="E134" s="38" t="s">
        <v>381</v>
      </c>
      <c r="F134" s="38" t="str">
        <f t="shared" si="4"/>
        <v>rtdc.l.rtdc.4029:itc</v>
      </c>
      <c r="G134" s="13">
        <f t="shared" si="5"/>
        <v>42548.789375</v>
      </c>
    </row>
    <row r="135" spans="1:7" x14ac:dyDescent="0.25">
      <c r="A135" s="13">
        <v>42548.338275462964</v>
      </c>
      <c r="B135" s="38" t="s">
        <v>77</v>
      </c>
      <c r="C135" s="38" t="s">
        <v>192</v>
      </c>
      <c r="D135" s="38">
        <v>1460000</v>
      </c>
      <c r="E135" s="38" t="s">
        <v>108</v>
      </c>
      <c r="F135" s="38" t="str">
        <f t="shared" si="4"/>
        <v>rtdc.l.rtdc.4041:itc</v>
      </c>
      <c r="G135" s="13">
        <f t="shared" si="5"/>
        <v>42548.338275462964</v>
      </c>
    </row>
    <row r="136" spans="1:7" x14ac:dyDescent="0.25">
      <c r="A136" s="13">
        <v>42548.951481481483</v>
      </c>
      <c r="B136" s="38" t="s">
        <v>357</v>
      </c>
      <c r="C136" s="38" t="s">
        <v>393</v>
      </c>
      <c r="D136" s="38">
        <v>1770000</v>
      </c>
      <c r="E136" s="38" t="s">
        <v>111</v>
      </c>
      <c r="F136" s="38" t="str">
        <f t="shared" si="4"/>
        <v>rtdc.l.rtdc.4039:itc</v>
      </c>
      <c r="G136" s="13">
        <f t="shared" si="5"/>
        <v>42548.951481481483</v>
      </c>
    </row>
    <row r="137" spans="1:7" x14ac:dyDescent="0.25">
      <c r="A137" s="13">
        <v>42548.261655092596</v>
      </c>
      <c r="B137" s="38" t="s">
        <v>63</v>
      </c>
      <c r="C137" s="38" t="s">
        <v>394</v>
      </c>
      <c r="D137" s="38">
        <v>1310000</v>
      </c>
      <c r="E137" s="38" t="s">
        <v>110</v>
      </c>
      <c r="F137" s="38" t="str">
        <f t="shared" si="4"/>
        <v>rtdc.l.rtdc.4032:itc</v>
      </c>
      <c r="G137" s="13">
        <f t="shared" si="5"/>
        <v>42548.261655092596</v>
      </c>
    </row>
    <row r="138" spans="1:7" x14ac:dyDescent="0.25">
      <c r="A138" s="13">
        <v>42548.761597222219</v>
      </c>
      <c r="B138" s="38" t="s">
        <v>67</v>
      </c>
      <c r="C138" s="38" t="s">
        <v>257</v>
      </c>
      <c r="D138" s="38">
        <v>1750000</v>
      </c>
      <c r="E138" s="38" t="s">
        <v>144</v>
      </c>
      <c r="F138" s="38" t="str">
        <f t="shared" si="4"/>
        <v>rtdc.l.rtdc.4018:itc</v>
      </c>
      <c r="G138" s="13">
        <f t="shared" si="5"/>
        <v>42548.761597222219</v>
      </c>
    </row>
    <row r="139" spans="1:7" x14ac:dyDescent="0.25">
      <c r="A139" s="13">
        <v>42547.91505787037</v>
      </c>
      <c r="B139" s="38" t="s">
        <v>63</v>
      </c>
      <c r="C139" s="38" t="s">
        <v>136</v>
      </c>
      <c r="D139" s="38">
        <v>1750000</v>
      </c>
      <c r="E139" s="38" t="s">
        <v>144</v>
      </c>
      <c r="F139" s="38" t="str">
        <f t="shared" si="4"/>
        <v>rtdc.l.rtdc.4032:itc</v>
      </c>
      <c r="G139" s="13">
        <f t="shared" si="5"/>
        <v>42547.91505787037</v>
      </c>
    </row>
    <row r="140" spans="1:7" x14ac:dyDescent="0.25">
      <c r="A140" s="13">
        <v>42548.777002314811</v>
      </c>
      <c r="B140" s="38" t="s">
        <v>68</v>
      </c>
      <c r="C140" s="38" t="s">
        <v>260</v>
      </c>
      <c r="D140" s="38">
        <v>1750000</v>
      </c>
      <c r="E140" s="38" t="s">
        <v>144</v>
      </c>
      <c r="F140" s="38" t="str">
        <f t="shared" si="4"/>
        <v>rtdc.l.rtdc.4017:itc</v>
      </c>
      <c r="G140" s="13">
        <f t="shared" si="5"/>
        <v>42548.777002314811</v>
      </c>
    </row>
    <row r="141" spans="1:7" x14ac:dyDescent="0.25">
      <c r="A141" s="13">
        <v>42548.500196759262</v>
      </c>
      <c r="B141" s="38" t="s">
        <v>67</v>
      </c>
      <c r="C141" s="38" t="s">
        <v>216</v>
      </c>
      <c r="D141" s="38">
        <v>1460000</v>
      </c>
      <c r="E141" s="38" t="s">
        <v>108</v>
      </c>
      <c r="F141" s="38" t="str">
        <f t="shared" si="4"/>
        <v>rtdc.l.rtdc.4018:itc</v>
      </c>
      <c r="G141" s="13">
        <f t="shared" si="5"/>
        <v>42548.500196759262</v>
      </c>
    </row>
    <row r="142" spans="1:7" x14ac:dyDescent="0.25">
      <c r="A142" s="13">
        <v>42548.531666666669</v>
      </c>
      <c r="B142" s="38" t="s">
        <v>70</v>
      </c>
      <c r="C142" s="38" t="s">
        <v>395</v>
      </c>
      <c r="D142" s="38">
        <v>1990000</v>
      </c>
      <c r="E142" s="38" t="s">
        <v>339</v>
      </c>
      <c r="F142" s="38" t="str">
        <f t="shared" si="4"/>
        <v>rtdc.l.rtdc.4007:itc</v>
      </c>
      <c r="G142" s="13">
        <f t="shared" si="5"/>
        <v>42548.531666666669</v>
      </c>
    </row>
    <row r="143" spans="1:7" x14ac:dyDescent="0.25">
      <c r="A143" s="13">
        <v>42548.342442129629</v>
      </c>
      <c r="B143" s="38" t="s">
        <v>124</v>
      </c>
      <c r="C143" s="38" t="s">
        <v>396</v>
      </c>
      <c r="D143" s="38">
        <v>1090000</v>
      </c>
      <c r="E143" s="38" t="s">
        <v>344</v>
      </c>
      <c r="F143" s="38" t="str">
        <f t="shared" si="4"/>
        <v>rtdc.l.rtdc.4025:itc</v>
      </c>
      <c r="G143" s="13">
        <f t="shared" si="5"/>
        <v>42548.342442129629</v>
      </c>
    </row>
    <row r="144" spans="1:7" x14ac:dyDescent="0.25">
      <c r="A144" s="13">
        <v>42548.496620370373</v>
      </c>
      <c r="B144" s="38" t="s">
        <v>69</v>
      </c>
      <c r="C144" s="38" t="s">
        <v>397</v>
      </c>
      <c r="D144" s="38">
        <v>1310000</v>
      </c>
      <c r="E144" s="38" t="s">
        <v>110</v>
      </c>
      <c r="F144" s="38" t="str">
        <f t="shared" si="4"/>
        <v>rtdc.l.rtdc.4008:itc</v>
      </c>
      <c r="G144" s="13">
        <f t="shared" si="5"/>
        <v>42548.496620370373</v>
      </c>
    </row>
    <row r="145" spans="1:7" x14ac:dyDescent="0.25">
      <c r="A145" s="13">
        <v>42548.305856481478</v>
      </c>
      <c r="B145" s="38" t="s">
        <v>125</v>
      </c>
      <c r="C145" s="38" t="s">
        <v>398</v>
      </c>
      <c r="D145" s="38">
        <v>1090000</v>
      </c>
      <c r="E145" s="38" t="s">
        <v>344</v>
      </c>
      <c r="F145" s="38" t="str">
        <f t="shared" si="4"/>
        <v>rtdc.l.rtdc.4026:itc</v>
      </c>
      <c r="G145" s="13">
        <f t="shared" si="5"/>
        <v>42548.305856481478</v>
      </c>
    </row>
    <row r="146" spans="1:7" x14ac:dyDescent="0.25">
      <c r="A146" s="13">
        <v>42548.514502314814</v>
      </c>
      <c r="B146" s="38" t="s">
        <v>325</v>
      </c>
      <c r="C146" s="38" t="s">
        <v>399</v>
      </c>
      <c r="D146" s="38">
        <v>2020000</v>
      </c>
      <c r="E146" s="38" t="s">
        <v>327</v>
      </c>
      <c r="F146" s="38" t="str">
        <f t="shared" si="4"/>
        <v>rtdc.l.rtdc.4027:itc</v>
      </c>
      <c r="G146" s="13">
        <f t="shared" si="5"/>
        <v>42548.514502314814</v>
      </c>
    </row>
    <row r="147" spans="1:7" x14ac:dyDescent="0.25">
      <c r="A147" s="13">
        <v>42548.248171296298</v>
      </c>
      <c r="B147" s="38" t="s">
        <v>113</v>
      </c>
      <c r="C147" s="38" t="s">
        <v>400</v>
      </c>
      <c r="D147" s="38">
        <v>900000</v>
      </c>
      <c r="E147" s="38" t="s">
        <v>330</v>
      </c>
      <c r="F147" s="38" t="str">
        <f t="shared" si="4"/>
        <v>rtdc.l.rtdc.4024:itc</v>
      </c>
      <c r="G147" s="13">
        <f t="shared" si="5"/>
        <v>42548.248171296298</v>
      </c>
    </row>
    <row r="148" spans="1:7" x14ac:dyDescent="0.25">
      <c r="A148" s="13">
        <v>42548.993067129632</v>
      </c>
      <c r="B148" s="38" t="s">
        <v>150</v>
      </c>
      <c r="C148" s="38" t="s">
        <v>401</v>
      </c>
      <c r="D148" s="38">
        <v>1140000</v>
      </c>
      <c r="E148" s="38" t="s">
        <v>381</v>
      </c>
      <c r="F148" s="38" t="str">
        <f t="shared" si="4"/>
        <v>rtdc.l.rtdc.4037:itc</v>
      </c>
      <c r="G148" s="13">
        <f t="shared" si="5"/>
        <v>42548.993067129632</v>
      </c>
    </row>
    <row r="149" spans="1:7" x14ac:dyDescent="0.25">
      <c r="A149" s="13">
        <v>42547.827673611115</v>
      </c>
      <c r="B149" s="38" t="s">
        <v>150</v>
      </c>
      <c r="C149" s="38" t="s">
        <v>151</v>
      </c>
      <c r="D149" s="38">
        <v>1290000</v>
      </c>
      <c r="E149" s="38" t="s">
        <v>143</v>
      </c>
      <c r="F149" s="38" t="str">
        <f t="shared" si="4"/>
        <v>rtdc.l.rtdc.4037:itc</v>
      </c>
      <c r="G149" s="13">
        <f t="shared" si="5"/>
        <v>42547.827673611115</v>
      </c>
    </row>
    <row r="150" spans="1:7" x14ac:dyDescent="0.25">
      <c r="A150" s="13">
        <v>42549.024699074071</v>
      </c>
      <c r="B150" s="38" t="s">
        <v>71</v>
      </c>
      <c r="C150" s="38" t="s">
        <v>315</v>
      </c>
      <c r="D150" s="38">
        <v>1280000</v>
      </c>
      <c r="E150" s="38" t="s">
        <v>139</v>
      </c>
      <c r="F150" s="38" t="str">
        <f t="shared" si="4"/>
        <v>rtdc.l.rtdc.4031:itc</v>
      </c>
      <c r="G150" s="13">
        <f t="shared" si="5"/>
        <v>42549.024699074071</v>
      </c>
    </row>
    <row r="151" spans="1:7" x14ac:dyDescent="0.25">
      <c r="A151" s="13">
        <v>42548.450590277775</v>
      </c>
      <c r="B151" s="38" t="s">
        <v>125</v>
      </c>
      <c r="C151" s="38" t="s">
        <v>402</v>
      </c>
      <c r="D151" s="38">
        <v>1090000</v>
      </c>
      <c r="E151" s="38" t="s">
        <v>344</v>
      </c>
      <c r="F151" s="38" t="str">
        <f t="shared" si="4"/>
        <v>rtdc.l.rtdc.4026:itc</v>
      </c>
      <c r="G151" s="13">
        <f t="shared" si="5"/>
        <v>42548.450590277775</v>
      </c>
    </row>
    <row r="152" spans="1:7" x14ac:dyDescent="0.25">
      <c r="A152" s="13">
        <v>42548.465567129628</v>
      </c>
      <c r="B152" s="38" t="s">
        <v>123</v>
      </c>
      <c r="C152" s="38" t="s">
        <v>403</v>
      </c>
      <c r="D152" s="38">
        <v>2010000</v>
      </c>
      <c r="E152" s="38" t="s">
        <v>302</v>
      </c>
      <c r="F152" s="38" t="str">
        <f t="shared" si="4"/>
        <v>rtdc.l.rtdc.4028:itc</v>
      </c>
      <c r="G152" s="13">
        <f t="shared" si="5"/>
        <v>42548.465567129628</v>
      </c>
    </row>
    <row r="153" spans="1:7" x14ac:dyDescent="0.25">
      <c r="A153" s="13">
        <v>42548.403703703705</v>
      </c>
      <c r="B153" s="38" t="s">
        <v>109</v>
      </c>
      <c r="C153" s="38" t="s">
        <v>317</v>
      </c>
      <c r="D153" s="38">
        <v>1230000</v>
      </c>
      <c r="E153" s="38" t="s">
        <v>318</v>
      </c>
      <c r="F153" s="38" t="str">
        <f t="shared" si="4"/>
        <v>rtdc.l.rtdc.4038:itc</v>
      </c>
      <c r="G153" s="13">
        <f t="shared" si="5"/>
        <v>42548.403703703705</v>
      </c>
    </row>
    <row r="154" spans="1:7" x14ac:dyDescent="0.25">
      <c r="A154" s="13">
        <v>42548.593402777777</v>
      </c>
      <c r="B154" s="38" t="s">
        <v>67</v>
      </c>
      <c r="C154" s="38" t="s">
        <v>224</v>
      </c>
      <c r="D154" s="38">
        <v>1750000</v>
      </c>
      <c r="E154" s="38" t="s">
        <v>144</v>
      </c>
      <c r="F154" s="38" t="str">
        <f t="shared" si="4"/>
        <v>rtdc.l.rtdc.4018:itc</v>
      </c>
      <c r="G154" s="13">
        <f t="shared" si="5"/>
        <v>42548.593402777777</v>
      </c>
    </row>
    <row r="155" spans="1:7" x14ac:dyDescent="0.25">
      <c r="A155" s="13">
        <v>42548.274178240739</v>
      </c>
      <c r="B155" s="38" t="s">
        <v>78</v>
      </c>
      <c r="C155" s="38" t="s">
        <v>178</v>
      </c>
      <c r="D155" s="38">
        <v>1460000</v>
      </c>
      <c r="E155" s="38" t="s">
        <v>108</v>
      </c>
      <c r="F155" s="38" t="str">
        <f t="shared" si="4"/>
        <v>rtdc.l.rtdc.4042:itc</v>
      </c>
      <c r="G155" s="13">
        <f t="shared" si="5"/>
        <v>42548.274178240739</v>
      </c>
    </row>
    <row r="156" spans="1:7" x14ac:dyDescent="0.25">
      <c r="A156" s="13">
        <v>42548.643391203703</v>
      </c>
      <c r="B156" s="38" t="s">
        <v>67</v>
      </c>
      <c r="C156" s="38" t="s">
        <v>229</v>
      </c>
      <c r="D156" s="38">
        <v>1750000</v>
      </c>
      <c r="E156" s="38" t="s">
        <v>144</v>
      </c>
      <c r="F156" s="38" t="str">
        <f t="shared" si="4"/>
        <v>rtdc.l.rtdc.4018:itc</v>
      </c>
      <c r="G156" s="13">
        <f t="shared" si="5"/>
        <v>42548.643391203703</v>
      </c>
    </row>
    <row r="157" spans="1:7" x14ac:dyDescent="0.25">
      <c r="A157" s="13">
        <v>42548.514236111114</v>
      </c>
      <c r="B157" s="38" t="s">
        <v>150</v>
      </c>
      <c r="C157" s="38" t="s">
        <v>404</v>
      </c>
      <c r="D157" s="38">
        <v>2040000</v>
      </c>
      <c r="E157" s="38" t="s">
        <v>306</v>
      </c>
      <c r="F157" s="38" t="str">
        <f t="shared" si="4"/>
        <v>rtdc.l.rtdc.4037:itc</v>
      </c>
      <c r="G157" s="13">
        <f t="shared" si="5"/>
        <v>42548.514236111114</v>
      </c>
    </row>
    <row r="158" spans="1:7" x14ac:dyDescent="0.25">
      <c r="A158" s="13">
        <v>42548.681273148148</v>
      </c>
      <c r="B158" s="38" t="s">
        <v>322</v>
      </c>
      <c r="C158" s="38" t="s">
        <v>405</v>
      </c>
      <c r="D158" s="38">
        <v>1260000</v>
      </c>
      <c r="E158" s="38" t="s">
        <v>121</v>
      </c>
      <c r="F158" s="38" t="str">
        <f t="shared" si="4"/>
        <v>rtdc.l.rtdc.4030:itc</v>
      </c>
      <c r="G158" s="13">
        <f t="shared" si="5"/>
        <v>42548.681273148148</v>
      </c>
    </row>
    <row r="159" spans="1:7" x14ac:dyDescent="0.25">
      <c r="A159" s="13">
        <v>42548.485405092593</v>
      </c>
      <c r="B159" s="38" t="s">
        <v>68</v>
      </c>
      <c r="C159" s="38" t="s">
        <v>213</v>
      </c>
      <c r="D159" s="38">
        <v>1460000</v>
      </c>
      <c r="E159" s="38" t="s">
        <v>108</v>
      </c>
      <c r="F159" s="38" t="str">
        <f t="shared" si="4"/>
        <v>rtdc.l.rtdc.4017:itc</v>
      </c>
      <c r="G159" s="13">
        <f t="shared" si="5"/>
        <v>42548.485405092593</v>
      </c>
    </row>
    <row r="160" spans="1:7" x14ac:dyDescent="0.25">
      <c r="A160" s="13">
        <v>42548.719837962963</v>
      </c>
      <c r="B160" s="38" t="s">
        <v>67</v>
      </c>
      <c r="C160" s="38" t="s">
        <v>247</v>
      </c>
      <c r="D160" s="38">
        <v>1750000</v>
      </c>
      <c r="E160" s="38" t="s">
        <v>144</v>
      </c>
      <c r="F160" s="38" t="str">
        <f t="shared" si="4"/>
        <v>rtdc.l.rtdc.4018:itc</v>
      </c>
      <c r="G160" s="13">
        <f t="shared" si="5"/>
        <v>42548.719837962963</v>
      </c>
    </row>
    <row r="161" spans="1:7" x14ac:dyDescent="0.25">
      <c r="A161" s="13">
        <v>42548.354259259257</v>
      </c>
      <c r="B161" s="38" t="s">
        <v>300</v>
      </c>
      <c r="C161" s="38" t="s">
        <v>406</v>
      </c>
      <c r="D161" s="38">
        <v>2010000</v>
      </c>
      <c r="E161" s="38" t="s">
        <v>302</v>
      </c>
      <c r="F161" s="38" t="str">
        <f t="shared" si="4"/>
        <v>rtdc.l.rtdc.4029:itc</v>
      </c>
      <c r="G161" s="13">
        <f t="shared" si="5"/>
        <v>42548.354259259257</v>
      </c>
    </row>
    <row r="162" spans="1:7" x14ac:dyDescent="0.25">
      <c r="A162" s="13">
        <v>42548.797997685186</v>
      </c>
      <c r="B162" s="38" t="s">
        <v>77</v>
      </c>
      <c r="C162" s="38" t="s">
        <v>291</v>
      </c>
      <c r="D162" s="38">
        <v>1800000</v>
      </c>
      <c r="E162" s="38" t="s">
        <v>119</v>
      </c>
      <c r="F162" s="38" t="str">
        <f t="shared" si="4"/>
        <v>rtdc.l.rtdc.4041:itc</v>
      </c>
      <c r="G162" s="13">
        <f t="shared" si="5"/>
        <v>42548.797997685186</v>
      </c>
    </row>
    <row r="163" spans="1:7" x14ac:dyDescent="0.25">
      <c r="A163" s="13">
        <v>42548.183692129627</v>
      </c>
      <c r="B163" s="38" t="s">
        <v>109</v>
      </c>
      <c r="C163" s="38" t="s">
        <v>336</v>
      </c>
      <c r="D163" s="38">
        <v>1230000</v>
      </c>
      <c r="E163" s="38" t="s">
        <v>318</v>
      </c>
      <c r="F163" s="38" t="str">
        <f t="shared" si="4"/>
        <v>rtdc.l.rtdc.4038:itc</v>
      </c>
      <c r="G163" s="13">
        <f t="shared" si="5"/>
        <v>42548.183692129627</v>
      </c>
    </row>
    <row r="164" spans="1:7" x14ac:dyDescent="0.25">
      <c r="A164" s="13">
        <v>42547.818078703705</v>
      </c>
      <c r="B164" s="38" t="s">
        <v>63</v>
      </c>
      <c r="C164" s="38" t="s">
        <v>130</v>
      </c>
      <c r="D164" s="38">
        <v>1750000</v>
      </c>
      <c r="E164" s="38" t="s">
        <v>144</v>
      </c>
      <c r="F164" s="38" t="str">
        <f t="shared" si="4"/>
        <v>rtdc.l.rtdc.4032:itc</v>
      </c>
      <c r="G164" s="13">
        <f t="shared" si="5"/>
        <v>42547.818078703705</v>
      </c>
    </row>
    <row r="165" spans="1:7" x14ac:dyDescent="0.25">
      <c r="A165" s="13">
        <v>42548.42560185185</v>
      </c>
      <c r="B165" s="38" t="s">
        <v>67</v>
      </c>
      <c r="C165" s="38" t="s">
        <v>204</v>
      </c>
      <c r="D165" s="38">
        <v>1460000</v>
      </c>
      <c r="E165" s="38" t="s">
        <v>108</v>
      </c>
      <c r="F165" s="38" t="str">
        <f t="shared" si="4"/>
        <v>rtdc.l.rtdc.4018:itc</v>
      </c>
      <c r="G165" s="13">
        <f t="shared" si="5"/>
        <v>42548.42560185185</v>
      </c>
    </row>
    <row r="166" spans="1:7" x14ac:dyDescent="0.25">
      <c r="A166" s="13">
        <v>42547.992037037038</v>
      </c>
      <c r="B166" s="38" t="s">
        <v>124</v>
      </c>
      <c r="C166" s="38" t="s">
        <v>163</v>
      </c>
      <c r="D166" s="38">
        <v>1770000</v>
      </c>
      <c r="E166" s="38" t="s">
        <v>111</v>
      </c>
      <c r="F166" s="38" t="str">
        <f t="shared" si="4"/>
        <v>rtdc.l.rtdc.4025:itc</v>
      </c>
      <c r="G166" s="13">
        <f t="shared" si="5"/>
        <v>42547.992037037038</v>
      </c>
    </row>
    <row r="167" spans="1:7" x14ac:dyDescent="0.25">
      <c r="A167" s="13">
        <v>42548.296770833331</v>
      </c>
      <c r="B167" s="38" t="s">
        <v>77</v>
      </c>
      <c r="C167" s="38" t="s">
        <v>181</v>
      </c>
      <c r="D167" s="38">
        <v>1460000</v>
      </c>
      <c r="E167" s="38" t="s">
        <v>108</v>
      </c>
      <c r="F167" s="38" t="str">
        <f t="shared" si="4"/>
        <v>rtdc.l.rtdc.4041:itc</v>
      </c>
      <c r="G167" s="13">
        <f t="shared" si="5"/>
        <v>42548.296770833331</v>
      </c>
    </row>
    <row r="168" spans="1:7" x14ac:dyDescent="0.25">
      <c r="A168" s="13">
        <v>42547.994664351849</v>
      </c>
      <c r="B168" s="38" t="s">
        <v>150</v>
      </c>
      <c r="C168" s="38" t="s">
        <v>161</v>
      </c>
      <c r="D168" s="38">
        <v>1290000</v>
      </c>
      <c r="E168" s="38" t="s">
        <v>143</v>
      </c>
      <c r="F168" s="38" t="str">
        <f t="shared" si="4"/>
        <v>rtdc.l.rtdc.4037:itc</v>
      </c>
      <c r="G168" s="13">
        <f t="shared" si="5"/>
        <v>42547.994664351849</v>
      </c>
    </row>
    <row r="169" spans="1:7" x14ac:dyDescent="0.25">
      <c r="A169" s="13">
        <v>42548.208414351851</v>
      </c>
      <c r="B169" s="38" t="s">
        <v>126</v>
      </c>
      <c r="C169" s="38" t="s">
        <v>407</v>
      </c>
      <c r="D169" s="38">
        <v>900000</v>
      </c>
      <c r="E169" s="38" t="s">
        <v>330</v>
      </c>
      <c r="F169" s="38" t="str">
        <f t="shared" si="4"/>
        <v>rtdc.l.rtdc.4013:itc</v>
      </c>
      <c r="G169" s="13">
        <f t="shared" si="5"/>
        <v>42548.208414351851</v>
      </c>
    </row>
    <row r="170" spans="1:7" x14ac:dyDescent="0.25">
      <c r="A170" s="13">
        <v>42548.170381944445</v>
      </c>
      <c r="B170" s="38" t="s">
        <v>123</v>
      </c>
      <c r="C170" s="38" t="s">
        <v>408</v>
      </c>
      <c r="D170" s="38">
        <v>1840000</v>
      </c>
      <c r="E170" s="38" t="s">
        <v>107</v>
      </c>
      <c r="F170" s="38" t="str">
        <f t="shared" si="4"/>
        <v>rtdc.l.rtdc.4028:itc</v>
      </c>
      <c r="G170" s="13">
        <f t="shared" si="5"/>
        <v>42548.170381944445</v>
      </c>
    </row>
    <row r="171" spans="1:7" x14ac:dyDescent="0.25">
      <c r="A171" s="13">
        <v>42548.79546296296</v>
      </c>
      <c r="B171" s="38" t="s">
        <v>357</v>
      </c>
      <c r="C171" s="38" t="s">
        <v>358</v>
      </c>
      <c r="D171" s="38">
        <v>1770000</v>
      </c>
      <c r="E171" s="38" t="s">
        <v>111</v>
      </c>
      <c r="F171" s="38" t="str">
        <f t="shared" si="4"/>
        <v>rtdc.l.rtdc.4039:itc</v>
      </c>
      <c r="G171" s="13">
        <f t="shared" si="5"/>
        <v>42548.79546296296</v>
      </c>
    </row>
    <row r="172" spans="1:7" x14ac:dyDescent="0.25">
      <c r="A172" s="13">
        <v>42548.226979166669</v>
      </c>
      <c r="B172" s="38" t="s">
        <v>71</v>
      </c>
      <c r="C172" s="38" t="s">
        <v>409</v>
      </c>
      <c r="D172" s="38">
        <v>1310000</v>
      </c>
      <c r="E172" s="38" t="s">
        <v>110</v>
      </c>
      <c r="F172" s="38" t="str">
        <f t="shared" si="4"/>
        <v>rtdc.l.rtdc.4031:itc</v>
      </c>
      <c r="G172" s="13">
        <f t="shared" si="5"/>
        <v>42548.226979166669</v>
      </c>
    </row>
    <row r="173" spans="1:7" x14ac:dyDescent="0.25">
      <c r="A173" s="13">
        <v>42548.786608796298</v>
      </c>
      <c r="B173" s="38" t="s">
        <v>114</v>
      </c>
      <c r="C173" s="38" t="s">
        <v>410</v>
      </c>
      <c r="D173" s="38">
        <v>1990000</v>
      </c>
      <c r="E173" s="38" t="s">
        <v>339</v>
      </c>
      <c r="F173" s="38" t="str">
        <f t="shared" si="4"/>
        <v>rtdc.l.rtdc.4023:itc</v>
      </c>
      <c r="G173" s="13">
        <f t="shared" si="5"/>
        <v>42548.786608796298</v>
      </c>
    </row>
    <row r="174" spans="1:7" x14ac:dyDescent="0.25">
      <c r="A174" s="13">
        <v>42548.234305555554</v>
      </c>
      <c r="B174" s="38" t="s">
        <v>125</v>
      </c>
      <c r="C174" s="38" t="s">
        <v>411</v>
      </c>
      <c r="D174" s="38">
        <v>1090000</v>
      </c>
      <c r="E174" s="38" t="s">
        <v>344</v>
      </c>
      <c r="F174" s="38" t="str">
        <f t="shared" si="4"/>
        <v>rtdc.l.rtdc.4026:itc</v>
      </c>
      <c r="G174" s="13">
        <f t="shared" si="5"/>
        <v>42548.234305555554</v>
      </c>
    </row>
    <row r="175" spans="1:7" x14ac:dyDescent="0.25">
      <c r="A175" s="13">
        <v>42549.016516203701</v>
      </c>
      <c r="B175" s="38" t="s">
        <v>69</v>
      </c>
      <c r="C175" s="38" t="s">
        <v>412</v>
      </c>
      <c r="D175" s="38">
        <v>1800000</v>
      </c>
      <c r="E175" s="38" t="s">
        <v>119</v>
      </c>
      <c r="F175" s="38" t="str">
        <f t="shared" si="4"/>
        <v>rtdc.l.rtdc.4008:itc</v>
      </c>
      <c r="G175" s="13">
        <f t="shared" si="5"/>
        <v>42549.016516203701</v>
      </c>
    </row>
    <row r="176" spans="1:7" x14ac:dyDescent="0.25">
      <c r="A176" s="13">
        <v>42548.257881944446</v>
      </c>
      <c r="B176" s="38" t="s">
        <v>77</v>
      </c>
      <c r="C176" s="38" t="s">
        <v>170</v>
      </c>
      <c r="D176" s="38">
        <v>1460000</v>
      </c>
      <c r="E176" s="38" t="s">
        <v>108</v>
      </c>
      <c r="F176" s="38" t="str">
        <f t="shared" si="4"/>
        <v>rtdc.l.rtdc.4041:itc</v>
      </c>
      <c r="G176" s="13">
        <f t="shared" si="5"/>
        <v>42548.257881944446</v>
      </c>
    </row>
    <row r="177" spans="1:7" x14ac:dyDescent="0.25">
      <c r="A177" s="13">
        <v>42548.867708333331</v>
      </c>
      <c r="B177" s="38" t="s">
        <v>357</v>
      </c>
      <c r="C177" s="38" t="s">
        <v>413</v>
      </c>
      <c r="D177" s="38">
        <v>1770000</v>
      </c>
      <c r="E177" s="38" t="s">
        <v>111</v>
      </c>
      <c r="F177" s="38" t="str">
        <f t="shared" si="4"/>
        <v>rtdc.l.rtdc.4039:itc</v>
      </c>
      <c r="G177" s="13">
        <f t="shared" si="5"/>
        <v>42548.867708333331</v>
      </c>
    </row>
    <row r="178" spans="1:7" x14ac:dyDescent="0.25">
      <c r="A178" s="13">
        <v>42548.291493055556</v>
      </c>
      <c r="B178" s="38" t="s">
        <v>120</v>
      </c>
      <c r="C178" s="38" t="s">
        <v>370</v>
      </c>
      <c r="D178" s="38">
        <v>1840000</v>
      </c>
      <c r="E178" s="38" t="s">
        <v>107</v>
      </c>
      <c r="F178" s="38" t="str">
        <f t="shared" si="4"/>
        <v>rtdc.l.rtdc.4014:itc</v>
      </c>
      <c r="G178" s="13">
        <f t="shared" si="5"/>
        <v>42548.291493055556</v>
      </c>
    </row>
    <row r="179" spans="1:7" x14ac:dyDescent="0.25">
      <c r="A179" s="13">
        <v>42548.846944444442</v>
      </c>
      <c r="B179" s="38" t="s">
        <v>71</v>
      </c>
      <c r="C179" s="38" t="s">
        <v>414</v>
      </c>
      <c r="D179" s="38">
        <v>1280000</v>
      </c>
      <c r="E179" s="38" t="s">
        <v>139</v>
      </c>
      <c r="F179" s="38" t="str">
        <f t="shared" si="4"/>
        <v>rtdc.l.rtdc.4031:itc</v>
      </c>
      <c r="G179" s="13">
        <f t="shared" si="5"/>
        <v>42548.846944444442</v>
      </c>
    </row>
    <row r="180" spans="1:7" x14ac:dyDescent="0.25">
      <c r="A180" s="13">
        <v>42548.30332175926</v>
      </c>
      <c r="B180" s="38" t="s">
        <v>67</v>
      </c>
      <c r="C180" s="38" t="s">
        <v>184</v>
      </c>
      <c r="D180" s="38">
        <v>1820000</v>
      </c>
      <c r="E180" s="38" t="s">
        <v>99</v>
      </c>
      <c r="F180" s="38" t="str">
        <f t="shared" si="4"/>
        <v>rtdc.l.rtdc.4018:itc</v>
      </c>
      <c r="G180" s="13">
        <f t="shared" si="5"/>
        <v>42548.30332175926</v>
      </c>
    </row>
    <row r="181" spans="1:7" x14ac:dyDescent="0.25">
      <c r="A181" s="13">
        <v>42548.933888888889</v>
      </c>
      <c r="B181" s="38" t="s">
        <v>71</v>
      </c>
      <c r="C181" s="38" t="s">
        <v>415</v>
      </c>
      <c r="D181" s="38">
        <v>1280000</v>
      </c>
      <c r="E181" s="38" t="s">
        <v>139</v>
      </c>
      <c r="F181" s="38" t="str">
        <f t="shared" si="4"/>
        <v>rtdc.l.rtdc.4031:itc</v>
      </c>
      <c r="G181" s="13">
        <f t="shared" si="5"/>
        <v>42548.933888888889</v>
      </c>
    </row>
    <row r="182" spans="1:7" x14ac:dyDescent="0.25">
      <c r="A182" s="13">
        <v>42548.321851851855</v>
      </c>
      <c r="B182" s="38" t="s">
        <v>113</v>
      </c>
      <c r="C182" s="38" t="s">
        <v>329</v>
      </c>
      <c r="D182" s="38">
        <v>900000</v>
      </c>
      <c r="E182" s="38" t="s">
        <v>330</v>
      </c>
      <c r="F182" s="38" t="str">
        <f t="shared" si="4"/>
        <v>rtdc.l.rtdc.4024:itc</v>
      </c>
      <c r="G182" s="13">
        <f t="shared" si="5"/>
        <v>42548.321851851855</v>
      </c>
    </row>
    <row r="183" spans="1:7" x14ac:dyDescent="0.25">
      <c r="A183" s="13">
        <v>42548.887303240743</v>
      </c>
      <c r="B183" s="38" t="s">
        <v>357</v>
      </c>
      <c r="C183" s="38" t="s">
        <v>413</v>
      </c>
      <c r="D183" s="38">
        <v>1770000</v>
      </c>
      <c r="E183" s="38" t="s">
        <v>111</v>
      </c>
      <c r="F183" s="38" t="str">
        <f t="shared" si="4"/>
        <v>rtdc.l.rtdc.4039:itc</v>
      </c>
      <c r="G183" s="13">
        <f t="shared" si="5"/>
        <v>42548.887303240743</v>
      </c>
    </row>
    <row r="184" spans="1:7" x14ac:dyDescent="0.25">
      <c r="A184" s="13">
        <v>42548.361122685186</v>
      </c>
      <c r="B184" s="38" t="s">
        <v>114</v>
      </c>
      <c r="C184" s="38" t="s">
        <v>416</v>
      </c>
      <c r="D184" s="38">
        <v>900000</v>
      </c>
      <c r="E184" s="38" t="s">
        <v>330</v>
      </c>
      <c r="F184" s="38" t="str">
        <f t="shared" si="4"/>
        <v>rtdc.l.rtdc.4023:itc</v>
      </c>
      <c r="G184" s="13">
        <f t="shared" si="5"/>
        <v>42548.361122685186</v>
      </c>
    </row>
    <row r="185" spans="1:7" x14ac:dyDescent="0.25">
      <c r="A185" s="13">
        <v>42548.755393518521</v>
      </c>
      <c r="B185" s="38" t="s">
        <v>63</v>
      </c>
      <c r="C185" s="38" t="s">
        <v>377</v>
      </c>
      <c r="D185" s="38">
        <v>1120000</v>
      </c>
      <c r="E185" s="38" t="s">
        <v>118</v>
      </c>
      <c r="F185" s="38" t="str">
        <f t="shared" si="4"/>
        <v>rtdc.l.rtdc.4032:itc</v>
      </c>
      <c r="G185" s="13">
        <f t="shared" si="5"/>
        <v>42548.755393518521</v>
      </c>
    </row>
    <row r="186" spans="1:7" x14ac:dyDescent="0.25">
      <c r="A186" s="13">
        <v>42548.381828703707</v>
      </c>
      <c r="B186" s="38" t="s">
        <v>70</v>
      </c>
      <c r="C186" s="38" t="s">
        <v>417</v>
      </c>
      <c r="D186" s="38">
        <v>2030000</v>
      </c>
      <c r="E186" s="38" t="s">
        <v>310</v>
      </c>
      <c r="F186" s="38" t="str">
        <f t="shared" si="4"/>
        <v>rtdc.l.rtdc.4007:itc</v>
      </c>
      <c r="G186" s="13">
        <f t="shared" si="5"/>
        <v>42548.381828703707</v>
      </c>
    </row>
    <row r="187" spans="1:7" x14ac:dyDescent="0.25">
      <c r="A187" s="13">
        <v>42548.797384259262</v>
      </c>
      <c r="B187" s="38" t="s">
        <v>357</v>
      </c>
      <c r="C187" s="38" t="s">
        <v>358</v>
      </c>
      <c r="D187" s="38">
        <v>1770000</v>
      </c>
      <c r="E187" s="38" t="s">
        <v>111</v>
      </c>
      <c r="F187" s="38" t="str">
        <f t="shared" si="4"/>
        <v>rtdc.l.rtdc.4039:itc</v>
      </c>
      <c r="G187" s="13">
        <f t="shared" si="5"/>
        <v>42548.797384259262</v>
      </c>
    </row>
    <row r="188" spans="1:7" x14ac:dyDescent="0.25">
      <c r="A188" s="13">
        <v>42547.883888888886</v>
      </c>
      <c r="B188" s="38" t="s">
        <v>71</v>
      </c>
      <c r="C188" s="38" t="s">
        <v>135</v>
      </c>
      <c r="D188" s="38">
        <v>1750000</v>
      </c>
      <c r="E188" s="38" t="s">
        <v>144</v>
      </c>
      <c r="F188" s="38" t="str">
        <f t="shared" si="4"/>
        <v>rtdc.l.rtdc.4031:itc</v>
      </c>
      <c r="G188" s="13">
        <f t="shared" si="5"/>
        <v>42547.883888888886</v>
      </c>
    </row>
    <row r="189" spans="1:7" x14ac:dyDescent="0.25">
      <c r="A189" s="13">
        <v>42548.807164351849</v>
      </c>
      <c r="B189" s="38" t="s">
        <v>67</v>
      </c>
      <c r="C189" s="38" t="s">
        <v>269</v>
      </c>
      <c r="D189" s="38">
        <v>1750000</v>
      </c>
      <c r="E189" s="38" t="s">
        <v>144</v>
      </c>
      <c r="F189" s="38" t="str">
        <f t="shared" si="4"/>
        <v>rtdc.l.rtdc.4018:itc</v>
      </c>
      <c r="G189" s="13">
        <f t="shared" si="5"/>
        <v>42548.807164351849</v>
      </c>
    </row>
    <row r="190" spans="1:7" x14ac:dyDescent="0.25">
      <c r="A190" s="13">
        <v>42547.952719907407</v>
      </c>
      <c r="B190" s="38" t="s">
        <v>63</v>
      </c>
      <c r="C190" s="38" t="s">
        <v>162</v>
      </c>
      <c r="D190" s="38">
        <v>1750000</v>
      </c>
      <c r="E190" s="38" t="s">
        <v>144</v>
      </c>
      <c r="F190" s="38" t="str">
        <f t="shared" si="4"/>
        <v>rtdc.l.rtdc.4032:itc</v>
      </c>
      <c r="G190" s="13">
        <f t="shared" si="5"/>
        <v>42547.952719907407</v>
      </c>
    </row>
    <row r="191" spans="1:7" x14ac:dyDescent="0.25">
      <c r="A191" s="13">
        <v>42548.788078703707</v>
      </c>
      <c r="B191" s="38" t="s">
        <v>114</v>
      </c>
      <c r="C191" s="38" t="s">
        <v>410</v>
      </c>
      <c r="D191" s="38">
        <v>1990000</v>
      </c>
      <c r="E191" s="38" t="s">
        <v>339</v>
      </c>
      <c r="F191" s="38" t="str">
        <f t="shared" si="4"/>
        <v>rtdc.l.rtdc.4023:itc</v>
      </c>
      <c r="G191" s="13">
        <f t="shared" si="5"/>
        <v>42548.788078703707</v>
      </c>
    </row>
    <row r="192" spans="1:7" x14ac:dyDescent="0.25">
      <c r="A192" s="13">
        <v>42547.977905092594</v>
      </c>
      <c r="B192" s="38" t="s">
        <v>63</v>
      </c>
      <c r="C192" s="38" t="s">
        <v>137</v>
      </c>
      <c r="D192" s="38">
        <v>1750000</v>
      </c>
      <c r="E192" s="38" t="s">
        <v>144</v>
      </c>
      <c r="F192" s="38" t="str">
        <f t="shared" si="4"/>
        <v>rtdc.l.rtdc.4032:itc</v>
      </c>
      <c r="G192" s="13">
        <f t="shared" si="5"/>
        <v>42547.977905092594</v>
      </c>
    </row>
    <row r="193" spans="1:7" x14ac:dyDescent="0.25">
      <c r="A193" s="13">
        <v>42549.035034722219</v>
      </c>
      <c r="B193" s="38" t="s">
        <v>357</v>
      </c>
      <c r="C193" s="38" t="s">
        <v>418</v>
      </c>
      <c r="D193" s="38">
        <v>1770000</v>
      </c>
      <c r="E193" s="38" t="s">
        <v>111</v>
      </c>
      <c r="F193" s="38" t="str">
        <f t="shared" si="4"/>
        <v>rtdc.l.rtdc.4039:itc</v>
      </c>
      <c r="G193" s="13">
        <f t="shared" si="5"/>
        <v>42549.035034722219</v>
      </c>
    </row>
    <row r="194" spans="1:7" x14ac:dyDescent="0.25">
      <c r="A194" s="13">
        <v>42548.171701388892</v>
      </c>
      <c r="B194" s="38" t="s">
        <v>113</v>
      </c>
      <c r="C194" s="38" t="s">
        <v>419</v>
      </c>
      <c r="D194" s="38">
        <v>900000</v>
      </c>
      <c r="E194" s="38" t="s">
        <v>330</v>
      </c>
      <c r="F194" s="38" t="str">
        <f t="shared" ref="F194:F257" si="6">B194</f>
        <v>rtdc.l.rtdc.4024:itc</v>
      </c>
      <c r="G194" s="13">
        <f t="shared" ref="G194:G257" si="7">A194</f>
        <v>42548.171701388892</v>
      </c>
    </row>
    <row r="195" spans="1:7" x14ac:dyDescent="0.25">
      <c r="A195" s="13">
        <v>42548.908032407409</v>
      </c>
      <c r="B195" s="38" t="s">
        <v>322</v>
      </c>
      <c r="C195" s="38" t="s">
        <v>420</v>
      </c>
      <c r="D195" s="38">
        <v>1140000</v>
      </c>
      <c r="E195" s="38" t="s">
        <v>381</v>
      </c>
      <c r="F195" s="38" t="str">
        <f t="shared" si="6"/>
        <v>rtdc.l.rtdc.4030:itc</v>
      </c>
      <c r="G195" s="13">
        <f t="shared" si="7"/>
        <v>42548.908032407409</v>
      </c>
    </row>
    <row r="196" spans="1:7" x14ac:dyDescent="0.25">
      <c r="A196" s="13">
        <v>42548.252476851849</v>
      </c>
      <c r="B196" s="38" t="s">
        <v>123</v>
      </c>
      <c r="C196" s="38" t="s">
        <v>421</v>
      </c>
      <c r="D196" s="38">
        <v>1840000</v>
      </c>
      <c r="E196" s="38" t="s">
        <v>107</v>
      </c>
      <c r="F196" s="38" t="str">
        <f t="shared" si="6"/>
        <v>rtdc.l.rtdc.4028:itc</v>
      </c>
      <c r="G196" s="13">
        <f t="shared" si="7"/>
        <v>42548.252476851849</v>
      </c>
    </row>
    <row r="197" spans="1:7" x14ac:dyDescent="0.25">
      <c r="A197" s="13">
        <v>42548.702418981484</v>
      </c>
      <c r="B197" s="38" t="s">
        <v>78</v>
      </c>
      <c r="C197" s="38" t="s">
        <v>243</v>
      </c>
      <c r="D197" s="38">
        <v>1800000</v>
      </c>
      <c r="E197" s="38" t="s">
        <v>119</v>
      </c>
      <c r="F197" s="38" t="str">
        <f t="shared" si="6"/>
        <v>rtdc.l.rtdc.4042:itc</v>
      </c>
      <c r="G197" s="13">
        <f t="shared" si="7"/>
        <v>42548.702418981484</v>
      </c>
    </row>
    <row r="198" spans="1:7" x14ac:dyDescent="0.25">
      <c r="A198" s="13">
        <v>42548.312511574077</v>
      </c>
      <c r="B198" s="38" t="s">
        <v>78</v>
      </c>
      <c r="C198" s="38" t="s">
        <v>189</v>
      </c>
      <c r="D198" s="38">
        <v>1460000</v>
      </c>
      <c r="E198" s="38" t="s">
        <v>108</v>
      </c>
      <c r="F198" s="38" t="str">
        <f t="shared" si="6"/>
        <v>rtdc.l.rtdc.4042:itc</v>
      </c>
      <c r="G198" s="13">
        <f t="shared" si="7"/>
        <v>42548.312511574077</v>
      </c>
    </row>
    <row r="199" spans="1:7" x14ac:dyDescent="0.25">
      <c r="A199" s="13">
        <v>42548.639560185184</v>
      </c>
      <c r="B199" s="38" t="s">
        <v>63</v>
      </c>
      <c r="C199" s="38" t="s">
        <v>335</v>
      </c>
      <c r="D199" s="38">
        <v>1540000</v>
      </c>
      <c r="E199" s="38" t="s">
        <v>122</v>
      </c>
      <c r="F199" s="38" t="str">
        <f t="shared" si="6"/>
        <v>rtdc.l.rtdc.4032:itc</v>
      </c>
      <c r="G199" s="13">
        <f t="shared" si="7"/>
        <v>42548.639560185184</v>
      </c>
    </row>
    <row r="200" spans="1:7" x14ac:dyDescent="0.25">
      <c r="A200" s="13">
        <v>42548.387592592589</v>
      </c>
      <c r="B200" s="38" t="s">
        <v>67</v>
      </c>
      <c r="C200" s="38" t="s">
        <v>201</v>
      </c>
      <c r="D200" s="38">
        <v>310000</v>
      </c>
      <c r="E200" s="38" t="s">
        <v>313</v>
      </c>
      <c r="F200" s="38" t="str">
        <f t="shared" si="6"/>
        <v>rtdc.l.rtdc.4018:itc</v>
      </c>
      <c r="G200" s="13">
        <f t="shared" si="7"/>
        <v>42548.387592592589</v>
      </c>
    </row>
    <row r="201" spans="1:7" x14ac:dyDescent="0.25">
      <c r="A201" s="13">
        <v>42548.579502314817</v>
      </c>
      <c r="B201" s="38" t="s">
        <v>325</v>
      </c>
      <c r="C201" s="38" t="s">
        <v>422</v>
      </c>
      <c r="D201" s="38">
        <v>2020000</v>
      </c>
      <c r="E201" s="38" t="s">
        <v>327</v>
      </c>
      <c r="F201" s="38" t="str">
        <f t="shared" si="6"/>
        <v>rtdc.l.rtdc.4027:itc</v>
      </c>
      <c r="G201" s="13">
        <f t="shared" si="7"/>
        <v>42548.579502314817</v>
      </c>
    </row>
    <row r="202" spans="1:7" x14ac:dyDescent="0.25">
      <c r="A202" s="57">
        <v>42548.391030092593</v>
      </c>
      <c r="B202" s="38" t="s">
        <v>322</v>
      </c>
      <c r="C202" s="38" t="s">
        <v>423</v>
      </c>
      <c r="D202" s="38">
        <v>2010000</v>
      </c>
      <c r="E202" s="38" t="s">
        <v>302</v>
      </c>
      <c r="F202" s="38" t="str">
        <f t="shared" si="6"/>
        <v>rtdc.l.rtdc.4030:itc</v>
      </c>
      <c r="G202" s="13">
        <f t="shared" si="7"/>
        <v>42548.391030092593</v>
      </c>
    </row>
    <row r="203" spans="1:7" x14ac:dyDescent="0.25">
      <c r="A203" s="13">
        <v>42548.470300925925</v>
      </c>
      <c r="B203" s="38" t="s">
        <v>123</v>
      </c>
      <c r="C203" s="38" t="s">
        <v>403</v>
      </c>
      <c r="D203" s="38">
        <v>2010000</v>
      </c>
      <c r="E203" s="38" t="s">
        <v>302</v>
      </c>
      <c r="F203" s="38" t="str">
        <f t="shared" si="6"/>
        <v>rtdc.l.rtdc.4028:itc</v>
      </c>
      <c r="G203" s="13">
        <f t="shared" si="7"/>
        <v>42548.470300925925</v>
      </c>
    </row>
    <row r="204" spans="1:7" x14ac:dyDescent="0.25">
      <c r="A204" s="13">
        <v>42548.404780092591</v>
      </c>
      <c r="B204" s="38" t="s">
        <v>68</v>
      </c>
      <c r="C204" s="38" t="s">
        <v>207</v>
      </c>
      <c r="D204" s="38">
        <v>1460000</v>
      </c>
      <c r="E204" s="38" t="s">
        <v>108</v>
      </c>
      <c r="F204" s="38" t="str">
        <f t="shared" si="6"/>
        <v>rtdc.l.rtdc.4017:itc</v>
      </c>
      <c r="G204" s="13">
        <f t="shared" si="7"/>
        <v>42548.404780092591</v>
      </c>
    </row>
    <row r="205" spans="1:7" x14ac:dyDescent="0.25">
      <c r="A205" s="13">
        <v>42548.352268518516</v>
      </c>
      <c r="B205" s="38" t="s">
        <v>300</v>
      </c>
      <c r="C205" s="38" t="s">
        <v>406</v>
      </c>
      <c r="D205" s="38">
        <v>2010000</v>
      </c>
      <c r="E205" s="38" t="s">
        <v>302</v>
      </c>
      <c r="F205" s="38" t="str">
        <f t="shared" si="6"/>
        <v>rtdc.l.rtdc.4029:itc</v>
      </c>
      <c r="G205" s="13">
        <f t="shared" si="7"/>
        <v>42548.352268518516</v>
      </c>
    </row>
    <row r="206" spans="1:7" x14ac:dyDescent="0.25">
      <c r="A206" s="13">
        <v>42548.414490740739</v>
      </c>
      <c r="B206" s="38" t="s">
        <v>124</v>
      </c>
      <c r="C206" s="38" t="s">
        <v>424</v>
      </c>
      <c r="D206" s="38">
        <v>1090000</v>
      </c>
      <c r="E206" s="38" t="s">
        <v>344</v>
      </c>
      <c r="F206" s="38" t="str">
        <f t="shared" si="6"/>
        <v>rtdc.l.rtdc.4025:itc</v>
      </c>
      <c r="G206" s="13">
        <f t="shared" si="7"/>
        <v>42548.414490740739</v>
      </c>
    </row>
    <row r="207" spans="1:7" x14ac:dyDescent="0.25">
      <c r="A207" s="13">
        <v>42548.308368055557</v>
      </c>
      <c r="B207" s="38" t="s">
        <v>322</v>
      </c>
      <c r="C207" s="38" t="s">
        <v>425</v>
      </c>
      <c r="D207" s="38">
        <v>2010000</v>
      </c>
      <c r="E207" s="38" t="s">
        <v>302</v>
      </c>
      <c r="F207" s="38" t="str">
        <f t="shared" si="6"/>
        <v>rtdc.l.rtdc.4030:itc</v>
      </c>
      <c r="G207" s="13">
        <f t="shared" si="7"/>
        <v>42548.308368055557</v>
      </c>
    </row>
    <row r="208" spans="1:7" x14ac:dyDescent="0.25">
      <c r="A208" s="13">
        <v>42548.422442129631</v>
      </c>
      <c r="B208" s="38" t="s">
        <v>300</v>
      </c>
      <c r="C208" s="38" t="s">
        <v>426</v>
      </c>
      <c r="D208" s="38">
        <v>1260000</v>
      </c>
      <c r="E208" s="38" t="s">
        <v>121</v>
      </c>
      <c r="F208" s="38" t="str">
        <f t="shared" si="6"/>
        <v>rtdc.l.rtdc.4029:itc</v>
      </c>
      <c r="G208" s="13">
        <f t="shared" si="7"/>
        <v>42548.422442129631</v>
      </c>
    </row>
    <row r="209" spans="1:7" x14ac:dyDescent="0.25">
      <c r="A209" s="13">
        <v>42548.703784722224</v>
      </c>
      <c r="B209" s="38" t="s">
        <v>69</v>
      </c>
      <c r="C209" s="38" t="s">
        <v>427</v>
      </c>
      <c r="D209" s="38">
        <v>1540000</v>
      </c>
      <c r="E209" s="38" t="s">
        <v>122</v>
      </c>
      <c r="F209" s="38" t="str">
        <f t="shared" si="6"/>
        <v>rtdc.l.rtdc.4008:itc</v>
      </c>
      <c r="G209" s="13">
        <f t="shared" si="7"/>
        <v>42548.703784722224</v>
      </c>
    </row>
    <row r="210" spans="1:7" x14ac:dyDescent="0.25">
      <c r="A210" s="13">
        <v>42548.424224537041</v>
      </c>
      <c r="B210" s="38" t="s">
        <v>300</v>
      </c>
      <c r="C210" s="38" t="s">
        <v>426</v>
      </c>
      <c r="D210" s="38">
        <v>1260000</v>
      </c>
      <c r="E210" s="38" t="s">
        <v>121</v>
      </c>
      <c r="F210" s="38" t="str">
        <f t="shared" si="6"/>
        <v>rtdc.l.rtdc.4029:itc</v>
      </c>
      <c r="G210" s="13">
        <f t="shared" si="7"/>
        <v>42548.424224537041</v>
      </c>
    </row>
    <row r="211" spans="1:7" x14ac:dyDescent="0.25">
      <c r="A211" s="13">
        <v>42548.548275462963</v>
      </c>
      <c r="B211" s="38" t="s">
        <v>123</v>
      </c>
      <c r="C211" s="38" t="s">
        <v>428</v>
      </c>
      <c r="D211" s="38">
        <v>2020000</v>
      </c>
      <c r="E211" s="38" t="s">
        <v>327</v>
      </c>
      <c r="F211" s="38" t="str">
        <f t="shared" si="6"/>
        <v>rtdc.l.rtdc.4028:itc</v>
      </c>
      <c r="G211" s="13">
        <f t="shared" si="7"/>
        <v>42548.548275462963</v>
      </c>
    </row>
    <row r="212" spans="1:7" x14ac:dyDescent="0.25">
      <c r="A212" s="13">
        <v>42548.441018518519</v>
      </c>
      <c r="B212" s="38" t="s">
        <v>150</v>
      </c>
      <c r="C212" s="38" t="s">
        <v>429</v>
      </c>
      <c r="D212" s="38">
        <v>1230000</v>
      </c>
      <c r="E212" s="38" t="s">
        <v>318</v>
      </c>
      <c r="F212" s="38" t="str">
        <f t="shared" si="6"/>
        <v>rtdc.l.rtdc.4037:itc</v>
      </c>
      <c r="G212" s="13">
        <f t="shared" si="7"/>
        <v>42548.441018518519</v>
      </c>
    </row>
    <row r="213" spans="1:7" x14ac:dyDescent="0.25">
      <c r="A213" s="13">
        <v>42548.325752314813</v>
      </c>
      <c r="B213" s="38" t="s">
        <v>126</v>
      </c>
      <c r="C213" s="38" t="s">
        <v>430</v>
      </c>
      <c r="D213" s="38">
        <v>1840000</v>
      </c>
      <c r="E213" s="38" t="s">
        <v>107</v>
      </c>
      <c r="F213" s="38" t="str">
        <f t="shared" si="6"/>
        <v>rtdc.l.rtdc.4013:itc</v>
      </c>
      <c r="G213" s="13">
        <f t="shared" si="7"/>
        <v>42548.325752314813</v>
      </c>
    </row>
    <row r="214" spans="1:7" x14ac:dyDescent="0.25">
      <c r="A214" s="13">
        <v>42548.443344907406</v>
      </c>
      <c r="B214" s="38" t="s">
        <v>71</v>
      </c>
      <c r="C214" s="38" t="s">
        <v>431</v>
      </c>
      <c r="D214" s="38">
        <v>1540000</v>
      </c>
      <c r="E214" s="38" t="s">
        <v>122</v>
      </c>
      <c r="F214" s="38" t="str">
        <f t="shared" si="6"/>
        <v>rtdc.l.rtdc.4031:itc</v>
      </c>
      <c r="G214" s="13">
        <f t="shared" si="7"/>
        <v>42548.443344907406</v>
      </c>
    </row>
    <row r="215" spans="1:7" x14ac:dyDescent="0.25">
      <c r="A215" s="13">
        <v>42547.933321759258</v>
      </c>
      <c r="B215" s="38" t="s">
        <v>115</v>
      </c>
      <c r="C215" s="38" t="s">
        <v>159</v>
      </c>
      <c r="D215" s="38">
        <v>1800000</v>
      </c>
      <c r="E215" s="38" t="s">
        <v>119</v>
      </c>
      <c r="F215" s="38" t="str">
        <f t="shared" si="6"/>
        <v>rtdc.l.rtdc.4012:itc</v>
      </c>
      <c r="G215" s="13">
        <f t="shared" si="7"/>
        <v>42547.933321759258</v>
      </c>
    </row>
    <row r="216" spans="1:7" x14ac:dyDescent="0.25">
      <c r="A216" s="13">
        <v>42548.459907407407</v>
      </c>
      <c r="B216" s="38" t="s">
        <v>322</v>
      </c>
      <c r="C216" s="38" t="s">
        <v>432</v>
      </c>
      <c r="D216" s="38">
        <v>1260000</v>
      </c>
      <c r="E216" s="38" t="s">
        <v>121</v>
      </c>
      <c r="F216" s="38" t="str">
        <f t="shared" si="6"/>
        <v>rtdc.l.rtdc.4030:itc</v>
      </c>
      <c r="G216" s="13">
        <f t="shared" si="7"/>
        <v>42548.459907407407</v>
      </c>
    </row>
    <row r="217" spans="1:7" x14ac:dyDescent="0.25">
      <c r="A217" s="13">
        <v>42548.519525462965</v>
      </c>
      <c r="B217" s="38" t="s">
        <v>71</v>
      </c>
      <c r="C217" s="38" t="s">
        <v>433</v>
      </c>
      <c r="D217" s="38">
        <v>1540000</v>
      </c>
      <c r="E217" s="38" t="s">
        <v>122</v>
      </c>
      <c r="F217" s="38" t="str">
        <f t="shared" si="6"/>
        <v>rtdc.l.rtdc.4031:itc</v>
      </c>
      <c r="G217" s="13">
        <f t="shared" si="7"/>
        <v>42548.519525462965</v>
      </c>
    </row>
    <row r="218" spans="1:7" x14ac:dyDescent="0.25">
      <c r="A218" s="13">
        <v>42548.488506944443</v>
      </c>
      <c r="B218" s="38" t="s">
        <v>124</v>
      </c>
      <c r="C218" s="38" t="s">
        <v>434</v>
      </c>
      <c r="D218" s="38">
        <v>1120000</v>
      </c>
      <c r="E218" s="38" t="s">
        <v>118</v>
      </c>
      <c r="F218" s="38" t="str">
        <f t="shared" si="6"/>
        <v>rtdc.l.rtdc.4025:itc</v>
      </c>
      <c r="G218" s="13">
        <f t="shared" si="7"/>
        <v>42548.488506944443</v>
      </c>
    </row>
    <row r="219" spans="1:7" x14ac:dyDescent="0.25">
      <c r="A219" s="13">
        <v>42548.465289351851</v>
      </c>
      <c r="B219" s="38" t="s">
        <v>113</v>
      </c>
      <c r="C219" s="38" t="s">
        <v>328</v>
      </c>
      <c r="D219" s="38">
        <v>2000000</v>
      </c>
      <c r="E219" s="38" t="s">
        <v>298</v>
      </c>
      <c r="F219" s="38" t="str">
        <f t="shared" si="6"/>
        <v>rtdc.l.rtdc.4024:itc</v>
      </c>
      <c r="G219" s="13">
        <f t="shared" si="7"/>
        <v>42548.465289351851</v>
      </c>
    </row>
    <row r="220" spans="1:7" x14ac:dyDescent="0.25">
      <c r="A220" s="13">
        <v>42548.496527777781</v>
      </c>
      <c r="B220" s="38" t="s">
        <v>300</v>
      </c>
      <c r="C220" s="38" t="s">
        <v>435</v>
      </c>
      <c r="D220" s="38">
        <v>1260000</v>
      </c>
      <c r="E220" s="38" t="s">
        <v>121</v>
      </c>
      <c r="F220" s="38" t="str">
        <f t="shared" si="6"/>
        <v>rtdc.l.rtdc.4029:itc</v>
      </c>
      <c r="G220" s="13">
        <f t="shared" si="7"/>
        <v>42548.496527777781</v>
      </c>
    </row>
    <row r="221" spans="1:7" x14ac:dyDescent="0.25">
      <c r="A221" s="13">
        <v>42548.391527777778</v>
      </c>
      <c r="B221" s="38" t="s">
        <v>113</v>
      </c>
      <c r="C221" s="38" t="s">
        <v>332</v>
      </c>
      <c r="D221" s="38">
        <v>900000</v>
      </c>
      <c r="E221" s="38" t="s">
        <v>330</v>
      </c>
      <c r="F221" s="38" t="str">
        <f t="shared" si="6"/>
        <v>rtdc.l.rtdc.4024:itc</v>
      </c>
      <c r="G221" s="13">
        <f t="shared" si="7"/>
        <v>42548.391527777778</v>
      </c>
    </row>
    <row r="222" spans="1:7" x14ac:dyDescent="0.25">
      <c r="A222" s="13">
        <v>42548.503784722219</v>
      </c>
      <c r="B222" s="38" t="s">
        <v>114</v>
      </c>
      <c r="C222" s="38" t="s">
        <v>436</v>
      </c>
      <c r="D222" s="38">
        <v>2000000</v>
      </c>
      <c r="E222" s="38" t="s">
        <v>298</v>
      </c>
      <c r="F222" s="38" t="str">
        <f t="shared" si="6"/>
        <v>rtdc.l.rtdc.4023:itc</v>
      </c>
      <c r="G222" s="13">
        <f t="shared" si="7"/>
        <v>42548.503784722219</v>
      </c>
    </row>
    <row r="223" spans="1:7" x14ac:dyDescent="0.25">
      <c r="A223" s="13">
        <v>42547.90997685185</v>
      </c>
      <c r="B223" s="38" t="s">
        <v>150</v>
      </c>
      <c r="C223" s="38" t="s">
        <v>156</v>
      </c>
      <c r="D223" s="38">
        <v>1290000</v>
      </c>
      <c r="E223" s="38" t="s">
        <v>143</v>
      </c>
      <c r="F223" s="38" t="str">
        <f t="shared" si="6"/>
        <v>rtdc.l.rtdc.4037:itc</v>
      </c>
      <c r="G223" s="13">
        <f t="shared" si="7"/>
        <v>42547.90997685185</v>
      </c>
    </row>
    <row r="224" spans="1:7" x14ac:dyDescent="0.25">
      <c r="A224" s="13">
        <v>42548.51221064815</v>
      </c>
      <c r="B224" s="38" t="s">
        <v>325</v>
      </c>
      <c r="C224" s="38" t="s">
        <v>399</v>
      </c>
      <c r="D224" s="38">
        <v>2020000</v>
      </c>
      <c r="E224" s="38" t="s">
        <v>327</v>
      </c>
      <c r="F224" s="38" t="str">
        <f t="shared" si="6"/>
        <v>rtdc.l.rtdc.4027:itc</v>
      </c>
      <c r="G224" s="13">
        <f t="shared" si="7"/>
        <v>42548.51221064815</v>
      </c>
    </row>
    <row r="225" spans="1:7" x14ac:dyDescent="0.25">
      <c r="A225" s="13">
        <v>42548.567384259259</v>
      </c>
      <c r="B225" s="38" t="s">
        <v>68</v>
      </c>
      <c r="C225" s="38" t="s">
        <v>222</v>
      </c>
      <c r="D225" s="38">
        <v>1460000</v>
      </c>
      <c r="E225" s="38" t="s">
        <v>108</v>
      </c>
      <c r="F225" s="38" t="str">
        <f t="shared" si="6"/>
        <v>rtdc.l.rtdc.4017:itc</v>
      </c>
      <c r="G225" s="13">
        <f t="shared" si="7"/>
        <v>42548.567384259259</v>
      </c>
    </row>
    <row r="226" spans="1:7" x14ac:dyDescent="0.25">
      <c r="A226" s="13">
        <v>42548.542083333334</v>
      </c>
      <c r="B226" s="38" t="s">
        <v>67</v>
      </c>
      <c r="C226" s="38" t="s">
        <v>221</v>
      </c>
      <c r="D226" s="38">
        <v>1460000</v>
      </c>
      <c r="E226" s="38" t="s">
        <v>108</v>
      </c>
      <c r="F226" s="38" t="str">
        <f t="shared" si="6"/>
        <v>rtdc.l.rtdc.4018:itc</v>
      </c>
      <c r="G226" s="13">
        <f t="shared" si="7"/>
        <v>42548.542083333334</v>
      </c>
    </row>
    <row r="227" spans="1:7" x14ac:dyDescent="0.25">
      <c r="A227" s="13">
        <v>42548.554386574076</v>
      </c>
      <c r="B227" s="38" t="s">
        <v>63</v>
      </c>
      <c r="C227" s="38" t="s">
        <v>437</v>
      </c>
      <c r="D227" s="38">
        <v>1540000</v>
      </c>
      <c r="E227" s="38" t="s">
        <v>122</v>
      </c>
      <c r="F227" s="38" t="str">
        <f t="shared" si="6"/>
        <v>rtdc.l.rtdc.4032:itc</v>
      </c>
      <c r="G227" s="13">
        <f t="shared" si="7"/>
        <v>42548.554386574076</v>
      </c>
    </row>
    <row r="228" spans="1:7" x14ac:dyDescent="0.25">
      <c r="A228" s="13">
        <v>42548.546412037038</v>
      </c>
      <c r="B228" s="38" t="s">
        <v>120</v>
      </c>
      <c r="C228" s="38" t="s">
        <v>438</v>
      </c>
      <c r="D228" s="38">
        <v>2000000</v>
      </c>
      <c r="E228" s="38" t="s">
        <v>298</v>
      </c>
      <c r="F228" s="38" t="str">
        <f t="shared" si="6"/>
        <v>rtdc.l.rtdc.4014:itc</v>
      </c>
      <c r="G228" s="13">
        <f t="shared" si="7"/>
        <v>42548.546412037038</v>
      </c>
    </row>
    <row r="229" spans="1:7" x14ac:dyDescent="0.25">
      <c r="A229" s="13">
        <v>42548.433136574073</v>
      </c>
      <c r="B229" s="38" t="s">
        <v>325</v>
      </c>
      <c r="C229" s="38" t="s">
        <v>439</v>
      </c>
      <c r="D229" s="38">
        <v>2010000</v>
      </c>
      <c r="E229" s="38" t="s">
        <v>302</v>
      </c>
      <c r="F229" s="38" t="str">
        <f t="shared" si="6"/>
        <v>rtdc.l.rtdc.4027:itc</v>
      </c>
      <c r="G229" s="13">
        <f t="shared" si="7"/>
        <v>42548.433136574073</v>
      </c>
    </row>
    <row r="230" spans="1:7" x14ac:dyDescent="0.25">
      <c r="A230" s="13">
        <v>42548.560590277775</v>
      </c>
      <c r="B230" s="38" t="s">
        <v>124</v>
      </c>
      <c r="C230" s="38" t="s">
        <v>440</v>
      </c>
      <c r="D230" s="38">
        <v>1120000</v>
      </c>
      <c r="E230" s="38" t="s">
        <v>118</v>
      </c>
      <c r="F230" s="38" t="str">
        <f t="shared" si="6"/>
        <v>rtdc.l.rtdc.4025:itc</v>
      </c>
      <c r="G230" s="13">
        <f t="shared" si="7"/>
        <v>42548.560590277775</v>
      </c>
    </row>
    <row r="231" spans="1:7" x14ac:dyDescent="0.25">
      <c r="A231" s="13">
        <v>42548.377141203702</v>
      </c>
      <c r="B231" s="38" t="s">
        <v>125</v>
      </c>
      <c r="C231" s="38" t="s">
        <v>441</v>
      </c>
      <c r="D231" s="38">
        <v>1090000</v>
      </c>
      <c r="E231" s="38" t="s">
        <v>344</v>
      </c>
      <c r="F231" s="38" t="str">
        <f t="shared" si="6"/>
        <v>rtdc.l.rtdc.4026:itc</v>
      </c>
      <c r="G231" s="13">
        <f t="shared" si="7"/>
        <v>42548.377141203702</v>
      </c>
    </row>
    <row r="232" spans="1:7" x14ac:dyDescent="0.25">
      <c r="A232" s="13">
        <v>42548.571631944447</v>
      </c>
      <c r="B232" s="38" t="s">
        <v>300</v>
      </c>
      <c r="C232" s="38" t="s">
        <v>442</v>
      </c>
      <c r="D232" s="38">
        <v>1260000</v>
      </c>
      <c r="E232" s="38" t="s">
        <v>121</v>
      </c>
      <c r="F232" s="38" t="str">
        <f t="shared" si="6"/>
        <v>rtdc.l.rtdc.4029:itc</v>
      </c>
      <c r="G232" s="13">
        <f t="shared" si="7"/>
        <v>42548.571631944447</v>
      </c>
    </row>
    <row r="233" spans="1:7" x14ac:dyDescent="0.25">
      <c r="A233" s="13">
        <v>42548.301770833335</v>
      </c>
      <c r="B233" s="38" t="s">
        <v>71</v>
      </c>
      <c r="C233" s="38" t="s">
        <v>443</v>
      </c>
      <c r="D233" s="38">
        <v>1310000</v>
      </c>
      <c r="E233" s="38" t="s">
        <v>110</v>
      </c>
      <c r="F233" s="38" t="str">
        <f t="shared" si="6"/>
        <v>rtdc.l.rtdc.4031:itc</v>
      </c>
      <c r="G233" s="13">
        <f t="shared" si="7"/>
        <v>42548.301770833335</v>
      </c>
    </row>
    <row r="234" spans="1:7" x14ac:dyDescent="0.25">
      <c r="A234" s="13">
        <v>42548.588020833333</v>
      </c>
      <c r="B234" s="38" t="s">
        <v>150</v>
      </c>
      <c r="C234" s="38" t="s">
        <v>333</v>
      </c>
      <c r="D234" s="38">
        <v>2040000</v>
      </c>
      <c r="E234" s="38" t="s">
        <v>306</v>
      </c>
      <c r="F234" s="38" t="str">
        <f t="shared" si="6"/>
        <v>rtdc.l.rtdc.4037:itc</v>
      </c>
      <c r="G234" s="13">
        <f t="shared" si="7"/>
        <v>42548.588020833333</v>
      </c>
    </row>
    <row r="235" spans="1:7" x14ac:dyDescent="0.25">
      <c r="A235" s="13">
        <v>42548.205127314817</v>
      </c>
      <c r="B235" s="38" t="s">
        <v>300</v>
      </c>
      <c r="C235" s="38" t="s">
        <v>444</v>
      </c>
      <c r="D235" s="38">
        <v>2010000</v>
      </c>
      <c r="E235" s="38" t="s">
        <v>302</v>
      </c>
      <c r="F235" s="38" t="str">
        <f t="shared" si="6"/>
        <v>rtdc.l.rtdc.4029:itc</v>
      </c>
      <c r="G235" s="13">
        <f t="shared" si="7"/>
        <v>42548.205127314817</v>
      </c>
    </row>
    <row r="236" spans="1:7" x14ac:dyDescent="0.25">
      <c r="A236" s="13">
        <v>42548.621817129628</v>
      </c>
      <c r="B236" s="38" t="s">
        <v>109</v>
      </c>
      <c r="C236" s="38" t="s">
        <v>445</v>
      </c>
      <c r="D236" s="38">
        <v>2040000</v>
      </c>
      <c r="E236" s="38" t="s">
        <v>306</v>
      </c>
      <c r="F236" s="38" t="str">
        <f t="shared" si="6"/>
        <v>rtdc.l.rtdc.4038:itc</v>
      </c>
      <c r="G236" s="13">
        <f t="shared" si="7"/>
        <v>42548.621817129628</v>
      </c>
    </row>
    <row r="237" spans="1:7" x14ac:dyDescent="0.25">
      <c r="A237" s="13">
        <v>42547.860231481478</v>
      </c>
      <c r="B237" s="38" t="s">
        <v>63</v>
      </c>
      <c r="C237" s="38" t="s">
        <v>134</v>
      </c>
      <c r="D237" s="38">
        <v>1750000</v>
      </c>
      <c r="E237" s="38" t="s">
        <v>144</v>
      </c>
      <c r="F237" s="38" t="str">
        <f t="shared" si="6"/>
        <v>rtdc.l.rtdc.4032:itc</v>
      </c>
      <c r="G237" s="13">
        <f t="shared" si="7"/>
        <v>42547.860231481478</v>
      </c>
    </row>
    <row r="238" spans="1:7" x14ac:dyDescent="0.25">
      <c r="A238" s="13">
        <v>42548.641030092593</v>
      </c>
      <c r="B238" s="38" t="s">
        <v>114</v>
      </c>
      <c r="C238" s="38" t="s">
        <v>446</v>
      </c>
      <c r="D238" s="38">
        <v>1990000</v>
      </c>
      <c r="E238" s="38" t="s">
        <v>339</v>
      </c>
      <c r="F238" s="38" t="str">
        <f t="shared" si="6"/>
        <v>rtdc.l.rtdc.4023:itc</v>
      </c>
      <c r="G238" s="13">
        <f t="shared" si="7"/>
        <v>42548.641030092593</v>
      </c>
    </row>
    <row r="239" spans="1:7" x14ac:dyDescent="0.25">
      <c r="A239" s="13">
        <v>42548.620810185188</v>
      </c>
      <c r="B239" s="38" t="s">
        <v>123</v>
      </c>
      <c r="C239" s="38" t="s">
        <v>447</v>
      </c>
      <c r="D239" s="38">
        <v>2020000</v>
      </c>
      <c r="E239" s="38" t="s">
        <v>327</v>
      </c>
      <c r="F239" s="38" t="str">
        <f t="shared" si="6"/>
        <v>rtdc.l.rtdc.4028:itc</v>
      </c>
      <c r="G239" s="13">
        <f t="shared" si="7"/>
        <v>42548.620810185188</v>
      </c>
    </row>
    <row r="240" spans="1:7" x14ac:dyDescent="0.25">
      <c r="A240" s="13">
        <v>42548.67596064815</v>
      </c>
      <c r="B240" s="38" t="s">
        <v>67</v>
      </c>
      <c r="C240" s="38" t="s">
        <v>239</v>
      </c>
      <c r="D240" s="38">
        <v>1750000</v>
      </c>
      <c r="E240" s="38" t="s">
        <v>144</v>
      </c>
      <c r="F240" s="38" t="str">
        <f t="shared" si="6"/>
        <v>rtdc.l.rtdc.4018:itc</v>
      </c>
      <c r="G240" s="13">
        <f t="shared" si="7"/>
        <v>42548.67596064815</v>
      </c>
    </row>
    <row r="241" spans="1:7" x14ac:dyDescent="0.25">
      <c r="A241" s="13">
        <v>42548.464085648149</v>
      </c>
      <c r="B241" s="38" t="s">
        <v>113</v>
      </c>
      <c r="C241" s="38" t="s">
        <v>328</v>
      </c>
      <c r="D241" s="38">
        <v>2000000</v>
      </c>
      <c r="E241" s="38" t="s">
        <v>298</v>
      </c>
      <c r="F241" s="38" t="str">
        <f t="shared" si="6"/>
        <v>rtdc.l.rtdc.4024:itc</v>
      </c>
      <c r="G241" s="13">
        <f t="shared" si="7"/>
        <v>42548.464085648149</v>
      </c>
    </row>
    <row r="242" spans="1:7" x14ac:dyDescent="0.25">
      <c r="A242" s="13">
        <v>42548.694085648145</v>
      </c>
      <c r="B242" s="38" t="s">
        <v>109</v>
      </c>
      <c r="C242" s="38" t="s">
        <v>448</v>
      </c>
      <c r="D242" s="38">
        <v>2040000</v>
      </c>
      <c r="E242" s="38" t="s">
        <v>306</v>
      </c>
      <c r="F242" s="38" t="str">
        <f t="shared" si="6"/>
        <v>rtdc.l.rtdc.4038:itc</v>
      </c>
      <c r="G242" s="13">
        <f t="shared" si="7"/>
        <v>42548.694085648145</v>
      </c>
    </row>
    <row r="243" spans="1:7" x14ac:dyDescent="0.25">
      <c r="A243" s="13">
        <v>42548.266504629632</v>
      </c>
      <c r="B243" s="38" t="s">
        <v>124</v>
      </c>
      <c r="C243" s="38" t="s">
        <v>449</v>
      </c>
      <c r="D243" s="38">
        <v>1090000</v>
      </c>
      <c r="E243" s="38" t="s">
        <v>344</v>
      </c>
      <c r="F243" s="38" t="str">
        <f t="shared" si="6"/>
        <v>rtdc.l.rtdc.4025:itc</v>
      </c>
      <c r="G243" s="13">
        <f t="shared" si="7"/>
        <v>42548.266504629632</v>
      </c>
    </row>
    <row r="244" spans="1:7" x14ac:dyDescent="0.25">
      <c r="A244" s="13">
        <v>42548.715995370374</v>
      </c>
      <c r="B244" s="38" t="s">
        <v>77</v>
      </c>
      <c r="C244" s="38" t="s">
        <v>245</v>
      </c>
      <c r="D244" s="38">
        <v>1800000</v>
      </c>
      <c r="E244" s="38" t="s">
        <v>119</v>
      </c>
      <c r="F244" s="38" t="str">
        <f t="shared" si="6"/>
        <v>rtdc.l.rtdc.4041:itc</v>
      </c>
      <c r="G244" s="13">
        <f t="shared" si="7"/>
        <v>42548.715995370374</v>
      </c>
    </row>
    <row r="245" spans="1:7" x14ac:dyDescent="0.25">
      <c r="A245" s="13">
        <v>42547.956192129626</v>
      </c>
      <c r="B245" s="38" t="s">
        <v>109</v>
      </c>
      <c r="C245" s="38" t="s">
        <v>158</v>
      </c>
      <c r="D245" s="38">
        <v>1290000</v>
      </c>
      <c r="E245" s="38" t="s">
        <v>143</v>
      </c>
      <c r="F245" s="38" t="str">
        <f t="shared" si="6"/>
        <v>rtdc.l.rtdc.4038:itc</v>
      </c>
      <c r="G245" s="13">
        <f t="shared" si="7"/>
        <v>42547.956192129626</v>
      </c>
    </row>
    <row r="246" spans="1:7" x14ac:dyDescent="0.25">
      <c r="A246" s="13">
        <v>42548.718506944446</v>
      </c>
      <c r="B246" s="38" t="s">
        <v>300</v>
      </c>
      <c r="C246" s="38" t="s">
        <v>450</v>
      </c>
      <c r="D246" s="38">
        <v>1140000</v>
      </c>
      <c r="E246" s="38" t="s">
        <v>381</v>
      </c>
      <c r="F246" s="38" t="str">
        <f t="shared" si="6"/>
        <v>rtdc.l.rtdc.4029:itc</v>
      </c>
      <c r="G246" s="13">
        <f t="shared" si="7"/>
        <v>42548.718506944446</v>
      </c>
    </row>
    <row r="247" spans="1:7" x14ac:dyDescent="0.25">
      <c r="A247" s="13">
        <v>42548.569930555554</v>
      </c>
      <c r="B247" s="38" t="s">
        <v>69</v>
      </c>
      <c r="C247" s="38" t="s">
        <v>451</v>
      </c>
      <c r="D247" s="38">
        <v>1990000</v>
      </c>
      <c r="E247" s="38" t="s">
        <v>339</v>
      </c>
      <c r="F247" s="38" t="str">
        <f t="shared" si="6"/>
        <v>rtdc.l.rtdc.4008:itc</v>
      </c>
      <c r="G247" s="13">
        <f t="shared" si="7"/>
        <v>42548.569930555554</v>
      </c>
    </row>
    <row r="248" spans="1:7" x14ac:dyDescent="0.25">
      <c r="A248" s="13">
        <v>42548.723124999997</v>
      </c>
      <c r="B248" s="38" t="s">
        <v>126</v>
      </c>
      <c r="C248" s="38" t="s">
        <v>452</v>
      </c>
      <c r="D248" s="38">
        <v>2000000</v>
      </c>
      <c r="E248" s="38" t="s">
        <v>298</v>
      </c>
      <c r="F248" s="38" t="str">
        <f t="shared" si="6"/>
        <v>rtdc.l.rtdc.4013:itc</v>
      </c>
      <c r="G248" s="13">
        <f t="shared" si="7"/>
        <v>42548.723124999997</v>
      </c>
    </row>
    <row r="249" spans="1:7" x14ac:dyDescent="0.25">
      <c r="A249" s="13">
        <v>42548.330046296294</v>
      </c>
      <c r="B249" s="38" t="s">
        <v>109</v>
      </c>
      <c r="C249" s="38" t="s">
        <v>368</v>
      </c>
      <c r="D249" s="38">
        <v>1230000</v>
      </c>
      <c r="E249" s="38" t="s">
        <v>318</v>
      </c>
      <c r="F249" s="38" t="str">
        <f t="shared" si="6"/>
        <v>rtdc.l.rtdc.4038:itc</v>
      </c>
      <c r="G249" s="13">
        <f t="shared" si="7"/>
        <v>42548.330046296294</v>
      </c>
    </row>
    <row r="250" spans="1:7" x14ac:dyDescent="0.25">
      <c r="A250" s="13">
        <v>42548.803657407407</v>
      </c>
      <c r="B250" s="38" t="s">
        <v>67</v>
      </c>
      <c r="C250" s="38" t="s">
        <v>269</v>
      </c>
      <c r="D250" s="38">
        <v>1750000</v>
      </c>
      <c r="E250" s="38" t="s">
        <v>144</v>
      </c>
      <c r="F250" s="38" t="str">
        <f t="shared" si="6"/>
        <v>rtdc.l.rtdc.4018:itc</v>
      </c>
      <c r="G250" s="13">
        <f t="shared" si="7"/>
        <v>42548.803657407407</v>
      </c>
    </row>
    <row r="251" spans="1:7" x14ac:dyDescent="0.25">
      <c r="A251" s="13">
        <v>42548.24931712963</v>
      </c>
      <c r="B251" s="38" t="s">
        <v>113</v>
      </c>
      <c r="C251" s="38" t="s">
        <v>400</v>
      </c>
      <c r="D251" s="38">
        <v>900000</v>
      </c>
      <c r="E251" s="38" t="s">
        <v>330</v>
      </c>
      <c r="F251" s="38" t="str">
        <f t="shared" si="6"/>
        <v>rtdc.l.rtdc.4024:itc</v>
      </c>
      <c r="G251" s="13">
        <f t="shared" si="7"/>
        <v>42548.24931712963</v>
      </c>
    </row>
    <row r="252" spans="1:7" x14ac:dyDescent="0.25">
      <c r="A252" s="13">
        <v>42548.822754629633</v>
      </c>
      <c r="B252" s="38" t="s">
        <v>322</v>
      </c>
      <c r="C252" s="38" t="s">
        <v>453</v>
      </c>
      <c r="D252" s="38">
        <v>1140000</v>
      </c>
      <c r="E252" s="38" t="s">
        <v>381</v>
      </c>
      <c r="F252" s="38" t="str">
        <f t="shared" si="6"/>
        <v>rtdc.l.rtdc.4030:itc</v>
      </c>
      <c r="G252" s="13">
        <f t="shared" si="7"/>
        <v>42548.822754629633</v>
      </c>
    </row>
    <row r="253" spans="1:7" x14ac:dyDescent="0.25">
      <c r="A253" s="13">
        <v>42548.655960648146</v>
      </c>
      <c r="B253" s="38" t="s">
        <v>68</v>
      </c>
      <c r="C253" s="38" t="s">
        <v>232</v>
      </c>
      <c r="D253" s="38">
        <v>1750000</v>
      </c>
      <c r="E253" s="38" t="s">
        <v>144</v>
      </c>
      <c r="F253" s="38" t="str">
        <f t="shared" si="6"/>
        <v>rtdc.l.rtdc.4017:itc</v>
      </c>
      <c r="G253" s="13">
        <f t="shared" si="7"/>
        <v>42548.655960648146</v>
      </c>
    </row>
    <row r="254" spans="1:7" x14ac:dyDescent="0.25">
      <c r="A254" s="13">
        <v>42548.828541666669</v>
      </c>
      <c r="B254" s="38" t="s">
        <v>340</v>
      </c>
      <c r="C254" s="38" t="s">
        <v>454</v>
      </c>
      <c r="D254" s="38">
        <v>1770000</v>
      </c>
      <c r="E254" s="38" t="s">
        <v>111</v>
      </c>
      <c r="F254" s="38" t="str">
        <f t="shared" si="6"/>
        <v>rtdc.l.rtdc.4040:itc</v>
      </c>
      <c r="G254" s="13">
        <f t="shared" si="7"/>
        <v>42548.828541666669</v>
      </c>
    </row>
    <row r="255" spans="1:7" x14ac:dyDescent="0.25">
      <c r="A255" s="13">
        <v>42548.277685185189</v>
      </c>
      <c r="B255" s="38" t="s">
        <v>300</v>
      </c>
      <c r="C255" s="38" t="s">
        <v>301</v>
      </c>
      <c r="D255" s="38">
        <v>2010000</v>
      </c>
      <c r="E255" s="38" t="s">
        <v>302</v>
      </c>
      <c r="F255" s="38" t="str">
        <f t="shared" si="6"/>
        <v>rtdc.l.rtdc.4029:itc</v>
      </c>
      <c r="G255" s="13">
        <f t="shared" si="7"/>
        <v>42548.277685185189</v>
      </c>
    </row>
    <row r="256" spans="1:7" x14ac:dyDescent="0.25">
      <c r="A256" s="13">
        <v>42548.887245370373</v>
      </c>
      <c r="B256" s="38" t="s">
        <v>67</v>
      </c>
      <c r="C256" s="38" t="s">
        <v>282</v>
      </c>
      <c r="D256" s="38">
        <v>1750000</v>
      </c>
      <c r="E256" s="38" t="s">
        <v>144</v>
      </c>
      <c r="F256" s="38" t="str">
        <f t="shared" si="6"/>
        <v>rtdc.l.rtdc.4018:itc</v>
      </c>
      <c r="G256" s="13">
        <f t="shared" si="7"/>
        <v>42548.887245370373</v>
      </c>
    </row>
    <row r="257" spans="1:7" x14ac:dyDescent="0.25">
      <c r="A257" s="13">
        <v>42548.261203703703</v>
      </c>
      <c r="B257" s="38" t="s">
        <v>67</v>
      </c>
      <c r="C257" s="38" t="s">
        <v>173</v>
      </c>
      <c r="D257" s="38">
        <v>1820000</v>
      </c>
      <c r="E257" s="38" t="s">
        <v>99</v>
      </c>
      <c r="F257" s="38" t="str">
        <f t="shared" si="6"/>
        <v>rtdc.l.rtdc.4018:itc</v>
      </c>
      <c r="G257" s="13">
        <f t="shared" si="7"/>
        <v>42548.261203703703</v>
      </c>
    </row>
    <row r="258" spans="1:7" x14ac:dyDescent="0.25">
      <c r="A258" s="13">
        <v>42548.888796296298</v>
      </c>
      <c r="B258" s="38" t="s">
        <v>70</v>
      </c>
      <c r="C258" s="38" t="s">
        <v>455</v>
      </c>
      <c r="D258" s="38">
        <v>1800000</v>
      </c>
      <c r="E258" s="38" t="s">
        <v>119</v>
      </c>
      <c r="F258" s="38" t="str">
        <f t="shared" ref="F258:F265" si="8">B258</f>
        <v>rtdc.l.rtdc.4007:itc</v>
      </c>
      <c r="G258" s="13">
        <f t="shared" ref="G258:G265" si="9">A258</f>
        <v>42548.888796296298</v>
      </c>
    </row>
    <row r="259" spans="1:7" x14ac:dyDescent="0.25">
      <c r="A259" s="13">
        <v>42548.474907407406</v>
      </c>
      <c r="B259" s="38" t="s">
        <v>109</v>
      </c>
      <c r="C259" s="38" t="s">
        <v>311</v>
      </c>
      <c r="D259" s="38">
        <v>2040000</v>
      </c>
      <c r="E259" s="38" t="s">
        <v>306</v>
      </c>
      <c r="F259" s="38" t="str">
        <f t="shared" si="8"/>
        <v>rtdc.l.rtdc.4038:itc</v>
      </c>
      <c r="G259" s="13">
        <f t="shared" si="9"/>
        <v>42548.474907407406</v>
      </c>
    </row>
    <row r="260" spans="1:7" x14ac:dyDescent="0.25">
      <c r="A260" s="13">
        <v>42548.933333333334</v>
      </c>
      <c r="B260" s="38" t="s">
        <v>69</v>
      </c>
      <c r="C260" s="38" t="s">
        <v>456</v>
      </c>
      <c r="D260" s="38">
        <v>1800000</v>
      </c>
      <c r="E260" s="38" t="s">
        <v>119</v>
      </c>
      <c r="F260" s="38" t="str">
        <f t="shared" si="8"/>
        <v>rtdc.l.rtdc.4008:itc</v>
      </c>
      <c r="G260" s="13">
        <f t="shared" si="9"/>
        <v>42548.933333333334</v>
      </c>
    </row>
    <row r="261" spans="1:7" x14ac:dyDescent="0.25">
      <c r="A261" s="13">
        <v>42548.424675925926</v>
      </c>
      <c r="B261" s="38" t="s">
        <v>114</v>
      </c>
      <c r="C261" s="38" t="s">
        <v>457</v>
      </c>
      <c r="D261" s="38">
        <v>900000</v>
      </c>
      <c r="E261" s="38" t="s">
        <v>330</v>
      </c>
      <c r="F261" s="38" t="str">
        <f t="shared" si="8"/>
        <v>rtdc.l.rtdc.4023:itc</v>
      </c>
      <c r="G261" s="13">
        <f t="shared" si="9"/>
        <v>42548.424675925926</v>
      </c>
    </row>
    <row r="262" spans="1:7" x14ac:dyDescent="0.25">
      <c r="A262" s="13">
        <v>42548.949374999997</v>
      </c>
      <c r="B262" s="38" t="s">
        <v>109</v>
      </c>
      <c r="C262" s="38" t="s">
        <v>458</v>
      </c>
      <c r="D262" s="38">
        <v>1140000</v>
      </c>
      <c r="E262" s="38" t="s">
        <v>381</v>
      </c>
      <c r="F262" s="38" t="str">
        <f t="shared" si="8"/>
        <v>rtdc.l.rtdc.4038:itc</v>
      </c>
      <c r="G262" s="13">
        <f t="shared" si="9"/>
        <v>42548.949374999997</v>
      </c>
    </row>
    <row r="263" spans="1:7" x14ac:dyDescent="0.25">
      <c r="A263" s="13">
        <v>42548.398888888885</v>
      </c>
      <c r="B263" s="38" t="s">
        <v>123</v>
      </c>
      <c r="C263" s="38" t="s">
        <v>388</v>
      </c>
      <c r="D263" s="38">
        <v>1840000</v>
      </c>
      <c r="E263" s="38" t="s">
        <v>107</v>
      </c>
      <c r="F263" s="38" t="str">
        <f t="shared" si="8"/>
        <v>rtdc.l.rtdc.4028:itc</v>
      </c>
      <c r="G263" s="13">
        <f t="shared" si="9"/>
        <v>42548.398888888885</v>
      </c>
    </row>
    <row r="264" spans="1:7" x14ac:dyDescent="0.25">
      <c r="A264" s="13">
        <v>42548.996215277781</v>
      </c>
      <c r="B264" s="38" t="s">
        <v>340</v>
      </c>
      <c r="C264" s="38" t="s">
        <v>459</v>
      </c>
      <c r="D264" s="38">
        <v>1770000</v>
      </c>
      <c r="E264" s="38" t="s">
        <v>111</v>
      </c>
      <c r="F264" s="38" t="str">
        <f t="shared" si="8"/>
        <v>rtdc.l.rtdc.4040:itc</v>
      </c>
      <c r="G264" s="13">
        <f t="shared" si="9"/>
        <v>42548.996215277781</v>
      </c>
    </row>
    <row r="265" spans="1:7" x14ac:dyDescent="0.25">
      <c r="A265" s="13">
        <v>42548.374907407408</v>
      </c>
      <c r="B265" s="38" t="s">
        <v>71</v>
      </c>
      <c r="C265" s="38" t="s">
        <v>460</v>
      </c>
      <c r="D265" s="38">
        <v>1310000</v>
      </c>
      <c r="E265" s="38" t="s">
        <v>110</v>
      </c>
      <c r="F265" s="38" t="str">
        <f t="shared" si="8"/>
        <v>rtdc.l.rtdc.4031:itc</v>
      </c>
      <c r="G265" s="13">
        <f t="shared" si="9"/>
        <v>42548.374907407408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1" t="s">
        <v>25</v>
      </c>
      <c r="C1" s="26" t="s">
        <v>46</v>
      </c>
      <c r="J1" s="65" t="s">
        <v>84</v>
      </c>
      <c r="K1" s="65" t="s">
        <v>85</v>
      </c>
      <c r="L1" s="65" t="s">
        <v>86</v>
      </c>
      <c r="M1" s="38"/>
    </row>
    <row r="2" spans="1:13" ht="15.75" thickBot="1" x14ac:dyDescent="0.3">
      <c r="A2" s="22">
        <v>42548</v>
      </c>
      <c r="B2" s="9"/>
      <c r="C2" s="27">
        <v>50</v>
      </c>
      <c r="F2" t="s">
        <v>59</v>
      </c>
      <c r="J2" s="65" t="s">
        <v>84</v>
      </c>
      <c r="K2" s="65" t="s">
        <v>85</v>
      </c>
      <c r="L2" s="65" t="s">
        <v>86</v>
      </c>
      <c r="M2" s="38"/>
    </row>
    <row r="3" spans="1:13" x14ac:dyDescent="0.25">
      <c r="F3" t="s">
        <v>60</v>
      </c>
      <c r="J3" s="66" t="s">
        <v>87</v>
      </c>
      <c r="K3" s="67">
        <v>2.7052</v>
      </c>
      <c r="L3" s="67">
        <v>2.7349999999999999</v>
      </c>
      <c r="M3" s="38">
        <f t="shared" ref="M3:M14" si="0">AVERAGE(K3:L3)</f>
        <v>2.7201</v>
      </c>
    </row>
    <row r="4" spans="1:13" x14ac:dyDescent="0.25">
      <c r="F4" t="s">
        <v>61</v>
      </c>
      <c r="J4" s="66" t="s">
        <v>88</v>
      </c>
      <c r="K4" s="67">
        <v>3.0830000000000002</v>
      </c>
      <c r="L4" s="67">
        <v>3.097</v>
      </c>
      <c r="M4" s="38">
        <f t="shared" si="0"/>
        <v>3.09</v>
      </c>
    </row>
    <row r="5" spans="1:13" x14ac:dyDescent="0.25">
      <c r="J5" s="66" t="s">
        <v>89</v>
      </c>
      <c r="K5" s="67">
        <v>3.3136000000000001</v>
      </c>
      <c r="L5" s="67">
        <v>3.3256999999999999</v>
      </c>
      <c r="M5" s="38">
        <f t="shared" si="0"/>
        <v>3.3196500000000002</v>
      </c>
    </row>
    <row r="6" spans="1:13" x14ac:dyDescent="0.25">
      <c r="J6" s="66" t="s">
        <v>90</v>
      </c>
      <c r="K6" s="67">
        <v>4.2778999999999998</v>
      </c>
      <c r="L6" s="67">
        <v>4.2961</v>
      </c>
      <c r="M6" s="38">
        <f t="shared" si="0"/>
        <v>4.2869999999999999</v>
      </c>
    </row>
    <row r="7" spans="1:13" x14ac:dyDescent="0.25">
      <c r="J7" s="66" t="s">
        <v>91</v>
      </c>
      <c r="K7" s="67">
        <v>4.7865000000000002</v>
      </c>
      <c r="L7" s="67">
        <v>4.8048000000000002</v>
      </c>
      <c r="M7" s="38">
        <f t="shared" si="0"/>
        <v>4.7956500000000002</v>
      </c>
    </row>
    <row r="8" spans="1:13" x14ac:dyDescent="0.25">
      <c r="J8" s="66" t="s">
        <v>92</v>
      </c>
      <c r="K8" s="67">
        <v>5.3155000000000001</v>
      </c>
      <c r="L8" s="67">
        <v>5.3277000000000001</v>
      </c>
      <c r="M8" s="38">
        <f t="shared" si="0"/>
        <v>5.3216000000000001</v>
      </c>
    </row>
    <row r="9" spans="1:13" x14ac:dyDescent="0.25">
      <c r="J9" s="66" t="s">
        <v>93</v>
      </c>
      <c r="K9" s="67">
        <v>5.8117000000000001</v>
      </c>
      <c r="L9" s="67">
        <v>5.8300999999999998</v>
      </c>
      <c r="M9" s="38">
        <f t="shared" si="0"/>
        <v>5.8209</v>
      </c>
    </row>
    <row r="10" spans="1:13" x14ac:dyDescent="0.25">
      <c r="J10" s="66" t="s">
        <v>94</v>
      </c>
      <c r="K10" s="67">
        <v>5.8783000000000003</v>
      </c>
      <c r="L10" s="67">
        <v>5.8903999999999996</v>
      </c>
      <c r="M10" s="38">
        <f t="shared" si="0"/>
        <v>5.8843499999999995</v>
      </c>
    </row>
    <row r="11" spans="1:13" x14ac:dyDescent="0.25">
      <c r="J11" s="66" t="s">
        <v>95</v>
      </c>
      <c r="K11" s="67">
        <v>6.3068</v>
      </c>
      <c r="L11" s="67">
        <v>6.3308999999999997</v>
      </c>
      <c r="M11" s="38">
        <f t="shared" si="0"/>
        <v>6.3188499999999994</v>
      </c>
    </row>
    <row r="12" spans="1:13" x14ac:dyDescent="0.25">
      <c r="J12" s="66" t="s">
        <v>96</v>
      </c>
      <c r="K12" s="67">
        <v>7.8349000000000002</v>
      </c>
      <c r="L12" s="67">
        <v>7.8468999999999998</v>
      </c>
      <c r="M12" s="38">
        <f t="shared" si="0"/>
        <v>7.8408999999999995</v>
      </c>
    </row>
    <row r="13" spans="1:13" x14ac:dyDescent="0.25">
      <c r="J13" s="66" t="s">
        <v>97</v>
      </c>
      <c r="K13" s="67">
        <v>10.373799999999999</v>
      </c>
      <c r="L13" s="67">
        <v>10.38</v>
      </c>
      <c r="M13" s="38">
        <f t="shared" si="0"/>
        <v>10.376899999999999</v>
      </c>
    </row>
    <row r="14" spans="1:13" x14ac:dyDescent="0.25">
      <c r="J14" s="66" t="s">
        <v>98</v>
      </c>
      <c r="K14" s="67">
        <v>10.8954</v>
      </c>
      <c r="L14" s="67">
        <v>10.913500000000001</v>
      </c>
      <c r="M14" s="38">
        <f t="shared" si="0"/>
        <v>10.904450000000001</v>
      </c>
    </row>
    <row r="15" spans="1:13" x14ac:dyDescent="0.25">
      <c r="J15" s="66"/>
      <c r="K15" s="67"/>
      <c r="L15" s="67"/>
      <c r="M15" s="38"/>
    </row>
    <row r="16" spans="1:13" x14ac:dyDescent="0.25">
      <c r="J16" s="66"/>
      <c r="K16" s="67"/>
      <c r="L16" s="67"/>
      <c r="M16" s="38"/>
    </row>
    <row r="17" spans="10:13" x14ac:dyDescent="0.25">
      <c r="J17" s="66"/>
      <c r="K17" s="67"/>
      <c r="L17" s="67"/>
      <c r="M17" s="38"/>
    </row>
    <row r="18" spans="10:13" x14ac:dyDescent="0.25">
      <c r="J18" s="66"/>
      <c r="K18" s="67"/>
      <c r="L18" s="67"/>
      <c r="M18" s="38"/>
    </row>
    <row r="19" spans="10:13" x14ac:dyDescent="0.25">
      <c r="J19" s="66"/>
      <c r="K19" s="67"/>
      <c r="L19" s="67"/>
      <c r="M19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2016-06-28T20:53:00Z</dcterms:modified>
</cp:coreProperties>
</file>