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Enforcements!$A$2:$N$53</definedName>
    <definedName name="_xlnm._FilterDatabase" localSheetId="0" hidden="1">'Train Runs'!$A$2:$AA$143</definedName>
    <definedName name="Denver_Train_Runs_04122016" localSheetId="0">'Train Runs'!$A$2:$J$148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8" i="1" l="1"/>
  <c r="P108" i="1"/>
  <c r="U8" i="1" l="1"/>
  <c r="T12" i="1"/>
  <c r="P7" i="1"/>
  <c r="V109" i="1"/>
  <c r="V112" i="1"/>
  <c r="V113" i="1"/>
  <c r="V114" i="1"/>
  <c r="V115" i="1"/>
  <c r="P114" i="1"/>
  <c r="T114" i="1"/>
  <c r="W114" i="1"/>
  <c r="Y114" i="1"/>
  <c r="U114" i="1" s="1"/>
  <c r="Z114" i="1"/>
  <c r="AA114" i="1"/>
  <c r="T108" i="1"/>
  <c r="Y108" i="1"/>
  <c r="U108" i="1" s="1"/>
  <c r="X108" i="1"/>
  <c r="Z108" i="1"/>
  <c r="AA108" i="1"/>
  <c r="T109" i="1"/>
  <c r="W109" i="1"/>
  <c r="X109" i="1"/>
  <c r="Y109" i="1" s="1"/>
  <c r="U109" i="1" s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W112" i="1"/>
  <c r="X112" i="1"/>
  <c r="Y112" i="1"/>
  <c r="U112" i="1" s="1"/>
  <c r="Z112" i="1"/>
  <c r="AA112" i="1"/>
  <c r="T113" i="1"/>
  <c r="W113" i="1"/>
  <c r="X113" i="1"/>
  <c r="Y113" i="1" s="1"/>
  <c r="U113" i="1" s="1"/>
  <c r="Z113" i="1"/>
  <c r="AA113" i="1"/>
  <c r="T115" i="1"/>
  <c r="W115" i="1"/>
  <c r="X115" i="1"/>
  <c r="Y115" i="1" s="1"/>
  <c r="U115" i="1" s="1"/>
  <c r="Z115" i="1"/>
  <c r="AA115" i="1"/>
  <c r="T116" i="1"/>
  <c r="V116" i="1"/>
  <c r="W116" i="1"/>
  <c r="X116" i="1"/>
  <c r="Z116" i="1"/>
  <c r="AA116" i="1"/>
  <c r="V107" i="1"/>
  <c r="T99" i="1"/>
  <c r="T100" i="1"/>
  <c r="T101" i="1"/>
  <c r="V99" i="1"/>
  <c r="V100" i="1"/>
  <c r="V101" i="1"/>
  <c r="V102" i="1"/>
  <c r="Y99" i="1"/>
  <c r="U99" i="1" s="1"/>
  <c r="Z99" i="1"/>
  <c r="AA99" i="1"/>
  <c r="L99" i="1"/>
  <c r="M99" i="1"/>
  <c r="P99" i="1" s="1"/>
  <c r="K99" i="1"/>
  <c r="V93" i="1"/>
  <c r="V94" i="1"/>
  <c r="V95" i="1"/>
  <c r="V13" i="1"/>
  <c r="V14" i="1"/>
  <c r="W4" i="1"/>
  <c r="W5" i="1"/>
  <c r="W6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5" i="1"/>
  <c r="W96" i="1"/>
  <c r="W97" i="1"/>
  <c r="W98" i="1"/>
  <c r="W100" i="1"/>
  <c r="W101" i="1"/>
  <c r="W102" i="1"/>
  <c r="W103" i="1"/>
  <c r="W104" i="1"/>
  <c r="W105" i="1"/>
  <c r="W106" i="1"/>
  <c r="W107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X4" i="1"/>
  <c r="X5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0" i="1"/>
  <c r="X101" i="1"/>
  <c r="X102" i="1"/>
  <c r="X103" i="1"/>
  <c r="X104" i="1"/>
  <c r="X105" i="1"/>
  <c r="X106" i="1"/>
  <c r="X107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T143" i="1"/>
  <c r="V143" i="1"/>
  <c r="Z143" i="1"/>
  <c r="AA143" i="1"/>
  <c r="K140" i="1"/>
  <c r="L140" i="1"/>
  <c r="M140" i="1"/>
  <c r="N140" i="1" s="1"/>
  <c r="T140" i="1"/>
  <c r="V140" i="1"/>
  <c r="Z140" i="1"/>
  <c r="AA140" i="1"/>
  <c r="K141" i="1"/>
  <c r="L141" i="1"/>
  <c r="M141" i="1"/>
  <c r="N141" i="1" s="1"/>
  <c r="T141" i="1"/>
  <c r="V141" i="1"/>
  <c r="Z141" i="1"/>
  <c r="AA141" i="1"/>
  <c r="K142" i="1"/>
  <c r="L142" i="1"/>
  <c r="M142" i="1"/>
  <c r="N142" i="1" s="1"/>
  <c r="T142" i="1"/>
  <c r="V142" i="1"/>
  <c r="Z142" i="1"/>
  <c r="AA142" i="1"/>
  <c r="V98" i="1"/>
  <c r="T98" i="1"/>
  <c r="Z98" i="1"/>
  <c r="AA98" i="1"/>
  <c r="M98" i="1"/>
  <c r="N98" i="1" s="1"/>
  <c r="L98" i="1"/>
  <c r="K98" i="1"/>
  <c r="V60" i="1"/>
  <c r="V3" i="1"/>
  <c r="K79" i="1"/>
  <c r="L79" i="1"/>
  <c r="M79" i="1"/>
  <c r="N79" i="1" s="1"/>
  <c r="T79" i="1"/>
  <c r="V79" i="1"/>
  <c r="Z79" i="1"/>
  <c r="AA79" i="1"/>
  <c r="K72" i="1"/>
  <c r="L72" i="1"/>
  <c r="M72" i="1"/>
  <c r="N72" i="1" s="1"/>
  <c r="T72" i="1"/>
  <c r="V72" i="1"/>
  <c r="Z72" i="1"/>
  <c r="AA72" i="1"/>
  <c r="K77" i="1"/>
  <c r="L77" i="1"/>
  <c r="M77" i="1"/>
  <c r="N77" i="1" s="1"/>
  <c r="T77" i="1"/>
  <c r="V77" i="1"/>
  <c r="Z77" i="1"/>
  <c r="AA77" i="1"/>
  <c r="K70" i="1"/>
  <c r="L70" i="1"/>
  <c r="M70" i="1"/>
  <c r="N70" i="1" s="1"/>
  <c r="T70" i="1"/>
  <c r="V70" i="1"/>
  <c r="Z70" i="1"/>
  <c r="AA70" i="1"/>
  <c r="K68" i="1"/>
  <c r="L68" i="1"/>
  <c r="M68" i="1"/>
  <c r="N68" i="1" s="1"/>
  <c r="T68" i="1"/>
  <c r="V68" i="1"/>
  <c r="Z68" i="1"/>
  <c r="AA68" i="1"/>
  <c r="K75" i="1"/>
  <c r="L75" i="1"/>
  <c r="M75" i="1"/>
  <c r="N75" i="1" s="1"/>
  <c r="T75" i="1"/>
  <c r="V75" i="1"/>
  <c r="Z75" i="1"/>
  <c r="AA75" i="1"/>
  <c r="K73" i="1"/>
  <c r="L73" i="1"/>
  <c r="M73" i="1"/>
  <c r="N73" i="1" s="1"/>
  <c r="T73" i="1"/>
  <c r="V73" i="1"/>
  <c r="Z73" i="1"/>
  <c r="AA73" i="1"/>
  <c r="K66" i="1"/>
  <c r="L66" i="1"/>
  <c r="M66" i="1"/>
  <c r="N66" i="1" s="1"/>
  <c r="T66" i="1"/>
  <c r="V66" i="1"/>
  <c r="Z66" i="1"/>
  <c r="AA66" i="1"/>
  <c r="I145" i="1"/>
  <c r="Y111" i="1" l="1"/>
  <c r="U111" i="1" s="1"/>
  <c r="Y116" i="1"/>
  <c r="U116" i="1" s="1"/>
  <c r="Y110" i="1"/>
  <c r="U110" i="1" s="1"/>
  <c r="Y129" i="1"/>
  <c r="Y96" i="1"/>
  <c r="Y92" i="1"/>
  <c r="Y88" i="1"/>
  <c r="Y84" i="1"/>
  <c r="Y80" i="1"/>
  <c r="Y76" i="1"/>
  <c r="Y72" i="1"/>
  <c r="U72" i="1" s="1"/>
  <c r="Y68" i="1"/>
  <c r="U68" i="1" s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34" i="1"/>
  <c r="Y130" i="1"/>
  <c r="Y118" i="1"/>
  <c r="Y106" i="1"/>
  <c r="Y102" i="1"/>
  <c r="Y89" i="1"/>
  <c r="Y85" i="1"/>
  <c r="Y81" i="1"/>
  <c r="Y73" i="1"/>
  <c r="U73" i="1" s="1"/>
  <c r="Y69" i="1"/>
  <c r="Y65" i="1"/>
  <c r="Y57" i="1"/>
  <c r="Y53" i="1"/>
  <c r="Y49" i="1"/>
  <c r="Y41" i="1"/>
  <c r="Y37" i="1"/>
  <c r="Y33" i="1"/>
  <c r="Y25" i="1"/>
  <c r="Y21" i="1"/>
  <c r="Y17" i="1"/>
  <c r="Y101" i="1"/>
  <c r="Y141" i="1"/>
  <c r="U141" i="1" s="1"/>
  <c r="Y133" i="1"/>
  <c r="Y125" i="1"/>
  <c r="Y117" i="1"/>
  <c r="Y105" i="1"/>
  <c r="Y140" i="1"/>
  <c r="U140" i="1" s="1"/>
  <c r="Y136" i="1"/>
  <c r="Y132" i="1"/>
  <c r="Y128" i="1"/>
  <c r="Y124" i="1"/>
  <c r="Y120" i="1"/>
  <c r="Y104" i="1"/>
  <c r="Y100" i="1"/>
  <c r="U100" i="1" s="1"/>
  <c r="Y95" i="1"/>
  <c r="Y90" i="1"/>
  <c r="Y86" i="1"/>
  <c r="Y74" i="1"/>
  <c r="Y70" i="1"/>
  <c r="U70" i="1" s="1"/>
  <c r="Y58" i="1"/>
  <c r="Y54" i="1"/>
  <c r="Y42" i="1"/>
  <c r="Y38" i="1"/>
  <c r="Y26" i="1"/>
  <c r="Y22" i="1"/>
  <c r="Y5" i="1"/>
  <c r="Y9" i="1"/>
  <c r="Y10" i="1"/>
  <c r="Y6" i="1"/>
  <c r="Y11" i="1"/>
  <c r="Y7" i="1"/>
  <c r="U7" i="1" s="1"/>
  <c r="Y142" i="1"/>
  <c r="U142" i="1" s="1"/>
  <c r="Y138" i="1"/>
  <c r="Y126" i="1"/>
  <c r="Y122" i="1"/>
  <c r="Y97" i="1"/>
  <c r="Y93" i="1"/>
  <c r="Y82" i="1"/>
  <c r="Y78" i="1"/>
  <c r="Y66" i="1"/>
  <c r="U66" i="1" s="1"/>
  <c r="Y62" i="1"/>
  <c r="Y50" i="1"/>
  <c r="Y46" i="1"/>
  <c r="Y34" i="1"/>
  <c r="Y30" i="1"/>
  <c r="Y18" i="1"/>
  <c r="Y14" i="1"/>
  <c r="Y137" i="1"/>
  <c r="Y121" i="1"/>
  <c r="Y77" i="1"/>
  <c r="U77" i="1" s="1"/>
  <c r="Y61" i="1"/>
  <c r="Y45" i="1"/>
  <c r="Y29" i="1"/>
  <c r="Y13" i="1"/>
  <c r="Y143" i="1"/>
  <c r="U143" i="1" s="1"/>
  <c r="Y139" i="1"/>
  <c r="Y135" i="1"/>
  <c r="Y131" i="1"/>
  <c r="Y127" i="1"/>
  <c r="Y123" i="1"/>
  <c r="Y119" i="1"/>
  <c r="Y107" i="1"/>
  <c r="Y103" i="1"/>
  <c r="Y98" i="1"/>
  <c r="U98" i="1" s="1"/>
  <c r="Y94" i="1"/>
  <c r="U94" i="1" s="1"/>
  <c r="Y91" i="1"/>
  <c r="Y87" i="1"/>
  <c r="Y83" i="1"/>
  <c r="Y79" i="1"/>
  <c r="U79" i="1" s="1"/>
  <c r="Y75" i="1"/>
  <c r="U75" i="1" s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2" i="1"/>
  <c r="Y8" i="1"/>
  <c r="Y4" i="1"/>
  <c r="V34" i="1"/>
  <c r="V39" i="1"/>
  <c r="V32" i="1"/>
  <c r="V30" i="1"/>
  <c r="M84" i="1" l="1"/>
  <c r="N84" i="1" s="1"/>
  <c r="M82" i="1"/>
  <c r="N82" i="1" s="1"/>
  <c r="M89" i="1"/>
  <c r="N89" i="1" s="1"/>
  <c r="M87" i="1"/>
  <c r="N87" i="1" s="1"/>
  <c r="M80" i="1"/>
  <c r="N80" i="1" s="1"/>
  <c r="M85" i="1"/>
  <c r="N85" i="1" s="1"/>
  <c r="M78" i="1"/>
  <c r="N78" i="1" s="1"/>
  <c r="M83" i="1"/>
  <c r="N83" i="1" s="1"/>
  <c r="M76" i="1"/>
  <c r="N76" i="1" s="1"/>
  <c r="M81" i="1"/>
  <c r="N81" i="1" s="1"/>
  <c r="M74" i="1"/>
  <c r="N74" i="1" s="1"/>
  <c r="M71" i="1"/>
  <c r="N71" i="1" s="1"/>
  <c r="M64" i="1"/>
  <c r="N64" i="1" s="1"/>
  <c r="M69" i="1"/>
  <c r="N69" i="1" s="1"/>
  <c r="M62" i="1"/>
  <c r="N62" i="1" s="1"/>
  <c r="L84" i="1"/>
  <c r="L82" i="1"/>
  <c r="L89" i="1"/>
  <c r="L87" i="1"/>
  <c r="L80" i="1"/>
  <c r="L85" i="1"/>
  <c r="L78" i="1"/>
  <c r="L83" i="1"/>
  <c r="L76" i="1"/>
  <c r="L81" i="1"/>
  <c r="L74" i="1"/>
  <c r="L71" i="1"/>
  <c r="L64" i="1"/>
  <c r="L69" i="1"/>
  <c r="L62" i="1"/>
  <c r="K84" i="1"/>
  <c r="K82" i="1"/>
  <c r="K89" i="1"/>
  <c r="K87" i="1"/>
  <c r="K80" i="1"/>
  <c r="K85" i="1"/>
  <c r="K78" i="1"/>
  <c r="K83" i="1"/>
  <c r="K76" i="1"/>
  <c r="K81" i="1"/>
  <c r="K74" i="1"/>
  <c r="K71" i="1"/>
  <c r="K64" i="1"/>
  <c r="K69" i="1"/>
  <c r="K62" i="1"/>
  <c r="L22" i="3"/>
  <c r="M8" i="1" l="1"/>
  <c r="N8" i="1" s="1"/>
  <c r="T8" i="1"/>
  <c r="V8" i="1"/>
  <c r="T6" i="1"/>
  <c r="V6" i="1"/>
  <c r="Z8" i="1"/>
  <c r="AA8" i="1"/>
  <c r="T7" i="1"/>
  <c r="T5" i="1"/>
  <c r="T10" i="1"/>
  <c r="M5" i="1"/>
  <c r="N5" i="1" s="1"/>
  <c r="V7" i="1"/>
  <c r="V5" i="1"/>
  <c r="V10" i="1"/>
  <c r="V4" i="1"/>
  <c r="U5" i="1"/>
  <c r="Z5" i="1"/>
  <c r="AA5" i="1"/>
  <c r="Z7" i="1"/>
  <c r="AA7" i="1"/>
  <c r="L7" i="1"/>
  <c r="L5" i="1"/>
  <c r="L10" i="1"/>
  <c r="L8" i="1"/>
  <c r="L6" i="1"/>
  <c r="M7" i="1"/>
  <c r="K8" i="1"/>
  <c r="K5" i="1"/>
  <c r="K7" i="1"/>
  <c r="K6" i="1"/>
  <c r="M6" i="1"/>
  <c r="N6" i="1" s="1"/>
  <c r="Z6" i="1"/>
  <c r="AA6" i="1"/>
  <c r="T65" i="1"/>
  <c r="V65" i="1"/>
  <c r="Z65" i="1"/>
  <c r="AA65" i="1"/>
  <c r="T58" i="1"/>
  <c r="V58" i="1"/>
  <c r="Z58" i="1"/>
  <c r="AA58" i="1"/>
  <c r="T63" i="1"/>
  <c r="V63" i="1"/>
  <c r="Z63" i="1"/>
  <c r="AA63" i="1"/>
  <c r="T56" i="1"/>
  <c r="V56" i="1"/>
  <c r="Z56" i="1"/>
  <c r="AA56" i="1"/>
  <c r="T61" i="1"/>
  <c r="V61" i="1"/>
  <c r="Z61" i="1"/>
  <c r="AA61" i="1"/>
  <c r="T54" i="1"/>
  <c r="V54" i="1"/>
  <c r="Z54" i="1"/>
  <c r="AA54" i="1"/>
  <c r="T59" i="1"/>
  <c r="V59" i="1"/>
  <c r="Z59" i="1"/>
  <c r="AA59" i="1"/>
  <c r="T52" i="1"/>
  <c r="V52" i="1"/>
  <c r="Z52" i="1"/>
  <c r="AA52" i="1"/>
  <c r="T57" i="1"/>
  <c r="V57" i="1"/>
  <c r="Z57" i="1"/>
  <c r="AA57" i="1"/>
  <c r="T50" i="1"/>
  <c r="V50" i="1"/>
  <c r="Z50" i="1"/>
  <c r="AA50" i="1"/>
  <c r="T55" i="1"/>
  <c r="V55" i="1"/>
  <c r="Z55" i="1"/>
  <c r="AA55" i="1"/>
  <c r="T53" i="1"/>
  <c r="V53" i="1"/>
  <c r="Z53" i="1"/>
  <c r="AA53" i="1"/>
  <c r="T48" i="1"/>
  <c r="V48" i="1"/>
  <c r="Z48" i="1"/>
  <c r="AA48" i="1"/>
  <c r="T46" i="1"/>
  <c r="V46" i="1"/>
  <c r="Z46" i="1"/>
  <c r="AA46" i="1"/>
  <c r="T44" i="1"/>
  <c r="V44" i="1"/>
  <c r="Z44" i="1"/>
  <c r="AA44" i="1"/>
  <c r="T51" i="1"/>
  <c r="V51" i="1"/>
  <c r="Z51" i="1"/>
  <c r="AA51" i="1"/>
  <c r="T49" i="1"/>
  <c r="V49" i="1"/>
  <c r="Z49" i="1"/>
  <c r="AA49" i="1"/>
  <c r="T42" i="1"/>
  <c r="V42" i="1"/>
  <c r="Z42" i="1"/>
  <c r="AA42" i="1"/>
  <c r="T40" i="1"/>
  <c r="V40" i="1"/>
  <c r="Z40" i="1"/>
  <c r="AA40" i="1"/>
  <c r="T47" i="1"/>
  <c r="V47" i="1"/>
  <c r="Z47" i="1"/>
  <c r="AA47" i="1"/>
  <c r="T45" i="1"/>
  <c r="V45" i="1"/>
  <c r="Z45" i="1"/>
  <c r="AA45" i="1"/>
  <c r="T43" i="1"/>
  <c r="V43" i="1"/>
  <c r="Z43" i="1"/>
  <c r="AA43" i="1"/>
  <c r="T38" i="1"/>
  <c r="V38" i="1"/>
  <c r="Z38" i="1"/>
  <c r="AA38" i="1"/>
  <c r="T36" i="1"/>
  <c r="V36" i="1"/>
  <c r="Z36" i="1"/>
  <c r="AA36" i="1"/>
  <c r="T41" i="1"/>
  <c r="V41" i="1"/>
  <c r="Z41" i="1"/>
  <c r="AA41" i="1"/>
  <c r="T34" i="1"/>
  <c r="Z34" i="1"/>
  <c r="AA34" i="1"/>
  <c r="T39" i="1"/>
  <c r="Z39" i="1"/>
  <c r="AA39" i="1"/>
  <c r="T32" i="1"/>
  <c r="Z32" i="1"/>
  <c r="AA32" i="1"/>
  <c r="T30" i="1"/>
  <c r="Z30" i="1"/>
  <c r="AA30" i="1"/>
  <c r="T37" i="1"/>
  <c r="V37" i="1"/>
  <c r="Z37" i="1"/>
  <c r="AA37" i="1"/>
  <c r="T35" i="1"/>
  <c r="V35" i="1"/>
  <c r="Z35" i="1"/>
  <c r="AA35" i="1"/>
  <c r="T28" i="1"/>
  <c r="V28" i="1"/>
  <c r="Z28" i="1"/>
  <c r="AA28" i="1"/>
  <c r="T33" i="1"/>
  <c r="V33" i="1"/>
  <c r="Z33" i="1"/>
  <c r="AA33" i="1"/>
  <c r="T26" i="1"/>
  <c r="V26" i="1"/>
  <c r="Z26" i="1"/>
  <c r="AA26" i="1"/>
  <c r="T31" i="1"/>
  <c r="V31" i="1"/>
  <c r="Z31" i="1"/>
  <c r="AA31" i="1"/>
  <c r="T24" i="1"/>
  <c r="V24" i="1"/>
  <c r="Z24" i="1"/>
  <c r="AA24" i="1"/>
  <c r="T29" i="1"/>
  <c r="V29" i="1"/>
  <c r="Z29" i="1"/>
  <c r="AA29" i="1"/>
  <c r="T22" i="1"/>
  <c r="V22" i="1"/>
  <c r="Z22" i="1"/>
  <c r="AA22" i="1"/>
  <c r="T27" i="1"/>
  <c r="V27" i="1"/>
  <c r="Z27" i="1"/>
  <c r="AA27" i="1"/>
  <c r="T20" i="1"/>
  <c r="V20" i="1"/>
  <c r="Z20" i="1"/>
  <c r="AA20" i="1"/>
  <c r="T25" i="1"/>
  <c r="V25" i="1"/>
  <c r="Z25" i="1"/>
  <c r="AA25" i="1"/>
  <c r="T18" i="1"/>
  <c r="V18" i="1"/>
  <c r="Z18" i="1"/>
  <c r="AA18" i="1"/>
  <c r="T16" i="1"/>
  <c r="V16" i="1"/>
  <c r="Z16" i="1"/>
  <c r="AA16" i="1"/>
  <c r="T23" i="1"/>
  <c r="V23" i="1"/>
  <c r="U23" i="1"/>
  <c r="Z23" i="1"/>
  <c r="AA23" i="1"/>
  <c r="T21" i="1"/>
  <c r="V21" i="1"/>
  <c r="Z21" i="1"/>
  <c r="AA21" i="1"/>
  <c r="T14" i="1"/>
  <c r="Z14" i="1"/>
  <c r="AA14" i="1"/>
  <c r="T19" i="1"/>
  <c r="V19" i="1"/>
  <c r="Z19" i="1"/>
  <c r="AA19" i="1"/>
  <c r="T17" i="1"/>
  <c r="V17" i="1"/>
  <c r="Z17" i="1"/>
  <c r="AA17" i="1"/>
  <c r="T11" i="1"/>
  <c r="V11" i="1"/>
  <c r="Z11" i="1"/>
  <c r="AA11" i="1"/>
  <c r="T9" i="1"/>
  <c r="V9" i="1"/>
  <c r="Z9" i="1"/>
  <c r="AA9" i="1"/>
  <c r="T15" i="1"/>
  <c r="V15" i="1"/>
  <c r="Z15" i="1"/>
  <c r="AA15" i="1"/>
  <c r="V12" i="1"/>
  <c r="Z12" i="1"/>
  <c r="AA12" i="1"/>
  <c r="T13" i="1"/>
  <c r="Z13" i="1"/>
  <c r="AA13" i="1"/>
  <c r="Z10" i="1"/>
  <c r="AA10" i="1"/>
  <c r="T4" i="1"/>
  <c r="Z4" i="1"/>
  <c r="AA4" i="1"/>
  <c r="T3" i="1"/>
  <c r="W3" i="1"/>
  <c r="X3" i="1"/>
  <c r="Z3" i="1"/>
  <c r="AA3" i="1"/>
  <c r="T138" i="1"/>
  <c r="V138" i="1"/>
  <c r="Z138" i="1"/>
  <c r="AA138" i="1"/>
  <c r="T139" i="1"/>
  <c r="V139" i="1"/>
  <c r="Z139" i="1"/>
  <c r="AA139" i="1"/>
  <c r="T136" i="1"/>
  <c r="V136" i="1"/>
  <c r="Z136" i="1"/>
  <c r="AA136" i="1"/>
  <c r="T134" i="1"/>
  <c r="V134" i="1"/>
  <c r="Z134" i="1"/>
  <c r="AA134" i="1"/>
  <c r="T137" i="1"/>
  <c r="V137" i="1"/>
  <c r="Z137" i="1"/>
  <c r="AA137" i="1"/>
  <c r="T135" i="1"/>
  <c r="V135" i="1"/>
  <c r="Z135" i="1"/>
  <c r="AA135" i="1"/>
  <c r="T132" i="1"/>
  <c r="V132" i="1"/>
  <c r="Z132" i="1"/>
  <c r="AA132" i="1"/>
  <c r="T133" i="1"/>
  <c r="V133" i="1"/>
  <c r="Z133" i="1"/>
  <c r="AA133" i="1"/>
  <c r="T130" i="1"/>
  <c r="V130" i="1"/>
  <c r="Z130" i="1"/>
  <c r="AA130" i="1"/>
  <c r="T131" i="1"/>
  <c r="V131" i="1"/>
  <c r="Z131" i="1"/>
  <c r="AA131" i="1"/>
  <c r="T128" i="1"/>
  <c r="V128" i="1"/>
  <c r="Z128" i="1"/>
  <c r="AA128" i="1"/>
  <c r="T126" i="1"/>
  <c r="V126" i="1"/>
  <c r="Z126" i="1"/>
  <c r="AA126" i="1"/>
  <c r="T129" i="1"/>
  <c r="V129" i="1"/>
  <c r="Z129" i="1"/>
  <c r="AA129" i="1"/>
  <c r="T124" i="1"/>
  <c r="V124" i="1"/>
  <c r="Z124" i="1"/>
  <c r="AA124" i="1"/>
  <c r="T127" i="1"/>
  <c r="V127" i="1"/>
  <c r="Z127" i="1"/>
  <c r="AA127" i="1"/>
  <c r="T125" i="1"/>
  <c r="V125" i="1"/>
  <c r="Z125" i="1"/>
  <c r="AA125" i="1"/>
  <c r="T122" i="1"/>
  <c r="V122" i="1"/>
  <c r="Z122" i="1"/>
  <c r="AA122" i="1"/>
  <c r="T123" i="1"/>
  <c r="V123" i="1"/>
  <c r="Z123" i="1"/>
  <c r="AA123" i="1"/>
  <c r="T120" i="1"/>
  <c r="V120" i="1"/>
  <c r="Z120" i="1"/>
  <c r="AA120" i="1"/>
  <c r="T121" i="1"/>
  <c r="V121" i="1"/>
  <c r="Z121" i="1"/>
  <c r="AA121" i="1"/>
  <c r="T118" i="1"/>
  <c r="V118" i="1"/>
  <c r="Z118" i="1"/>
  <c r="AA118" i="1"/>
  <c r="T119" i="1"/>
  <c r="V119" i="1"/>
  <c r="Z119" i="1"/>
  <c r="AA119" i="1"/>
  <c r="T117" i="1"/>
  <c r="V117" i="1"/>
  <c r="Z117" i="1"/>
  <c r="AA117" i="1"/>
  <c r="T92" i="1"/>
  <c r="V92" i="1"/>
  <c r="Z92" i="1"/>
  <c r="AA92" i="1"/>
  <c r="T106" i="1"/>
  <c r="V106" i="1"/>
  <c r="Z106" i="1"/>
  <c r="AA106" i="1"/>
  <c r="T104" i="1"/>
  <c r="V104" i="1"/>
  <c r="Z104" i="1"/>
  <c r="AA104" i="1"/>
  <c r="T102" i="1"/>
  <c r="Z102" i="1"/>
  <c r="AA102" i="1"/>
  <c r="T107" i="1"/>
  <c r="Z107" i="1"/>
  <c r="AA107" i="1"/>
  <c r="Z100" i="1"/>
  <c r="AA100" i="1"/>
  <c r="T105" i="1"/>
  <c r="V105" i="1"/>
  <c r="Z105" i="1"/>
  <c r="AA105" i="1"/>
  <c r="T97" i="1"/>
  <c r="V97" i="1"/>
  <c r="Z97" i="1"/>
  <c r="AA97" i="1"/>
  <c r="T103" i="1"/>
  <c r="V103" i="1"/>
  <c r="Z103" i="1"/>
  <c r="AA103" i="1"/>
  <c r="T95" i="1"/>
  <c r="Z95" i="1"/>
  <c r="AA95" i="1"/>
  <c r="Z101" i="1"/>
  <c r="AA101" i="1"/>
  <c r="T93" i="1"/>
  <c r="Z93" i="1"/>
  <c r="AA93" i="1"/>
  <c r="T90" i="1"/>
  <c r="V90" i="1"/>
  <c r="Z90" i="1"/>
  <c r="AA90" i="1"/>
  <c r="T96" i="1"/>
  <c r="V96" i="1"/>
  <c r="Z96" i="1"/>
  <c r="AA96" i="1"/>
  <c r="T88" i="1"/>
  <c r="V88" i="1"/>
  <c r="Z88" i="1"/>
  <c r="AA88" i="1"/>
  <c r="T94" i="1"/>
  <c r="Z94" i="1"/>
  <c r="AA94" i="1"/>
  <c r="T86" i="1"/>
  <c r="V86" i="1"/>
  <c r="Z86" i="1"/>
  <c r="AA86" i="1"/>
  <c r="T91" i="1"/>
  <c r="V91" i="1"/>
  <c r="Z91" i="1"/>
  <c r="AA91" i="1"/>
  <c r="T84" i="1"/>
  <c r="V84" i="1"/>
  <c r="Z84" i="1"/>
  <c r="AA84" i="1"/>
  <c r="T82" i="1"/>
  <c r="V82" i="1"/>
  <c r="Z82" i="1"/>
  <c r="AA82" i="1"/>
  <c r="T89" i="1"/>
  <c r="V89" i="1"/>
  <c r="Z89" i="1"/>
  <c r="AA89" i="1"/>
  <c r="T87" i="1"/>
  <c r="V87" i="1"/>
  <c r="Z87" i="1"/>
  <c r="AA87" i="1"/>
  <c r="T80" i="1"/>
  <c r="V80" i="1"/>
  <c r="Z80" i="1"/>
  <c r="AA80" i="1"/>
  <c r="T85" i="1"/>
  <c r="V85" i="1"/>
  <c r="Z85" i="1"/>
  <c r="AA85" i="1"/>
  <c r="T78" i="1"/>
  <c r="V78" i="1"/>
  <c r="Z78" i="1"/>
  <c r="AA78" i="1"/>
  <c r="T83" i="1"/>
  <c r="V83" i="1"/>
  <c r="Z83" i="1"/>
  <c r="AA83" i="1"/>
  <c r="T76" i="1"/>
  <c r="V76" i="1"/>
  <c r="Z76" i="1"/>
  <c r="AA76" i="1"/>
  <c r="T81" i="1"/>
  <c r="V81" i="1"/>
  <c r="Z81" i="1"/>
  <c r="AA81" i="1"/>
  <c r="T74" i="1"/>
  <c r="V74" i="1"/>
  <c r="Z74" i="1"/>
  <c r="AA74" i="1"/>
  <c r="T71" i="1"/>
  <c r="V71" i="1"/>
  <c r="Z71" i="1"/>
  <c r="AA71" i="1"/>
  <c r="T64" i="1"/>
  <c r="V64" i="1"/>
  <c r="Z64" i="1"/>
  <c r="AA64" i="1"/>
  <c r="T69" i="1"/>
  <c r="V69" i="1"/>
  <c r="Z69" i="1"/>
  <c r="AA69" i="1"/>
  <c r="T62" i="1"/>
  <c r="V62" i="1"/>
  <c r="Z62" i="1"/>
  <c r="AA62" i="1"/>
  <c r="U86" i="1" l="1"/>
  <c r="U74" i="1"/>
  <c r="U89" i="1"/>
  <c r="U103" i="1"/>
  <c r="U18" i="1"/>
  <c r="U6" i="1"/>
  <c r="U93" i="1"/>
  <c r="U106" i="1"/>
  <c r="U16" i="1"/>
  <c r="U15" i="1"/>
  <c r="U11" i="1"/>
  <c r="U85" i="1"/>
  <c r="U62" i="1"/>
  <c r="U17" i="1"/>
  <c r="U90" i="1"/>
  <c r="U96" i="1"/>
  <c r="U104" i="1"/>
  <c r="U88" i="1"/>
  <c r="U83" i="1"/>
  <c r="U87" i="1"/>
  <c r="U14" i="1"/>
  <c r="U69" i="1"/>
  <c r="U21" i="1"/>
  <c r="U58" i="1"/>
  <c r="U78" i="1"/>
  <c r="U107" i="1"/>
  <c r="U92" i="1"/>
  <c r="U76" i="1"/>
  <c r="U84" i="1"/>
  <c r="U71" i="1"/>
  <c r="U91" i="1"/>
  <c r="U101" i="1"/>
  <c r="U95" i="1"/>
  <c r="U64" i="1"/>
  <c r="U81" i="1"/>
  <c r="U19" i="1"/>
  <c r="U82" i="1"/>
  <c r="U97" i="1"/>
  <c r="U105" i="1"/>
  <c r="U102" i="1"/>
  <c r="U9" i="1"/>
  <c r="U80" i="1"/>
  <c r="U119" i="1"/>
  <c r="U121" i="1"/>
  <c r="U123" i="1"/>
  <c r="U125" i="1"/>
  <c r="U124" i="1"/>
  <c r="U126" i="1"/>
  <c r="U131" i="1"/>
  <c r="U133" i="1"/>
  <c r="U135" i="1"/>
  <c r="U134" i="1"/>
  <c r="U139" i="1"/>
  <c r="U4" i="1"/>
  <c r="U12" i="1"/>
  <c r="U20" i="1"/>
  <c r="U22" i="1"/>
  <c r="U24" i="1"/>
  <c r="U26" i="1"/>
  <c r="U28" i="1"/>
  <c r="U37" i="1"/>
  <c r="U32" i="1"/>
  <c r="U34" i="1"/>
  <c r="U41" i="1"/>
  <c r="U38" i="1"/>
  <c r="U45" i="1"/>
  <c r="U40" i="1"/>
  <c r="U49" i="1"/>
  <c r="U44" i="1"/>
  <c r="U48" i="1"/>
  <c r="U55" i="1"/>
  <c r="U57" i="1"/>
  <c r="U59" i="1"/>
  <c r="U61" i="1"/>
  <c r="U63" i="1"/>
  <c r="U65" i="1"/>
  <c r="U117" i="1"/>
  <c r="U118" i="1"/>
  <c r="U120" i="1"/>
  <c r="U122" i="1"/>
  <c r="U127" i="1"/>
  <c r="U129" i="1"/>
  <c r="U128" i="1"/>
  <c r="U130" i="1"/>
  <c r="U132" i="1"/>
  <c r="U137" i="1"/>
  <c r="U136" i="1"/>
  <c r="U138" i="1"/>
  <c r="Y3" i="1"/>
  <c r="U3" i="1" s="1"/>
  <c r="U10" i="1"/>
  <c r="U13" i="1"/>
  <c r="U25" i="1"/>
  <c r="U27" i="1"/>
  <c r="U29" i="1"/>
  <c r="U31" i="1"/>
  <c r="U33" i="1"/>
  <c r="U35" i="1"/>
  <c r="U30" i="1"/>
  <c r="U39" i="1"/>
  <c r="U36" i="1"/>
  <c r="U43" i="1"/>
  <c r="U47" i="1"/>
  <c r="U42" i="1"/>
  <c r="U51" i="1"/>
  <c r="U46" i="1"/>
  <c r="U53" i="1"/>
  <c r="U50" i="1"/>
  <c r="U52" i="1"/>
  <c r="U54" i="1"/>
  <c r="U56" i="1"/>
  <c r="L25" i="1" l="1"/>
  <c r="M25" i="1"/>
  <c r="N25" i="1" s="1"/>
  <c r="K25" i="1"/>
  <c r="M65" i="1"/>
  <c r="N65" i="1" s="1"/>
  <c r="L65" i="1"/>
  <c r="K65" i="1"/>
  <c r="L10" i="3"/>
  <c r="L50" i="3"/>
  <c r="L51" i="3"/>
  <c r="L9" i="3"/>
  <c r="L53" i="3"/>
  <c r="L52" i="3"/>
  <c r="L3" i="3"/>
  <c r="L36" i="3"/>
  <c r="L49" i="3"/>
  <c r="L31" i="3"/>
  <c r="L48" i="3"/>
  <c r="L47" i="3"/>
  <c r="L46" i="3"/>
  <c r="L17" i="3"/>
  <c r="L30" i="3"/>
  <c r="L35" i="3"/>
  <c r="L16" i="3"/>
  <c r="L45" i="3"/>
  <c r="M15" i="1" l="1"/>
  <c r="N15" i="1" s="1"/>
  <c r="M12" i="1"/>
  <c r="M13" i="1"/>
  <c r="N13" i="1" s="1"/>
  <c r="M10" i="1"/>
  <c r="N10" i="1" s="1"/>
  <c r="L15" i="3" l="1"/>
  <c r="M56" i="3"/>
  <c r="M57" i="3" s="1"/>
  <c r="L34" i="3"/>
  <c r="M149" i="1"/>
  <c r="J149" i="1"/>
  <c r="L19" i="3" l="1"/>
  <c r="L21" i="3"/>
  <c r="L25" i="3"/>
  <c r="L37" i="3"/>
  <c r="L43" i="3"/>
  <c r="L7" i="3"/>
  <c r="L12" i="3"/>
  <c r="L44" i="3"/>
  <c r="L23" i="3"/>
  <c r="L18" i="3"/>
  <c r="L24" i="3"/>
  <c r="L40" i="3"/>
  <c r="L14" i="3"/>
  <c r="L26" i="3"/>
  <c r="L39" i="3"/>
  <c r="L11" i="3"/>
  <c r="L8" i="3"/>
  <c r="L41" i="3"/>
  <c r="L5" i="3"/>
  <c r="L27" i="3"/>
  <c r="L13" i="3"/>
  <c r="L32" i="3"/>
  <c r="L4" i="3"/>
  <c r="L33" i="3"/>
  <c r="L20" i="3"/>
  <c r="L28" i="3"/>
  <c r="L42" i="3"/>
  <c r="L29" i="3"/>
  <c r="L6" i="3"/>
  <c r="L38" i="3"/>
  <c r="V67" i="1" l="1"/>
  <c r="K58" i="1" l="1"/>
  <c r="L58" i="1"/>
  <c r="M58" i="1"/>
  <c r="N58" i="1" s="1"/>
  <c r="K63" i="1"/>
  <c r="L63" i="1"/>
  <c r="M63" i="1"/>
  <c r="N63" i="1" s="1"/>
  <c r="K56" i="1"/>
  <c r="L56" i="1"/>
  <c r="M56" i="1"/>
  <c r="N56" i="1" s="1"/>
  <c r="K61" i="1"/>
  <c r="L61" i="1"/>
  <c r="M61" i="1"/>
  <c r="N61" i="1" s="1"/>
  <c r="K54" i="1"/>
  <c r="L54" i="1"/>
  <c r="M54" i="1"/>
  <c r="N54" i="1" s="1"/>
  <c r="K59" i="1"/>
  <c r="L59" i="1"/>
  <c r="M59" i="1"/>
  <c r="N59" i="1" s="1"/>
  <c r="K52" i="1"/>
  <c r="L52" i="1"/>
  <c r="M52" i="1"/>
  <c r="N52" i="1" s="1"/>
  <c r="K57" i="1"/>
  <c r="L57" i="1"/>
  <c r="M57" i="1"/>
  <c r="N57" i="1" s="1"/>
  <c r="K50" i="1"/>
  <c r="L50" i="1"/>
  <c r="M50" i="1"/>
  <c r="N50" i="1" s="1"/>
  <c r="K55" i="1"/>
  <c r="L55" i="1"/>
  <c r="M55" i="1"/>
  <c r="N55" i="1" s="1"/>
  <c r="K53" i="1"/>
  <c r="L53" i="1"/>
  <c r="M53" i="1"/>
  <c r="N53" i="1" s="1"/>
  <c r="K48" i="1"/>
  <c r="L48" i="1"/>
  <c r="M48" i="1"/>
  <c r="N48" i="1" s="1"/>
  <c r="K46" i="1"/>
  <c r="L46" i="1"/>
  <c r="M46" i="1"/>
  <c r="N46" i="1" s="1"/>
  <c r="K44" i="1"/>
  <c r="L44" i="1"/>
  <c r="M44" i="1"/>
  <c r="N44" i="1" s="1"/>
  <c r="K51" i="1"/>
  <c r="L51" i="1"/>
  <c r="M51" i="1"/>
  <c r="N51" i="1" s="1"/>
  <c r="K49" i="1"/>
  <c r="L49" i="1"/>
  <c r="M49" i="1"/>
  <c r="N49" i="1" s="1"/>
  <c r="K42" i="1"/>
  <c r="L42" i="1"/>
  <c r="M42" i="1"/>
  <c r="N42" i="1" s="1"/>
  <c r="K40" i="1"/>
  <c r="L40" i="1"/>
  <c r="M40" i="1"/>
  <c r="N40" i="1" s="1"/>
  <c r="T67" i="1"/>
  <c r="Z67" i="1"/>
  <c r="AA67" i="1"/>
  <c r="AA60" i="1"/>
  <c r="Z60" i="1"/>
  <c r="U67" i="1" l="1"/>
  <c r="K67" i="1" l="1"/>
  <c r="L67" i="1"/>
  <c r="M67" i="1"/>
  <c r="N67" i="1" s="1"/>
  <c r="K47" i="1"/>
  <c r="L47" i="1"/>
  <c r="M47" i="1"/>
  <c r="N47" i="1" s="1"/>
  <c r="K45" i="1"/>
  <c r="L45" i="1"/>
  <c r="M45" i="1"/>
  <c r="N45" i="1" s="1"/>
  <c r="K43" i="1"/>
  <c r="L43" i="1"/>
  <c r="M43" i="1"/>
  <c r="N43" i="1" s="1"/>
  <c r="K38" i="1"/>
  <c r="L38" i="1"/>
  <c r="M38" i="1"/>
  <c r="N38" i="1" s="1"/>
  <c r="K36" i="1"/>
  <c r="L36" i="1"/>
  <c r="M36" i="1"/>
  <c r="N36" i="1" s="1"/>
  <c r="K41" i="1"/>
  <c r="L41" i="1"/>
  <c r="M41" i="1"/>
  <c r="N41" i="1" s="1"/>
  <c r="K34" i="1"/>
  <c r="L34" i="1"/>
  <c r="M34" i="1"/>
  <c r="N34" i="1" s="1"/>
  <c r="K39" i="1"/>
  <c r="L39" i="1"/>
  <c r="M39" i="1"/>
  <c r="N39" i="1" s="1"/>
  <c r="K32" i="1"/>
  <c r="L32" i="1"/>
  <c r="M32" i="1"/>
  <c r="N32" i="1" s="1"/>
  <c r="K30" i="1"/>
  <c r="L30" i="1"/>
  <c r="M30" i="1"/>
  <c r="N30" i="1" s="1"/>
  <c r="K37" i="1"/>
  <c r="L37" i="1"/>
  <c r="M37" i="1"/>
  <c r="N37" i="1" s="1"/>
  <c r="K35" i="1"/>
  <c r="L35" i="1"/>
  <c r="M35" i="1"/>
  <c r="N35" i="1" s="1"/>
  <c r="K28" i="1"/>
  <c r="L28" i="1"/>
  <c r="M28" i="1"/>
  <c r="N28" i="1" s="1"/>
  <c r="K33" i="1"/>
  <c r="L33" i="1"/>
  <c r="M33" i="1"/>
  <c r="N33" i="1" s="1"/>
  <c r="K26" i="1"/>
  <c r="L26" i="1"/>
  <c r="M26" i="1"/>
  <c r="N26" i="1" s="1"/>
  <c r="K31" i="1"/>
  <c r="L31" i="1"/>
  <c r="M31" i="1"/>
  <c r="N31" i="1" s="1"/>
  <c r="K24" i="1"/>
  <c r="L24" i="1"/>
  <c r="M24" i="1"/>
  <c r="N24" i="1" s="1"/>
  <c r="K29" i="1"/>
  <c r="L29" i="1"/>
  <c r="M29" i="1"/>
  <c r="N29" i="1" s="1"/>
  <c r="K22" i="1"/>
  <c r="L22" i="1"/>
  <c r="M22" i="1"/>
  <c r="N22" i="1" s="1"/>
  <c r="K27" i="1"/>
  <c r="L27" i="1"/>
  <c r="M27" i="1"/>
  <c r="N27" i="1" s="1"/>
  <c r="K20" i="1"/>
  <c r="L20" i="1"/>
  <c r="M20" i="1"/>
  <c r="N20" i="1" s="1"/>
  <c r="K18" i="1"/>
  <c r="L18" i="1"/>
  <c r="M18" i="1"/>
  <c r="N18" i="1" s="1"/>
  <c r="K16" i="1"/>
  <c r="L16" i="1"/>
  <c r="M16" i="1"/>
  <c r="N16" i="1" s="1"/>
  <c r="K23" i="1"/>
  <c r="L23" i="1"/>
  <c r="M23" i="1"/>
  <c r="N23" i="1" s="1"/>
  <c r="K21" i="1"/>
  <c r="L21" i="1"/>
  <c r="M21" i="1"/>
  <c r="N21" i="1" s="1"/>
  <c r="K14" i="1"/>
  <c r="L14" i="1"/>
  <c r="M14" i="1"/>
  <c r="N14" i="1" s="1"/>
  <c r="K19" i="1"/>
  <c r="L19" i="1"/>
  <c r="M19" i="1"/>
  <c r="N19" i="1" s="1"/>
  <c r="K17" i="1"/>
  <c r="L17" i="1"/>
  <c r="M17" i="1"/>
  <c r="N17" i="1" s="1"/>
  <c r="K11" i="1"/>
  <c r="L11" i="1"/>
  <c r="M11" i="1"/>
  <c r="N11" i="1" s="1"/>
  <c r="K9" i="1"/>
  <c r="L9" i="1"/>
  <c r="M9" i="1"/>
  <c r="N9" i="1" s="1"/>
  <c r="K15" i="1"/>
  <c r="L15" i="1"/>
  <c r="K12" i="1"/>
  <c r="L12" i="1"/>
  <c r="K13" i="1"/>
  <c r="L13" i="1"/>
  <c r="K10" i="1"/>
  <c r="K4" i="1"/>
  <c r="L4" i="1"/>
  <c r="M4" i="1"/>
  <c r="N4" i="1" s="1"/>
  <c r="K3" i="1"/>
  <c r="L3" i="1"/>
  <c r="M3" i="1"/>
  <c r="N3" i="1" s="1"/>
  <c r="K143" i="1"/>
  <c r="L143" i="1"/>
  <c r="M143" i="1"/>
  <c r="N143" i="1" s="1"/>
  <c r="K138" i="1"/>
  <c r="L138" i="1"/>
  <c r="M138" i="1"/>
  <c r="N138" i="1" s="1"/>
  <c r="K139" i="1"/>
  <c r="L139" i="1"/>
  <c r="M139" i="1"/>
  <c r="N139" i="1" s="1"/>
  <c r="K136" i="1"/>
  <c r="L136" i="1"/>
  <c r="M136" i="1"/>
  <c r="N136" i="1" s="1"/>
  <c r="K134" i="1"/>
  <c r="L134" i="1"/>
  <c r="M134" i="1"/>
  <c r="N134" i="1" s="1"/>
  <c r="K137" i="1"/>
  <c r="L137" i="1"/>
  <c r="M137" i="1"/>
  <c r="N137" i="1" s="1"/>
  <c r="K135" i="1"/>
  <c r="L135" i="1"/>
  <c r="M135" i="1"/>
  <c r="N135" i="1" s="1"/>
  <c r="K132" i="1"/>
  <c r="L132" i="1"/>
  <c r="M132" i="1"/>
  <c r="N132" i="1" s="1"/>
  <c r="K133" i="1"/>
  <c r="L133" i="1"/>
  <c r="M133" i="1"/>
  <c r="N133" i="1" s="1"/>
  <c r="K130" i="1"/>
  <c r="L130" i="1"/>
  <c r="M130" i="1"/>
  <c r="N130" i="1" s="1"/>
  <c r="K131" i="1"/>
  <c r="L131" i="1"/>
  <c r="M131" i="1"/>
  <c r="N131" i="1" s="1"/>
  <c r="K128" i="1"/>
  <c r="L128" i="1"/>
  <c r="M128" i="1"/>
  <c r="N128" i="1" s="1"/>
  <c r="K126" i="1"/>
  <c r="L126" i="1"/>
  <c r="M126" i="1"/>
  <c r="N126" i="1" s="1"/>
  <c r="K129" i="1"/>
  <c r="L129" i="1"/>
  <c r="M129" i="1"/>
  <c r="N129" i="1" s="1"/>
  <c r="K124" i="1"/>
  <c r="L124" i="1"/>
  <c r="M124" i="1"/>
  <c r="N124" i="1" s="1"/>
  <c r="K127" i="1"/>
  <c r="L127" i="1"/>
  <c r="M127" i="1"/>
  <c r="N127" i="1" s="1"/>
  <c r="K125" i="1"/>
  <c r="L125" i="1"/>
  <c r="M125" i="1"/>
  <c r="N125" i="1" s="1"/>
  <c r="K122" i="1"/>
  <c r="L122" i="1"/>
  <c r="M122" i="1"/>
  <c r="N122" i="1" s="1"/>
  <c r="K123" i="1"/>
  <c r="L123" i="1"/>
  <c r="M123" i="1"/>
  <c r="N123" i="1" s="1"/>
  <c r="K120" i="1"/>
  <c r="L120" i="1"/>
  <c r="M120" i="1"/>
  <c r="N120" i="1" s="1"/>
  <c r="K121" i="1"/>
  <c r="L121" i="1"/>
  <c r="M121" i="1"/>
  <c r="N121" i="1" s="1"/>
  <c r="K118" i="1"/>
  <c r="L118" i="1"/>
  <c r="M118" i="1"/>
  <c r="N118" i="1" s="1"/>
  <c r="K119" i="1"/>
  <c r="L119" i="1"/>
  <c r="M119" i="1"/>
  <c r="N119" i="1" s="1"/>
  <c r="K116" i="1"/>
  <c r="L116" i="1"/>
  <c r="M116" i="1"/>
  <c r="N116" i="1" s="1"/>
  <c r="K117" i="1"/>
  <c r="L117" i="1"/>
  <c r="M117" i="1"/>
  <c r="N117" i="1" s="1"/>
  <c r="K112" i="1"/>
  <c r="L112" i="1"/>
  <c r="M112" i="1"/>
  <c r="N112" i="1" s="1"/>
  <c r="K115" i="1"/>
  <c r="L115" i="1"/>
  <c r="M115" i="1"/>
  <c r="N115" i="1" s="1"/>
  <c r="K113" i="1"/>
  <c r="L113" i="1"/>
  <c r="M113" i="1"/>
  <c r="N113" i="1" s="1"/>
  <c r="K114" i="1"/>
  <c r="L114" i="1"/>
  <c r="M114" i="1"/>
  <c r="K110" i="1"/>
  <c r="L110" i="1"/>
  <c r="M110" i="1"/>
  <c r="N110" i="1" s="1"/>
  <c r="K92" i="1"/>
  <c r="L92" i="1"/>
  <c r="M92" i="1"/>
  <c r="N92" i="1" s="1"/>
  <c r="K109" i="1"/>
  <c r="L109" i="1"/>
  <c r="M109" i="1"/>
  <c r="K111" i="1"/>
  <c r="L111" i="1"/>
  <c r="M111" i="1"/>
  <c r="N111" i="1" s="1"/>
  <c r="K108" i="1"/>
  <c r="L108" i="1"/>
  <c r="M108" i="1"/>
  <c r="K106" i="1"/>
  <c r="L106" i="1"/>
  <c r="M106" i="1"/>
  <c r="N106" i="1" s="1"/>
  <c r="K104" i="1"/>
  <c r="L104" i="1"/>
  <c r="M104" i="1"/>
  <c r="N104" i="1" s="1"/>
  <c r="K102" i="1"/>
  <c r="L102" i="1"/>
  <c r="M102" i="1"/>
  <c r="N102" i="1" s="1"/>
  <c r="K107" i="1"/>
  <c r="L107" i="1"/>
  <c r="M107" i="1"/>
  <c r="N107" i="1" s="1"/>
  <c r="K100" i="1"/>
  <c r="L100" i="1"/>
  <c r="M100" i="1"/>
  <c r="N100" i="1" s="1"/>
  <c r="K105" i="1"/>
  <c r="L105" i="1"/>
  <c r="M105" i="1"/>
  <c r="N105" i="1" s="1"/>
  <c r="K97" i="1"/>
  <c r="L97" i="1"/>
  <c r="M97" i="1"/>
  <c r="N97" i="1" s="1"/>
  <c r="K103" i="1"/>
  <c r="L103" i="1"/>
  <c r="M103" i="1"/>
  <c r="N103" i="1" s="1"/>
  <c r="K95" i="1"/>
  <c r="L95" i="1"/>
  <c r="M95" i="1"/>
  <c r="N95" i="1" s="1"/>
  <c r="K101" i="1"/>
  <c r="L101" i="1"/>
  <c r="M101" i="1"/>
  <c r="N101" i="1" s="1"/>
  <c r="K93" i="1"/>
  <c r="L93" i="1"/>
  <c r="M93" i="1"/>
  <c r="N93" i="1" s="1"/>
  <c r="K90" i="1"/>
  <c r="L90" i="1"/>
  <c r="M90" i="1"/>
  <c r="N90" i="1" s="1"/>
  <c r="K96" i="1"/>
  <c r="L96" i="1"/>
  <c r="M96" i="1"/>
  <c r="N96" i="1" s="1"/>
  <c r="K88" i="1"/>
  <c r="L88" i="1"/>
  <c r="M88" i="1"/>
  <c r="N88" i="1" s="1"/>
  <c r="K94" i="1"/>
  <c r="L94" i="1"/>
  <c r="M94" i="1"/>
  <c r="K86" i="1"/>
  <c r="L86" i="1"/>
  <c r="M86" i="1"/>
  <c r="N86" i="1" s="1"/>
  <c r="K91" i="1"/>
  <c r="L91" i="1"/>
  <c r="M91" i="1"/>
  <c r="N91" i="1" s="1"/>
  <c r="K60" i="1"/>
  <c r="L60" i="1"/>
  <c r="M60" i="1"/>
  <c r="N60" i="1" s="1"/>
  <c r="N148" i="1" l="1"/>
  <c r="P109" i="1"/>
  <c r="P94" i="1"/>
  <c r="A1" i="6"/>
  <c r="N151" i="1" l="1"/>
  <c r="J148" i="1"/>
  <c r="J151" i="1"/>
  <c r="O151" i="1"/>
  <c r="O148" i="1"/>
  <c r="M151" i="1"/>
  <c r="J150" i="1"/>
  <c r="J147" i="1"/>
  <c r="T60" i="1"/>
  <c r="U60" i="1" l="1"/>
  <c r="A1" i="3" l="1"/>
  <c r="J152" i="1" l="1"/>
  <c r="A1" i="1"/>
  <c r="O149" i="1" l="1"/>
  <c r="N149" i="1"/>
  <c r="M148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<sst xmlns="http://schemas.openxmlformats.org/spreadsheetml/2006/main" count="1462" uniqueCount="406">
  <si>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</si>
  <si>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</si>
  <si>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</si>
  <si>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</si>
  <si>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</si>
  <si>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</si>
  <si>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</si>
  <si>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</si>
  <si>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</si>
  <si>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</si>
  <si>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</si>
  <si>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</si>
  <si>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</si>
  <si>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</si>
  <si>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</si>
  <si>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</si>
  <si>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</si>
  <si>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</si>
  <si>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</si>
  <si>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</si>
  <si>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</si>
  <si>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</si>
  <si>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</si>
  <si>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</si>
  <si>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</si>
  <si>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</si>
  <si>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</si>
  <si>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</si>
  <si>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</si>
  <si>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</si>
  <si>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</si>
  <si>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</si>
  <si>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</si>
  <si>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</si>
  <si>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</si>
  <si>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</si>
  <si>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</si>
  <si>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</si>
  <si>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</si>
  <si>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</si>
  <si>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</si>
  <si>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</si>
  <si>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</si>
  <si>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</si>
  <si>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</si>
  <si>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</si>
  <si>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</si>
  <si>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</si>
  <si>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</si>
  <si>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</si>
  <si>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</si>
  <si>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</si>
  <si>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</si>
  <si>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</si>
  <si>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</si>
  <si>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</si>
  <si>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</si>
  <si>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</si>
  <si>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</si>
  <si>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</si>
  <si>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</si>
  <si>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</si>
  <si>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</si>
  <si>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</si>
  <si>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</si>
  <si>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</si>
  <si>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</si>
  <si>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</si>
  <si>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</si>
  <si>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</si>
  <si>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</si>
  <si>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</si>
  <si>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</si>
  <si>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</si>
  <si>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</si>
  <si>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</si>
  <si>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</si>
  <si>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</si>
  <si>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</si>
  <si>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</si>
  <si>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</si>
  <si>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</si>
  <si>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</si>
  <si>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</si>
  <si>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</si>
  <si>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</si>
  <si>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</si>
  <si>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</si>
  <si>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</si>
  <si>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</si>
  <si>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</si>
  <si>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</si>
  <si>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</si>
  <si>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</si>
  <si>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</si>
  <si>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</si>
  <si>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</si>
  <si>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</si>
  <si>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</si>
  <si>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</si>
  <si>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</si>
  <si>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</si>
  <si>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</si>
  <si>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</si>
  <si>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</si>
  <si>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</si>
  <si>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</si>
  <si>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</si>
  <si>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</si>
  <si>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</si>
  <si>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</si>
  <si>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</si>
  <si>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</si>
  <si>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</si>
  <si>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</si>
  <si>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</si>
  <si>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</si>
  <si>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</si>
  <si>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</si>
  <si>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</si>
  <si>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</si>
  <si>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</si>
  <si>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</si>
  <si>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</si>
  <si>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</si>
  <si>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</si>
  <si>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204:480</t>
  </si>
  <si>
    <t>RIVERA</t>
  </si>
  <si>
    <t>204:232982</t>
  </si>
  <si>
    <t>204:473</t>
  </si>
  <si>
    <t>204:167</t>
  </si>
  <si>
    <t>204:233010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</si>
  <si>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</si>
  <si>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</si>
  <si>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</si>
  <si>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</si>
  <si>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</si>
  <si>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</si>
  <si>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</si>
  <si>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</si>
  <si>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</si>
  <si>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</si>
  <si>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</si>
  <si>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</si>
  <si>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JACKSON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</si>
  <si>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</si>
  <si>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</si>
  <si>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</si>
  <si>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</si>
  <si>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</si>
  <si>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</si>
  <si>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</si>
  <si>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</si>
  <si>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</si>
  <si>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204:233001</t>
  </si>
  <si>
    <t>204:467</t>
  </si>
  <si>
    <t>204:442</t>
  </si>
  <si>
    <t>204:232967</t>
  </si>
  <si>
    <t>REBOLETTI</t>
  </si>
  <si>
    <t>Closed</t>
  </si>
  <si>
    <t>204:233318</t>
  </si>
  <si>
    <t>204:495</t>
  </si>
  <si>
    <t>204:233322</t>
  </si>
  <si>
    <t>204:233011</t>
  </si>
  <si>
    <t>204:458</t>
  </si>
  <si>
    <t>204:232988</t>
  </si>
  <si>
    <t>204:469</t>
  </si>
  <si>
    <t>204:477</t>
  </si>
  <si>
    <t>204:233338</t>
  </si>
  <si>
    <t>204:511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</si>
  <si>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</si>
  <si>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</si>
  <si>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</si>
  <si>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</si>
  <si>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</si>
  <si>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</si>
  <si>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204:180</t>
  </si>
  <si>
    <t>204:232983</t>
  </si>
  <si>
    <t>HAUSER</t>
  </si>
  <si>
    <t>STEWART</t>
  </si>
  <si>
    <t>DE LA ROSA</t>
  </si>
  <si>
    <t>107-12</t>
  </si>
  <si>
    <t>rtdc.l.rtdc.4026:itc</t>
  </si>
  <si>
    <t>102-12</t>
  </si>
  <si>
    <t>LEVIN</t>
  </si>
  <si>
    <t>109-12</t>
  </si>
  <si>
    <t>104-12</t>
  </si>
  <si>
    <t>CUSHING</t>
  </si>
  <si>
    <t>rtdc.l.rtdc.4017:itc</t>
  </si>
  <si>
    <t>101-12</t>
  </si>
  <si>
    <t>105-12</t>
  </si>
  <si>
    <t>204:232964</t>
  </si>
  <si>
    <t>204:139</t>
  </si>
  <si>
    <t>204:233306</t>
  </si>
  <si>
    <t>204:176</t>
  </si>
  <si>
    <t>204:444</t>
  </si>
  <si>
    <t>204:233323</t>
  </si>
  <si>
    <t>rtdc.l.rtdc.4018:itc</t>
  </si>
  <si>
    <t>159-12</t>
  </si>
  <si>
    <t>MALAVE</t>
  </si>
  <si>
    <t>161-12</t>
  </si>
  <si>
    <t>156-12</t>
  </si>
  <si>
    <t>rtdc.l.rtdc.4025:itc</t>
  </si>
  <si>
    <t>169-12</t>
  </si>
  <si>
    <t>157-12</t>
  </si>
  <si>
    <t>189-12</t>
  </si>
  <si>
    <t>182-12</t>
  </si>
  <si>
    <t>199-12</t>
  </si>
  <si>
    <t>204-12</t>
  </si>
  <si>
    <t>219-12</t>
  </si>
  <si>
    <t>155-12</t>
  </si>
  <si>
    <t>222-12</t>
  </si>
  <si>
    <t>151-12</t>
  </si>
  <si>
    <t>192-12</t>
  </si>
  <si>
    <t>149-12</t>
  </si>
  <si>
    <t>193-12</t>
  </si>
  <si>
    <t>145-12</t>
  </si>
  <si>
    <t>188-12</t>
  </si>
  <si>
    <t>139-12</t>
  </si>
  <si>
    <t>191-12</t>
  </si>
  <si>
    <t>130-12</t>
  </si>
  <si>
    <t>207-12</t>
  </si>
  <si>
    <t>128-12</t>
  </si>
  <si>
    <t>216-12</t>
  </si>
  <si>
    <t>116-12</t>
  </si>
  <si>
    <t>186-12</t>
  </si>
  <si>
    <t>123-12</t>
  </si>
  <si>
    <t>230-12</t>
  </si>
  <si>
    <t>108-12</t>
  </si>
  <si>
    <t>237-12</t>
  </si>
  <si>
    <t>110-12</t>
  </si>
  <si>
    <t>rtdc.l.rtdc.4028:itc</t>
  </si>
  <si>
    <t>106-12</t>
  </si>
  <si>
    <t>124-12</t>
  </si>
  <si>
    <t>223-12</t>
  </si>
  <si>
    <t>244-12</t>
  </si>
  <si>
    <t>226-12</t>
  </si>
  <si>
    <t>179-12</t>
  </si>
  <si>
    <t>122-12</t>
  </si>
  <si>
    <t>240-12</t>
  </si>
  <si>
    <t>201-12</t>
  </si>
  <si>
    <t>213-12</t>
  </si>
  <si>
    <t>203-12</t>
  </si>
  <si>
    <t>194-12</t>
  </si>
  <si>
    <t>200-12</t>
  </si>
  <si>
    <t>187-12</t>
  </si>
  <si>
    <t>177-12</t>
  </si>
  <si>
    <t>221-12</t>
  </si>
  <si>
    <t>148-12</t>
  </si>
  <si>
    <t>235-12</t>
  </si>
  <si>
    <t>127-12</t>
  </si>
  <si>
    <t>119-12</t>
  </si>
  <si>
    <t>113-12</t>
  </si>
  <si>
    <t>125-12</t>
  </si>
  <si>
    <t>232-12</t>
  </si>
  <si>
    <t>120-12</t>
  </si>
  <si>
    <t>150-12</t>
  </si>
  <si>
    <t>198-12</t>
  </si>
  <si>
    <t>175-12</t>
  </si>
  <si>
    <t>143-12</t>
  </si>
  <si>
    <t>210-12</t>
  </si>
  <si>
    <t>146-12</t>
  </si>
  <si>
    <t>236-12</t>
  </si>
  <si>
    <t>208-12</t>
  </si>
  <si>
    <t>174-12</t>
  </si>
  <si>
    <t>214-12</t>
  </si>
  <si>
    <t>112-12</t>
  </si>
  <si>
    <t>303-12</t>
  </si>
  <si>
    <t>185-12</t>
  </si>
  <si>
    <t>215-12</t>
  </si>
  <si>
    <t>218-12</t>
  </si>
  <si>
    <t>184-12</t>
  </si>
  <si>
    <t>229-12</t>
  </si>
  <si>
    <t>166-12</t>
  </si>
  <si>
    <t>115-12</t>
  </si>
  <si>
    <t>160-12</t>
  </si>
  <si>
    <t>117-12</t>
  </si>
  <si>
    <t>242-12</t>
  </si>
  <si>
    <t>153-12</t>
  </si>
  <si>
    <t>239-12</t>
  </si>
  <si>
    <t>171-12</t>
  </si>
  <si>
    <t>224-12</t>
  </si>
  <si>
    <t>173-12</t>
  </si>
  <si>
    <t>234-12</t>
  </si>
  <si>
    <t>243-12</t>
  </si>
  <si>
    <t>228-12</t>
  </si>
  <si>
    <t>190-12</t>
  </si>
  <si>
    <t>231-12</t>
  </si>
  <si>
    <t>126-12</t>
  </si>
  <si>
    <t>225-12</t>
  </si>
  <si>
    <t>197-12</t>
  </si>
  <si>
    <t>111-12</t>
  </si>
  <si>
    <t>180-12</t>
  </si>
  <si>
    <t>154-12</t>
  </si>
  <si>
    <t>114-12</t>
  </si>
  <si>
    <t>136-12</t>
  </si>
  <si>
    <t>121-12</t>
  </si>
  <si>
    <t>134-12</t>
  </si>
  <si>
    <t>135-12</t>
  </si>
  <si>
    <t>129-12</t>
  </si>
  <si>
    <t>131-12</t>
  </si>
  <si>
    <t>132-12</t>
  </si>
  <si>
    <t>195-12</t>
  </si>
  <si>
    <t>138-12</t>
  </si>
  <si>
    <t>178-12</t>
  </si>
  <si>
    <t>147-12</t>
  </si>
  <si>
    <t>172-12</t>
  </si>
  <si>
    <t>144-12</t>
  </si>
  <si>
    <t>168-12</t>
  </si>
  <si>
    <t>152-12</t>
  </si>
  <si>
    <t>164-12</t>
  </si>
  <si>
    <t>165-12</t>
  </si>
  <si>
    <t>162-12</t>
  </si>
  <si>
    <t>167-12</t>
  </si>
  <si>
    <t>158-12</t>
  </si>
  <si>
    <t>176-12</t>
  </si>
  <si>
    <t>163-12</t>
  </si>
  <si>
    <t>202-12</t>
  </si>
  <si>
    <t>142-12</t>
  </si>
  <si>
    <t>209-12</t>
  </si>
  <si>
    <t>141-12</t>
  </si>
  <si>
    <t>217-12</t>
  </si>
  <si>
    <t>133-12</t>
  </si>
  <si>
    <t>181-12</t>
  </si>
  <si>
    <t>118-12</t>
  </si>
  <si>
    <t>183-12</t>
  </si>
  <si>
    <t>205-12</t>
  </si>
  <si>
    <t>220-12</t>
  </si>
  <si>
    <t>227-12</t>
  </si>
  <si>
    <t>196-12</t>
  </si>
  <si>
    <t>233-12</t>
  </si>
  <si>
    <t>140-12</t>
  </si>
  <si>
    <t>241-12</t>
  </si>
  <si>
    <t>137-12</t>
  </si>
  <si>
    <t>238-12</t>
  </si>
  <si>
    <t>170-12</t>
  </si>
  <si>
    <t>SPEED RESTRICTION</t>
  </si>
  <si>
    <t>EQUIPMENT RESTRICTION</t>
  </si>
  <si>
    <t>Y</t>
  </si>
  <si>
    <t>204:233289</t>
  </si>
  <si>
    <t>204:232973</t>
  </si>
  <si>
    <t>204:233349</t>
  </si>
  <si>
    <t>204:233276</t>
  </si>
  <si>
    <t>204:232963</t>
  </si>
  <si>
    <t>204:438</t>
  </si>
  <si>
    <t>204:233298</t>
  </si>
  <si>
    <t>204:233332</t>
  </si>
  <si>
    <t>204:232970</t>
  </si>
  <si>
    <t>204:233401</t>
  </si>
  <si>
    <t>204:232969</t>
  </si>
  <si>
    <t>204:1488</t>
  </si>
  <si>
    <t>204:770</t>
  </si>
  <si>
    <t>204:19167</t>
  </si>
  <si>
    <t>204:232658</t>
  </si>
  <si>
    <t>204:232452</t>
  </si>
  <si>
    <t>204:232679</t>
  </si>
  <si>
    <t>204:231291</t>
  </si>
  <si>
    <t>204:765</t>
  </si>
  <si>
    <t>204:232683</t>
  </si>
  <si>
    <t>204:741</t>
  </si>
  <si>
    <t>204:1177</t>
  </si>
  <si>
    <t>204:165</t>
  </si>
  <si>
    <t>204:232957</t>
  </si>
  <si>
    <t>204:233264</t>
  </si>
  <si>
    <t>204:232979</t>
  </si>
  <si>
    <t>204:119</t>
  </si>
  <si>
    <t>204:233329</t>
  </si>
  <si>
    <t>204:497</t>
  </si>
  <si>
    <t>204:233268</t>
  </si>
  <si>
    <t>204:233030</t>
  </si>
  <si>
    <t>204:233355</t>
  </si>
  <si>
    <t>204:232923</t>
  </si>
  <si>
    <t>204:931</t>
  </si>
  <si>
    <t>204:125</t>
  </si>
  <si>
    <t>204:431</t>
  </si>
  <si>
    <t>204:233331</t>
  </si>
  <si>
    <t>204:86353</t>
  </si>
  <si>
    <t>204:130</t>
  </si>
  <si>
    <t>204:127854</t>
  </si>
  <si>
    <t>204:437</t>
  </si>
  <si>
    <t>204:128260</t>
  </si>
  <si>
    <t>204:1030</t>
  </si>
  <si>
    <t>204:127</t>
  </si>
  <si>
    <t>204:478</t>
  </si>
  <si>
    <t>204:233007</t>
  </si>
  <si>
    <t>204:198</t>
  </si>
  <si>
    <t>204:413</t>
  </si>
  <si>
    <t>204:233274</t>
  </si>
  <si>
    <t>204:129</t>
  </si>
  <si>
    <t>103-12</t>
  </si>
  <si>
    <t>206-12</t>
  </si>
  <si>
    <t>211-12</t>
  </si>
  <si>
    <t>212-12</t>
  </si>
  <si>
    <t>Never Part of a consist</t>
  </si>
  <si>
    <t>Routing at DUS</t>
  </si>
  <si>
    <t>Became active with Incorrect direction of travel.</t>
  </si>
  <si>
    <t>Create Ticket</t>
  </si>
  <si>
    <t>Never selected</t>
  </si>
  <si>
    <t>Unhealthy Xing</t>
  </si>
  <si>
    <t>Same as above</t>
  </si>
  <si>
    <t>TMC Entered Failed State</t>
  </si>
  <si>
    <t>Routing at 40th</t>
  </si>
  <si>
    <t>Unhealthy XING</t>
  </si>
  <si>
    <t>Overspeed in restricted Speed</t>
  </si>
  <si>
    <t xml:space="preserve">TMC Entered Failed State </t>
  </si>
  <si>
    <t>Loco 4026 was active for 2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</si>
</sst>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0"/>
  <sheetViews>
    <sheetView showGridLines="0" tabSelected="1" topLeftCell="A101" zoomScale="85" zoomScaleNormal="85" workbookViewId="0">
      <selection activeCell="M148" sqref="M148:O14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131.425781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117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189</v>
      </c>
      <c r="B3" s="61">
        <v>4014</v>
      </c>
      <c r="C3" s="61" t="s">
        <v>66</v>
      </c>
      <c r="D3" s="61" t="s">
        <v>359</v>
      </c>
      <c r="E3" s="30">
        <v>42502.13175925926</v>
      </c>
      <c r="F3" s="30">
        <v>42502.133055555554</v>
      </c>
      <c r="G3" s="38">
        <v>1</v>
      </c>
      <c r="H3" s="30" t="s">
        <v>146</v>
      </c>
      <c r="I3" s="30">
        <v>42502.16070601852</v>
      </c>
      <c r="J3" s="61">
        <v>0</v>
      </c>
      <c r="K3" s="61" t="str">
        <f t="shared" ref="K3:K34" si="0">IF(ISEVEN(B3),(B3-1)&amp;"/"&amp;B3,B3&amp;"/"&amp;(B3+1))</f>
        <v>4013/4014</v>
      </c>
      <c r="L3" s="61" t="str">
        <f>VLOOKUP(A3,'Trips&amp;Operators'!$C$1:$E$9999,3,FALSE)</f>
        <v>LEVIN</v>
      </c>
      <c r="M3" s="12">
        <f t="shared" ref="M3:M34" si="1">I3-F3</f>
        <v>2.7650462965539191E-2</v>
      </c>
      <c r="N3" s="13">
        <f>$M3*24*60</f>
        <v>39.816666670376435</v>
      </c>
      <c r="O3" s="13"/>
      <c r="P3" s="13"/>
      <c r="Q3" s="62"/>
      <c r="R3" s="52"/>
      <c r="T3" s="75" t="str">
        <f t="shared" ref="T3:T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https://search-rtdc-monitor-bjffxe2xuh6vdkpspy63sjmuny.us-east-1.es.amazonaws.com/_plugin/kibana/#/discover/Steve-Slow-Train-Analysis-(2080s-and-2083s)?_g=(refreshInterval:(display:Off,section:0,value:0),time:(from:'2016-05-12 03:08:44-0600',mode:absolute,to:'2016-05-12 03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" s="75" t="str">
        <f t="shared" ref="U3:U8" si="3">IF(Y3&lt;23,"Y","N")</f>
        <v>N</v>
      </c>
      <c r="V3" s="75" t="e">
        <f t="shared" ref="V3:V12" si="4">VALUE(LEFT(A3,3))-VALUE(LEFT(A2,3))</f>
        <v>#VALUE!</v>
      </c>
      <c r="W3" s="75">
        <f>RIGHT(D3,LEN(D3)-4)/10000</f>
        <v>7.4099999999999999E-2</v>
      </c>
      <c r="X3" s="75">
        <f>RIGHT(H3,LEN(H3)-4)/10000</f>
        <v>23.331900000000001</v>
      </c>
      <c r="Y3" s="75">
        <f>ABS(X3-W3)</f>
        <v>23.2578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183</v>
      </c>
      <c r="B4" s="61">
        <v>4026</v>
      </c>
      <c r="C4" s="61" t="s">
        <v>66</v>
      </c>
      <c r="D4" s="61" t="s">
        <v>358</v>
      </c>
      <c r="E4" s="30">
        <v>42502.165011574078</v>
      </c>
      <c r="F4" s="30">
        <v>42502.166122685187</v>
      </c>
      <c r="G4" s="38">
        <v>1</v>
      </c>
      <c r="H4" s="30" t="s">
        <v>92</v>
      </c>
      <c r="I4" s="30">
        <v>42502.200219907405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3.4097222218406387E-2</v>
      </c>
      <c r="N4" s="13">
        <f>$M4*24*60</f>
        <v>49.099999994505197</v>
      </c>
      <c r="O4" s="13"/>
      <c r="P4" s="13"/>
      <c r="Q4" s="62"/>
      <c r="R4" s="62"/>
      <c r="T4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03:56:37-0600',mode:absolute,to:'2016-05-12 04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5" t="str">
        <f t="shared" si="3"/>
        <v>N</v>
      </c>
      <c r="V4" s="75">
        <f t="shared" si="4"/>
        <v>1</v>
      </c>
      <c r="W4" s="75">
        <f t="shared" ref="W4:W66" si="5">RIGHT(D4,LEN(D4)-4)/10000</f>
        <v>23.2683</v>
      </c>
      <c r="X4" s="75">
        <f t="shared" ref="X4:X66" si="6">RIGHT(H4,LEN(H4)-4)/10000</f>
        <v>1.52E-2</v>
      </c>
      <c r="Y4" s="75">
        <f t="shared" ref="Y4:Y66" si="7">ABS(X4-W4)</f>
        <v>23.2531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186</v>
      </c>
      <c r="B5" s="61">
        <v>4017</v>
      </c>
      <c r="C5" s="61" t="s">
        <v>66</v>
      </c>
      <c r="D5" s="61" t="s">
        <v>355</v>
      </c>
      <c r="E5" s="30">
        <v>42502.189606481479</v>
      </c>
      <c r="F5" s="30">
        <v>42502.190520833334</v>
      </c>
      <c r="G5" s="38">
        <v>1</v>
      </c>
      <c r="H5" s="30" t="s">
        <v>111</v>
      </c>
      <c r="I5" s="30">
        <v>42502.221620370372</v>
      </c>
      <c r="J5" s="61">
        <v>0</v>
      </c>
      <c r="K5" s="61" t="str">
        <f t="shared" si="0"/>
        <v>4017/4018</v>
      </c>
      <c r="L5" s="61" t="str">
        <f>VLOOKUP(A5,'Trips&amp;Operators'!$C$1:$E$9999,3,FALSE)</f>
        <v>CUSHING</v>
      </c>
      <c r="M5" s="12">
        <f t="shared" si="1"/>
        <v>3.1099537038244307E-2</v>
      </c>
      <c r="N5" s="13">
        <f>$M5*24*60</f>
        <v>44.783333335071802</v>
      </c>
      <c r="O5" s="13"/>
      <c r="P5" s="13"/>
      <c r="Q5" s="62"/>
      <c r="R5" s="62"/>
      <c r="T5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04:32:02-0600',mode:absolute,to:'2016-05-12 05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" s="75" t="str">
        <f t="shared" si="3"/>
        <v>N</v>
      </c>
      <c r="V5" s="75">
        <f t="shared" si="4"/>
        <v>2</v>
      </c>
      <c r="W5" s="75">
        <f t="shared" si="5"/>
        <v>23.267900000000001</v>
      </c>
      <c r="X5" s="75">
        <f t="shared" si="6"/>
        <v>1.41E-2</v>
      </c>
      <c r="Y5" s="75">
        <f t="shared" si="7"/>
        <v>23.253800000000002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190</v>
      </c>
      <c r="B6" s="61">
        <v>4020</v>
      </c>
      <c r="C6" s="61" t="s">
        <v>66</v>
      </c>
      <c r="D6" s="61" t="s">
        <v>357</v>
      </c>
      <c r="E6" s="30">
        <v>42502.170694444445</v>
      </c>
      <c r="F6" s="30">
        <v>42502.1719212963</v>
      </c>
      <c r="G6" s="38">
        <v>1</v>
      </c>
      <c r="H6" s="30" t="s">
        <v>175</v>
      </c>
      <c r="I6" s="30">
        <v>42502.202372685184</v>
      </c>
      <c r="J6" s="61">
        <v>0</v>
      </c>
      <c r="K6" s="61" t="str">
        <f t="shared" si="0"/>
        <v>4019/4020</v>
      </c>
      <c r="L6" s="61" t="str">
        <f>VLOOKUP(A6,'Trips&amp;Operators'!$C$1:$E$9999,3,FALSE)</f>
        <v>NEWELL</v>
      </c>
      <c r="M6" s="12">
        <f t="shared" si="1"/>
        <v>3.0451388884102926E-2</v>
      </c>
      <c r="N6" s="13">
        <f>$M6*24*60</f>
        <v>43.849999993108213</v>
      </c>
      <c r="O6" s="13"/>
      <c r="P6" s="13"/>
      <c r="Q6" s="62"/>
      <c r="R6" s="62"/>
      <c r="T6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04:04:48-0600',mode:absolute,to:'2016-05-12 04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" s="75" t="str">
        <f t="shared" si="3"/>
        <v>N</v>
      </c>
      <c r="V6" s="75">
        <f t="shared" si="4"/>
        <v>1</v>
      </c>
      <c r="W6" s="75">
        <f t="shared" si="5"/>
        <v>7.6499999999999999E-2</v>
      </c>
      <c r="X6" s="75">
        <f t="shared" si="6"/>
        <v>23.3307</v>
      </c>
      <c r="Y6" s="75">
        <f t="shared" si="7"/>
        <v>23.254200000000001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232</v>
      </c>
      <c r="B7" s="61">
        <v>4028</v>
      </c>
      <c r="C7" s="61" t="s">
        <v>66</v>
      </c>
      <c r="D7" s="61" t="s">
        <v>353</v>
      </c>
      <c r="E7" s="30">
        <v>42502.209710648145</v>
      </c>
      <c r="F7" s="30">
        <v>42502.2109837963</v>
      </c>
      <c r="G7" s="38">
        <v>1</v>
      </c>
      <c r="H7" s="30" t="s">
        <v>354</v>
      </c>
      <c r="I7" s="30">
        <v>42502.216412037036</v>
      </c>
      <c r="J7" s="61">
        <v>1</v>
      </c>
      <c r="K7" s="61" t="str">
        <f t="shared" si="0"/>
        <v>4027/4028</v>
      </c>
      <c r="L7" s="61" t="str">
        <f>VLOOKUP(A7,'Trips&amp;Operators'!$C$1:$E$9999,3,FALSE)</f>
        <v>NEWELL</v>
      </c>
      <c r="M7" s="12">
        <f t="shared" si="1"/>
        <v>5.428240736364387E-3</v>
      </c>
      <c r="N7" s="13"/>
      <c r="O7" s="13"/>
      <c r="P7" s="13">
        <f>$M7*24*60</f>
        <v>7.8166666603647172</v>
      </c>
      <c r="Q7" s="62" t="s">
        <v>159</v>
      </c>
      <c r="R7" s="62" t="s">
        <v>395</v>
      </c>
      <c r="T7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05:00:59-0600',mode:absolute,to:'2016-05-12 05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" s="75" t="str">
        <f t="shared" si="3"/>
        <v>Y</v>
      </c>
      <c r="V7" s="75">
        <f t="shared" si="4"/>
        <v>1</v>
      </c>
      <c r="W7" s="75">
        <v>23.265799999999999</v>
      </c>
      <c r="X7" s="75">
        <v>23.245200000000001</v>
      </c>
      <c r="Y7" s="75">
        <f t="shared" si="7"/>
        <v>2.0599999999998175E-2</v>
      </c>
      <c r="Z7" s="76">
        <f>VLOOKUP(A7,Enforcements!$C$3:$J$26,8,0)</f>
        <v>233491</v>
      </c>
      <c r="AA7" s="76" t="str">
        <f>VLOOKUP(A7,Enforcements!$C$3:$J$26,3,0)</f>
        <v>TRACK WARRANT AUTHORITY</v>
      </c>
    </row>
    <row r="8" spans="1:89" s="2" customFormat="1" x14ac:dyDescent="0.25">
      <c r="A8" s="61" t="s">
        <v>181</v>
      </c>
      <c r="B8" s="61">
        <v>4007</v>
      </c>
      <c r="C8" s="61" t="s">
        <v>66</v>
      </c>
      <c r="D8" s="61" t="s">
        <v>84</v>
      </c>
      <c r="E8" s="30">
        <v>42502.184502314813</v>
      </c>
      <c r="F8" s="30">
        <v>42502.185486111113</v>
      </c>
      <c r="G8" s="38">
        <v>1</v>
      </c>
      <c r="H8" s="30" t="s">
        <v>356</v>
      </c>
      <c r="I8" s="30">
        <v>42502.212152777778</v>
      </c>
      <c r="J8" s="61">
        <v>0</v>
      </c>
      <c r="K8" s="61" t="str">
        <f t="shared" si="0"/>
        <v>4007/4008</v>
      </c>
      <c r="L8" s="61" t="str">
        <f>VLOOKUP(A8,'Trips&amp;Operators'!$C$1:$E$9999,3,FALSE)</f>
        <v>YORK</v>
      </c>
      <c r="M8" s="12">
        <f t="shared" si="1"/>
        <v>2.6666666664823424E-2</v>
      </c>
      <c r="N8" s="13">
        <f>$M8*24*60</f>
        <v>38.399999997345731</v>
      </c>
      <c r="O8" s="13"/>
      <c r="P8" s="13"/>
      <c r="Q8" s="62"/>
      <c r="R8" s="62"/>
      <c r="T8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04:24:41-0600',mode:absolute,to:'2016-05-12 05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" s="75" t="str">
        <f t="shared" si="3"/>
        <v>N</v>
      </c>
      <c r="V8" s="75">
        <f t="shared" si="4"/>
        <v>1</v>
      </c>
      <c r="W8" s="75">
        <f t="shared" si="5"/>
        <v>4.7100000000000003E-2</v>
      </c>
      <c r="X8" s="75">
        <f t="shared" si="6"/>
        <v>23.129100000000001</v>
      </c>
      <c r="Y8" s="75">
        <f t="shared" si="7"/>
        <v>23.082000000000001</v>
      </c>
      <c r="Z8" s="76">
        <f>VLOOKUP(A8,Enforcements!$C$3:$J$26,8,0)</f>
        <v>233491</v>
      </c>
      <c r="AA8" s="76" t="str">
        <f>VLOOKUP(A8,Enforcements!$C$3:$J$26,3,0)</f>
        <v>TRACK WARRANT AUTHORITY</v>
      </c>
    </row>
    <row r="9" spans="1:89" s="2" customFormat="1" x14ac:dyDescent="0.25">
      <c r="A9" s="61" t="s">
        <v>228</v>
      </c>
      <c r="B9" s="61">
        <v>4008</v>
      </c>
      <c r="C9" s="61" t="s">
        <v>66</v>
      </c>
      <c r="D9" s="61" t="s">
        <v>96</v>
      </c>
      <c r="E9" s="30">
        <v>42502.225254629629</v>
      </c>
      <c r="F9" s="30">
        <v>42502.226388888892</v>
      </c>
      <c r="G9" s="38">
        <v>1</v>
      </c>
      <c r="H9" s="30" t="s">
        <v>112</v>
      </c>
      <c r="I9" s="30">
        <v>42502.25371527778</v>
      </c>
      <c r="J9" s="61">
        <v>0</v>
      </c>
      <c r="K9" s="61" t="str">
        <f t="shared" si="0"/>
        <v>4007/4008</v>
      </c>
      <c r="L9" s="61" t="str">
        <f>VLOOKUP(A9,'Trips&amp;Operators'!$C$1:$E$9999,3,FALSE)</f>
        <v>YORK</v>
      </c>
      <c r="M9" s="12">
        <f t="shared" si="1"/>
        <v>2.73263888884685E-2</v>
      </c>
      <c r="N9" s="13">
        <f>$M9*24*60</f>
        <v>39.34999999939464</v>
      </c>
      <c r="O9" s="13"/>
      <c r="P9" s="13"/>
      <c r="Q9" s="62"/>
      <c r="R9" s="62"/>
      <c r="T9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05:23:22-0600',mode:absolute,to:'2016-05-12 06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" s="75" t="str">
        <f t="shared" ref="U9:U11" si="8">IF(Y9&lt;23,"Y","N")</f>
        <v>N</v>
      </c>
      <c r="V9" s="75">
        <f t="shared" si="4"/>
        <v>1</v>
      </c>
      <c r="W9" s="75">
        <f t="shared" si="5"/>
        <v>23.299399999999999</v>
      </c>
      <c r="X9" s="75">
        <f t="shared" si="6"/>
        <v>1.4999999999999999E-2</v>
      </c>
      <c r="Y9" s="75">
        <f t="shared" si="7"/>
        <v>23.284399999999998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185</v>
      </c>
      <c r="B10" s="61">
        <v>4009</v>
      </c>
      <c r="C10" s="61" t="s">
        <v>66</v>
      </c>
      <c r="D10" s="61" t="s">
        <v>76</v>
      </c>
      <c r="E10" s="30">
        <v>42502.187835648147</v>
      </c>
      <c r="F10" s="30">
        <v>42502.189201388886</v>
      </c>
      <c r="G10" s="38">
        <v>1</v>
      </c>
      <c r="H10" s="30" t="s">
        <v>115</v>
      </c>
      <c r="I10" s="30">
        <v>42502.22314814815</v>
      </c>
      <c r="J10" s="61">
        <v>0</v>
      </c>
      <c r="K10" s="61" t="str">
        <f t="shared" si="0"/>
        <v>4009/4010</v>
      </c>
      <c r="L10" s="61" t="str">
        <f>VLOOKUP(A10,'Trips&amp;Operators'!$C$1:$E$9999,3,FALSE)</f>
        <v>CANFIELD</v>
      </c>
      <c r="M10" s="12">
        <f t="shared" si="1"/>
        <v>3.3946759263926651E-2</v>
      </c>
      <c r="N10" s="13">
        <f>$M10*24*60</f>
        <v>48.883333340054378</v>
      </c>
      <c r="O10" s="13"/>
      <c r="P10" s="13"/>
      <c r="Q10" s="62"/>
      <c r="R10" s="62"/>
      <c r="T10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04:29:29-0600',mode:absolute,to:'2016-05-12 05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" s="75" t="str">
        <f t="shared" si="8"/>
        <v>N</v>
      </c>
      <c r="V10" s="75">
        <f t="shared" si="4"/>
        <v>1</v>
      </c>
      <c r="W10" s="75">
        <f t="shared" si="5"/>
        <v>4.5699999999999998E-2</v>
      </c>
      <c r="X10" s="75">
        <f t="shared" si="6"/>
        <v>23.3291</v>
      </c>
      <c r="Y10" s="75">
        <f t="shared" si="7"/>
        <v>23.2834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230</v>
      </c>
      <c r="B11" s="61">
        <v>4010</v>
      </c>
      <c r="C11" s="61" t="s">
        <v>66</v>
      </c>
      <c r="D11" s="61" t="s">
        <v>151</v>
      </c>
      <c r="E11" s="30">
        <v>42502.227858796294</v>
      </c>
      <c r="F11" s="30">
        <v>42502.228807870371</v>
      </c>
      <c r="G11" s="38">
        <v>1</v>
      </c>
      <c r="H11" s="30" t="s">
        <v>121</v>
      </c>
      <c r="I11" s="30">
        <v>42502.262997685182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CANFIELD</v>
      </c>
      <c r="M11" s="12">
        <f t="shared" si="1"/>
        <v>3.4189814810815733E-2</v>
      </c>
      <c r="N11" s="13">
        <f>$M11*24*60</f>
        <v>49.233333327574655</v>
      </c>
      <c r="O11" s="13"/>
      <c r="P11" s="13"/>
      <c r="Q11" s="62"/>
      <c r="R11" s="62"/>
      <c r="T11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05:27:07-0600',mode:absolute,to:'2016-05-12 06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" s="75" t="str">
        <f t="shared" si="8"/>
        <v>N</v>
      </c>
      <c r="V11" s="75">
        <f t="shared" si="4"/>
        <v>1</v>
      </c>
      <c r="W11" s="75">
        <f t="shared" si="5"/>
        <v>23.298400000000001</v>
      </c>
      <c r="X11" s="75">
        <f t="shared" si="6"/>
        <v>1.47E-2</v>
      </c>
      <c r="Y11" s="75">
        <f t="shared" si="7"/>
        <v>23.2837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291</v>
      </c>
      <c r="B12" s="61">
        <v>4014</v>
      </c>
      <c r="C12" s="61" t="s">
        <v>66</v>
      </c>
      <c r="D12" s="61" t="s">
        <v>352</v>
      </c>
      <c r="E12" s="30">
        <v>42502.212916666664</v>
      </c>
      <c r="F12" s="30">
        <v>42502.206296296295</v>
      </c>
      <c r="G12" s="38">
        <v>0</v>
      </c>
      <c r="H12" s="30" t="s">
        <v>67</v>
      </c>
      <c r="I12" s="30">
        <v>42502.235486111109</v>
      </c>
      <c r="J12" s="61">
        <v>0</v>
      </c>
      <c r="K12" s="61" t="str">
        <f t="shared" si="0"/>
        <v>4013/4014</v>
      </c>
      <c r="L12" s="61" t="str">
        <f>VLOOKUP(A12,'Trips&amp;Operators'!$C$1:$E$9999,3,FALSE)</f>
        <v>CHANDLER</v>
      </c>
      <c r="M12" s="12">
        <f t="shared" si="1"/>
        <v>2.9189814813435078E-2</v>
      </c>
      <c r="N12" s="13"/>
      <c r="O12" s="13"/>
      <c r="P12" s="13">
        <v>42</v>
      </c>
      <c r="Q12" s="62" t="s">
        <v>159</v>
      </c>
      <c r="R12" s="62" t="s">
        <v>394</v>
      </c>
      <c r="T12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05:05:36-0600',mode:absolute,to:'2016-05-12 05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" s="75" t="str">
        <f t="shared" ref="U12:U22" si="9">IF(Y12&lt;23,"Y","N")</f>
        <v>N</v>
      </c>
      <c r="V12" s="75">
        <f t="shared" si="4"/>
        <v>1</v>
      </c>
      <c r="W12" s="75">
        <v>7.5499999999999998E-2</v>
      </c>
      <c r="X12" s="75">
        <f t="shared" si="6"/>
        <v>23.329699999999999</v>
      </c>
      <c r="Y12" s="75">
        <f t="shared" si="7"/>
        <v>23.254199999999997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266</v>
      </c>
      <c r="B13" s="61">
        <v>4013</v>
      </c>
      <c r="C13" s="61" t="s">
        <v>66</v>
      </c>
      <c r="D13" s="61" t="s">
        <v>177</v>
      </c>
      <c r="E13" s="30">
        <v>42502.242685185185</v>
      </c>
      <c r="F13" s="30">
        <v>42502.243969907409</v>
      </c>
      <c r="G13" s="38">
        <v>1</v>
      </c>
      <c r="H13" s="30" t="s">
        <v>83</v>
      </c>
      <c r="I13" s="30">
        <v>42502.272662037038</v>
      </c>
      <c r="J13" s="61">
        <v>1</v>
      </c>
      <c r="K13" s="61" t="str">
        <f t="shared" si="0"/>
        <v>4013/4014</v>
      </c>
      <c r="L13" s="61" t="str">
        <f>VLOOKUP(A13,'Trips&amp;Operators'!$C$1:$E$9999,3,FALSE)</f>
        <v>CHANDLER</v>
      </c>
      <c r="M13" s="12">
        <f t="shared" si="1"/>
        <v>2.8692129628325347E-2</v>
      </c>
      <c r="N13" s="13">
        <f t="shared" ref="N13:N15" si="10">$M13*24*60</f>
        <v>41.316666664788499</v>
      </c>
      <c r="O13" s="13"/>
      <c r="P13" s="13"/>
      <c r="Q13" s="62"/>
      <c r="R13" s="62"/>
      <c r="T13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05:48:28-0600',mode:absolute,to:'2016-05-12 06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" s="75" t="str">
        <f t="shared" si="9"/>
        <v>N</v>
      </c>
      <c r="V13" s="75">
        <f t="shared" ref="V13:V14" si="11">VALUE(LEFT(A13,3))-VALUE(LEFT(A12,3))</f>
        <v>1</v>
      </c>
      <c r="W13" s="75">
        <f t="shared" si="5"/>
        <v>23.298300000000001</v>
      </c>
      <c r="X13" s="75">
        <f t="shared" si="6"/>
        <v>1.3599999999999999E-2</v>
      </c>
      <c r="Y13" s="75">
        <f t="shared" si="7"/>
        <v>23.284700000000001</v>
      </c>
      <c r="Z13" s="76">
        <f>VLOOKUP(A13,Enforcements!$C$3:$J$26,8,0)</f>
        <v>1</v>
      </c>
      <c r="AA13" s="76" t="str">
        <f>VLOOKUP(A13,Enforcements!$C$3:$J$26,3,0)</f>
        <v>TRACK WARRANT AUTHORITY</v>
      </c>
    </row>
    <row r="14" spans="1:89" s="2" customFormat="1" x14ac:dyDescent="0.25">
      <c r="A14" s="61" t="s">
        <v>252</v>
      </c>
      <c r="B14" s="61">
        <v>4025</v>
      </c>
      <c r="C14" s="61" t="s">
        <v>66</v>
      </c>
      <c r="D14" s="61" t="s">
        <v>86</v>
      </c>
      <c r="E14" s="30">
        <v>42502.209513888891</v>
      </c>
      <c r="F14" s="30">
        <v>42502.211562500001</v>
      </c>
      <c r="G14" s="38">
        <v>2</v>
      </c>
      <c r="H14" s="30" t="s">
        <v>162</v>
      </c>
      <c r="I14" s="30">
        <v>42502.243773148148</v>
      </c>
      <c r="J14" s="61">
        <v>0</v>
      </c>
      <c r="K14" s="61" t="str">
        <f t="shared" si="0"/>
        <v>4025/4026</v>
      </c>
      <c r="L14" s="61" t="str">
        <f>VLOOKUP(A14,'Trips&amp;Operators'!$C$1:$E$9999,3,FALSE)</f>
        <v>LEVIN</v>
      </c>
      <c r="M14" s="12">
        <f t="shared" si="1"/>
        <v>3.2210648147156462E-2</v>
      </c>
      <c r="N14" s="13">
        <f t="shared" si="10"/>
        <v>46.383333331905305</v>
      </c>
      <c r="O14" s="13"/>
      <c r="P14" s="13"/>
      <c r="Q14" s="62"/>
      <c r="R14" s="62"/>
      <c r="T14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05:00:42-0600',mode:absolute,to:'2016-05-12 05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" s="75" t="str">
        <f t="shared" si="9"/>
        <v>N</v>
      </c>
      <c r="V14" s="75">
        <f t="shared" si="11"/>
        <v>1</v>
      </c>
      <c r="W14" s="75">
        <f t="shared" si="5"/>
        <v>4.5499999999999999E-2</v>
      </c>
      <c r="X14" s="75">
        <f t="shared" si="6"/>
        <v>23.3322</v>
      </c>
      <c r="Y14" s="75">
        <f t="shared" si="7"/>
        <v>23.2867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294</v>
      </c>
      <c r="B15" s="61">
        <v>4026</v>
      </c>
      <c r="C15" s="61" t="s">
        <v>66</v>
      </c>
      <c r="D15" s="61" t="s">
        <v>116</v>
      </c>
      <c r="E15" s="30">
        <v>42502.249560185184</v>
      </c>
      <c r="F15" s="30">
        <v>42502.250659722224</v>
      </c>
      <c r="G15" s="38">
        <v>1</v>
      </c>
      <c r="H15" s="30" t="s">
        <v>71</v>
      </c>
      <c r="I15" s="30">
        <v>42502.28328703704</v>
      </c>
      <c r="J15" s="61">
        <v>1</v>
      </c>
      <c r="K15" s="61" t="str">
        <f t="shared" si="0"/>
        <v>4025/4026</v>
      </c>
      <c r="L15" s="61" t="str">
        <f>VLOOKUP(A15,'Trips&amp;Operators'!$C$1:$E$9999,3,FALSE)</f>
        <v>LEVIN</v>
      </c>
      <c r="M15" s="12">
        <f t="shared" si="1"/>
        <v>3.2627314816636499E-2</v>
      </c>
      <c r="N15" s="13">
        <f t="shared" si="10"/>
        <v>46.983333335956559</v>
      </c>
      <c r="O15" s="13"/>
      <c r="P15" s="13"/>
      <c r="Q15" s="62"/>
      <c r="R15" s="62"/>
      <c r="T15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05:58:22-0600',mode:absolute,to:'2016-05-12 06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5" s="75" t="str">
        <f t="shared" si="9"/>
        <v>N</v>
      </c>
      <c r="V15" s="75">
        <f t="shared" ref="V15:V46" si="12">VALUE(LEFT(A15,3))-VALUE(LEFT(A14,3))</f>
        <v>1</v>
      </c>
      <c r="W15" s="75">
        <f t="shared" si="5"/>
        <v>23.298999999999999</v>
      </c>
      <c r="X15" s="75">
        <f t="shared" si="6"/>
        <v>1.5599999999999999E-2</v>
      </c>
      <c r="Y15" s="75">
        <f t="shared" si="7"/>
        <v>23.2834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274</v>
      </c>
      <c r="B16" s="61">
        <v>4040</v>
      </c>
      <c r="C16" s="61" t="s">
        <v>66</v>
      </c>
      <c r="D16" s="61" t="s">
        <v>351</v>
      </c>
      <c r="E16" s="30">
        <v>42502.223101851851</v>
      </c>
      <c r="F16" s="30">
        <v>42502.226736111108</v>
      </c>
      <c r="G16" s="38">
        <v>5</v>
      </c>
      <c r="H16" s="30" t="s">
        <v>85</v>
      </c>
      <c r="I16" s="30">
        <v>42502.253969907404</v>
      </c>
      <c r="J16" s="61">
        <v>1</v>
      </c>
      <c r="K16" s="61" t="str">
        <f t="shared" si="0"/>
        <v>4039/4040</v>
      </c>
      <c r="L16" s="61" t="str">
        <f>VLOOKUP(A16,'Trips&amp;Operators'!$C$1:$E$9999,3,FALSE)</f>
        <v>MALAVE</v>
      </c>
      <c r="M16" s="12">
        <f t="shared" si="1"/>
        <v>2.7233796296059154E-2</v>
      </c>
      <c r="N16" s="13">
        <f t="shared" ref="N16:N47" si="13">$M16*24*60</f>
        <v>39.216666666325182</v>
      </c>
      <c r="O16" s="13"/>
      <c r="P16" s="13"/>
      <c r="Q16" s="62"/>
      <c r="R16" s="62"/>
      <c r="T16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05:20:16-0600',mode:absolute,to:'2016-05-12 06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6" s="75" t="str">
        <f t="shared" si="9"/>
        <v>N</v>
      </c>
      <c r="V16" s="75">
        <f t="shared" si="12"/>
        <v>1</v>
      </c>
      <c r="W16" s="75">
        <f t="shared" si="5"/>
        <v>7.6999999999999999E-2</v>
      </c>
      <c r="X16" s="75">
        <f t="shared" si="6"/>
        <v>23.3308</v>
      </c>
      <c r="Y16" s="75">
        <f t="shared" si="7"/>
        <v>23.253799999999998</v>
      </c>
      <c r="Z16" s="76">
        <f>VLOOKUP(A16,Enforcements!$C$3:$J$26,8,0)</f>
        <v>233491</v>
      </c>
      <c r="AA16" s="76" t="str">
        <f>VLOOKUP(A16,Enforcements!$C$3:$J$26,3,0)</f>
        <v>TRACK WARRANT AUTHORITY</v>
      </c>
    </row>
    <row r="17" spans="1:27" s="2" customFormat="1" x14ac:dyDescent="0.25">
      <c r="A17" s="61" t="s">
        <v>224</v>
      </c>
      <c r="B17" s="61">
        <v>4039</v>
      </c>
      <c r="C17" s="61" t="s">
        <v>66</v>
      </c>
      <c r="D17" s="61" t="s">
        <v>99</v>
      </c>
      <c r="E17" s="30">
        <v>42502.265787037039</v>
      </c>
      <c r="F17" s="30">
        <v>42502.266898148147</v>
      </c>
      <c r="G17" s="38">
        <v>1</v>
      </c>
      <c r="H17" s="30" t="s">
        <v>71</v>
      </c>
      <c r="I17" s="30">
        <v>42502.293668981481</v>
      </c>
      <c r="J17" s="61">
        <v>0</v>
      </c>
      <c r="K17" s="61" t="str">
        <f t="shared" si="0"/>
        <v>4039/4040</v>
      </c>
      <c r="L17" s="61" t="str">
        <f>VLOOKUP(A17,'Trips&amp;Operators'!$C$1:$E$9999,3,FALSE)</f>
        <v>MALAVE</v>
      </c>
      <c r="M17" s="12">
        <f t="shared" si="1"/>
        <v>2.6770833334012423E-2</v>
      </c>
      <c r="N17" s="13">
        <f t="shared" si="13"/>
        <v>38.550000000977889</v>
      </c>
      <c r="O17" s="13"/>
      <c r="P17" s="13"/>
      <c r="Q17" s="62"/>
      <c r="R17" s="62"/>
      <c r="T17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06:21:44-0600',mode:absolute,to:'2016-05-12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7" s="75" t="str">
        <f t="shared" si="9"/>
        <v>N</v>
      </c>
      <c r="V17" s="75">
        <f t="shared" si="12"/>
        <v>1</v>
      </c>
      <c r="W17" s="75">
        <f t="shared" si="5"/>
        <v>23.299299999999999</v>
      </c>
      <c r="X17" s="75">
        <f t="shared" si="6"/>
        <v>1.5599999999999999E-2</v>
      </c>
      <c r="Y17" s="75">
        <f t="shared" si="7"/>
        <v>23.2837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276</v>
      </c>
      <c r="B18" s="61">
        <v>4018</v>
      </c>
      <c r="C18" s="61" t="s">
        <v>66</v>
      </c>
      <c r="D18" s="61" t="s">
        <v>167</v>
      </c>
      <c r="E18" s="30">
        <v>42502.232453703706</v>
      </c>
      <c r="F18" s="30">
        <v>42502.233530092592</v>
      </c>
      <c r="G18" s="38">
        <v>1</v>
      </c>
      <c r="H18" s="30" t="s">
        <v>175</v>
      </c>
      <c r="I18" s="30">
        <v>42502.264861111114</v>
      </c>
      <c r="J18" s="61">
        <v>1</v>
      </c>
      <c r="K18" s="61" t="str">
        <f t="shared" si="0"/>
        <v>4017/4018</v>
      </c>
      <c r="L18" s="61" t="str">
        <f>VLOOKUP(A18,'Trips&amp;Operators'!$C$1:$E$9999,3,FALSE)</f>
        <v>CUSHING</v>
      </c>
      <c r="M18" s="12">
        <f t="shared" si="1"/>
        <v>3.1331018522905651E-2</v>
      </c>
      <c r="N18" s="13">
        <f t="shared" si="13"/>
        <v>45.116666672984138</v>
      </c>
      <c r="O18" s="13"/>
      <c r="P18" s="13"/>
      <c r="Q18" s="62"/>
      <c r="R18" s="62"/>
      <c r="T18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05:33:44-0600',mode:absolute,to:'2016-05-12 06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8" s="75" t="str">
        <f t="shared" si="9"/>
        <v>N</v>
      </c>
      <c r="V18" s="75">
        <f t="shared" si="12"/>
        <v>1</v>
      </c>
      <c r="W18" s="75">
        <f t="shared" si="5"/>
        <v>4.7699999999999999E-2</v>
      </c>
      <c r="X18" s="75">
        <f t="shared" si="6"/>
        <v>23.3307</v>
      </c>
      <c r="Y18" s="75">
        <f t="shared" si="7"/>
        <v>23.283000000000001</v>
      </c>
      <c r="Z18" s="76">
        <f>VLOOKUP(A18,Enforcements!$C$3:$J$26,8,0)</f>
        <v>233491</v>
      </c>
      <c r="AA18" s="76" t="str">
        <f>VLOOKUP(A18,Enforcements!$C$3:$J$26,3,0)</f>
        <v>TRACK WARRANT AUTHORITY</v>
      </c>
    </row>
    <row r="19" spans="1:27" s="2" customFormat="1" x14ac:dyDescent="0.25">
      <c r="A19" s="61" t="s">
        <v>324</v>
      </c>
      <c r="B19" s="61">
        <v>4017</v>
      </c>
      <c r="C19" s="61" t="s">
        <v>66</v>
      </c>
      <c r="D19" s="61" t="s">
        <v>128</v>
      </c>
      <c r="E19" s="30">
        <v>42502.271886574075</v>
      </c>
      <c r="F19" s="30">
        <v>42502.272604166668</v>
      </c>
      <c r="G19" s="38">
        <v>1</v>
      </c>
      <c r="H19" s="30" t="s">
        <v>78</v>
      </c>
      <c r="I19" s="30">
        <v>42502.305081018516</v>
      </c>
      <c r="J19" s="61">
        <v>0</v>
      </c>
      <c r="K19" s="61" t="str">
        <f t="shared" si="0"/>
        <v>4017/4018</v>
      </c>
      <c r="L19" s="61" t="str">
        <f>VLOOKUP(A19,'Trips&amp;Operators'!$C$1:$E$9999,3,FALSE)</f>
        <v>CUSHING</v>
      </c>
      <c r="M19" s="12">
        <f t="shared" si="1"/>
        <v>3.2476851847604848E-2</v>
      </c>
      <c r="N19" s="13">
        <f t="shared" si="13"/>
        <v>46.766666660550982</v>
      </c>
      <c r="O19" s="13"/>
      <c r="P19" s="13"/>
      <c r="Q19" s="62"/>
      <c r="R19" s="62"/>
      <c r="T19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06:30:31-0600',mode:absolute,to:'2016-05-12 07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9" s="75" t="str">
        <f t="shared" si="9"/>
        <v>N</v>
      </c>
      <c r="V19" s="75">
        <f t="shared" si="12"/>
        <v>1</v>
      </c>
      <c r="W19" s="75">
        <f t="shared" si="5"/>
        <v>23.298200000000001</v>
      </c>
      <c r="X19" s="75">
        <f t="shared" si="6"/>
        <v>1.54E-2</v>
      </c>
      <c r="Y19" s="75">
        <f t="shared" si="7"/>
        <v>23.282800000000002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251</v>
      </c>
      <c r="B20" s="61">
        <v>4020</v>
      </c>
      <c r="C20" s="61" t="s">
        <v>66</v>
      </c>
      <c r="D20" s="61" t="s">
        <v>350</v>
      </c>
      <c r="E20" s="30">
        <v>42502.24622685185</v>
      </c>
      <c r="F20" s="30">
        <v>42502.247939814813</v>
      </c>
      <c r="G20" s="38">
        <v>2</v>
      </c>
      <c r="H20" s="30" t="s">
        <v>123</v>
      </c>
      <c r="I20" s="30">
        <v>42502.275439814817</v>
      </c>
      <c r="J20" s="61">
        <v>0</v>
      </c>
      <c r="K20" s="61" t="str">
        <f t="shared" si="0"/>
        <v>4019/4020</v>
      </c>
      <c r="L20" s="61" t="str">
        <f>VLOOKUP(A20,'Trips&amp;Operators'!$C$1:$E$9999,3,FALSE)</f>
        <v>NEWELL</v>
      </c>
      <c r="M20" s="12">
        <f t="shared" si="1"/>
        <v>2.7500000003783498E-2</v>
      </c>
      <c r="N20" s="13">
        <f t="shared" si="13"/>
        <v>39.600000005448237</v>
      </c>
      <c r="O20" s="13"/>
      <c r="P20" s="13"/>
      <c r="Q20" s="62"/>
      <c r="R20" s="62"/>
      <c r="T20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05:53:34-0600',mode:absolute,to:'2016-05-12 06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0" s="75" t="str">
        <f t="shared" si="9"/>
        <v>N</v>
      </c>
      <c r="V20" s="75">
        <f t="shared" si="12"/>
        <v>1</v>
      </c>
      <c r="W20" s="75">
        <f t="shared" si="5"/>
        <v>0.14879999999999999</v>
      </c>
      <c r="X20" s="75">
        <f t="shared" si="6"/>
        <v>23.331700000000001</v>
      </c>
      <c r="Y20" s="75">
        <f t="shared" si="7"/>
        <v>23.1829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255</v>
      </c>
      <c r="B21" s="61">
        <v>4019</v>
      </c>
      <c r="C21" s="61" t="s">
        <v>66</v>
      </c>
      <c r="D21" s="61" t="s">
        <v>90</v>
      </c>
      <c r="E21" s="30">
        <v>42502.281643518516</v>
      </c>
      <c r="F21" s="30">
        <v>42502.283113425925</v>
      </c>
      <c r="G21" s="38">
        <v>2</v>
      </c>
      <c r="H21" s="30" t="s">
        <v>81</v>
      </c>
      <c r="I21" s="30">
        <v>42502.315289351849</v>
      </c>
      <c r="J21" s="61">
        <v>1</v>
      </c>
      <c r="K21" s="61" t="str">
        <f t="shared" si="0"/>
        <v>4019/4020</v>
      </c>
      <c r="L21" s="61" t="str">
        <f>VLOOKUP(A21,'Trips&amp;Operators'!$C$1:$E$9999,3,FALSE)</f>
        <v>NEWELL</v>
      </c>
      <c r="M21" s="12">
        <f t="shared" si="1"/>
        <v>3.2175925924093463E-2</v>
      </c>
      <c r="N21" s="13">
        <f t="shared" si="13"/>
        <v>46.333333330694586</v>
      </c>
      <c r="O21" s="13"/>
      <c r="P21" s="13"/>
      <c r="Q21" s="62"/>
      <c r="R21" s="62"/>
      <c r="T21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06:44:34-0600',mode:absolute,to:'2016-05-12 07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1" s="75" t="str">
        <f t="shared" si="9"/>
        <v>N</v>
      </c>
      <c r="V21" s="75">
        <f t="shared" si="12"/>
        <v>1</v>
      </c>
      <c r="W21" s="75">
        <f t="shared" si="5"/>
        <v>23.299800000000001</v>
      </c>
      <c r="X21" s="75">
        <f t="shared" si="6"/>
        <v>1.4500000000000001E-2</v>
      </c>
      <c r="Y21" s="75">
        <f t="shared" si="7"/>
        <v>23.285299999999999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296</v>
      </c>
      <c r="B22" s="61">
        <v>4007</v>
      </c>
      <c r="C22" s="61" t="s">
        <v>66</v>
      </c>
      <c r="D22" s="61" t="s">
        <v>161</v>
      </c>
      <c r="E22" s="30">
        <v>42502.257280092592</v>
      </c>
      <c r="F22" s="30">
        <v>42502.258159722223</v>
      </c>
      <c r="G22" s="38">
        <v>1</v>
      </c>
      <c r="H22" s="30" t="s">
        <v>153</v>
      </c>
      <c r="I22" s="30">
        <v>42502.285613425927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YORK</v>
      </c>
      <c r="M22" s="12">
        <f t="shared" si="1"/>
        <v>2.7453703703940846E-2</v>
      </c>
      <c r="N22" s="13">
        <f t="shared" si="13"/>
        <v>39.533333333674818</v>
      </c>
      <c r="O22" s="13"/>
      <c r="P22" s="13"/>
      <c r="Q22" s="62"/>
      <c r="R22" s="62"/>
      <c r="T22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06:09:29-0600',mode:absolute,to:'2016-05-12 06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2" s="75" t="str">
        <f t="shared" si="9"/>
        <v>N</v>
      </c>
      <c r="V22" s="75">
        <f t="shared" si="12"/>
        <v>1</v>
      </c>
      <c r="W22" s="75">
        <f t="shared" si="5"/>
        <v>4.9500000000000002E-2</v>
      </c>
      <c r="X22" s="75">
        <f t="shared" si="6"/>
        <v>23.328399999999998</v>
      </c>
      <c r="Y22" s="75">
        <f t="shared" si="7"/>
        <v>23.2789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238</v>
      </c>
      <c r="B23" s="61">
        <v>4008</v>
      </c>
      <c r="C23" s="61" t="s">
        <v>66</v>
      </c>
      <c r="D23" s="61" t="s">
        <v>157</v>
      </c>
      <c r="E23" s="30">
        <v>42502.292812500003</v>
      </c>
      <c r="F23" s="30">
        <v>42502.293692129628</v>
      </c>
      <c r="G23" s="38">
        <v>1</v>
      </c>
      <c r="H23" s="30" t="s">
        <v>71</v>
      </c>
      <c r="I23" s="30">
        <v>42502.325555555559</v>
      </c>
      <c r="J23" s="61">
        <v>0</v>
      </c>
      <c r="K23" s="61" t="str">
        <f t="shared" si="0"/>
        <v>4007/4008</v>
      </c>
      <c r="L23" s="61" t="str">
        <f>VLOOKUP(A23,'Trips&amp;Operators'!$C$1:$E$9999,3,FALSE)</f>
        <v>YORK</v>
      </c>
      <c r="M23" s="12">
        <f t="shared" si="1"/>
        <v>3.1863425931078382E-2</v>
      </c>
      <c r="N23" s="13">
        <f t="shared" si="13"/>
        <v>45.88333334075287</v>
      </c>
      <c r="O23" s="13"/>
      <c r="P23" s="13"/>
      <c r="Q23" s="62"/>
      <c r="R23" s="62"/>
      <c r="T23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07:00:39-0600',mode:absolute,to:'2016-05-12 07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3" s="75" t="str">
        <f t="shared" ref="U23:U25" si="14">IF(Y23&lt;23,"Y","N")</f>
        <v>N</v>
      </c>
      <c r="V23" s="75">
        <f t="shared" si="12"/>
        <v>1</v>
      </c>
      <c r="W23" s="75">
        <f t="shared" si="5"/>
        <v>23.296700000000001</v>
      </c>
      <c r="X23" s="75">
        <f t="shared" si="6"/>
        <v>1.5599999999999999E-2</v>
      </c>
      <c r="Y23" s="75">
        <f t="shared" si="7"/>
        <v>23.281100000000002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226</v>
      </c>
      <c r="B24" s="61">
        <v>4009</v>
      </c>
      <c r="C24" s="61" t="s">
        <v>66</v>
      </c>
      <c r="D24" s="61" t="s">
        <v>156</v>
      </c>
      <c r="E24" s="30">
        <v>42502.264641203707</v>
      </c>
      <c r="F24" s="30">
        <v>42502.268877314818</v>
      </c>
      <c r="G24" s="38">
        <v>6</v>
      </c>
      <c r="H24" s="30" t="s">
        <v>93</v>
      </c>
      <c r="I24" s="30">
        <v>42502.296157407407</v>
      </c>
      <c r="J24" s="61">
        <v>0</v>
      </c>
      <c r="K24" s="61" t="str">
        <f t="shared" si="0"/>
        <v>4009/4010</v>
      </c>
      <c r="L24" s="61" t="str">
        <f>VLOOKUP(A24,'Trips&amp;Operators'!$C$1:$E$9999,3,FALSE)</f>
        <v>CANFIELD</v>
      </c>
      <c r="M24" s="12">
        <f t="shared" si="1"/>
        <v>2.7280092588625848E-2</v>
      </c>
      <c r="N24" s="13">
        <f t="shared" si="13"/>
        <v>39.283333327621222</v>
      </c>
      <c r="O24" s="13"/>
      <c r="P24" s="13"/>
      <c r="Q24" s="62"/>
      <c r="R24" s="62"/>
      <c r="T24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06:20:05-0600',mode:absolute,to:'2016-05-12 07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4" s="75" t="str">
        <f t="shared" si="14"/>
        <v>N</v>
      </c>
      <c r="V24" s="75">
        <f t="shared" si="12"/>
        <v>1</v>
      </c>
      <c r="W24" s="75">
        <f t="shared" si="5"/>
        <v>4.4200000000000003E-2</v>
      </c>
      <c r="X24" s="75">
        <f t="shared" si="6"/>
        <v>23.331199999999999</v>
      </c>
      <c r="Y24" s="75">
        <f t="shared" si="7"/>
        <v>23.286999999999999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233</v>
      </c>
      <c r="B25" s="61">
        <v>4010</v>
      </c>
      <c r="C25" s="61" t="s">
        <v>66</v>
      </c>
      <c r="D25" s="61" t="s">
        <v>80</v>
      </c>
      <c r="E25" s="30">
        <v>42502.300543981481</v>
      </c>
      <c r="F25" s="30">
        <v>42502.301990740743</v>
      </c>
      <c r="G25" s="30">
        <v>2</v>
      </c>
      <c r="H25" s="30" t="s">
        <v>81</v>
      </c>
      <c r="I25" s="30">
        <v>42502.336273148147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CANFIELD</v>
      </c>
      <c r="M25" s="12">
        <f t="shared" si="1"/>
        <v>3.4282407403225079E-2</v>
      </c>
      <c r="N25" s="13">
        <f t="shared" si="13"/>
        <v>49.366666660644114</v>
      </c>
      <c r="O25" s="13"/>
      <c r="P25" s="13"/>
      <c r="Q25" s="62"/>
      <c r="R25" s="62"/>
      <c r="T25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07:11:47-0600',mode:absolute,to:'2016-05-12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5" s="75" t="str">
        <f t="shared" si="14"/>
        <v>N</v>
      </c>
      <c r="V25" s="75">
        <f t="shared" si="12"/>
        <v>1</v>
      </c>
      <c r="W25" s="75">
        <f t="shared" si="5"/>
        <v>23.2989</v>
      </c>
      <c r="X25" s="75">
        <f t="shared" si="6"/>
        <v>1.4500000000000001E-2</v>
      </c>
      <c r="Y25" s="75">
        <f t="shared" si="7"/>
        <v>23.284399999999998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253</v>
      </c>
      <c r="B26" s="61">
        <v>4014</v>
      </c>
      <c r="C26" s="61" t="s">
        <v>66</v>
      </c>
      <c r="D26" s="61" t="s">
        <v>122</v>
      </c>
      <c r="E26" s="30">
        <v>42502.275081018517</v>
      </c>
      <c r="F26" s="30">
        <v>42502.276145833333</v>
      </c>
      <c r="G26" s="38">
        <v>1</v>
      </c>
      <c r="H26" s="30" t="s">
        <v>74</v>
      </c>
      <c r="I26" s="30">
        <v>42502.305983796294</v>
      </c>
      <c r="J26" s="61">
        <v>0</v>
      </c>
      <c r="K26" s="61" t="str">
        <f t="shared" si="0"/>
        <v>4013/4014</v>
      </c>
      <c r="L26" s="61" t="str">
        <f>VLOOKUP(A26,'Trips&amp;Operators'!$C$1:$E$9999,3,FALSE)</f>
        <v>CHANDLER</v>
      </c>
      <c r="M26" s="12">
        <f t="shared" si="1"/>
        <v>2.9837962960300501E-2</v>
      </c>
      <c r="N26" s="13">
        <f t="shared" si="13"/>
        <v>42.966666662832722</v>
      </c>
      <c r="O26" s="13"/>
      <c r="P26" s="13"/>
      <c r="Q26" s="62"/>
      <c r="R26" s="62"/>
      <c r="T26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06:35:07-0600',mode:absolute,to:'2016-05-12 07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6" s="75" t="str">
        <f t="shared" ref="U26:U57" si="15">IF(Y26&lt;23,"Y","N")</f>
        <v>N</v>
      </c>
      <c r="V26" s="75">
        <f t="shared" si="12"/>
        <v>1</v>
      </c>
      <c r="W26" s="75">
        <f t="shared" si="5"/>
        <v>4.6199999999999998E-2</v>
      </c>
      <c r="X26" s="75">
        <f t="shared" si="6"/>
        <v>23.330300000000001</v>
      </c>
      <c r="Y26" s="75">
        <f t="shared" si="7"/>
        <v>23.284100000000002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288</v>
      </c>
      <c r="B27" s="61">
        <v>4013</v>
      </c>
      <c r="C27" s="61" t="s">
        <v>66</v>
      </c>
      <c r="D27" s="61" t="s">
        <v>70</v>
      </c>
      <c r="E27" s="30">
        <v>42502.313703703701</v>
      </c>
      <c r="F27" s="30">
        <v>42502.314872685187</v>
      </c>
      <c r="G27" s="38">
        <v>1</v>
      </c>
      <c r="H27" s="30" t="s">
        <v>111</v>
      </c>
      <c r="I27" s="30">
        <v>42502.345949074072</v>
      </c>
      <c r="J27" s="61">
        <v>0</v>
      </c>
      <c r="K27" s="61" t="str">
        <f t="shared" si="0"/>
        <v>4013/4014</v>
      </c>
      <c r="L27" s="61" t="str">
        <f>VLOOKUP(A27,'Trips&amp;Operators'!$C$1:$E$9999,3,FALSE)</f>
        <v>CHANDLER</v>
      </c>
      <c r="M27" s="12">
        <f t="shared" si="1"/>
        <v>3.1076388884685002E-2</v>
      </c>
      <c r="N27" s="13">
        <f t="shared" si="13"/>
        <v>44.749999993946403</v>
      </c>
      <c r="O27" s="13"/>
      <c r="P27" s="13"/>
      <c r="Q27" s="62"/>
      <c r="R27" s="62"/>
      <c r="T27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07:30:44-0600',mode:absolute,to:'2016-05-12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7" s="75" t="str">
        <f t="shared" si="15"/>
        <v>N</v>
      </c>
      <c r="V27" s="75">
        <f t="shared" si="12"/>
        <v>1</v>
      </c>
      <c r="W27" s="75">
        <f t="shared" si="5"/>
        <v>23.297799999999999</v>
      </c>
      <c r="X27" s="75">
        <f t="shared" si="6"/>
        <v>1.41E-2</v>
      </c>
      <c r="Y27" s="75">
        <f t="shared" si="7"/>
        <v>23.2837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250</v>
      </c>
      <c r="B28" s="61">
        <v>4025</v>
      </c>
      <c r="C28" s="61" t="s">
        <v>66</v>
      </c>
      <c r="D28" s="61" t="s">
        <v>122</v>
      </c>
      <c r="E28" s="30">
        <v>42502.286377314813</v>
      </c>
      <c r="F28" s="30">
        <v>42502.287430555552</v>
      </c>
      <c r="G28" s="38">
        <v>1</v>
      </c>
      <c r="H28" s="30" t="s">
        <v>98</v>
      </c>
      <c r="I28" s="30">
        <v>42502.316979166666</v>
      </c>
      <c r="J28" s="61">
        <v>1</v>
      </c>
      <c r="K28" s="61" t="str">
        <f t="shared" si="0"/>
        <v>4025/4026</v>
      </c>
      <c r="L28" s="61" t="str">
        <f>VLOOKUP(A28,'Trips&amp;Operators'!$C$1:$E$9999,3,FALSE)</f>
        <v>LEVIN</v>
      </c>
      <c r="M28" s="12">
        <f t="shared" si="1"/>
        <v>2.9548611113568768E-2</v>
      </c>
      <c r="N28" s="13">
        <f t="shared" si="13"/>
        <v>42.550000003539026</v>
      </c>
      <c r="O28" s="13"/>
      <c r="P28" s="13"/>
      <c r="Q28" s="62"/>
      <c r="R28" s="62"/>
      <c r="T28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06:51:23-0600',mode:absolute,to:'2016-05-12 07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8" s="75" t="str">
        <f t="shared" si="15"/>
        <v>N</v>
      </c>
      <c r="V28" s="75">
        <f t="shared" si="12"/>
        <v>1</v>
      </c>
      <c r="W28" s="75">
        <f t="shared" si="5"/>
        <v>4.6199999999999998E-2</v>
      </c>
      <c r="X28" s="75">
        <f t="shared" si="6"/>
        <v>23.331399999999999</v>
      </c>
      <c r="Y28" s="75">
        <f t="shared" si="7"/>
        <v>23.2852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222</v>
      </c>
      <c r="B29" s="61">
        <v>4026</v>
      </c>
      <c r="C29" s="61" t="s">
        <v>66</v>
      </c>
      <c r="D29" s="61" t="s">
        <v>88</v>
      </c>
      <c r="E29" s="30">
        <v>42502.325624999998</v>
      </c>
      <c r="F29" s="30">
        <v>42502.326354166667</v>
      </c>
      <c r="G29" s="38">
        <v>1</v>
      </c>
      <c r="H29" s="30" t="s">
        <v>92</v>
      </c>
      <c r="I29" s="30">
        <v>42502.356759259259</v>
      </c>
      <c r="J29" s="61">
        <v>0</v>
      </c>
      <c r="K29" s="61" t="str">
        <f t="shared" si="0"/>
        <v>4025/4026</v>
      </c>
      <c r="L29" s="61" t="str">
        <f>VLOOKUP(A29,'Trips&amp;Operators'!$C$1:$E$9999,3,FALSE)</f>
        <v>LEVIN</v>
      </c>
      <c r="M29" s="12">
        <f t="shared" si="1"/>
        <v>3.0405092591536231E-2</v>
      </c>
      <c r="N29" s="13">
        <f t="shared" si="13"/>
        <v>43.783333331812173</v>
      </c>
      <c r="O29" s="13"/>
      <c r="P29" s="13"/>
      <c r="Q29" s="62"/>
      <c r="R29" s="62"/>
      <c r="T29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07:47:54-0600',mode:absolute,to:'2016-05-12 08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9" s="75" t="str">
        <f t="shared" si="15"/>
        <v>N</v>
      </c>
      <c r="V29" s="75">
        <f t="shared" si="12"/>
        <v>1</v>
      </c>
      <c r="W29" s="75">
        <f t="shared" si="5"/>
        <v>23.3</v>
      </c>
      <c r="X29" s="75">
        <f t="shared" si="6"/>
        <v>1.52E-2</v>
      </c>
      <c r="Y29" s="75">
        <f t="shared" si="7"/>
        <v>23.284800000000001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299</v>
      </c>
      <c r="B30" s="61">
        <v>4040</v>
      </c>
      <c r="C30" s="61" t="s">
        <v>66</v>
      </c>
      <c r="D30" s="61" t="s">
        <v>87</v>
      </c>
      <c r="E30" s="30">
        <v>42502.295891203707</v>
      </c>
      <c r="F30" s="30">
        <v>42502.297997685186</v>
      </c>
      <c r="G30" s="38">
        <v>3</v>
      </c>
      <c r="H30" s="30" t="s">
        <v>91</v>
      </c>
      <c r="I30" s="30">
        <v>42502.3278587963</v>
      </c>
      <c r="J30" s="61">
        <v>0</v>
      </c>
      <c r="K30" s="61" t="str">
        <f t="shared" si="0"/>
        <v>4039/4040</v>
      </c>
      <c r="L30" s="61" t="str">
        <f>VLOOKUP(A30,'Trips&amp;Operators'!$C$1:$E$9999,3,FALSE)</f>
        <v>MALAVE</v>
      </c>
      <c r="M30" s="12">
        <f t="shared" si="1"/>
        <v>2.9861111113859806E-2</v>
      </c>
      <c r="N30" s="13">
        <f t="shared" si="13"/>
        <v>43.000000003958121</v>
      </c>
      <c r="O30" s="13"/>
      <c r="P30" s="13"/>
      <c r="Q30" s="62"/>
      <c r="R30" s="62"/>
      <c r="T30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07:05:05-0600',mode:absolute,to:'2016-05-12 07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0" s="75" t="str">
        <f t="shared" si="15"/>
        <v>N</v>
      </c>
      <c r="V30" s="75">
        <f t="shared" si="12"/>
        <v>1</v>
      </c>
      <c r="W30" s="75">
        <f t="shared" si="5"/>
        <v>4.5100000000000001E-2</v>
      </c>
      <c r="X30" s="75">
        <f t="shared" si="6"/>
        <v>23.329899999999999</v>
      </c>
      <c r="Y30" s="75">
        <f t="shared" si="7"/>
        <v>23.284799999999997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220</v>
      </c>
      <c r="B31" s="61">
        <v>4039</v>
      </c>
      <c r="C31" s="61" t="s">
        <v>66</v>
      </c>
      <c r="D31" s="61" t="s">
        <v>101</v>
      </c>
      <c r="E31" s="30">
        <v>42502.338958333334</v>
      </c>
      <c r="F31" s="30">
        <v>42502.341145833336</v>
      </c>
      <c r="G31" s="38">
        <v>3</v>
      </c>
      <c r="H31" s="30" t="s">
        <v>112</v>
      </c>
      <c r="I31" s="30">
        <v>42502.368136574078</v>
      </c>
      <c r="J31" s="61">
        <v>3</v>
      </c>
      <c r="K31" s="61" t="str">
        <f t="shared" si="0"/>
        <v>4039/4040</v>
      </c>
      <c r="L31" s="61" t="str">
        <f>VLOOKUP(A31,'Trips&amp;Operators'!$C$1:$E$9999,3,FALSE)</f>
        <v>MALAVE</v>
      </c>
      <c r="M31" s="12">
        <f t="shared" si="1"/>
        <v>2.6990740741894115E-2</v>
      </c>
      <c r="N31" s="13">
        <f t="shared" si="13"/>
        <v>38.866666668327525</v>
      </c>
      <c r="O31" s="13"/>
      <c r="P31" s="13"/>
      <c r="Q31" s="62"/>
      <c r="R31" s="62"/>
      <c r="T31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08:07:06-0600',mode:absolute,to:'2016-05-12 08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1" s="75" t="str">
        <f t="shared" si="15"/>
        <v>N</v>
      </c>
      <c r="V31" s="75">
        <f t="shared" si="12"/>
        <v>1</v>
      </c>
      <c r="W31" s="75">
        <f t="shared" si="5"/>
        <v>23.297999999999998</v>
      </c>
      <c r="X31" s="75">
        <f t="shared" si="6"/>
        <v>1.4999999999999999E-2</v>
      </c>
      <c r="Y31" s="75">
        <f t="shared" si="7"/>
        <v>23.282999999999998</v>
      </c>
      <c r="Z31" s="76">
        <f>VLOOKUP(A31,Enforcements!$C$3:$J$26,8,0)</f>
        <v>21848</v>
      </c>
      <c r="AA31" s="76" t="str">
        <f>VLOOKUP(A31,Enforcements!$C$3:$J$26,3,0)</f>
        <v>PERMANENT SPEED RESTRICTION</v>
      </c>
    </row>
    <row r="32" spans="1:27" s="2" customFormat="1" x14ac:dyDescent="0.25">
      <c r="A32" s="61" t="s">
        <v>300</v>
      </c>
      <c r="B32" s="61">
        <v>4018</v>
      </c>
      <c r="C32" s="61" t="s">
        <v>66</v>
      </c>
      <c r="D32" s="61" t="s">
        <v>86</v>
      </c>
      <c r="E32" s="30">
        <v>42502.308078703703</v>
      </c>
      <c r="F32" s="30">
        <v>42502.309074074074</v>
      </c>
      <c r="G32" s="38">
        <v>1</v>
      </c>
      <c r="H32" s="30" t="s">
        <v>67</v>
      </c>
      <c r="I32" s="30">
        <v>42502.33797453704</v>
      </c>
      <c r="J32" s="61">
        <v>0</v>
      </c>
      <c r="K32" s="61" t="str">
        <f t="shared" si="0"/>
        <v>4017/4018</v>
      </c>
      <c r="L32" s="61" t="str">
        <f>VLOOKUP(A32,'Trips&amp;Operators'!$C$1:$E$9999,3,FALSE)</f>
        <v>CUSHING</v>
      </c>
      <c r="M32" s="12">
        <f t="shared" si="1"/>
        <v>2.8900462966703344E-2</v>
      </c>
      <c r="N32" s="13">
        <f t="shared" si="13"/>
        <v>41.616666672052816</v>
      </c>
      <c r="O32" s="13"/>
      <c r="P32" s="13"/>
      <c r="Q32" s="62"/>
      <c r="R32" s="62"/>
      <c r="T32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07:22:38-0600',mode:absolute,to:'2016-05-12 08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2" s="75" t="str">
        <f t="shared" si="15"/>
        <v>N</v>
      </c>
      <c r="V32" s="75">
        <f t="shared" si="12"/>
        <v>1</v>
      </c>
      <c r="W32" s="75">
        <f t="shared" si="5"/>
        <v>4.5499999999999999E-2</v>
      </c>
      <c r="X32" s="75">
        <f t="shared" si="6"/>
        <v>23.329699999999999</v>
      </c>
      <c r="Y32" s="75">
        <f t="shared" si="7"/>
        <v>23.284199999999998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301</v>
      </c>
      <c r="B33" s="61">
        <v>4017</v>
      </c>
      <c r="C33" s="61" t="s">
        <v>66</v>
      </c>
      <c r="D33" s="61" t="s">
        <v>177</v>
      </c>
      <c r="E33" s="30">
        <v>42502.346701388888</v>
      </c>
      <c r="F33" s="30">
        <v>42502.347685185188</v>
      </c>
      <c r="G33" s="38">
        <v>1</v>
      </c>
      <c r="H33" s="30" t="s">
        <v>148</v>
      </c>
      <c r="I33" s="30">
        <v>42502.377233796295</v>
      </c>
      <c r="J33" s="61">
        <v>0</v>
      </c>
      <c r="K33" s="61" t="str">
        <f t="shared" si="0"/>
        <v>4017/4018</v>
      </c>
      <c r="L33" s="61" t="str">
        <f>VLOOKUP(A33,'Trips&amp;Operators'!$C$1:$E$9999,3,FALSE)</f>
        <v>CUSHING</v>
      </c>
      <c r="M33" s="12">
        <f t="shared" si="1"/>
        <v>2.954861110629281E-2</v>
      </c>
      <c r="N33" s="13">
        <f t="shared" si="13"/>
        <v>42.549999993061647</v>
      </c>
      <c r="O33" s="13"/>
      <c r="P33" s="13"/>
      <c r="Q33" s="62"/>
      <c r="R33" s="62"/>
      <c r="T33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08:18:15-0600',mode:absolute,to:'2016-05-12 09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3" s="75" t="str">
        <f t="shared" si="15"/>
        <v>N</v>
      </c>
      <c r="V33" s="75">
        <f t="shared" si="12"/>
        <v>1</v>
      </c>
      <c r="W33" s="75">
        <f t="shared" si="5"/>
        <v>23.298300000000001</v>
      </c>
      <c r="X33" s="75">
        <f t="shared" si="6"/>
        <v>1.38E-2</v>
      </c>
      <c r="Y33" s="75">
        <f t="shared" si="7"/>
        <v>23.284500000000001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322</v>
      </c>
      <c r="B34" s="61">
        <v>4020</v>
      </c>
      <c r="C34" s="61" t="s">
        <v>66</v>
      </c>
      <c r="D34" s="61" t="s">
        <v>84</v>
      </c>
      <c r="E34" s="30">
        <v>42502.316736111112</v>
      </c>
      <c r="F34" s="30">
        <v>42502.317870370367</v>
      </c>
      <c r="G34" s="38">
        <v>1</v>
      </c>
      <c r="H34" s="30" t="s">
        <v>125</v>
      </c>
      <c r="I34" s="30">
        <v>42502.348032407404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NEWELL</v>
      </c>
      <c r="M34" s="12">
        <f t="shared" si="1"/>
        <v>3.0162037037371192E-2</v>
      </c>
      <c r="N34" s="13">
        <f t="shared" si="13"/>
        <v>43.433333333814517</v>
      </c>
      <c r="O34" s="13"/>
      <c r="P34" s="13"/>
      <c r="Q34" s="62"/>
      <c r="R34" s="62"/>
      <c r="T34" s="75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07:35:06-0600',mode:absolute,to:'2016-05-12 08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4" s="75" t="str">
        <f t="shared" si="15"/>
        <v>N</v>
      </c>
      <c r="V34" s="75">
        <f t="shared" si="12"/>
        <v>1</v>
      </c>
      <c r="W34" s="75">
        <f t="shared" si="5"/>
        <v>4.7100000000000003E-2</v>
      </c>
      <c r="X34" s="75">
        <f t="shared" si="6"/>
        <v>23.3293</v>
      </c>
      <c r="Y34" s="75">
        <f t="shared" si="7"/>
        <v>23.2822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297</v>
      </c>
      <c r="B35" s="61">
        <v>4019</v>
      </c>
      <c r="C35" s="61" t="s">
        <v>66</v>
      </c>
      <c r="D35" s="61" t="s">
        <v>349</v>
      </c>
      <c r="E35" s="30">
        <v>42502.356469907405</v>
      </c>
      <c r="F35" s="30">
        <v>42502.357546296298</v>
      </c>
      <c r="G35" s="38">
        <v>1</v>
      </c>
      <c r="H35" s="30" t="s">
        <v>148</v>
      </c>
      <c r="I35" s="30">
        <v>42502.387800925928</v>
      </c>
      <c r="J35" s="61">
        <v>0</v>
      </c>
      <c r="K35" s="61" t="str">
        <f t="shared" ref="K35:K66" si="16">IF(ISEVEN(B35),(B35-1)&amp;"/"&amp;B35,B35&amp;"/"&amp;(B35+1))</f>
        <v>4019/4020</v>
      </c>
      <c r="L35" s="61" t="str">
        <f>VLOOKUP(A35,'Trips&amp;Operators'!$C$1:$E$9999,3,FALSE)</f>
        <v>NEWELL</v>
      </c>
      <c r="M35" s="12">
        <f t="shared" ref="M35:M66" si="17">I35-F35</f>
        <v>3.0254629629780538E-2</v>
      </c>
      <c r="N35" s="13">
        <f t="shared" si="13"/>
        <v>43.566666666883975</v>
      </c>
      <c r="O35" s="13"/>
      <c r="P35" s="13"/>
      <c r="Q35" s="62"/>
      <c r="R35" s="62"/>
      <c r="T35" s="75" t="str">
        <f t="shared" ref="T35:T66" si="18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https://search-rtdc-monitor-bjffxe2xuh6vdkpspy63sjmuny.us-east-1.es.amazonaws.com/_plugin/kibana/#/discover/Steve-Slow-Train-Analysis-(2080s-and-2083s)?_g=(refreshInterval:(display:Off,section:0,value:0),time:(from:'2016-05-12 08:32:19-0600',mode:absolute,to:'2016-05-12 09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5" s="75" t="str">
        <f t="shared" si="15"/>
        <v>N</v>
      </c>
      <c r="V35" s="75">
        <f t="shared" si="12"/>
        <v>1</v>
      </c>
      <c r="W35" s="75">
        <f t="shared" si="5"/>
        <v>23.296900000000001</v>
      </c>
      <c r="X35" s="75">
        <f t="shared" si="6"/>
        <v>1.38E-2</v>
      </c>
      <c r="Y35" s="75">
        <f t="shared" si="7"/>
        <v>23.283100000000001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298</v>
      </c>
      <c r="B36" s="61">
        <v>4007</v>
      </c>
      <c r="C36" s="61" t="s">
        <v>66</v>
      </c>
      <c r="D36" s="61" t="s">
        <v>195</v>
      </c>
      <c r="E36" s="30">
        <v>42502.329525462963</v>
      </c>
      <c r="F36" s="30">
        <v>42502.332939814813</v>
      </c>
      <c r="G36" s="38">
        <v>4</v>
      </c>
      <c r="H36" s="30" t="s">
        <v>125</v>
      </c>
      <c r="I36" s="30">
        <v>42502.358356481483</v>
      </c>
      <c r="J36" s="61">
        <v>0</v>
      </c>
      <c r="K36" s="61" t="str">
        <f t="shared" si="16"/>
        <v>4007/4008</v>
      </c>
      <c r="L36" s="61" t="str">
        <f>VLOOKUP(A36,'Trips&amp;Operators'!$C$1:$E$9999,3,FALSE)</f>
        <v>YORK</v>
      </c>
      <c r="M36" s="12">
        <f t="shared" si="17"/>
        <v>2.5416666670935228E-2</v>
      </c>
      <c r="N36" s="13">
        <f t="shared" si="13"/>
        <v>36.600000006146729</v>
      </c>
      <c r="O36" s="13"/>
      <c r="P36" s="13"/>
      <c r="Q36" s="62"/>
      <c r="R36" s="62"/>
      <c r="T36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07:53:31-0600',mode:absolute,to:'2016-05-12 08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5" t="str">
        <f t="shared" si="15"/>
        <v>N</v>
      </c>
      <c r="V36" s="75">
        <f t="shared" si="12"/>
        <v>1</v>
      </c>
      <c r="W36" s="75">
        <f t="shared" si="5"/>
        <v>4.4400000000000002E-2</v>
      </c>
      <c r="X36" s="75">
        <f t="shared" si="6"/>
        <v>23.3293</v>
      </c>
      <c r="Y36" s="75">
        <f t="shared" si="7"/>
        <v>23.2849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295</v>
      </c>
      <c r="B37" s="61">
        <v>4008</v>
      </c>
      <c r="C37" s="61" t="s">
        <v>66</v>
      </c>
      <c r="D37" s="61" t="s">
        <v>347</v>
      </c>
      <c r="E37" s="30">
        <v>42502.364317129628</v>
      </c>
      <c r="F37" s="30">
        <v>42502.365532407406</v>
      </c>
      <c r="G37" s="38">
        <v>1</v>
      </c>
      <c r="H37" s="30" t="s">
        <v>75</v>
      </c>
      <c r="I37" s="30">
        <v>42502.3984375</v>
      </c>
      <c r="J37" s="61">
        <v>0</v>
      </c>
      <c r="K37" s="61" t="str">
        <f t="shared" si="16"/>
        <v>4007/4008</v>
      </c>
      <c r="L37" s="61" t="str">
        <f>VLOOKUP(A37,'Trips&amp;Operators'!$C$1:$E$9999,3,FALSE)</f>
        <v>YORK</v>
      </c>
      <c r="M37" s="12">
        <f t="shared" si="17"/>
        <v>3.2905092593864538E-2</v>
      </c>
      <c r="N37" s="13">
        <f t="shared" si="13"/>
        <v>47.383333335164934</v>
      </c>
      <c r="O37" s="13"/>
      <c r="P37" s="13"/>
      <c r="Q37" s="62"/>
      <c r="R37" s="62"/>
      <c r="T37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08:43:37-0600',mode:absolute,to:'2016-05-12 09:34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5" t="str">
        <f t="shared" si="15"/>
        <v>N</v>
      </c>
      <c r="V37" s="75">
        <f t="shared" si="12"/>
        <v>1</v>
      </c>
      <c r="W37" s="75">
        <f t="shared" si="5"/>
        <v>23.297000000000001</v>
      </c>
      <c r="X37" s="75">
        <f t="shared" si="6"/>
        <v>1.43E-2</v>
      </c>
      <c r="Y37" s="75">
        <f t="shared" si="7"/>
        <v>23.282700000000002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333</v>
      </c>
      <c r="B38" s="61">
        <v>4009</v>
      </c>
      <c r="C38" s="61" t="s">
        <v>66</v>
      </c>
      <c r="D38" s="61" t="s">
        <v>89</v>
      </c>
      <c r="E38" s="30">
        <v>42502.337650462963</v>
      </c>
      <c r="F38" s="30">
        <v>42502.338993055557</v>
      </c>
      <c r="G38" s="38">
        <v>1</v>
      </c>
      <c r="H38" s="30" t="s">
        <v>125</v>
      </c>
      <c r="I38" s="30">
        <v>42502.368692129632</v>
      </c>
      <c r="J38" s="61">
        <v>0</v>
      </c>
      <c r="K38" s="61" t="str">
        <f t="shared" si="16"/>
        <v>4009/4010</v>
      </c>
      <c r="L38" s="61" t="str">
        <f>VLOOKUP(A38,'Trips&amp;Operators'!$C$1:$E$9999,3,FALSE)</f>
        <v>CANFIELD</v>
      </c>
      <c r="M38" s="12">
        <f t="shared" si="17"/>
        <v>2.9699074075324461E-2</v>
      </c>
      <c r="N38" s="13">
        <f t="shared" si="13"/>
        <v>42.766666668467224</v>
      </c>
      <c r="O38" s="13"/>
      <c r="P38" s="13"/>
      <c r="Q38" s="62"/>
      <c r="R38" s="62"/>
      <c r="T38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08:05:13-0600',mode:absolute,to:'2016-05-12 08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8" s="75" t="str">
        <f t="shared" si="15"/>
        <v>N</v>
      </c>
      <c r="V38" s="75">
        <f t="shared" si="12"/>
        <v>1</v>
      </c>
      <c r="W38" s="75">
        <f t="shared" si="5"/>
        <v>4.53E-2</v>
      </c>
      <c r="X38" s="75">
        <f t="shared" si="6"/>
        <v>23.3293</v>
      </c>
      <c r="Y38" s="75">
        <f t="shared" si="7"/>
        <v>23.283999999999999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303</v>
      </c>
      <c r="B39" s="61">
        <v>4010</v>
      </c>
      <c r="C39" s="61" t="s">
        <v>66</v>
      </c>
      <c r="D39" s="61" t="s">
        <v>151</v>
      </c>
      <c r="E39" s="30">
        <v>42502.372465277775</v>
      </c>
      <c r="F39" s="30">
        <v>42502.373206018521</v>
      </c>
      <c r="G39" s="38">
        <v>1</v>
      </c>
      <c r="H39" s="30" t="s">
        <v>75</v>
      </c>
      <c r="I39" s="30">
        <v>42502.408310185187</v>
      </c>
      <c r="J39" s="61">
        <v>0</v>
      </c>
      <c r="K39" s="61" t="str">
        <f t="shared" si="16"/>
        <v>4009/4010</v>
      </c>
      <c r="L39" s="61" t="str">
        <f>VLOOKUP(A39,'Trips&amp;Operators'!$C$1:$E$9999,3,FALSE)</f>
        <v>CANFIELD</v>
      </c>
      <c r="M39" s="12">
        <f t="shared" si="17"/>
        <v>3.5104166665405501E-2</v>
      </c>
      <c r="N39" s="13">
        <f t="shared" si="13"/>
        <v>50.549999998183921</v>
      </c>
      <c r="O39" s="13"/>
      <c r="P39" s="13"/>
      <c r="Q39" s="62"/>
      <c r="R39" s="62"/>
      <c r="T39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08:55:21-0600',mode:absolute,to:'2016-05-12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9" s="75" t="str">
        <f t="shared" si="15"/>
        <v>N</v>
      </c>
      <c r="V39" s="75">
        <f t="shared" si="12"/>
        <v>1</v>
      </c>
      <c r="W39" s="75">
        <f t="shared" si="5"/>
        <v>23.298400000000001</v>
      </c>
      <c r="X39" s="75">
        <f t="shared" si="6"/>
        <v>1.43E-2</v>
      </c>
      <c r="Y39" s="75">
        <f t="shared" si="7"/>
        <v>23.284100000000002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218</v>
      </c>
      <c r="B40" s="61">
        <v>4014</v>
      </c>
      <c r="C40" s="61" t="s">
        <v>66</v>
      </c>
      <c r="D40" s="61" t="s">
        <v>102</v>
      </c>
      <c r="E40" s="30">
        <v>42502.347997685189</v>
      </c>
      <c r="F40" s="30">
        <v>42502.349143518521</v>
      </c>
      <c r="G40" s="38">
        <v>1</v>
      </c>
      <c r="H40" s="30" t="s">
        <v>346</v>
      </c>
      <c r="I40" s="30">
        <v>42502.379074074073</v>
      </c>
      <c r="J40" s="61">
        <v>0</v>
      </c>
      <c r="K40" s="61" t="str">
        <f t="shared" si="16"/>
        <v>4013/4014</v>
      </c>
      <c r="L40" s="61" t="str">
        <f>VLOOKUP(A40,'Trips&amp;Operators'!$C$1:$E$9999,3,FALSE)</f>
        <v>CHANDLER</v>
      </c>
      <c r="M40" s="12">
        <f t="shared" si="17"/>
        <v>2.9930555552709848E-2</v>
      </c>
      <c r="N40" s="13">
        <f t="shared" si="13"/>
        <v>43.099999995902181</v>
      </c>
      <c r="O40" s="13"/>
      <c r="P40" s="13"/>
      <c r="Q40" s="62"/>
      <c r="R40" s="62"/>
      <c r="T40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08:20:07-0600',mode:absolute,to:'2016-05-12 09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0" s="75" t="str">
        <f t="shared" si="15"/>
        <v>N</v>
      </c>
      <c r="V40" s="75">
        <f t="shared" si="12"/>
        <v>1</v>
      </c>
      <c r="W40" s="75">
        <f t="shared" si="5"/>
        <v>4.6600000000000003E-2</v>
      </c>
      <c r="X40" s="75">
        <f t="shared" si="6"/>
        <v>23.333200000000001</v>
      </c>
      <c r="Y40" s="75">
        <f t="shared" si="7"/>
        <v>23.2866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331</v>
      </c>
      <c r="B41" s="61">
        <v>4013</v>
      </c>
      <c r="C41" s="61" t="s">
        <v>66</v>
      </c>
      <c r="D41" s="61" t="s">
        <v>131</v>
      </c>
      <c r="E41" s="30">
        <v>42502.389606481483</v>
      </c>
      <c r="F41" s="30">
        <v>42502.390648148146</v>
      </c>
      <c r="G41" s="38">
        <v>1</v>
      </c>
      <c r="H41" s="30" t="s">
        <v>112</v>
      </c>
      <c r="I41" s="30">
        <v>42502.418761574074</v>
      </c>
      <c r="J41" s="61">
        <v>0</v>
      </c>
      <c r="K41" s="61" t="str">
        <f t="shared" si="16"/>
        <v>4013/4014</v>
      </c>
      <c r="L41" s="61" t="str">
        <f>VLOOKUP(A41,'Trips&amp;Operators'!$C$1:$E$9999,3,FALSE)</f>
        <v>CHANDLER</v>
      </c>
      <c r="M41" s="12">
        <f t="shared" si="17"/>
        <v>2.8113425927585922E-2</v>
      </c>
      <c r="N41" s="13">
        <f t="shared" si="13"/>
        <v>40.483333335723728</v>
      </c>
      <c r="O41" s="13"/>
      <c r="P41" s="13"/>
      <c r="Q41" s="62"/>
      <c r="R41" s="62"/>
      <c r="T41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09:20:02-0600',mode:absolute,to:'2016-05-12 10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1" s="75" t="str">
        <f t="shared" si="15"/>
        <v>N</v>
      </c>
      <c r="V41" s="75">
        <f t="shared" si="12"/>
        <v>1</v>
      </c>
      <c r="W41" s="75">
        <f t="shared" si="5"/>
        <v>23.300999999999998</v>
      </c>
      <c r="X41" s="75">
        <f t="shared" si="6"/>
        <v>1.4999999999999999E-2</v>
      </c>
      <c r="Y41" s="75">
        <f t="shared" si="7"/>
        <v>23.285999999999998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320</v>
      </c>
      <c r="B42" s="61">
        <v>4025</v>
      </c>
      <c r="C42" s="61" t="s">
        <v>66</v>
      </c>
      <c r="D42" s="61" t="s">
        <v>76</v>
      </c>
      <c r="E42" s="30">
        <v>42502.358622685184</v>
      </c>
      <c r="F42" s="30">
        <v>42502.359525462962</v>
      </c>
      <c r="G42" s="38">
        <v>1</v>
      </c>
      <c r="H42" s="30" t="s">
        <v>348</v>
      </c>
      <c r="I42" s="30">
        <v>42502.389930555553</v>
      </c>
      <c r="J42" s="61">
        <v>0</v>
      </c>
      <c r="K42" s="61" t="str">
        <f t="shared" si="16"/>
        <v>4025/4026</v>
      </c>
      <c r="L42" s="61" t="str">
        <f>VLOOKUP(A42,'Trips&amp;Operators'!$C$1:$E$9999,3,FALSE)</f>
        <v>LEVIN</v>
      </c>
      <c r="M42" s="12">
        <f t="shared" si="17"/>
        <v>3.0405092591536231E-2</v>
      </c>
      <c r="N42" s="13">
        <f t="shared" si="13"/>
        <v>43.783333331812173</v>
      </c>
      <c r="O42" s="13"/>
      <c r="P42" s="13"/>
      <c r="Q42" s="62"/>
      <c r="R42" s="62"/>
      <c r="T42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08:35:25-0600',mode:absolute,to:'2016-05-12 09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2" s="75" t="str">
        <f t="shared" si="15"/>
        <v>N</v>
      </c>
      <c r="V42" s="75">
        <f t="shared" si="12"/>
        <v>1</v>
      </c>
      <c r="W42" s="75">
        <f t="shared" si="5"/>
        <v>4.5699999999999998E-2</v>
      </c>
      <c r="X42" s="75">
        <f t="shared" si="6"/>
        <v>23.3401</v>
      </c>
      <c r="Y42" s="75">
        <f t="shared" si="7"/>
        <v>23.2944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318</v>
      </c>
      <c r="B43" s="61">
        <v>4026</v>
      </c>
      <c r="C43" s="61" t="s">
        <v>66</v>
      </c>
      <c r="D43" s="61" t="s">
        <v>163</v>
      </c>
      <c r="E43" s="30">
        <v>42502.395925925928</v>
      </c>
      <c r="F43" s="30">
        <v>42502.396967592591</v>
      </c>
      <c r="G43" s="38">
        <v>1</v>
      </c>
      <c r="H43" s="30" t="s">
        <v>71</v>
      </c>
      <c r="I43" s="30">
        <v>42502.429178240738</v>
      </c>
      <c r="J43" s="61">
        <v>0</v>
      </c>
      <c r="K43" s="61" t="str">
        <f t="shared" si="16"/>
        <v>4025/4026</v>
      </c>
      <c r="L43" s="61" t="str">
        <f>VLOOKUP(A43,'Trips&amp;Operators'!$C$1:$E$9999,3,FALSE)</f>
        <v>LEVIN</v>
      </c>
      <c r="M43" s="12">
        <f t="shared" si="17"/>
        <v>3.2210648147156462E-2</v>
      </c>
      <c r="N43" s="13">
        <f t="shared" si="13"/>
        <v>46.383333331905305</v>
      </c>
      <c r="O43" s="13"/>
      <c r="P43" s="13"/>
      <c r="Q43" s="62"/>
      <c r="R43" s="62"/>
      <c r="T43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09:29:08-0600',mode:absolute,to:'2016-05-12 10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3" s="75" t="str">
        <f t="shared" si="15"/>
        <v>N</v>
      </c>
      <c r="V43" s="75">
        <f t="shared" si="12"/>
        <v>1</v>
      </c>
      <c r="W43" s="75">
        <f t="shared" si="5"/>
        <v>23.301100000000002</v>
      </c>
      <c r="X43" s="75">
        <f t="shared" si="6"/>
        <v>1.5599999999999999E-2</v>
      </c>
      <c r="Y43" s="75">
        <f t="shared" si="7"/>
        <v>23.285500000000003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259</v>
      </c>
      <c r="B44" s="61">
        <v>4040</v>
      </c>
      <c r="C44" s="61" t="s">
        <v>66</v>
      </c>
      <c r="D44" s="61" t="s">
        <v>124</v>
      </c>
      <c r="E44" s="30">
        <v>42502.372743055559</v>
      </c>
      <c r="F44" s="30">
        <v>42502.373831018522</v>
      </c>
      <c r="G44" s="38">
        <v>1</v>
      </c>
      <c r="H44" s="30" t="s">
        <v>123</v>
      </c>
      <c r="I44" s="30">
        <v>42502.399664351855</v>
      </c>
      <c r="J44" s="61">
        <v>0</v>
      </c>
      <c r="K44" s="61" t="str">
        <f t="shared" si="16"/>
        <v>4039/4040</v>
      </c>
      <c r="L44" s="61" t="str">
        <f>VLOOKUP(A44,'Trips&amp;Operators'!$C$1:$E$9999,3,FALSE)</f>
        <v>MALAVE</v>
      </c>
      <c r="M44" s="12">
        <f t="shared" si="17"/>
        <v>2.5833333333139308E-2</v>
      </c>
      <c r="N44" s="13">
        <f t="shared" si="13"/>
        <v>37.199999999720603</v>
      </c>
      <c r="O44" s="13"/>
      <c r="P44" s="13"/>
      <c r="Q44" s="62"/>
      <c r="R44" s="62"/>
      <c r="T44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08:55:45-0600',mode:absolute,to:'2016-05-12 09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4" s="75" t="str">
        <f t="shared" si="15"/>
        <v>N</v>
      </c>
      <c r="V44" s="75">
        <f t="shared" si="12"/>
        <v>1</v>
      </c>
      <c r="W44" s="75">
        <f t="shared" si="5"/>
        <v>4.3299999999999998E-2</v>
      </c>
      <c r="X44" s="75">
        <f t="shared" si="6"/>
        <v>23.331700000000001</v>
      </c>
      <c r="Y44" s="75">
        <f t="shared" si="7"/>
        <v>23.288400000000003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307</v>
      </c>
      <c r="B45" s="61">
        <v>4039</v>
      </c>
      <c r="C45" s="61" t="s">
        <v>66</v>
      </c>
      <c r="D45" s="61" t="s">
        <v>99</v>
      </c>
      <c r="E45" s="30">
        <v>42502.412569444445</v>
      </c>
      <c r="F45" s="30">
        <v>42502.414074074077</v>
      </c>
      <c r="G45" s="38">
        <v>2</v>
      </c>
      <c r="H45" s="30" t="s">
        <v>112</v>
      </c>
      <c r="I45" s="30">
        <v>42502.439965277779</v>
      </c>
      <c r="J45" s="61">
        <v>2</v>
      </c>
      <c r="K45" s="61" t="str">
        <f t="shared" si="16"/>
        <v>4039/4040</v>
      </c>
      <c r="L45" s="61" t="str">
        <f>VLOOKUP(A45,'Trips&amp;Operators'!$C$1:$E$9999,3,FALSE)</f>
        <v>MALAVE</v>
      </c>
      <c r="M45" s="12">
        <f t="shared" si="17"/>
        <v>2.5891203702485655E-2</v>
      </c>
      <c r="N45" s="13">
        <f t="shared" si="13"/>
        <v>37.283333331579342</v>
      </c>
      <c r="O45" s="13"/>
      <c r="P45" s="13"/>
      <c r="Q45" s="62"/>
      <c r="R45" s="62"/>
      <c r="T45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09:53:06-0600',mode:absolute,to:'2016-05-12 10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5" s="75" t="str">
        <f t="shared" si="15"/>
        <v>N</v>
      </c>
      <c r="V45" s="75">
        <f t="shared" si="12"/>
        <v>1</v>
      </c>
      <c r="W45" s="75">
        <f t="shared" si="5"/>
        <v>23.299299999999999</v>
      </c>
      <c r="X45" s="75">
        <f t="shared" si="6"/>
        <v>1.4999999999999999E-2</v>
      </c>
      <c r="Y45" s="75">
        <f t="shared" si="7"/>
        <v>23.284299999999998</v>
      </c>
      <c r="Z45" s="76">
        <f>VLOOKUP(A45,Enforcements!$C$3:$J$26,8,0)</f>
        <v>231269</v>
      </c>
      <c r="AA45" s="76" t="str">
        <f>VLOOKUP(A45,Enforcements!$C$3:$J$26,3,0)</f>
        <v>EQUIPMENT RESTRICTION</v>
      </c>
    </row>
    <row r="46" spans="1:27" s="2" customFormat="1" x14ac:dyDescent="0.25">
      <c r="A46" s="61" t="s">
        <v>216</v>
      </c>
      <c r="B46" s="61">
        <v>4018</v>
      </c>
      <c r="C46" s="61" t="s">
        <v>66</v>
      </c>
      <c r="D46" s="61" t="s">
        <v>97</v>
      </c>
      <c r="E46" s="30">
        <v>42502.380694444444</v>
      </c>
      <c r="F46" s="30">
        <v>42502.381620370368</v>
      </c>
      <c r="G46" s="38">
        <v>1</v>
      </c>
      <c r="H46" s="30" t="s">
        <v>346</v>
      </c>
      <c r="I46" s="30">
        <v>42502.410856481481</v>
      </c>
      <c r="J46" s="61">
        <v>0</v>
      </c>
      <c r="K46" s="61" t="str">
        <f t="shared" si="16"/>
        <v>4017/4018</v>
      </c>
      <c r="L46" s="61" t="str">
        <f>VLOOKUP(A46,'Trips&amp;Operators'!$C$1:$E$9999,3,FALSE)</f>
        <v>CUSHING</v>
      </c>
      <c r="M46" s="12">
        <f t="shared" si="17"/>
        <v>2.923611111327773E-2</v>
      </c>
      <c r="N46" s="13">
        <f t="shared" si="13"/>
        <v>42.100000003119931</v>
      </c>
      <c r="O46" s="13"/>
      <c r="P46" s="13"/>
      <c r="Q46" s="62"/>
      <c r="R46" s="62"/>
      <c r="T46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09:07:12-0600',mode:absolute,to:'2016-05-12 09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6" s="75" t="str">
        <f t="shared" si="15"/>
        <v>N</v>
      </c>
      <c r="V46" s="75">
        <f t="shared" si="12"/>
        <v>1</v>
      </c>
      <c r="W46" s="75">
        <f t="shared" si="5"/>
        <v>4.6399999999999997E-2</v>
      </c>
      <c r="X46" s="75">
        <f t="shared" si="6"/>
        <v>23.333200000000001</v>
      </c>
      <c r="Y46" s="75">
        <f t="shared" si="7"/>
        <v>23.286800000000003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261</v>
      </c>
      <c r="B47" s="61">
        <v>4017</v>
      </c>
      <c r="C47" s="61" t="s">
        <v>66</v>
      </c>
      <c r="D47" s="61" t="s">
        <v>154</v>
      </c>
      <c r="E47" s="30">
        <v>42502.420127314814</v>
      </c>
      <c r="F47" s="30">
        <v>42502.421076388891</v>
      </c>
      <c r="G47" s="38">
        <v>1</v>
      </c>
      <c r="H47" s="30" t="s">
        <v>73</v>
      </c>
      <c r="I47" s="30">
        <v>42502.450613425928</v>
      </c>
      <c r="J47" s="61">
        <v>0</v>
      </c>
      <c r="K47" s="61" t="str">
        <f t="shared" si="16"/>
        <v>4017/4018</v>
      </c>
      <c r="L47" s="61" t="str">
        <f>VLOOKUP(A47,'Trips&amp;Operators'!$C$1:$E$9999,3,FALSE)</f>
        <v>CUSHING</v>
      </c>
      <c r="M47" s="12">
        <f t="shared" si="17"/>
        <v>2.9537037036789116E-2</v>
      </c>
      <c r="N47" s="13">
        <f t="shared" si="13"/>
        <v>42.533333332976326</v>
      </c>
      <c r="O47" s="13"/>
      <c r="P47" s="13"/>
      <c r="Q47" s="62"/>
      <c r="R47" s="62"/>
      <c r="T47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10:03:59-0600',mode:absolute,to:'2016-05-12 10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7" s="75" t="str">
        <f t="shared" si="15"/>
        <v>N</v>
      </c>
      <c r="V47" s="75">
        <f t="shared" ref="V47:V78" si="19">VALUE(LEFT(A47,3))-VALUE(LEFT(A46,3))</f>
        <v>1</v>
      </c>
      <c r="W47" s="75">
        <f t="shared" si="5"/>
        <v>23.3001</v>
      </c>
      <c r="X47" s="75">
        <f t="shared" si="6"/>
        <v>1.49E-2</v>
      </c>
      <c r="Y47" s="75">
        <f t="shared" si="7"/>
        <v>23.2852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305</v>
      </c>
      <c r="B48" s="61">
        <v>4020</v>
      </c>
      <c r="C48" s="61" t="s">
        <v>66</v>
      </c>
      <c r="D48" s="61" t="s">
        <v>95</v>
      </c>
      <c r="E48" s="30">
        <v>42502.38957175926</v>
      </c>
      <c r="F48" s="30">
        <v>42502.390613425923</v>
      </c>
      <c r="G48" s="38">
        <v>1</v>
      </c>
      <c r="H48" s="30" t="s">
        <v>98</v>
      </c>
      <c r="I48" s="30">
        <v>42502.420949074076</v>
      </c>
      <c r="J48" s="61">
        <v>0</v>
      </c>
      <c r="K48" s="61" t="str">
        <f t="shared" si="16"/>
        <v>4019/4020</v>
      </c>
      <c r="L48" s="61" t="str">
        <f>VLOOKUP(A48,'Trips&amp;Operators'!$C$1:$E$9999,3,FALSE)</f>
        <v>NEWELL</v>
      </c>
      <c r="M48" s="12">
        <f t="shared" si="17"/>
        <v>3.033564815268619E-2</v>
      </c>
      <c r="N48" s="13">
        <f t="shared" ref="N48:N81" si="20">$M48*24*60</f>
        <v>43.683333339868113</v>
      </c>
      <c r="O48" s="13"/>
      <c r="P48" s="13"/>
      <c r="Q48" s="62"/>
      <c r="R48" s="62"/>
      <c r="T48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09:19:59-0600',mode:absolute,to:'2016-05-12 10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8" s="75" t="str">
        <f t="shared" si="15"/>
        <v>N</v>
      </c>
      <c r="V48" s="75">
        <f t="shared" si="19"/>
        <v>1</v>
      </c>
      <c r="W48" s="75">
        <f t="shared" si="5"/>
        <v>4.4600000000000001E-2</v>
      </c>
      <c r="X48" s="75">
        <f t="shared" si="6"/>
        <v>23.331399999999999</v>
      </c>
      <c r="Y48" s="75">
        <f t="shared" si="7"/>
        <v>23.286799999999999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248</v>
      </c>
      <c r="B49" s="61">
        <v>4019</v>
      </c>
      <c r="C49" s="61" t="s">
        <v>66</v>
      </c>
      <c r="D49" s="61" t="s">
        <v>145</v>
      </c>
      <c r="E49" s="30">
        <v>42502.422696759262</v>
      </c>
      <c r="F49" s="30">
        <v>42502.423425925925</v>
      </c>
      <c r="G49" s="38">
        <v>1</v>
      </c>
      <c r="H49" s="30" t="s">
        <v>78</v>
      </c>
      <c r="I49" s="30">
        <v>42502.460682870369</v>
      </c>
      <c r="J49" s="61">
        <v>1</v>
      </c>
      <c r="K49" s="61" t="str">
        <f t="shared" si="16"/>
        <v>4019/4020</v>
      </c>
      <c r="L49" s="61" t="str">
        <f>VLOOKUP(A49,'Trips&amp;Operators'!$C$1:$E$9999,3,FALSE)</f>
        <v>NEWELL</v>
      </c>
      <c r="M49" s="12">
        <f t="shared" si="17"/>
        <v>3.7256944444379769E-2</v>
      </c>
      <c r="N49" s="13">
        <f t="shared" si="20"/>
        <v>53.649999999906868</v>
      </c>
      <c r="O49" s="13"/>
      <c r="P49" s="13"/>
      <c r="Q49" s="62"/>
      <c r="R49" s="62"/>
      <c r="T49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10:07:41-0600',mode:absolute,to:'2016-05-12 11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9" s="75" t="str">
        <f t="shared" si="15"/>
        <v>N</v>
      </c>
      <c r="V49" s="75">
        <f t="shared" si="19"/>
        <v>1</v>
      </c>
      <c r="W49" s="75">
        <f t="shared" si="5"/>
        <v>23.3002</v>
      </c>
      <c r="X49" s="75">
        <f t="shared" si="6"/>
        <v>1.54E-2</v>
      </c>
      <c r="Y49" s="75">
        <f t="shared" si="7"/>
        <v>23.284800000000001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214</v>
      </c>
      <c r="B50" s="61">
        <v>4007</v>
      </c>
      <c r="C50" s="61" t="s">
        <v>66</v>
      </c>
      <c r="D50" s="61" t="s">
        <v>166</v>
      </c>
      <c r="E50" s="30">
        <v>42502.403217592589</v>
      </c>
      <c r="F50" s="30">
        <v>42502.405335648145</v>
      </c>
      <c r="G50" s="38">
        <v>3</v>
      </c>
      <c r="H50" s="30" t="s">
        <v>339</v>
      </c>
      <c r="I50" s="30">
        <v>42502.431041666663</v>
      </c>
      <c r="J50" s="61">
        <v>0</v>
      </c>
      <c r="K50" s="61" t="str">
        <f t="shared" si="16"/>
        <v>4007/4008</v>
      </c>
      <c r="L50" s="61" t="str">
        <f>VLOOKUP(A50,'Trips&amp;Operators'!$C$1:$E$9999,3,FALSE)</f>
        <v>YORK</v>
      </c>
      <c r="M50" s="12">
        <f t="shared" si="17"/>
        <v>2.5706018517666962E-2</v>
      </c>
      <c r="N50" s="13">
        <f t="shared" si="20"/>
        <v>37.016666665440425</v>
      </c>
      <c r="O50" s="13"/>
      <c r="P50" s="13"/>
      <c r="Q50" s="62"/>
      <c r="R50" s="62"/>
      <c r="T50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09:39:38-0600',mode:absolute,to:'2016-05-12 10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5" t="str">
        <f t="shared" si="15"/>
        <v>N</v>
      </c>
      <c r="V50" s="75">
        <f t="shared" si="19"/>
        <v>1</v>
      </c>
      <c r="W50" s="75">
        <f t="shared" si="5"/>
        <v>4.6899999999999997E-2</v>
      </c>
      <c r="X50" s="75">
        <f t="shared" si="6"/>
        <v>23.328900000000001</v>
      </c>
      <c r="Y50" s="75">
        <f t="shared" si="7"/>
        <v>23.282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256</v>
      </c>
      <c r="B51" s="61">
        <v>4008</v>
      </c>
      <c r="C51" s="61" t="s">
        <v>66</v>
      </c>
      <c r="D51" s="61" t="s">
        <v>343</v>
      </c>
      <c r="E51" s="30">
        <v>42502.440150462964</v>
      </c>
      <c r="F51" s="30">
        <v>42502.444282407407</v>
      </c>
      <c r="G51" s="38">
        <v>5</v>
      </c>
      <c r="H51" s="30" t="s">
        <v>150</v>
      </c>
      <c r="I51" s="30">
        <v>42502.472557870373</v>
      </c>
      <c r="J51" s="61">
        <v>1</v>
      </c>
      <c r="K51" s="61" t="str">
        <f t="shared" si="16"/>
        <v>4007/4008</v>
      </c>
      <c r="L51" s="61" t="str">
        <f>VLOOKUP(A51,'Trips&amp;Operators'!$C$1:$E$9999,3,FALSE)</f>
        <v>YORK</v>
      </c>
      <c r="M51" s="12">
        <f t="shared" si="17"/>
        <v>2.8275462966121268E-2</v>
      </c>
      <c r="N51" s="13">
        <f t="shared" si="20"/>
        <v>40.716666671214625</v>
      </c>
      <c r="O51" s="13"/>
      <c r="P51" s="13"/>
      <c r="Q51" s="62"/>
      <c r="R51" s="62"/>
      <c r="T51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10:32:49-0600',mode:absolute,to:'2016-05-12 11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5" t="str">
        <f t="shared" si="15"/>
        <v>N</v>
      </c>
      <c r="V51" s="75">
        <f t="shared" si="19"/>
        <v>1</v>
      </c>
      <c r="W51" s="75">
        <f t="shared" si="5"/>
        <v>23.296299999999999</v>
      </c>
      <c r="X51" s="75">
        <f t="shared" si="6"/>
        <v>1.5800000000000002E-2</v>
      </c>
      <c r="Y51" s="75">
        <f t="shared" si="7"/>
        <v>23.2805</v>
      </c>
      <c r="Z51" s="76">
        <f>VLOOKUP(A51,Enforcements!$C$3:$J$26,8,0)</f>
        <v>4677</v>
      </c>
      <c r="AA51" s="76" t="str">
        <f>VLOOKUP(A51,Enforcements!$C$3:$J$26,3,0)</f>
        <v>PERMANENT SPEED RESTRICTION</v>
      </c>
    </row>
    <row r="52" spans="1:27" s="2" customFormat="1" x14ac:dyDescent="0.25">
      <c r="A52" s="61" t="s">
        <v>212</v>
      </c>
      <c r="B52" s="61">
        <v>4009</v>
      </c>
      <c r="C52" s="61" t="s">
        <v>66</v>
      </c>
      <c r="D52" s="61" t="s">
        <v>82</v>
      </c>
      <c r="E52" s="30">
        <v>42502.410995370374</v>
      </c>
      <c r="F52" s="30">
        <v>42502.412048611113</v>
      </c>
      <c r="G52" s="38">
        <v>1</v>
      </c>
      <c r="H52" s="30" t="s">
        <v>345</v>
      </c>
      <c r="I52" s="30">
        <v>42502.441851851851</v>
      </c>
      <c r="J52" s="61">
        <v>0</v>
      </c>
      <c r="K52" s="61" t="str">
        <f t="shared" si="16"/>
        <v>4009/4010</v>
      </c>
      <c r="L52" s="61" t="str">
        <f>VLOOKUP(A52,'Trips&amp;Operators'!$C$1:$E$9999,3,FALSE)</f>
        <v>CANFIELD</v>
      </c>
      <c r="M52" s="12">
        <f t="shared" si="17"/>
        <v>2.9803240737237502E-2</v>
      </c>
      <c r="N52" s="13">
        <f t="shared" si="20"/>
        <v>42.916666661622003</v>
      </c>
      <c r="O52" s="13"/>
      <c r="P52" s="13"/>
      <c r="Q52" s="62"/>
      <c r="R52" s="62"/>
      <c r="T52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09:50:50-0600',mode:absolute,to:'2016-05-12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2" s="75" t="str">
        <f t="shared" si="15"/>
        <v>N</v>
      </c>
      <c r="V52" s="75">
        <f t="shared" si="19"/>
        <v>1</v>
      </c>
      <c r="W52" s="75">
        <f t="shared" si="5"/>
        <v>4.4699999999999997E-2</v>
      </c>
      <c r="X52" s="75">
        <f t="shared" si="6"/>
        <v>23.329799999999999</v>
      </c>
      <c r="Y52" s="75">
        <f t="shared" si="7"/>
        <v>23.2851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309</v>
      </c>
      <c r="B53" s="61">
        <v>4010</v>
      </c>
      <c r="C53" s="61" t="s">
        <v>66</v>
      </c>
      <c r="D53" s="61" t="s">
        <v>77</v>
      </c>
      <c r="E53" s="30">
        <v>42502.447905092595</v>
      </c>
      <c r="F53" s="30">
        <v>42502.448738425926</v>
      </c>
      <c r="G53" s="38">
        <v>1</v>
      </c>
      <c r="H53" s="30" t="s">
        <v>71</v>
      </c>
      <c r="I53" s="30">
        <v>42502.481550925928</v>
      </c>
      <c r="J53" s="61">
        <v>0</v>
      </c>
      <c r="K53" s="61" t="str">
        <f t="shared" si="16"/>
        <v>4009/4010</v>
      </c>
      <c r="L53" s="61" t="str">
        <f>VLOOKUP(A53,'Trips&amp;Operators'!$C$1:$E$9999,3,FALSE)</f>
        <v>CANFIELD</v>
      </c>
      <c r="M53" s="12">
        <f t="shared" si="17"/>
        <v>3.2812500001455192E-2</v>
      </c>
      <c r="N53" s="13">
        <f t="shared" si="20"/>
        <v>47.250000002095476</v>
      </c>
      <c r="O53" s="13"/>
      <c r="P53" s="13"/>
      <c r="Q53" s="62"/>
      <c r="R53" s="62"/>
      <c r="T53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10:43:59-0600',mode:absolute,to:'2016-05-12 11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3" s="75" t="str">
        <f t="shared" si="15"/>
        <v>N</v>
      </c>
      <c r="V53" s="75">
        <f t="shared" si="19"/>
        <v>1</v>
      </c>
      <c r="W53" s="75">
        <f t="shared" si="5"/>
        <v>23.299099999999999</v>
      </c>
      <c r="X53" s="75">
        <f t="shared" si="6"/>
        <v>1.5599999999999999E-2</v>
      </c>
      <c r="Y53" s="75">
        <f t="shared" si="7"/>
        <v>23.2835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278</v>
      </c>
      <c r="B54" s="61">
        <v>4014</v>
      </c>
      <c r="C54" s="61" t="s">
        <v>66</v>
      </c>
      <c r="D54" s="61" t="s">
        <v>344</v>
      </c>
      <c r="E54" s="30">
        <v>42502.423067129632</v>
      </c>
      <c r="F54" s="30">
        <v>42502.424340277779</v>
      </c>
      <c r="G54" s="38">
        <v>1</v>
      </c>
      <c r="H54" s="30" t="s">
        <v>160</v>
      </c>
      <c r="I54" s="30">
        <v>42502.451469907406</v>
      </c>
      <c r="J54" s="61">
        <v>1</v>
      </c>
      <c r="K54" s="61" t="str">
        <f t="shared" si="16"/>
        <v>4013/4014</v>
      </c>
      <c r="L54" s="61" t="str">
        <f>VLOOKUP(A54,'Trips&amp;Operators'!$C$1:$E$9999,3,FALSE)</f>
        <v>ADANE</v>
      </c>
      <c r="M54" s="12">
        <f t="shared" si="17"/>
        <v>2.7129629626870155E-2</v>
      </c>
      <c r="N54" s="13">
        <f t="shared" si="20"/>
        <v>39.066666662693024</v>
      </c>
      <c r="O54" s="13"/>
      <c r="P54" s="13"/>
      <c r="Q54" s="62"/>
      <c r="R54" s="62"/>
      <c r="T54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10:08:13-0600',mode:absolute,to:'2016-05-12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4" s="75" t="str">
        <f t="shared" si="15"/>
        <v>N</v>
      </c>
      <c r="V54" s="75">
        <f t="shared" si="19"/>
        <v>1</v>
      </c>
      <c r="W54" s="75">
        <f t="shared" si="5"/>
        <v>4.3799999999999999E-2</v>
      </c>
      <c r="X54" s="75">
        <f t="shared" si="6"/>
        <v>23.331800000000001</v>
      </c>
      <c r="Y54" s="75">
        <f t="shared" si="7"/>
        <v>23.288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293</v>
      </c>
      <c r="B55" s="61">
        <v>4013</v>
      </c>
      <c r="C55" s="61" t="s">
        <v>66</v>
      </c>
      <c r="D55" s="61" t="s">
        <v>113</v>
      </c>
      <c r="E55" s="30">
        <v>42502.459594907406</v>
      </c>
      <c r="F55" s="30">
        <v>42502.460636574076</v>
      </c>
      <c r="G55" s="38">
        <v>1</v>
      </c>
      <c r="H55" s="30" t="s">
        <v>81</v>
      </c>
      <c r="I55" s="30">
        <v>42502.49113425926</v>
      </c>
      <c r="J55" s="61">
        <v>0</v>
      </c>
      <c r="K55" s="61" t="str">
        <f t="shared" si="16"/>
        <v>4013/4014</v>
      </c>
      <c r="L55" s="61" t="str">
        <f>VLOOKUP(A55,'Trips&amp;Operators'!$C$1:$E$9999,3,FALSE)</f>
        <v>ADANE</v>
      </c>
      <c r="M55" s="12">
        <f t="shared" si="17"/>
        <v>3.0497685183945578E-2</v>
      </c>
      <c r="N55" s="13">
        <f t="shared" si="20"/>
        <v>43.916666664881632</v>
      </c>
      <c r="O55" s="13"/>
      <c r="P55" s="13"/>
      <c r="Q55" s="62"/>
      <c r="R55" s="62"/>
      <c r="T55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11:00:49-0600',mode:absolute,to:'2016-05-12 11:48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5" s="75" t="str">
        <f t="shared" si="15"/>
        <v>N</v>
      </c>
      <c r="V55" s="75">
        <f t="shared" si="19"/>
        <v>1</v>
      </c>
      <c r="W55" s="75">
        <f t="shared" si="5"/>
        <v>23.297499999999999</v>
      </c>
      <c r="X55" s="75">
        <f t="shared" si="6"/>
        <v>1.4500000000000001E-2</v>
      </c>
      <c r="Y55" s="75">
        <f t="shared" si="7"/>
        <v>23.282999999999998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210</v>
      </c>
      <c r="B56" s="61">
        <v>4025</v>
      </c>
      <c r="C56" s="61" t="s">
        <v>66</v>
      </c>
      <c r="D56" s="61" t="s">
        <v>87</v>
      </c>
      <c r="E56" s="30">
        <v>42502.431516203702</v>
      </c>
      <c r="F56" s="30">
        <v>42502.432766203703</v>
      </c>
      <c r="G56" s="38">
        <v>1</v>
      </c>
      <c r="H56" s="30" t="s">
        <v>98</v>
      </c>
      <c r="I56" s="30">
        <v>42502.462418981479</v>
      </c>
      <c r="J56" s="61">
        <v>0</v>
      </c>
      <c r="K56" s="61" t="str">
        <f t="shared" si="16"/>
        <v>4025/4026</v>
      </c>
      <c r="L56" s="61" t="str">
        <f>VLOOKUP(A56,'Trips&amp;Operators'!$C$1:$E$9999,3,FALSE)</f>
        <v>CHANDLER</v>
      </c>
      <c r="M56" s="12">
        <f t="shared" si="17"/>
        <v>2.9652777775481809E-2</v>
      </c>
      <c r="N56" s="13">
        <f t="shared" si="20"/>
        <v>42.699999996693805</v>
      </c>
      <c r="O56" s="13"/>
      <c r="P56" s="13"/>
      <c r="Q56" s="62"/>
      <c r="R56" s="62"/>
      <c r="T56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10:20:23-0600',mode:absolute,to:'2016-05-12 11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6" s="75" t="str">
        <f t="shared" si="15"/>
        <v>N</v>
      </c>
      <c r="V56" s="75">
        <f t="shared" si="19"/>
        <v>1</v>
      </c>
      <c r="W56" s="75">
        <f t="shared" si="5"/>
        <v>4.5100000000000001E-2</v>
      </c>
      <c r="X56" s="75">
        <f t="shared" si="6"/>
        <v>23.331399999999999</v>
      </c>
      <c r="Y56" s="75">
        <f t="shared" si="7"/>
        <v>23.286299999999997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201</v>
      </c>
      <c r="B57" s="61">
        <v>4026</v>
      </c>
      <c r="C57" s="61" t="s">
        <v>66</v>
      </c>
      <c r="D57" s="61" t="s">
        <v>96</v>
      </c>
      <c r="E57" s="30">
        <v>42502.470150462963</v>
      </c>
      <c r="F57" s="30">
        <v>42502.47142361111</v>
      </c>
      <c r="G57" s="38">
        <v>1</v>
      </c>
      <c r="H57" s="30" t="s">
        <v>192</v>
      </c>
      <c r="I57" s="30">
        <v>42502.502523148149</v>
      </c>
      <c r="J57" s="61">
        <v>0</v>
      </c>
      <c r="K57" s="61" t="str">
        <f t="shared" si="16"/>
        <v>4025/4026</v>
      </c>
      <c r="L57" s="61" t="str">
        <f>VLOOKUP(A57,'Trips&amp;Operators'!$C$1:$E$9999,3,FALSE)</f>
        <v>CHANDLER</v>
      </c>
      <c r="M57" s="12">
        <f t="shared" si="17"/>
        <v>3.1099537038244307E-2</v>
      </c>
      <c r="N57" s="13">
        <f t="shared" si="20"/>
        <v>44.783333335071802</v>
      </c>
      <c r="O57" s="13"/>
      <c r="P57" s="13"/>
      <c r="Q57" s="62"/>
      <c r="R57" s="62"/>
      <c r="T57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11:16:01-0600',mode:absolute,to:'2016-05-12 12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7" s="75" t="str">
        <f t="shared" si="15"/>
        <v>N</v>
      </c>
      <c r="V57" s="75">
        <f t="shared" si="19"/>
        <v>1</v>
      </c>
      <c r="W57" s="75">
        <f t="shared" si="5"/>
        <v>23.299399999999999</v>
      </c>
      <c r="X57" s="75">
        <f t="shared" si="6"/>
        <v>1.3899999999999999E-2</v>
      </c>
      <c r="Y57" s="75">
        <f t="shared" si="7"/>
        <v>23.285499999999999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204</v>
      </c>
      <c r="B58" s="61">
        <v>4040</v>
      </c>
      <c r="C58" s="61" t="s">
        <v>66</v>
      </c>
      <c r="D58" s="61" t="s">
        <v>164</v>
      </c>
      <c r="E58" s="30">
        <v>42502.442361111112</v>
      </c>
      <c r="F58" s="30">
        <v>42502.443912037037</v>
      </c>
      <c r="G58" s="38">
        <v>2</v>
      </c>
      <c r="H58" s="30" t="s">
        <v>342</v>
      </c>
      <c r="I58" s="30">
        <v>42502.47315972222</v>
      </c>
      <c r="J58" s="61">
        <v>0</v>
      </c>
      <c r="K58" s="61" t="str">
        <f t="shared" si="16"/>
        <v>4039/4040</v>
      </c>
      <c r="L58" s="61" t="str">
        <f>VLOOKUP(A58,'Trips&amp;Operators'!$C$1:$E$9999,3,FALSE)</f>
        <v>STEWART</v>
      </c>
      <c r="M58" s="12">
        <f t="shared" si="17"/>
        <v>2.9247685182781424E-2</v>
      </c>
      <c r="N58" s="13">
        <f t="shared" si="20"/>
        <v>42.116666663205251</v>
      </c>
      <c r="O58" s="13"/>
      <c r="P58" s="13"/>
      <c r="Q58" s="62"/>
      <c r="R58" s="62"/>
      <c r="T58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10:36:00-0600',mode:absolute,to:'2016-05-12 11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8" s="75" t="str">
        <f t="shared" ref="U58:U93" si="21">IF(Y58&lt;23,"Y","N")</f>
        <v>N</v>
      </c>
      <c r="V58" s="75">
        <f t="shared" si="19"/>
        <v>1</v>
      </c>
      <c r="W58" s="75">
        <f t="shared" si="5"/>
        <v>4.58E-2</v>
      </c>
      <c r="X58" s="75">
        <f t="shared" si="6"/>
        <v>23.3276</v>
      </c>
      <c r="Y58" s="75">
        <f t="shared" si="7"/>
        <v>23.2818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314</v>
      </c>
      <c r="B59" s="61">
        <v>4039</v>
      </c>
      <c r="C59" s="61" t="s">
        <v>66</v>
      </c>
      <c r="D59" s="61" t="s">
        <v>340</v>
      </c>
      <c r="E59" s="30">
        <v>42502.482199074075</v>
      </c>
      <c r="F59" s="30">
        <v>42502.483634259261</v>
      </c>
      <c r="G59" s="38">
        <v>2</v>
      </c>
      <c r="H59" s="30" t="s">
        <v>112</v>
      </c>
      <c r="I59" s="30">
        <v>42502.51290509259</v>
      </c>
      <c r="J59" s="61">
        <v>0</v>
      </c>
      <c r="K59" s="61" t="str">
        <f t="shared" si="16"/>
        <v>4039/4040</v>
      </c>
      <c r="L59" s="61" t="str">
        <f>VLOOKUP(A59,'Trips&amp;Operators'!$C$1:$E$9999,3,FALSE)</f>
        <v>STEWART</v>
      </c>
      <c r="M59" s="12">
        <f t="shared" si="17"/>
        <v>2.9270833329064772E-2</v>
      </c>
      <c r="N59" s="13">
        <f t="shared" si="20"/>
        <v>42.149999993853271</v>
      </c>
      <c r="O59" s="13"/>
      <c r="P59" s="13"/>
      <c r="Q59" s="62"/>
      <c r="R59" s="62"/>
      <c r="T59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11:33:22-0600',mode:absolute,to:'2016-05-12 12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9" s="75" t="str">
        <f t="shared" si="21"/>
        <v>N</v>
      </c>
      <c r="V59" s="75">
        <f t="shared" si="19"/>
        <v>1</v>
      </c>
      <c r="W59" s="75">
        <f t="shared" si="5"/>
        <v>23.2973</v>
      </c>
      <c r="X59" s="75">
        <f t="shared" si="6"/>
        <v>1.4999999999999999E-2</v>
      </c>
      <c r="Y59" s="75">
        <f t="shared" si="7"/>
        <v>23.282299999999999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198</v>
      </c>
      <c r="B60" s="61">
        <v>4018</v>
      </c>
      <c r="C60" s="61" t="s">
        <v>66</v>
      </c>
      <c r="D60" s="61" t="s">
        <v>102</v>
      </c>
      <c r="E60" s="30">
        <v>42502.456307870372</v>
      </c>
      <c r="F60" s="30">
        <v>42502.457395833335</v>
      </c>
      <c r="G60" s="38">
        <v>1</v>
      </c>
      <c r="H60" s="30" t="s">
        <v>85</v>
      </c>
      <c r="I60" s="30">
        <v>42502.483090277776</v>
      </c>
      <c r="J60" s="61">
        <v>0</v>
      </c>
      <c r="K60" s="61" t="str">
        <f t="shared" si="16"/>
        <v>4017/4018</v>
      </c>
      <c r="L60" s="61" t="str">
        <f>VLOOKUP(A60,'Trips&amp;Operators'!$C$1:$E$9999,3,FALSE)</f>
        <v>MALAVE</v>
      </c>
      <c r="M60" s="12">
        <f t="shared" si="17"/>
        <v>2.569444444088731E-2</v>
      </c>
      <c r="N60" s="13">
        <f t="shared" si="20"/>
        <v>36.999999994877726</v>
      </c>
      <c r="O60" s="13"/>
      <c r="P60" s="13"/>
      <c r="Q60" s="62"/>
      <c r="R60" s="62"/>
      <c r="T60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10:56:05-0600',mode:absolute,to:'2016-05-12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0" s="75" t="str">
        <f t="shared" si="21"/>
        <v>N</v>
      </c>
      <c r="V60" s="75">
        <f t="shared" si="19"/>
        <v>1</v>
      </c>
      <c r="W60" s="75">
        <f t="shared" si="5"/>
        <v>4.6600000000000003E-2</v>
      </c>
      <c r="X60" s="75">
        <f t="shared" si="6"/>
        <v>23.3308</v>
      </c>
      <c r="Y60" s="75">
        <f t="shared" si="7"/>
        <v>23.284199999999998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275</v>
      </c>
      <c r="B61" s="61">
        <v>4017</v>
      </c>
      <c r="C61" s="61" t="s">
        <v>66</v>
      </c>
      <c r="D61" s="61" t="s">
        <v>114</v>
      </c>
      <c r="E61" s="30">
        <v>42502.496666666666</v>
      </c>
      <c r="F61" s="30">
        <v>42502.497569444444</v>
      </c>
      <c r="G61" s="38">
        <v>1</v>
      </c>
      <c r="H61" s="30" t="s">
        <v>78</v>
      </c>
      <c r="I61" s="30">
        <v>42502.52275462963</v>
      </c>
      <c r="J61" s="61">
        <v>0</v>
      </c>
      <c r="K61" s="61" t="str">
        <f t="shared" si="16"/>
        <v>4017/4018</v>
      </c>
      <c r="L61" s="61" t="str">
        <f>VLOOKUP(A61,'Trips&amp;Operators'!$C$1:$E$9999,3,FALSE)</f>
        <v>MALAVE</v>
      </c>
      <c r="M61" s="12">
        <f t="shared" si="17"/>
        <v>2.5185185186273884E-2</v>
      </c>
      <c r="N61" s="13">
        <f t="shared" si="20"/>
        <v>36.266666668234393</v>
      </c>
      <c r="O61" s="13"/>
      <c r="P61" s="13"/>
      <c r="Q61" s="62"/>
      <c r="R61" s="62"/>
      <c r="T61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11:54:12-0600',mode:absolute,to:'2016-05-12 12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1" s="75" t="str">
        <f t="shared" si="21"/>
        <v>N</v>
      </c>
      <c r="V61" s="75">
        <f t="shared" si="19"/>
        <v>1</v>
      </c>
      <c r="W61" s="75">
        <f t="shared" si="5"/>
        <v>23.298100000000002</v>
      </c>
      <c r="X61" s="75">
        <f t="shared" si="6"/>
        <v>1.54E-2</v>
      </c>
      <c r="Y61" s="75">
        <f t="shared" si="7"/>
        <v>23.282700000000002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200</v>
      </c>
      <c r="B62" s="61">
        <v>4020</v>
      </c>
      <c r="C62" s="61" t="s">
        <v>66</v>
      </c>
      <c r="D62" s="61" t="s">
        <v>76</v>
      </c>
      <c r="E62" s="30">
        <v>42502.464432870373</v>
      </c>
      <c r="F62" s="30">
        <v>42502.465613425928</v>
      </c>
      <c r="G62" s="38">
        <v>1</v>
      </c>
      <c r="H62" s="30" t="s">
        <v>149</v>
      </c>
      <c r="I62" s="30">
        <v>42502.493703703702</v>
      </c>
      <c r="J62" s="61">
        <v>0</v>
      </c>
      <c r="K62" s="61" t="str">
        <f t="shared" si="16"/>
        <v>4019/4020</v>
      </c>
      <c r="L62" s="61" t="str">
        <f>VLOOKUP(A62,'Trips&amp;Operators'!$C$1:$E$9999,3,FALSE)</f>
        <v>SPECTOR</v>
      </c>
      <c r="M62" s="12">
        <f t="shared" si="17"/>
        <v>2.8090277774026617E-2</v>
      </c>
      <c r="N62" s="13">
        <f t="shared" si="20"/>
        <v>40.449999994598329</v>
      </c>
      <c r="O62" s="13"/>
      <c r="P62" s="13"/>
      <c r="Q62" s="62"/>
      <c r="R62" s="62"/>
      <c r="T62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11:07:47-0600',mode:absolute,to:'2016-05-12 11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2" s="75" t="str">
        <f t="shared" si="21"/>
        <v>N</v>
      </c>
      <c r="V62" s="75">
        <f t="shared" si="19"/>
        <v>1</v>
      </c>
      <c r="W62" s="75">
        <f t="shared" si="5"/>
        <v>4.5699999999999998E-2</v>
      </c>
      <c r="X62" s="75">
        <f t="shared" si="6"/>
        <v>23.330100000000002</v>
      </c>
      <c r="Y62" s="75">
        <f t="shared" si="7"/>
        <v>23.284400000000002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312</v>
      </c>
      <c r="B63" s="61">
        <v>4019</v>
      </c>
      <c r="C63" s="61" t="s">
        <v>66</v>
      </c>
      <c r="D63" s="61" t="s">
        <v>96</v>
      </c>
      <c r="E63" s="30">
        <v>42502.499085648145</v>
      </c>
      <c r="F63" s="30">
        <v>42502.500243055554</v>
      </c>
      <c r="G63" s="38">
        <v>1</v>
      </c>
      <c r="H63" s="30" t="s">
        <v>75</v>
      </c>
      <c r="I63" s="30">
        <v>42502.533321759256</v>
      </c>
      <c r="J63" s="61">
        <v>0</v>
      </c>
      <c r="K63" s="61" t="str">
        <f t="shared" si="16"/>
        <v>4019/4020</v>
      </c>
      <c r="L63" s="61" t="str">
        <f>VLOOKUP(A63,'Trips&amp;Operators'!$C$1:$E$9999,3,FALSE)</f>
        <v>SPECTOR</v>
      </c>
      <c r="M63" s="12">
        <f t="shared" si="17"/>
        <v>3.3078703701903578E-2</v>
      </c>
      <c r="N63" s="13">
        <f t="shared" si="20"/>
        <v>47.633333330741152</v>
      </c>
      <c r="O63" s="13"/>
      <c r="P63" s="13"/>
      <c r="Q63" s="62"/>
      <c r="R63" s="62"/>
      <c r="T63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11:57:41-0600',mode:absolute,to:'2016-05-12 12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5" t="str">
        <f t="shared" si="21"/>
        <v>N</v>
      </c>
      <c r="V63" s="75">
        <f t="shared" si="19"/>
        <v>1</v>
      </c>
      <c r="W63" s="75">
        <f t="shared" si="5"/>
        <v>23.299399999999999</v>
      </c>
      <c r="X63" s="75">
        <f t="shared" si="6"/>
        <v>1.43E-2</v>
      </c>
      <c r="Y63" s="75">
        <f t="shared" si="7"/>
        <v>23.2851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316</v>
      </c>
      <c r="B64" s="61">
        <v>4007</v>
      </c>
      <c r="C64" s="61" t="s">
        <v>66</v>
      </c>
      <c r="D64" s="61" t="s">
        <v>84</v>
      </c>
      <c r="E64" s="30">
        <v>42502.476817129631</v>
      </c>
      <c r="F64" s="30">
        <v>42502.477962962963</v>
      </c>
      <c r="G64" s="38">
        <v>1</v>
      </c>
      <c r="H64" s="30" t="s">
        <v>341</v>
      </c>
      <c r="I64" s="30">
        <v>42502.505266203705</v>
      </c>
      <c r="J64" s="61">
        <v>0</v>
      </c>
      <c r="K64" s="61" t="str">
        <f t="shared" si="16"/>
        <v>4007/4008</v>
      </c>
      <c r="L64" s="61" t="str">
        <f>VLOOKUP(A64,'Trips&amp;Operators'!$C$1:$E$9999,3,FALSE)</f>
        <v>STORY</v>
      </c>
      <c r="M64" s="12">
        <f t="shared" si="17"/>
        <v>2.7303240742185153E-2</v>
      </c>
      <c r="N64" s="13">
        <f t="shared" si="20"/>
        <v>39.31666666874662</v>
      </c>
      <c r="O64" s="13"/>
      <c r="P64" s="13"/>
      <c r="Q64" s="62"/>
      <c r="R64" s="62"/>
      <c r="T64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11:25:37-0600',mode:absolute,to:'2016-05-12 12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4" s="75" t="str">
        <f t="shared" si="21"/>
        <v>N</v>
      </c>
      <c r="V64" s="75">
        <f t="shared" si="19"/>
        <v>1</v>
      </c>
      <c r="W64" s="75">
        <f t="shared" si="5"/>
        <v>4.7100000000000003E-2</v>
      </c>
      <c r="X64" s="75">
        <f t="shared" si="6"/>
        <v>23.334900000000001</v>
      </c>
      <c r="Y64" s="75">
        <f t="shared" si="7"/>
        <v>23.287800000000001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310</v>
      </c>
      <c r="B65" s="61">
        <v>4008</v>
      </c>
      <c r="C65" s="61" t="s">
        <v>66</v>
      </c>
      <c r="D65" s="61" t="s">
        <v>174</v>
      </c>
      <c r="E65" s="30">
        <v>42502.514374999999</v>
      </c>
      <c r="F65" s="30">
        <v>42502.515590277777</v>
      </c>
      <c r="G65" s="38">
        <v>1</v>
      </c>
      <c r="H65" s="30" t="s">
        <v>81</v>
      </c>
      <c r="I65" s="30">
        <v>42502.543611111112</v>
      </c>
      <c r="J65" s="61">
        <v>0</v>
      </c>
      <c r="K65" s="61" t="str">
        <f t="shared" si="16"/>
        <v>4007/4008</v>
      </c>
      <c r="L65" s="61" t="str">
        <f>VLOOKUP(A65,'Trips&amp;Operators'!$C$1:$E$9999,3,FALSE)</f>
        <v>RIVERA</v>
      </c>
      <c r="M65" s="12">
        <f t="shared" si="17"/>
        <v>2.8020833335176576E-2</v>
      </c>
      <c r="N65" s="13">
        <f t="shared" si="20"/>
        <v>40.350000002654269</v>
      </c>
      <c r="O65" s="13"/>
      <c r="P65" s="13"/>
      <c r="Q65" s="62"/>
      <c r="R65" s="62"/>
      <c r="T65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12:19:42-0600',mode:absolute,to:'2016-05-12 13:03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5" s="75" t="str">
        <f t="shared" si="21"/>
        <v>N</v>
      </c>
      <c r="V65" s="75">
        <f t="shared" si="19"/>
        <v>1</v>
      </c>
      <c r="W65" s="75">
        <f t="shared" si="5"/>
        <v>23.3004</v>
      </c>
      <c r="X65" s="75">
        <f t="shared" si="6"/>
        <v>1.4500000000000001E-2</v>
      </c>
      <c r="Y65" s="75">
        <f t="shared" si="7"/>
        <v>23.285899999999998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311</v>
      </c>
      <c r="B66" s="61">
        <v>4009</v>
      </c>
      <c r="C66" s="61" t="s">
        <v>66</v>
      </c>
      <c r="D66" s="61" t="s">
        <v>102</v>
      </c>
      <c r="E66" s="30">
        <v>42502.484872685185</v>
      </c>
      <c r="F66" s="30">
        <v>42502.485983796294</v>
      </c>
      <c r="G66" s="38">
        <v>1</v>
      </c>
      <c r="H66" s="30" t="s">
        <v>339</v>
      </c>
      <c r="I66" s="30">
        <v>42502.514432870368</v>
      </c>
      <c r="J66" s="61">
        <v>0</v>
      </c>
      <c r="K66" s="61" t="str">
        <f t="shared" si="16"/>
        <v>4009/4010</v>
      </c>
      <c r="L66" s="61" t="str">
        <f>VLOOKUP(A66,'Trips&amp;Operators'!$C$1:$E$9999,3,FALSE)</f>
        <v>JACKSON</v>
      </c>
      <c r="M66" s="12">
        <f t="shared" si="17"/>
        <v>2.8449074074160308E-2</v>
      </c>
      <c r="N66" s="13">
        <f t="shared" si="20"/>
        <v>40.966666666790843</v>
      </c>
      <c r="O66" s="13"/>
      <c r="P66" s="13"/>
      <c r="Q66" s="62"/>
      <c r="R66" s="62"/>
      <c r="T66" s="75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11:37:13-0600',mode:absolute,to:'2016-05-12 12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6" s="75" t="str">
        <f t="shared" si="21"/>
        <v>N</v>
      </c>
      <c r="V66" s="75">
        <f t="shared" si="19"/>
        <v>1</v>
      </c>
      <c r="W66" s="75">
        <f t="shared" si="5"/>
        <v>4.6600000000000003E-2</v>
      </c>
      <c r="X66" s="75">
        <f t="shared" si="6"/>
        <v>23.328900000000001</v>
      </c>
      <c r="Y66" s="75">
        <f t="shared" si="7"/>
        <v>23.282299999999999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273</v>
      </c>
      <c r="B67" s="61">
        <v>4010</v>
      </c>
      <c r="C67" s="61" t="s">
        <v>66</v>
      </c>
      <c r="D67" s="61" t="s">
        <v>132</v>
      </c>
      <c r="E67" s="30">
        <v>42502.521631944444</v>
      </c>
      <c r="F67" s="30">
        <v>42502.522627314815</v>
      </c>
      <c r="G67" s="38">
        <v>1</v>
      </c>
      <c r="H67" s="30" t="s">
        <v>94</v>
      </c>
      <c r="I67" s="30">
        <v>42502.554722222223</v>
      </c>
      <c r="J67" s="61">
        <v>0</v>
      </c>
      <c r="K67" s="61" t="str">
        <f t="shared" ref="K67:K98" si="22">IF(ISEVEN(B67),(B67-1)&amp;"/"&amp;B67,B67&amp;"/"&amp;(B67+1))</f>
        <v>4009/4010</v>
      </c>
      <c r="L67" s="61" t="str">
        <f>VLOOKUP(A67,'Trips&amp;Operators'!$C$1:$E$9999,3,FALSE)</f>
        <v>JACKSON</v>
      </c>
      <c r="M67" s="12">
        <f t="shared" ref="M67:M98" si="23">I67-F67</f>
        <v>3.2094907408463769E-2</v>
      </c>
      <c r="N67" s="13">
        <f t="shared" si="20"/>
        <v>46.216666668187827</v>
      </c>
      <c r="O67" s="13"/>
      <c r="P67" s="13"/>
      <c r="Q67" s="62"/>
      <c r="R67" s="62"/>
      <c r="T67" s="75" t="str">
        <f t="shared" ref="T67:T98" si="24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https://search-rtdc-monitor-bjffxe2xuh6vdkpspy63sjmuny.us-east-1.es.amazonaws.com/_plugin/kibana/#/discover/Steve-Slow-Train-Analysis-(2080s-and-2083s)?_g=(refreshInterval:(display:Off,section:0,value:0),time:(from:'2016-05-12 12:30:09-0600',mode:absolute,to:'2016-05-12 13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7" s="75" t="str">
        <f t="shared" si="21"/>
        <v>N</v>
      </c>
      <c r="V67" s="75">
        <f t="shared" si="19"/>
        <v>1</v>
      </c>
      <c r="W67" s="75">
        <f t="shared" ref="W67:W126" si="25">RIGHT(D67,LEN(D67)-4)/10000</f>
        <v>23.2986</v>
      </c>
      <c r="X67" s="75">
        <f t="shared" ref="X67:X126" si="26">RIGHT(H67,LEN(H67)-4)/10000</f>
        <v>1.6299999999999999E-2</v>
      </c>
      <c r="Y67" s="75">
        <f t="shared" ref="Y67:Y126" si="27">ABS(X67-W67)</f>
        <v>23.282299999999999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313</v>
      </c>
      <c r="B68" s="61">
        <v>4014</v>
      </c>
      <c r="C68" s="61" t="s">
        <v>66</v>
      </c>
      <c r="D68" s="61" t="s">
        <v>76</v>
      </c>
      <c r="E68" s="30">
        <v>42502.496157407404</v>
      </c>
      <c r="F68" s="30">
        <v>42502.49722222222</v>
      </c>
      <c r="G68" s="38">
        <v>1</v>
      </c>
      <c r="H68" s="30" t="s">
        <v>68</v>
      </c>
      <c r="I68" s="30">
        <v>42502.525243055556</v>
      </c>
      <c r="J68" s="61">
        <v>1</v>
      </c>
      <c r="K68" s="61" t="str">
        <f t="shared" si="22"/>
        <v>4013/4014</v>
      </c>
      <c r="L68" s="61" t="str">
        <f>VLOOKUP(A68,'Trips&amp;Operators'!$C$1:$E$9999,3,FALSE)</f>
        <v>ADANE</v>
      </c>
      <c r="M68" s="12">
        <f t="shared" si="23"/>
        <v>2.8020833335176576E-2</v>
      </c>
      <c r="N68" s="13">
        <f t="shared" si="20"/>
        <v>40.350000002654269</v>
      </c>
      <c r="O68" s="13"/>
      <c r="P68" s="13"/>
      <c r="Q68" s="62"/>
      <c r="R68" s="62"/>
      <c r="T6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11:53:28-0600',mode:absolute,to:'2016-05-12 12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8" s="75" t="str">
        <f t="shared" si="21"/>
        <v>N</v>
      </c>
      <c r="V68" s="75">
        <f t="shared" si="19"/>
        <v>1</v>
      </c>
      <c r="W68" s="75">
        <f t="shared" si="25"/>
        <v>4.5699999999999998E-2</v>
      </c>
      <c r="X68" s="75">
        <f t="shared" si="26"/>
        <v>23.331</v>
      </c>
      <c r="Y68" s="75">
        <f t="shared" si="27"/>
        <v>23.285299999999999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308</v>
      </c>
      <c r="B69" s="61">
        <v>4013</v>
      </c>
      <c r="C69" s="61" t="s">
        <v>66</v>
      </c>
      <c r="D69" s="61" t="s">
        <v>80</v>
      </c>
      <c r="E69" s="30">
        <v>42502.537800925929</v>
      </c>
      <c r="F69" s="30">
        <v>42502.538888888892</v>
      </c>
      <c r="G69" s="38">
        <v>1</v>
      </c>
      <c r="H69" s="30" t="s">
        <v>388</v>
      </c>
      <c r="I69" s="30">
        <v>42502.564606481479</v>
      </c>
      <c r="J69" s="61">
        <v>1</v>
      </c>
      <c r="K69" s="61" t="str">
        <f t="shared" si="22"/>
        <v>4013/4014</v>
      </c>
      <c r="L69" s="61" t="str">
        <f>VLOOKUP(A69,'Trips&amp;Operators'!$C$1:$E$9999,3,FALSE)</f>
        <v>ADANE</v>
      </c>
      <c r="M69" s="12">
        <f t="shared" si="23"/>
        <v>2.5717592587170657E-2</v>
      </c>
      <c r="N69" s="13">
        <f t="shared" si="20"/>
        <v>37.033333325525746</v>
      </c>
      <c r="O69" s="13"/>
      <c r="P69" s="13"/>
      <c r="Q69" s="62"/>
      <c r="R69" s="62"/>
      <c r="T6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12:53:26-0600',mode:absolute,to:'2016-05-12 13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9" s="75" t="str">
        <f t="shared" si="21"/>
        <v>N</v>
      </c>
      <c r="V69" s="75">
        <f t="shared" si="19"/>
        <v>1</v>
      </c>
      <c r="W69" s="75">
        <f t="shared" si="25"/>
        <v>23.2989</v>
      </c>
      <c r="X69" s="75">
        <f t="shared" si="26"/>
        <v>1.29E-2</v>
      </c>
      <c r="Y69" s="75">
        <f t="shared" si="27"/>
        <v>23.286000000000001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203</v>
      </c>
      <c r="B70" s="61">
        <v>4025</v>
      </c>
      <c r="C70" s="61" t="s">
        <v>66</v>
      </c>
      <c r="D70" s="61" t="s">
        <v>344</v>
      </c>
      <c r="E70" s="30">
        <v>42502.505798611113</v>
      </c>
      <c r="F70" s="30">
        <v>42502.507060185184</v>
      </c>
      <c r="G70" s="38">
        <v>1</v>
      </c>
      <c r="H70" s="30" t="s">
        <v>98</v>
      </c>
      <c r="I70" s="30">
        <v>42502.536608796298</v>
      </c>
      <c r="J70" s="61">
        <v>0</v>
      </c>
      <c r="K70" s="61" t="str">
        <f t="shared" si="22"/>
        <v>4025/4026</v>
      </c>
      <c r="L70" s="61" t="str">
        <f>VLOOKUP(A70,'Trips&amp;Operators'!$C$1:$E$9999,3,FALSE)</f>
        <v>YOUNG</v>
      </c>
      <c r="M70" s="12">
        <f t="shared" si="23"/>
        <v>2.9548611113568768E-2</v>
      </c>
      <c r="N70" s="13">
        <f t="shared" si="20"/>
        <v>42.550000003539026</v>
      </c>
      <c r="O70" s="13"/>
      <c r="P70" s="13"/>
      <c r="Q70" s="62"/>
      <c r="R70" s="62"/>
      <c r="T7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12:07:21-0600',mode:absolute,to:'2016-05-12 12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0" s="75" t="str">
        <f t="shared" si="21"/>
        <v>N</v>
      </c>
      <c r="V70" s="75">
        <f t="shared" si="19"/>
        <v>1</v>
      </c>
      <c r="W70" s="75">
        <f t="shared" si="25"/>
        <v>4.3799999999999999E-2</v>
      </c>
      <c r="X70" s="75">
        <f t="shared" si="26"/>
        <v>23.331399999999999</v>
      </c>
      <c r="Y70" s="75">
        <f t="shared" si="27"/>
        <v>23.287599999999998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335</v>
      </c>
      <c r="B71" s="61">
        <v>4026</v>
      </c>
      <c r="C71" s="61" t="s">
        <v>66</v>
      </c>
      <c r="D71" s="61" t="s">
        <v>165</v>
      </c>
      <c r="E71" s="30">
        <v>42502.540717592594</v>
      </c>
      <c r="F71" s="30">
        <v>42502.54210648148</v>
      </c>
      <c r="G71" s="38">
        <v>2</v>
      </c>
      <c r="H71" s="30" t="s">
        <v>78</v>
      </c>
      <c r="I71" s="30">
        <v>42502.576585648145</v>
      </c>
      <c r="J71" s="61">
        <v>0</v>
      </c>
      <c r="K71" s="61" t="str">
        <f t="shared" si="22"/>
        <v>4025/4026</v>
      </c>
      <c r="L71" s="61" t="str">
        <f>VLOOKUP(A71,'Trips&amp;Operators'!$C$1:$E$9999,3,FALSE)</f>
        <v>YOUNG</v>
      </c>
      <c r="M71" s="12">
        <f t="shared" si="23"/>
        <v>3.4479166664823424E-2</v>
      </c>
      <c r="N71" s="13">
        <f t="shared" si="20"/>
        <v>49.649999997345731</v>
      </c>
      <c r="O71" s="13"/>
      <c r="P71" s="13"/>
      <c r="Q71" s="62"/>
      <c r="R71" s="62"/>
      <c r="T7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12:57:38-0600',mode:absolute,to:'2016-05-12 13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1" s="75" t="str">
        <f t="shared" si="21"/>
        <v>N</v>
      </c>
      <c r="V71" s="75">
        <f t="shared" si="19"/>
        <v>1</v>
      </c>
      <c r="W71" s="75">
        <f t="shared" si="25"/>
        <v>23.2988</v>
      </c>
      <c r="X71" s="75">
        <f t="shared" si="26"/>
        <v>1.54E-2</v>
      </c>
      <c r="Y71" s="75">
        <f t="shared" si="27"/>
        <v>23.2834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280</v>
      </c>
      <c r="B72" s="61">
        <v>4040</v>
      </c>
      <c r="C72" s="61" t="s">
        <v>66</v>
      </c>
      <c r="D72" s="61" t="s">
        <v>102</v>
      </c>
      <c r="E72" s="30">
        <v>42502.515868055554</v>
      </c>
      <c r="F72" s="30">
        <v>42502.519375000003</v>
      </c>
      <c r="G72" s="38">
        <v>5</v>
      </c>
      <c r="H72" s="30" t="s">
        <v>346</v>
      </c>
      <c r="I72" s="30">
        <v>42502.545810185184</v>
      </c>
      <c r="J72" s="61">
        <v>0</v>
      </c>
      <c r="K72" s="61" t="str">
        <f t="shared" si="22"/>
        <v>4039/4040</v>
      </c>
      <c r="L72" s="61" t="str">
        <f>VLOOKUP(A72,'Trips&amp;Operators'!$C$1:$E$9999,3,FALSE)</f>
        <v>STEWART</v>
      </c>
      <c r="M72" s="12">
        <f t="shared" si="23"/>
        <v>2.643518518016208E-2</v>
      </c>
      <c r="N72" s="13">
        <f t="shared" si="20"/>
        <v>38.066666659433395</v>
      </c>
      <c r="O72" s="13"/>
      <c r="P72" s="13"/>
      <c r="Q72" s="62"/>
      <c r="R72" s="62"/>
      <c r="T7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12:21:51-0600',mode:absolute,to:'2016-05-12 13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2" s="75" t="str">
        <f t="shared" si="21"/>
        <v>N</v>
      </c>
      <c r="V72" s="75">
        <f t="shared" si="19"/>
        <v>1</v>
      </c>
      <c r="W72" s="75">
        <f t="shared" si="25"/>
        <v>4.6600000000000003E-2</v>
      </c>
      <c r="X72" s="75">
        <f t="shared" si="26"/>
        <v>23.333200000000001</v>
      </c>
      <c r="Y72" s="75">
        <f t="shared" si="27"/>
        <v>23.2866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306</v>
      </c>
      <c r="B73" s="61">
        <v>4039</v>
      </c>
      <c r="C73" s="61" t="s">
        <v>66</v>
      </c>
      <c r="D73" s="61" t="s">
        <v>131</v>
      </c>
      <c r="E73" s="30">
        <v>42502.556747685187</v>
      </c>
      <c r="F73" s="30">
        <v>42502.557604166665</v>
      </c>
      <c r="G73" s="38">
        <v>1</v>
      </c>
      <c r="H73" s="30" t="s">
        <v>73</v>
      </c>
      <c r="I73" s="30">
        <v>42502.586585648147</v>
      </c>
      <c r="J73" s="61">
        <v>1</v>
      </c>
      <c r="K73" s="61" t="str">
        <f t="shared" si="22"/>
        <v>4039/4040</v>
      </c>
      <c r="L73" s="61" t="str">
        <f>VLOOKUP(A73,'Trips&amp;Operators'!$C$1:$E$9999,3,FALSE)</f>
        <v>STEWART</v>
      </c>
      <c r="M73" s="12">
        <f t="shared" si="23"/>
        <v>2.8981481482333038E-2</v>
      </c>
      <c r="N73" s="13">
        <f t="shared" si="20"/>
        <v>41.733333334559575</v>
      </c>
      <c r="O73" s="13"/>
      <c r="P73" s="13"/>
      <c r="Q73" s="62"/>
      <c r="R73" s="62"/>
      <c r="T7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13:20:43-0600',mode:absolute,to:'2016-05-12 14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3" s="75" t="str">
        <f t="shared" si="21"/>
        <v>N</v>
      </c>
      <c r="V73" s="75">
        <f t="shared" si="19"/>
        <v>1</v>
      </c>
      <c r="W73" s="75">
        <f t="shared" si="25"/>
        <v>23.300999999999998</v>
      </c>
      <c r="X73" s="75">
        <f t="shared" si="26"/>
        <v>1.49E-2</v>
      </c>
      <c r="Y73" s="75">
        <f t="shared" si="27"/>
        <v>23.286099999999998</v>
      </c>
      <c r="Z73" s="76">
        <f>VLOOKUP(A73,Enforcements!$C$3:$J$26,8,0)</f>
        <v>183829</v>
      </c>
      <c r="AA73" s="76" t="str">
        <f>VLOOKUP(A73,Enforcements!$C$3:$J$26,3,0)</f>
        <v>PERMANENT SPEED RESTRICTION</v>
      </c>
    </row>
    <row r="74" spans="1:27" s="2" customFormat="1" x14ac:dyDescent="0.25">
      <c r="A74" s="61" t="s">
        <v>282</v>
      </c>
      <c r="B74" s="61">
        <v>4018</v>
      </c>
      <c r="C74" s="61" t="s">
        <v>66</v>
      </c>
      <c r="D74" s="61" t="s">
        <v>87</v>
      </c>
      <c r="E74" s="30">
        <v>42502.525717592594</v>
      </c>
      <c r="F74" s="30">
        <v>42502.527141203704</v>
      </c>
      <c r="G74" s="38">
        <v>2</v>
      </c>
      <c r="H74" s="30" t="s">
        <v>162</v>
      </c>
      <c r="I74" s="30">
        <v>42502.556226851855</v>
      </c>
      <c r="J74" s="61">
        <v>0</v>
      </c>
      <c r="K74" s="61" t="str">
        <f t="shared" si="22"/>
        <v>4017/4018</v>
      </c>
      <c r="L74" s="61" t="str">
        <f>VLOOKUP(A74,'Trips&amp;Operators'!$C$1:$E$9999,3,FALSE)</f>
        <v>BARTLETT</v>
      </c>
      <c r="M74" s="12">
        <f t="shared" si="23"/>
        <v>2.9085648151522037E-2</v>
      </c>
      <c r="N74" s="13">
        <f t="shared" si="20"/>
        <v>41.883333338191733</v>
      </c>
      <c r="O74" s="13"/>
      <c r="P74" s="13"/>
      <c r="Q74" s="62"/>
      <c r="R74" s="62"/>
      <c r="T7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12:36:02-0600',mode:absolute,to:'2016-05-12 13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4" s="75" t="str">
        <f t="shared" si="21"/>
        <v>N</v>
      </c>
      <c r="V74" s="75">
        <f t="shared" si="19"/>
        <v>1</v>
      </c>
      <c r="W74" s="75">
        <f t="shared" si="25"/>
        <v>4.5100000000000001E-2</v>
      </c>
      <c r="X74" s="75">
        <f t="shared" si="26"/>
        <v>23.3322</v>
      </c>
      <c r="Y74" s="75">
        <f t="shared" si="27"/>
        <v>23.287099999999999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264</v>
      </c>
      <c r="B75" s="61">
        <v>4017</v>
      </c>
      <c r="C75" s="61" t="s">
        <v>66</v>
      </c>
      <c r="D75" s="61" t="s">
        <v>154</v>
      </c>
      <c r="E75" s="30">
        <v>42502.563402777778</v>
      </c>
      <c r="F75" s="30">
        <v>42502.564965277779</v>
      </c>
      <c r="G75" s="38">
        <v>2</v>
      </c>
      <c r="H75" s="30" t="s">
        <v>92</v>
      </c>
      <c r="I75" s="30">
        <v>42502.59642361111</v>
      </c>
      <c r="J75" s="61">
        <v>0</v>
      </c>
      <c r="K75" s="61" t="str">
        <f t="shared" si="22"/>
        <v>4017/4018</v>
      </c>
      <c r="L75" s="61" t="str">
        <f>VLOOKUP(A75,'Trips&amp;Operators'!$C$1:$E$9999,3,FALSE)</f>
        <v>BARTLETT</v>
      </c>
      <c r="M75" s="12">
        <f t="shared" si="23"/>
        <v>3.145833333110204E-2</v>
      </c>
      <c r="N75" s="13">
        <f t="shared" si="20"/>
        <v>45.299999996786937</v>
      </c>
      <c r="O75" s="13"/>
      <c r="P75" s="13"/>
      <c r="Q75" s="62"/>
      <c r="R75" s="62"/>
      <c r="T7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13:30:18-0600',mode:absolute,to:'2016-05-12 14:19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5" s="75" t="str">
        <f t="shared" si="21"/>
        <v>N</v>
      </c>
      <c r="V75" s="75">
        <f t="shared" si="19"/>
        <v>1</v>
      </c>
      <c r="W75" s="75">
        <f t="shared" si="25"/>
        <v>23.3001</v>
      </c>
      <c r="X75" s="75">
        <f t="shared" si="26"/>
        <v>1.52E-2</v>
      </c>
      <c r="Y75" s="75">
        <f t="shared" si="27"/>
        <v>23.2849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258</v>
      </c>
      <c r="B76" s="61">
        <v>4020</v>
      </c>
      <c r="C76" s="61" t="s">
        <v>66</v>
      </c>
      <c r="D76" s="61" t="s">
        <v>95</v>
      </c>
      <c r="E76" s="30">
        <v>42502.537476851852</v>
      </c>
      <c r="F76" s="30">
        <v>42502.538252314815</v>
      </c>
      <c r="G76" s="38">
        <v>1</v>
      </c>
      <c r="H76" s="30" t="s">
        <v>368</v>
      </c>
      <c r="I76" s="30">
        <v>42502.567407407405</v>
      </c>
      <c r="J76" s="61">
        <v>1</v>
      </c>
      <c r="K76" s="61" t="str">
        <f t="shared" si="22"/>
        <v>4019/4020</v>
      </c>
      <c r="L76" s="61" t="str">
        <f>VLOOKUP(A76,'Trips&amp;Operators'!$C$1:$E$9999,3,FALSE)</f>
        <v>SPECTOR</v>
      </c>
      <c r="M76" s="12">
        <f t="shared" si="23"/>
        <v>2.9155092590372078E-2</v>
      </c>
      <c r="N76" s="13">
        <f t="shared" si="20"/>
        <v>41.983333330135792</v>
      </c>
      <c r="O76" s="13"/>
      <c r="P76" s="13"/>
      <c r="Q76" s="62"/>
      <c r="R76" s="62"/>
      <c r="T7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12:52:58-0600',mode:absolute,to:'2016-05-12 13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6" s="75" t="str">
        <f t="shared" si="21"/>
        <v>N</v>
      </c>
      <c r="V76" s="75">
        <f t="shared" si="19"/>
        <v>1</v>
      </c>
      <c r="W76" s="75">
        <f t="shared" si="25"/>
        <v>4.4600000000000001E-2</v>
      </c>
      <c r="X76" s="75">
        <f t="shared" si="26"/>
        <v>23.326799999999999</v>
      </c>
      <c r="Y76" s="75">
        <f t="shared" si="27"/>
        <v>23.2822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315</v>
      </c>
      <c r="B77" s="61">
        <v>4019</v>
      </c>
      <c r="C77" s="61" t="s">
        <v>66</v>
      </c>
      <c r="D77" s="61" t="s">
        <v>191</v>
      </c>
      <c r="E77" s="30">
        <v>42502.576238425929</v>
      </c>
      <c r="F77" s="30">
        <v>42502.577013888891</v>
      </c>
      <c r="G77" s="38">
        <v>1</v>
      </c>
      <c r="H77" s="30" t="s">
        <v>385</v>
      </c>
      <c r="I77" s="30">
        <v>42502.606562499997</v>
      </c>
      <c r="J77" s="61">
        <v>1</v>
      </c>
      <c r="K77" s="61" t="str">
        <f t="shared" si="22"/>
        <v>4019/4020</v>
      </c>
      <c r="L77" s="61" t="str">
        <f>VLOOKUP(A77,'Trips&amp;Operators'!$C$1:$E$9999,3,FALSE)</f>
        <v>SPECTOR</v>
      </c>
      <c r="M77" s="12">
        <f t="shared" si="23"/>
        <v>2.954861110629281E-2</v>
      </c>
      <c r="N77" s="13">
        <f t="shared" si="20"/>
        <v>42.549999993061647</v>
      </c>
      <c r="O77" s="13"/>
      <c r="P77" s="13"/>
      <c r="Q77" s="62"/>
      <c r="R77" s="62"/>
      <c r="T7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13:48:47-0600',mode:absolute,to:'2016-05-12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7" s="75" t="str">
        <f t="shared" si="21"/>
        <v>N</v>
      </c>
      <c r="V77" s="75">
        <f t="shared" si="19"/>
        <v>1</v>
      </c>
      <c r="W77" s="75">
        <f t="shared" si="25"/>
        <v>23.296399999999998</v>
      </c>
      <c r="X77" s="75">
        <f t="shared" si="26"/>
        <v>1.9800000000000002E-2</v>
      </c>
      <c r="Y77" s="75">
        <f t="shared" si="27"/>
        <v>23.276599999999998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246</v>
      </c>
      <c r="B78" s="61">
        <v>4007</v>
      </c>
      <c r="C78" s="61" t="s">
        <v>66</v>
      </c>
      <c r="D78" s="61" t="s">
        <v>122</v>
      </c>
      <c r="E78" s="30">
        <v>42502.546099537038</v>
      </c>
      <c r="F78" s="30">
        <v>42502.547002314815</v>
      </c>
      <c r="G78" s="38">
        <v>1</v>
      </c>
      <c r="H78" s="30" t="s">
        <v>160</v>
      </c>
      <c r="I78" s="30">
        <v>42502.578009259261</v>
      </c>
      <c r="J78" s="61">
        <v>0</v>
      </c>
      <c r="K78" s="61" t="str">
        <f t="shared" si="22"/>
        <v>4007/4008</v>
      </c>
      <c r="L78" s="61" t="str">
        <f>VLOOKUP(A78,'Trips&amp;Operators'!$C$1:$E$9999,3,FALSE)</f>
        <v>STORY</v>
      </c>
      <c r="M78" s="12">
        <f t="shared" si="23"/>
        <v>3.1006944445834961E-2</v>
      </c>
      <c r="N78" s="13">
        <f t="shared" si="20"/>
        <v>44.650000002002344</v>
      </c>
      <c r="O78" s="13"/>
      <c r="P78" s="13"/>
      <c r="Q78" s="62"/>
      <c r="R78" s="62"/>
      <c r="T7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13:05:23-0600',mode:absolute,to:'2016-05-12 13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8" s="75" t="str">
        <f t="shared" si="21"/>
        <v>N</v>
      </c>
      <c r="V78" s="75">
        <f t="shared" si="19"/>
        <v>1</v>
      </c>
      <c r="W78" s="75">
        <f t="shared" si="25"/>
        <v>4.6199999999999998E-2</v>
      </c>
      <c r="X78" s="75">
        <f t="shared" si="26"/>
        <v>23.331800000000001</v>
      </c>
      <c r="Y78" s="75">
        <f t="shared" si="27"/>
        <v>23.285600000000002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304</v>
      </c>
      <c r="B79" s="61">
        <v>4008</v>
      </c>
      <c r="C79" s="61" t="s">
        <v>66</v>
      </c>
      <c r="D79" s="61" t="s">
        <v>384</v>
      </c>
      <c r="E79" s="30">
        <v>42502.585115740738</v>
      </c>
      <c r="F79" s="30">
        <v>42502.586076388892</v>
      </c>
      <c r="G79" s="38">
        <v>1</v>
      </c>
      <c r="H79" s="30" t="s">
        <v>120</v>
      </c>
      <c r="I79" s="30">
        <v>42502.617094907408</v>
      </c>
      <c r="J79" s="61">
        <v>0</v>
      </c>
      <c r="K79" s="61" t="str">
        <f t="shared" si="22"/>
        <v>4007/4008</v>
      </c>
      <c r="L79" s="61" t="str">
        <f>VLOOKUP(A79,'Trips&amp;Operators'!$C$1:$E$9999,3,FALSE)</f>
        <v>RIVERA</v>
      </c>
      <c r="M79" s="12">
        <f t="shared" si="23"/>
        <v>3.1018518515338656E-2</v>
      </c>
      <c r="N79" s="13">
        <f t="shared" si="20"/>
        <v>44.666666662087664</v>
      </c>
      <c r="O79" s="13"/>
      <c r="P79" s="13"/>
      <c r="Q79" s="62"/>
      <c r="R79" s="62"/>
      <c r="T7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14:01:34-0600',mode:absolute,to:'2016-05-12 14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9" s="75" t="str">
        <f t="shared" si="21"/>
        <v>N</v>
      </c>
      <c r="V79" s="75">
        <f t="shared" ref="V79:V92" si="28">VALUE(LEFT(A79,3))-VALUE(LEFT(A78,3))</f>
        <v>1</v>
      </c>
      <c r="W79" s="75">
        <f t="shared" si="25"/>
        <v>23.300699999999999</v>
      </c>
      <c r="X79" s="75">
        <f t="shared" si="26"/>
        <v>1.34E-2</v>
      </c>
      <c r="Y79" s="75">
        <f t="shared" si="27"/>
        <v>23.287299999999998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237</v>
      </c>
      <c r="B80" s="61">
        <v>4009</v>
      </c>
      <c r="C80" s="61" t="s">
        <v>66</v>
      </c>
      <c r="D80" s="61" t="s">
        <v>129</v>
      </c>
      <c r="E80" s="30">
        <v>42502.556921296295</v>
      </c>
      <c r="F80" s="30">
        <v>42502.557916666665</v>
      </c>
      <c r="G80" s="38">
        <v>1</v>
      </c>
      <c r="H80" s="30" t="s">
        <v>196</v>
      </c>
      <c r="I80" s="30">
        <v>42502.587835648148</v>
      </c>
      <c r="J80" s="61">
        <v>0</v>
      </c>
      <c r="K80" s="61" t="str">
        <f t="shared" si="22"/>
        <v>4009/4010</v>
      </c>
      <c r="L80" s="61" t="str">
        <f>VLOOKUP(A80,'Trips&amp;Operators'!$C$1:$E$9999,3,FALSE)</f>
        <v>JACKSON</v>
      </c>
      <c r="M80" s="12">
        <f t="shared" si="23"/>
        <v>2.9918981483206153E-2</v>
      </c>
      <c r="N80" s="13">
        <f t="shared" si="20"/>
        <v>43.08333333581686</v>
      </c>
      <c r="O80" s="13"/>
      <c r="P80" s="13"/>
      <c r="Q80" s="62"/>
      <c r="R80" s="62"/>
      <c r="T8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13:20:58-0600',mode:absolute,to:'2016-05-12 14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0" s="75" t="str">
        <f t="shared" si="21"/>
        <v>N</v>
      </c>
      <c r="V80" s="75">
        <f t="shared" si="28"/>
        <v>1</v>
      </c>
      <c r="W80" s="75">
        <f t="shared" si="25"/>
        <v>4.7300000000000002E-2</v>
      </c>
      <c r="X80" s="75">
        <f t="shared" si="26"/>
        <v>23.3323</v>
      </c>
      <c r="Y80" s="75">
        <f t="shared" si="27"/>
        <v>23.285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292</v>
      </c>
      <c r="B81" s="61">
        <v>4010</v>
      </c>
      <c r="C81" s="61" t="s">
        <v>66</v>
      </c>
      <c r="D81" s="61" t="s">
        <v>80</v>
      </c>
      <c r="E81" s="30">
        <v>42502.591111111113</v>
      </c>
      <c r="F81" s="30">
        <v>42502.592210648145</v>
      </c>
      <c r="G81" s="38">
        <v>1</v>
      </c>
      <c r="H81" s="30" t="s">
        <v>121</v>
      </c>
      <c r="I81" s="30">
        <v>42502.628958333335</v>
      </c>
      <c r="J81" s="61">
        <v>0</v>
      </c>
      <c r="K81" s="61" t="str">
        <f t="shared" si="22"/>
        <v>4009/4010</v>
      </c>
      <c r="L81" s="61" t="str">
        <f>VLOOKUP(A81,'Trips&amp;Operators'!$C$1:$E$9999,3,FALSE)</f>
        <v>JACKSON</v>
      </c>
      <c r="M81" s="12">
        <f t="shared" si="23"/>
        <v>3.6747685189766344E-2</v>
      </c>
      <c r="N81" s="13">
        <f t="shared" si="20"/>
        <v>52.916666673263535</v>
      </c>
      <c r="O81" s="13"/>
      <c r="P81" s="13"/>
      <c r="Q81" s="62"/>
      <c r="R81" s="62"/>
      <c r="T8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14:10:12-0600',mode:absolute,to:'2016-05-12 15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1" s="75" t="str">
        <f t="shared" si="21"/>
        <v>N</v>
      </c>
      <c r="V81" s="75">
        <f t="shared" si="28"/>
        <v>1</v>
      </c>
      <c r="W81" s="75">
        <f t="shared" si="25"/>
        <v>23.2989</v>
      </c>
      <c r="X81" s="75">
        <f t="shared" si="26"/>
        <v>1.47E-2</v>
      </c>
      <c r="Y81" s="75">
        <f t="shared" si="27"/>
        <v>23.284199999999998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323</v>
      </c>
      <c r="B82" s="61">
        <v>4014</v>
      </c>
      <c r="C82" s="61" t="s">
        <v>66</v>
      </c>
      <c r="D82" s="61" t="s">
        <v>386</v>
      </c>
      <c r="E82" s="30">
        <v>42502.569456018522</v>
      </c>
      <c r="F82" s="30">
        <v>42502.570335648146</v>
      </c>
      <c r="G82" s="38">
        <v>1</v>
      </c>
      <c r="H82" s="30" t="s">
        <v>387</v>
      </c>
      <c r="I82" s="30">
        <v>42502.597766203704</v>
      </c>
      <c r="J82" s="61">
        <v>0</v>
      </c>
      <c r="K82" s="61" t="str">
        <f t="shared" si="22"/>
        <v>4013/4014</v>
      </c>
      <c r="L82" s="61" t="str">
        <f>VLOOKUP(A82,'Trips&amp;Operators'!$C$1:$E$9999,3,FALSE)</f>
        <v>ADANE</v>
      </c>
      <c r="M82" s="12">
        <f t="shared" si="23"/>
        <v>2.7430555557657499E-2</v>
      </c>
      <c r="N82" s="13">
        <f t="shared" ref="N82:P113" si="29">$M82*24*60</f>
        <v>39.500000003026798</v>
      </c>
      <c r="O82" s="13"/>
      <c r="P82" s="13"/>
      <c r="Q82" s="62"/>
      <c r="R82" s="62"/>
      <c r="T8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13:39:01-0600',mode:absolute,to:'2016-05-12 14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2" s="75" t="str">
        <f t="shared" si="21"/>
        <v>N</v>
      </c>
      <c r="V82" s="75">
        <f t="shared" si="28"/>
        <v>1</v>
      </c>
      <c r="W82" s="75">
        <f t="shared" si="25"/>
        <v>4.1300000000000003E-2</v>
      </c>
      <c r="X82" s="75">
        <f t="shared" si="26"/>
        <v>23.327400000000001</v>
      </c>
      <c r="Y82" s="75">
        <f t="shared" si="27"/>
        <v>23.286100000000001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206</v>
      </c>
      <c r="B83" s="61">
        <v>4013</v>
      </c>
      <c r="C83" s="61" t="s">
        <v>66</v>
      </c>
      <c r="D83" s="61" t="s">
        <v>101</v>
      </c>
      <c r="E83" s="30">
        <v>42502.610567129632</v>
      </c>
      <c r="F83" s="30">
        <v>42502.611527777779</v>
      </c>
      <c r="G83" s="38">
        <v>1</v>
      </c>
      <c r="H83" s="30" t="s">
        <v>81</v>
      </c>
      <c r="I83" s="30">
        <v>42502.642013888886</v>
      </c>
      <c r="J83" s="61">
        <v>1</v>
      </c>
      <c r="K83" s="61" t="str">
        <f t="shared" si="22"/>
        <v>4013/4014</v>
      </c>
      <c r="L83" s="61" t="str">
        <f>VLOOKUP(A83,'Trips&amp;Operators'!$C$1:$E$9999,3,FALSE)</f>
        <v>ADANE</v>
      </c>
      <c r="M83" s="12">
        <f t="shared" si="23"/>
        <v>3.0486111107165925E-2</v>
      </c>
      <c r="N83" s="13">
        <f t="shared" si="29"/>
        <v>43.899999994318932</v>
      </c>
      <c r="O83" s="13"/>
      <c r="P83" s="13"/>
      <c r="Q83" s="62"/>
      <c r="R83" s="62"/>
      <c r="T8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14:38:13-0600',mode:absolute,to:'2016-05-12 15:25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3" s="75" t="str">
        <f t="shared" si="21"/>
        <v>N</v>
      </c>
      <c r="V83" s="75">
        <f t="shared" si="28"/>
        <v>1</v>
      </c>
      <c r="W83" s="75">
        <f t="shared" si="25"/>
        <v>23.297999999999998</v>
      </c>
      <c r="X83" s="75">
        <f t="shared" si="26"/>
        <v>1.4500000000000001E-2</v>
      </c>
      <c r="Y83" s="75">
        <f t="shared" si="27"/>
        <v>23.283499999999997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325</v>
      </c>
      <c r="B84" s="61">
        <v>4025</v>
      </c>
      <c r="C84" s="61" t="s">
        <v>66</v>
      </c>
      <c r="D84" s="61" t="s">
        <v>126</v>
      </c>
      <c r="E84" s="30">
        <v>42502.5780787037</v>
      </c>
      <c r="F84" s="30">
        <v>42502.578993055555</v>
      </c>
      <c r="G84" s="38">
        <v>1</v>
      </c>
      <c r="H84" s="30" t="s">
        <v>69</v>
      </c>
      <c r="I84" s="30">
        <v>42502.609953703701</v>
      </c>
      <c r="J84" s="61">
        <v>1</v>
      </c>
      <c r="K84" s="61" t="str">
        <f t="shared" si="22"/>
        <v>4025/4026</v>
      </c>
      <c r="L84" s="61" t="str">
        <f>VLOOKUP(A84,'Trips&amp;Operators'!$C$1:$E$9999,3,FALSE)</f>
        <v>YOUNG</v>
      </c>
      <c r="M84" s="12">
        <f t="shared" si="23"/>
        <v>3.0960648145992309E-2</v>
      </c>
      <c r="N84" s="13">
        <f t="shared" si="29"/>
        <v>44.583333330228925</v>
      </c>
      <c r="O84" s="13"/>
      <c r="P84" s="13"/>
      <c r="Q84" s="62"/>
      <c r="R84" s="62"/>
      <c r="T8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13:51:26-0600',mode:absolute,to:'2016-05-12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4" s="75" t="str">
        <f t="shared" si="21"/>
        <v>N</v>
      </c>
      <c r="V84" s="75">
        <f t="shared" si="28"/>
        <v>1</v>
      </c>
      <c r="W84" s="75">
        <f t="shared" si="25"/>
        <v>4.8000000000000001E-2</v>
      </c>
      <c r="X84" s="75">
        <f t="shared" si="26"/>
        <v>23.329499999999999</v>
      </c>
      <c r="Y84" s="75">
        <f t="shared" si="27"/>
        <v>23.281500000000001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271</v>
      </c>
      <c r="B85" s="61">
        <v>4026</v>
      </c>
      <c r="C85" s="61" t="s">
        <v>66</v>
      </c>
      <c r="D85" s="61" t="s">
        <v>96</v>
      </c>
      <c r="E85" s="30">
        <v>42502.611574074072</v>
      </c>
      <c r="F85" s="30">
        <v>42502.612407407411</v>
      </c>
      <c r="G85" s="38">
        <v>1</v>
      </c>
      <c r="H85" s="30" t="s">
        <v>113</v>
      </c>
      <c r="I85" s="30">
        <v>42502.691782407404</v>
      </c>
      <c r="J85" s="61">
        <v>5</v>
      </c>
      <c r="K85" s="61" t="str">
        <f t="shared" si="22"/>
        <v>4025/4026</v>
      </c>
      <c r="L85" s="61" t="str">
        <f>VLOOKUP(A85,'Trips&amp;Operators'!$C$1:$E$9999,3,FALSE)</f>
        <v>YOUNG</v>
      </c>
      <c r="M85" s="12">
        <f t="shared" si="23"/>
        <v>7.9374999993888196E-2</v>
      </c>
      <c r="N85" s="13">
        <f t="shared" si="29"/>
        <v>114.299999991199</v>
      </c>
      <c r="O85" s="13"/>
      <c r="P85" s="13"/>
      <c r="Q85" s="62"/>
      <c r="R85" s="62" t="s">
        <v>405</v>
      </c>
      <c r="T8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14:39:40-0600',mode:absolute,to:'2016-05-12 16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5" s="75" t="str">
        <f t="shared" si="21"/>
        <v>Y</v>
      </c>
      <c r="V85" s="75">
        <f t="shared" si="28"/>
        <v>1</v>
      </c>
      <c r="W85" s="75">
        <f t="shared" si="25"/>
        <v>23.299399999999999</v>
      </c>
      <c r="X85" s="75">
        <f t="shared" si="26"/>
        <v>23.297499999999999</v>
      </c>
      <c r="Y85" s="75">
        <f t="shared" si="27"/>
        <v>1.8999999999991246E-3</v>
      </c>
      <c r="Z85" s="76">
        <f>VLOOKUP(A85,Enforcements!$C$3:$J$26,8,0)</f>
        <v>108954</v>
      </c>
      <c r="AA85" s="76" t="str">
        <f>VLOOKUP(A85,Enforcements!$C$3:$J$26,3,0)</f>
        <v>GRADE CROSSING</v>
      </c>
    </row>
    <row r="86" spans="1:27" s="2" customFormat="1" x14ac:dyDescent="0.25">
      <c r="A86" s="61" t="s">
        <v>268</v>
      </c>
      <c r="B86" s="61">
        <v>4040</v>
      </c>
      <c r="C86" s="61" t="s">
        <v>66</v>
      </c>
      <c r="D86" s="61" t="s">
        <v>87</v>
      </c>
      <c r="E86" s="30">
        <v>42502.589456018519</v>
      </c>
      <c r="F86" s="30">
        <v>42502.590821759259</v>
      </c>
      <c r="G86" s="38">
        <v>1</v>
      </c>
      <c r="H86" s="30" t="s">
        <v>153</v>
      </c>
      <c r="I86" s="30">
        <v>42502.618668981479</v>
      </c>
      <c r="J86" s="61">
        <v>0</v>
      </c>
      <c r="K86" s="61" t="str">
        <f t="shared" si="22"/>
        <v>4039/4040</v>
      </c>
      <c r="L86" s="61" t="str">
        <f>VLOOKUP(A86,'Trips&amp;Operators'!$C$1:$E$9999,3,FALSE)</f>
        <v>STEWART</v>
      </c>
      <c r="M86" s="12">
        <f t="shared" si="23"/>
        <v>2.7847222219861578E-2</v>
      </c>
      <c r="N86" s="13">
        <f t="shared" si="29"/>
        <v>40.099999996600673</v>
      </c>
      <c r="O86" s="13"/>
      <c r="P86" s="13"/>
      <c r="Q86" s="62"/>
      <c r="R86" s="62"/>
      <c r="T8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14:07:49-0600',mode:absolute,to:'2016-05-12 14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6" s="75" t="str">
        <f t="shared" si="21"/>
        <v>N</v>
      </c>
      <c r="V86" s="75">
        <f t="shared" si="28"/>
        <v>1</v>
      </c>
      <c r="W86" s="75">
        <f t="shared" si="25"/>
        <v>4.5100000000000001E-2</v>
      </c>
      <c r="X86" s="75">
        <f t="shared" si="26"/>
        <v>23.328399999999998</v>
      </c>
      <c r="Y86" s="75">
        <f t="shared" si="27"/>
        <v>23.283299999999997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225</v>
      </c>
      <c r="B87" s="61">
        <v>4039</v>
      </c>
      <c r="C87" s="61" t="s">
        <v>66</v>
      </c>
      <c r="D87" s="61" t="s">
        <v>165</v>
      </c>
      <c r="E87" s="30">
        <v>42502.627384259256</v>
      </c>
      <c r="F87" s="30">
        <v>42502.628912037035</v>
      </c>
      <c r="G87" s="38">
        <v>2</v>
      </c>
      <c r="H87" s="30" t="s">
        <v>71</v>
      </c>
      <c r="I87" s="30">
        <v>42502.664409722223</v>
      </c>
      <c r="J87" s="61">
        <v>1</v>
      </c>
      <c r="K87" s="61" t="str">
        <f t="shared" si="22"/>
        <v>4039/4040</v>
      </c>
      <c r="L87" s="61" t="str">
        <f>VLOOKUP(A87,'Trips&amp;Operators'!$C$1:$E$9999,3,FALSE)</f>
        <v>STEWART</v>
      </c>
      <c r="M87" s="12">
        <f t="shared" si="23"/>
        <v>3.549768518860219E-2</v>
      </c>
      <c r="N87" s="13">
        <f t="shared" si="29"/>
        <v>51.116666671587154</v>
      </c>
      <c r="O87" s="13"/>
      <c r="P87" s="13"/>
      <c r="Q87" s="62"/>
      <c r="R87" s="62"/>
      <c r="T8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15:02:26-0600',mode:absolute,to:'2016-05-12 15:57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7" s="75" t="str">
        <f t="shared" si="21"/>
        <v>N</v>
      </c>
      <c r="V87" s="75">
        <f t="shared" si="28"/>
        <v>1</v>
      </c>
      <c r="W87" s="75">
        <f t="shared" si="25"/>
        <v>23.2988</v>
      </c>
      <c r="X87" s="75">
        <f t="shared" si="26"/>
        <v>1.5599999999999999E-2</v>
      </c>
      <c r="Y87" s="75">
        <f t="shared" si="27"/>
        <v>23.283200000000001</v>
      </c>
      <c r="Z87" s="76">
        <f>VLOOKUP(A87,Enforcements!$C$3:$J$26,8,0)</f>
        <v>228668</v>
      </c>
      <c r="AA87" s="76" t="str">
        <f>VLOOKUP(A87,Enforcements!$C$3:$J$26,3,0)</f>
        <v>PERMANENT SPEED RESTRICTION</v>
      </c>
    </row>
    <row r="88" spans="1:27" s="2" customFormat="1" x14ac:dyDescent="0.25">
      <c r="A88" s="61" t="s">
        <v>245</v>
      </c>
      <c r="B88" s="61">
        <v>4018</v>
      </c>
      <c r="C88" s="61" t="s">
        <v>66</v>
      </c>
      <c r="D88" s="61" t="s">
        <v>383</v>
      </c>
      <c r="E88" s="30">
        <v>42502.598993055559</v>
      </c>
      <c r="F88" s="30">
        <v>42502.600335648145</v>
      </c>
      <c r="G88" s="38">
        <v>1</v>
      </c>
      <c r="H88" s="30" t="s">
        <v>168</v>
      </c>
      <c r="I88" s="30">
        <v>42502.631423611114</v>
      </c>
      <c r="J88" s="61">
        <v>0</v>
      </c>
      <c r="K88" s="61" t="str">
        <f t="shared" si="22"/>
        <v>4017/4018</v>
      </c>
      <c r="L88" s="61" t="str">
        <f>VLOOKUP(A88,'Trips&amp;Operators'!$C$1:$E$9999,3,FALSE)</f>
        <v>BARTLETT</v>
      </c>
      <c r="M88" s="12">
        <f t="shared" si="23"/>
        <v>3.1087962968740612E-2</v>
      </c>
      <c r="N88" s="13">
        <f t="shared" si="29"/>
        <v>44.766666674986482</v>
      </c>
      <c r="O88" s="13"/>
      <c r="P88" s="13"/>
      <c r="Q88" s="62"/>
      <c r="R88" s="62"/>
      <c r="T8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14:21:33-0600',mode:absolute,to:'2016-05-12 15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8" s="75" t="str">
        <f t="shared" si="21"/>
        <v>N</v>
      </c>
      <c r="V88" s="75">
        <f t="shared" si="28"/>
        <v>1</v>
      </c>
      <c r="W88" s="75">
        <f t="shared" si="25"/>
        <v>4.7800000000000002E-2</v>
      </c>
      <c r="X88" s="75">
        <f t="shared" si="26"/>
        <v>23.3338</v>
      </c>
      <c r="Y88" s="75">
        <f t="shared" si="27"/>
        <v>23.286000000000001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217</v>
      </c>
      <c r="B89" s="61">
        <v>4017</v>
      </c>
      <c r="C89" s="61" t="s">
        <v>66</v>
      </c>
      <c r="D89" s="61" t="s">
        <v>96</v>
      </c>
      <c r="E89" s="30">
        <v>42502.638009259259</v>
      </c>
      <c r="F89" s="30">
        <v>42502.639317129629</v>
      </c>
      <c r="G89" s="38">
        <v>1</v>
      </c>
      <c r="H89" s="30" t="s">
        <v>121</v>
      </c>
      <c r="I89" s="30">
        <v>42502.673460648148</v>
      </c>
      <c r="J89" s="61">
        <v>0</v>
      </c>
      <c r="K89" s="61" t="str">
        <f t="shared" si="22"/>
        <v>4017/4018</v>
      </c>
      <c r="L89" s="61" t="str">
        <f>VLOOKUP(A89,'Trips&amp;Operators'!$C$1:$E$9999,3,FALSE)</f>
        <v>BARTLETT</v>
      </c>
      <c r="M89" s="12">
        <f t="shared" si="23"/>
        <v>3.4143518518249039E-2</v>
      </c>
      <c r="N89" s="13">
        <f t="shared" si="29"/>
        <v>49.166666666278616</v>
      </c>
      <c r="O89" s="13"/>
      <c r="P89" s="13"/>
      <c r="Q89" s="62"/>
      <c r="R89" s="62"/>
      <c r="T8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15:17:44-0600',mode:absolute,to:'2016-05-12 16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9" s="75" t="str">
        <f t="shared" si="21"/>
        <v>N</v>
      </c>
      <c r="V89" s="75">
        <f t="shared" si="28"/>
        <v>1</v>
      </c>
      <c r="W89" s="75">
        <f t="shared" si="25"/>
        <v>23.299399999999999</v>
      </c>
      <c r="X89" s="75">
        <f t="shared" si="26"/>
        <v>1.47E-2</v>
      </c>
      <c r="Y89" s="75">
        <f t="shared" si="27"/>
        <v>23.284699999999997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205</v>
      </c>
      <c r="B90" s="61">
        <v>4020</v>
      </c>
      <c r="C90" s="61" t="s">
        <v>66</v>
      </c>
      <c r="D90" s="61" t="s">
        <v>169</v>
      </c>
      <c r="E90" s="30">
        <v>42502.609872685185</v>
      </c>
      <c r="F90" s="30">
        <v>42502.610949074071</v>
      </c>
      <c r="G90" s="38">
        <v>1</v>
      </c>
      <c r="H90" s="30" t="s">
        <v>346</v>
      </c>
      <c r="I90" s="30">
        <v>42502.644317129627</v>
      </c>
      <c r="J90" s="61">
        <v>0</v>
      </c>
      <c r="K90" s="61" t="str">
        <f t="shared" si="22"/>
        <v>4019/4020</v>
      </c>
      <c r="L90" s="61" t="str">
        <f>VLOOKUP(A90,'Trips&amp;Operators'!$C$1:$E$9999,3,FALSE)</f>
        <v>SPECTOR</v>
      </c>
      <c r="M90" s="12">
        <f t="shared" si="23"/>
        <v>3.3368055555911269E-2</v>
      </c>
      <c r="N90" s="13">
        <f t="shared" si="29"/>
        <v>48.050000000512227</v>
      </c>
      <c r="O90" s="13"/>
      <c r="P90" s="13"/>
      <c r="Q90" s="62"/>
      <c r="R90" s="62"/>
      <c r="T9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14:37:13-0600',mode:absolute,to:'2016-05-12 15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5" t="str">
        <f t="shared" si="21"/>
        <v>N</v>
      </c>
      <c r="V90" s="75">
        <f t="shared" si="28"/>
        <v>1</v>
      </c>
      <c r="W90" s="75">
        <f t="shared" si="25"/>
        <v>5.11E-2</v>
      </c>
      <c r="X90" s="75">
        <f t="shared" si="26"/>
        <v>23.333200000000001</v>
      </c>
      <c r="Y90" s="75">
        <f t="shared" si="27"/>
        <v>23.2821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286</v>
      </c>
      <c r="B91" s="61">
        <v>4019</v>
      </c>
      <c r="C91" s="61" t="s">
        <v>66</v>
      </c>
      <c r="D91" s="61" t="s">
        <v>151</v>
      </c>
      <c r="E91" s="30">
        <v>42502.647939814815</v>
      </c>
      <c r="F91" s="30">
        <v>42502.648796296293</v>
      </c>
      <c r="G91" s="38">
        <v>1</v>
      </c>
      <c r="H91" s="30" t="s">
        <v>192</v>
      </c>
      <c r="I91" s="30">
        <v>42502.685717592591</v>
      </c>
      <c r="J91" s="61">
        <v>1</v>
      </c>
      <c r="K91" s="61" t="str">
        <f t="shared" si="22"/>
        <v>4019/4020</v>
      </c>
      <c r="L91" s="61" t="str">
        <f>VLOOKUP(A91,'Trips&amp;Operators'!$C$1:$E$9999,3,FALSE)</f>
        <v>SPECTOR</v>
      </c>
      <c r="M91" s="12">
        <f t="shared" si="23"/>
        <v>3.6921296297805384E-2</v>
      </c>
      <c r="N91" s="13">
        <f t="shared" si="29"/>
        <v>53.166666668839753</v>
      </c>
      <c r="O91" s="13"/>
      <c r="P91" s="13"/>
      <c r="Q91" s="62"/>
      <c r="R91" s="62"/>
      <c r="T9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15:32:02-0600',mode:absolute,to:'2016-05-12 16:28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1" s="75" t="str">
        <f t="shared" si="21"/>
        <v>N</v>
      </c>
      <c r="V91" s="75">
        <f t="shared" si="28"/>
        <v>1</v>
      </c>
      <c r="W91" s="75">
        <f t="shared" si="25"/>
        <v>23.298400000000001</v>
      </c>
      <c r="X91" s="75">
        <f t="shared" si="26"/>
        <v>1.3899999999999999E-2</v>
      </c>
      <c r="Y91" s="75">
        <f t="shared" si="27"/>
        <v>23.284500000000001</v>
      </c>
      <c r="Z91" s="76">
        <f>VLOOKUP(A91,Enforcements!$C$3:$J$26,8,0)</f>
        <v>4677</v>
      </c>
      <c r="AA91" s="76" t="str">
        <f>VLOOKUP(A91,Enforcements!$C$3:$J$26,3,0)</f>
        <v>PERMANENT SPEED RESTRICTION</v>
      </c>
    </row>
    <row r="92" spans="1:27" s="2" customFormat="1" x14ac:dyDescent="0.25">
      <c r="A92" s="61" t="s">
        <v>219</v>
      </c>
      <c r="B92" s="61">
        <v>4007</v>
      </c>
      <c r="C92" s="61" t="s">
        <v>66</v>
      </c>
      <c r="D92" s="61" t="s">
        <v>76</v>
      </c>
      <c r="E92" s="30">
        <v>42502.622789351852</v>
      </c>
      <c r="F92" s="30">
        <v>42502.624537037038</v>
      </c>
      <c r="G92" s="38">
        <v>2</v>
      </c>
      <c r="H92" s="30" t="s">
        <v>346</v>
      </c>
      <c r="I92" s="30">
        <v>42502.652962962966</v>
      </c>
      <c r="J92" s="61">
        <v>0</v>
      </c>
      <c r="K92" s="61" t="str">
        <f t="shared" si="22"/>
        <v>4007/4008</v>
      </c>
      <c r="L92" s="61" t="str">
        <f>VLOOKUP(A92,'Trips&amp;Operators'!$C$1:$E$9999,3,FALSE)</f>
        <v>STORY</v>
      </c>
      <c r="M92" s="12">
        <f t="shared" si="23"/>
        <v>2.842592592787696E-2</v>
      </c>
      <c r="N92" s="13">
        <f t="shared" si="29"/>
        <v>40.933333336142823</v>
      </c>
      <c r="O92" s="13"/>
      <c r="P92" s="13"/>
      <c r="Q92" s="62"/>
      <c r="R92" s="62"/>
      <c r="T9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14:55:49-0600',mode:absolute,to:'2016-05-12 15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2" s="75" t="str">
        <f t="shared" si="21"/>
        <v>N</v>
      </c>
      <c r="V92" s="75">
        <f t="shared" si="28"/>
        <v>1</v>
      </c>
      <c r="W92" s="75">
        <f t="shared" si="25"/>
        <v>4.5699999999999998E-2</v>
      </c>
      <c r="X92" s="75">
        <f t="shared" si="26"/>
        <v>23.333200000000001</v>
      </c>
      <c r="Y92" s="75">
        <f t="shared" si="27"/>
        <v>23.287500000000001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213</v>
      </c>
      <c r="B93" s="61">
        <v>4008</v>
      </c>
      <c r="C93" s="61" t="s">
        <v>66</v>
      </c>
      <c r="D93" s="61" t="s">
        <v>152</v>
      </c>
      <c r="E93" s="30">
        <v>42502.659004629626</v>
      </c>
      <c r="F93" s="30">
        <v>42502.660416666666</v>
      </c>
      <c r="G93" s="38">
        <v>2</v>
      </c>
      <c r="H93" s="30" t="s">
        <v>81</v>
      </c>
      <c r="I93" s="30">
        <v>42502.695428240739</v>
      </c>
      <c r="J93" s="61">
        <v>0</v>
      </c>
      <c r="K93" s="61" t="str">
        <f t="shared" si="22"/>
        <v>4007/4008</v>
      </c>
      <c r="L93" s="61" t="str">
        <f>VLOOKUP(A93,'Trips&amp;Operators'!$C$1:$E$9999,3,FALSE)</f>
        <v>RIVERA</v>
      </c>
      <c r="M93" s="12">
        <f t="shared" si="23"/>
        <v>3.5011574072996154E-2</v>
      </c>
      <c r="N93" s="13">
        <f>$M93*24*60</f>
        <v>50.416666665114462</v>
      </c>
      <c r="O93" s="13"/>
      <c r="P93" s="13"/>
      <c r="Q93" s="62"/>
      <c r="R93" s="62"/>
      <c r="T9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15:47:58-0600',mode:absolute,to:'2016-05-12 16:42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3" s="75" t="str">
        <f t="shared" si="21"/>
        <v>N</v>
      </c>
      <c r="V93" s="75">
        <f t="shared" ref="V93:V95" si="30">VALUE(LEFT(A93,3))-VALUE(LEFT(A92,3))</f>
        <v>1</v>
      </c>
      <c r="W93" s="75">
        <f>RIGHT(D93,LEN(D93)-4)/10000</f>
        <v>23.3017</v>
      </c>
      <c r="X93" s="75">
        <f>RIGHT(H93,LEN(H93)-4)/10000</f>
        <v>1.4500000000000001E-2</v>
      </c>
      <c r="Y93" s="75">
        <f>ABS(X93-W93)</f>
        <v>23.287199999999999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213</v>
      </c>
      <c r="B94" s="61">
        <v>4008</v>
      </c>
      <c r="C94" s="61" t="s">
        <v>66</v>
      </c>
      <c r="D94" s="61" t="s">
        <v>376</v>
      </c>
      <c r="E94" s="30">
        <v>42502.751909722225</v>
      </c>
      <c r="F94" s="30">
        <v>42502.737372685187</v>
      </c>
      <c r="G94" s="38">
        <v>0</v>
      </c>
      <c r="H94" s="30" t="s">
        <v>377</v>
      </c>
      <c r="I94" s="30">
        <v>42502.766898148147</v>
      </c>
      <c r="J94" s="61">
        <v>0</v>
      </c>
      <c r="K94" s="61" t="str">
        <f t="shared" si="22"/>
        <v>4007/4008</v>
      </c>
      <c r="L94" s="61" t="str">
        <f>VLOOKUP(A94,'Trips&amp;Operators'!$C$1:$E$9999,3,FALSE)</f>
        <v>RIVERA</v>
      </c>
      <c r="M94" s="12">
        <f t="shared" si="23"/>
        <v>2.9525462960009463E-2</v>
      </c>
      <c r="N94" s="13"/>
      <c r="O94" s="13"/>
      <c r="P94" s="13">
        <f t="shared" si="29"/>
        <v>42.516666662413627</v>
      </c>
      <c r="Q94" s="62" t="s">
        <v>396</v>
      </c>
      <c r="R94" s="62" t="s">
        <v>400</v>
      </c>
      <c r="T9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18:01:45-0600',mode:absolute,to:'2016-05-12 18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4" s="75" t="str">
        <f t="shared" ref="U94" si="31">IF(Y94&lt;23,"Y","N")</f>
        <v>N</v>
      </c>
      <c r="V94" s="75">
        <f t="shared" si="30"/>
        <v>0</v>
      </c>
      <c r="W94" s="75">
        <v>23.298300000000001</v>
      </c>
      <c r="X94" s="75">
        <f t="shared" si="26"/>
        <v>1.2999999999999999E-2</v>
      </c>
      <c r="Y94" s="75">
        <f t="shared" si="27"/>
        <v>23.285299999999999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215</v>
      </c>
      <c r="B95" s="61">
        <v>4009</v>
      </c>
      <c r="C95" s="61" t="s">
        <v>66</v>
      </c>
      <c r="D95" s="61" t="s">
        <v>84</v>
      </c>
      <c r="E95" s="30">
        <v>42502.632743055554</v>
      </c>
      <c r="F95" s="30">
        <v>42502.633784722224</v>
      </c>
      <c r="G95" s="38">
        <v>1</v>
      </c>
      <c r="H95" s="30" t="s">
        <v>175</v>
      </c>
      <c r="I95" s="30">
        <v>42502.664930555555</v>
      </c>
      <c r="J95" s="61">
        <v>0</v>
      </c>
      <c r="K95" s="61" t="str">
        <f t="shared" si="22"/>
        <v>4009/4010</v>
      </c>
      <c r="L95" s="61" t="str">
        <f>VLOOKUP(A95,'Trips&amp;Operators'!$C$1:$E$9999,3,FALSE)</f>
        <v>JACKSON</v>
      </c>
      <c r="M95" s="12">
        <f t="shared" si="23"/>
        <v>3.1145833330811001E-2</v>
      </c>
      <c r="N95" s="13">
        <f t="shared" si="29"/>
        <v>44.849999996367842</v>
      </c>
      <c r="O95" s="13"/>
      <c r="P95" s="13"/>
      <c r="Q95" s="62"/>
      <c r="R95" s="62"/>
      <c r="T9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15:10:09-0600',mode:absolute,to:'2016-05-12 15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5" s="75" t="str">
        <f>IF(Y95&lt;23,"Y","N")</f>
        <v>N</v>
      </c>
      <c r="V95" s="75">
        <f t="shared" si="30"/>
        <v>1</v>
      </c>
      <c r="W95" s="75">
        <f t="shared" si="25"/>
        <v>4.7100000000000003E-2</v>
      </c>
      <c r="X95" s="75">
        <f t="shared" si="26"/>
        <v>23.3307</v>
      </c>
      <c r="Y95" s="75">
        <f t="shared" si="27"/>
        <v>23.2836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243</v>
      </c>
      <c r="B96" s="61">
        <v>4010</v>
      </c>
      <c r="C96" s="61" t="s">
        <v>66</v>
      </c>
      <c r="D96" s="61" t="s">
        <v>349</v>
      </c>
      <c r="E96" s="30">
        <v>42502.66920138889</v>
      </c>
      <c r="F96" s="30">
        <v>42502.67119212963</v>
      </c>
      <c r="G96" s="38">
        <v>2</v>
      </c>
      <c r="H96" s="30" t="s">
        <v>150</v>
      </c>
      <c r="I96" s="30">
        <v>42502.707557870373</v>
      </c>
      <c r="J96" s="61">
        <v>2</v>
      </c>
      <c r="K96" s="61" t="str">
        <f t="shared" si="22"/>
        <v>4009/4010</v>
      </c>
      <c r="L96" s="61" t="str">
        <f>VLOOKUP(A96,'Trips&amp;Operators'!$C$1:$E$9999,3,FALSE)</f>
        <v>JACKSON</v>
      </c>
      <c r="M96" s="12">
        <f t="shared" si="23"/>
        <v>3.6365740743349306E-2</v>
      </c>
      <c r="N96" s="13">
        <f t="shared" si="29"/>
        <v>52.366666670423001</v>
      </c>
      <c r="O96" s="13"/>
      <c r="P96" s="13"/>
      <c r="Q96" s="62"/>
      <c r="R96" s="62"/>
      <c r="T9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16:02:39-0600',mode:absolute,to:'2016-05-12 16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6" s="75" t="str">
        <f>IF(Y96&lt;23,"Y","N")</f>
        <v>N</v>
      </c>
      <c r="V96" s="75">
        <f>VALUE(LEFT(A96,3))-VALUE(LEFT(A95,3))</f>
        <v>1</v>
      </c>
      <c r="W96" s="75">
        <f t="shared" si="25"/>
        <v>23.296900000000001</v>
      </c>
      <c r="X96" s="75">
        <f t="shared" si="26"/>
        <v>1.5800000000000002E-2</v>
      </c>
      <c r="Y96" s="75">
        <f t="shared" si="27"/>
        <v>23.281100000000002</v>
      </c>
      <c r="Z96" s="76">
        <f>VLOOKUP(A96,Enforcements!$C$3:$J$26,8,0)</f>
        <v>109135</v>
      </c>
      <c r="AA96" s="76" t="str">
        <f>VLOOKUP(A96,Enforcements!$C$3:$J$26,3,0)</f>
        <v>GRADE CROSSING</v>
      </c>
    </row>
    <row r="97" spans="1:27" s="2" customFormat="1" x14ac:dyDescent="0.25">
      <c r="A97" s="61" t="s">
        <v>302</v>
      </c>
      <c r="B97" s="61">
        <v>4014</v>
      </c>
      <c r="C97" s="61" t="s">
        <v>66</v>
      </c>
      <c r="D97" s="61" t="s">
        <v>129</v>
      </c>
      <c r="E97" s="30">
        <v>42502.643587962964</v>
      </c>
      <c r="F97" s="30">
        <v>42502.644618055558</v>
      </c>
      <c r="G97" s="38">
        <v>1</v>
      </c>
      <c r="H97" s="30" t="s">
        <v>85</v>
      </c>
      <c r="I97" s="30">
        <v>42502.673067129632</v>
      </c>
      <c r="J97" s="61">
        <v>0</v>
      </c>
      <c r="K97" s="61" t="str">
        <f t="shared" si="22"/>
        <v>4013/4014</v>
      </c>
      <c r="L97" s="61" t="str">
        <f>VLOOKUP(A97,'Trips&amp;Operators'!$C$1:$E$9999,3,FALSE)</f>
        <v>ADANE</v>
      </c>
      <c r="M97" s="12">
        <f t="shared" si="23"/>
        <v>2.8449074074160308E-2</v>
      </c>
      <c r="N97" s="13">
        <f t="shared" si="29"/>
        <v>40.966666666790843</v>
      </c>
      <c r="O97" s="13"/>
      <c r="P97" s="13"/>
      <c r="Q97" s="62"/>
      <c r="R97" s="62"/>
      <c r="T9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15:25:46-0600',mode:absolute,to:'2016-05-12 16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7" s="75" t="str">
        <f>IF(Y97&lt;23,"Y","N")</f>
        <v>N</v>
      </c>
      <c r="V97" s="75">
        <f>VALUE(LEFT(A97,3))-VALUE(LEFT(A96,3))</f>
        <v>1</v>
      </c>
      <c r="W97" s="75">
        <f t="shared" si="25"/>
        <v>4.7300000000000002E-2</v>
      </c>
      <c r="X97" s="75">
        <f t="shared" si="26"/>
        <v>23.3308</v>
      </c>
      <c r="Y97" s="75">
        <f t="shared" si="27"/>
        <v>23.2835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329</v>
      </c>
      <c r="B98" s="61">
        <v>4013</v>
      </c>
      <c r="C98" s="61" t="s">
        <v>66</v>
      </c>
      <c r="D98" s="61" t="s">
        <v>99</v>
      </c>
      <c r="E98" s="30">
        <v>42502.68277777778</v>
      </c>
      <c r="F98" s="30">
        <v>42502.684074074074</v>
      </c>
      <c r="G98" s="38">
        <v>1</v>
      </c>
      <c r="H98" s="30" t="s">
        <v>382</v>
      </c>
      <c r="I98" s="30">
        <v>42502.713252314818</v>
      </c>
      <c r="J98" s="61">
        <v>0</v>
      </c>
      <c r="K98" s="61" t="str">
        <f t="shared" si="22"/>
        <v>4013/4014</v>
      </c>
      <c r="L98" s="61" t="str">
        <f>VLOOKUP(A98,'Trips&amp;Operators'!$C$1:$E$9999,3,FALSE)</f>
        <v>ADANE</v>
      </c>
      <c r="M98" s="12">
        <f t="shared" si="23"/>
        <v>2.9178240743931383E-2</v>
      </c>
      <c r="N98" s="13">
        <f t="shared" si="29"/>
        <v>42.016666671261191</v>
      </c>
      <c r="O98" s="13"/>
      <c r="P98" s="13"/>
      <c r="Q98" s="62"/>
      <c r="R98" s="62"/>
      <c r="T9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16:22:12-0600',mode:absolute,to:'2016-05-12 17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8" s="75" t="str">
        <f>IF(Y98&lt;23,"Y","N")</f>
        <v>N</v>
      </c>
      <c r="V98" s="75">
        <f>VALUE(LEFT(A98,3))-VALUE(LEFT(A97,3))</f>
        <v>1</v>
      </c>
      <c r="W98" s="75">
        <f t="shared" si="25"/>
        <v>23.299299999999999</v>
      </c>
      <c r="X98" s="75">
        <f t="shared" si="26"/>
        <v>1.2699999999999999E-2</v>
      </c>
      <c r="Y98" s="75">
        <f t="shared" si="27"/>
        <v>23.2866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290</v>
      </c>
      <c r="B99" s="61">
        <v>4025</v>
      </c>
      <c r="C99" s="61"/>
      <c r="D99" s="61"/>
      <c r="E99" s="30"/>
      <c r="F99" s="30">
        <v>42502.656307870369</v>
      </c>
      <c r="G99" s="38"/>
      <c r="H99" s="30"/>
      <c r="I99" s="30">
        <v>42502.662777777776</v>
      </c>
      <c r="J99" s="61">
        <v>0</v>
      </c>
      <c r="K99" s="61" t="str">
        <f t="shared" ref="K99:K130" si="32">IF(ISEVEN(B99),(B99-1)&amp;"/"&amp;B99,B99&amp;"/"&amp;(B99+1))</f>
        <v>4025/4026</v>
      </c>
      <c r="L99" s="61" t="str">
        <f>VLOOKUP(A99,'Trips&amp;Operators'!$C$1:$E$9999,3,FALSE)</f>
        <v>YOUNG</v>
      </c>
      <c r="M99" s="12">
        <f t="shared" ref="M99:M130" si="33">I99-F99</f>
        <v>6.4699074064265005E-3</v>
      </c>
      <c r="N99" s="13"/>
      <c r="O99" s="13"/>
      <c r="P99" s="13">
        <f t="shared" si="29"/>
        <v>9.3166666652541608</v>
      </c>
      <c r="Q99" s="62"/>
      <c r="R99" s="62" t="s">
        <v>404</v>
      </c>
      <c r="T99" s="75" t="e">
        <f t="shared" ref="T99:T101" si="34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#VALUE!</v>
      </c>
      <c r="U99" s="75" t="str">
        <f t="shared" ref="U99:U100" si="35">IF(Y99&lt;23,"Y","N")</f>
        <v>Y</v>
      </c>
      <c r="V99" s="75">
        <f t="shared" ref="V99:V102" si="36">VALUE(LEFT(A99,3))-VALUE(LEFT(A98,3))</f>
        <v>1</v>
      </c>
      <c r="W99" s="75">
        <v>4.6199999999999998E-2</v>
      </c>
      <c r="X99" s="75">
        <v>4.7800000000000002E-2</v>
      </c>
      <c r="Y99" s="75">
        <f t="shared" ref="Y99" si="37">ABS(X99-W99)</f>
        <v>1.6000000000000042E-3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257</v>
      </c>
      <c r="B100" s="61">
        <v>4026</v>
      </c>
      <c r="C100" s="61" t="s">
        <v>66</v>
      </c>
      <c r="D100" s="61" t="s">
        <v>119</v>
      </c>
      <c r="E100" s="30">
        <v>42502.69189814815</v>
      </c>
      <c r="F100" s="30">
        <v>42502.693090277775</v>
      </c>
      <c r="G100" s="38">
        <v>1</v>
      </c>
      <c r="H100" s="30" t="s">
        <v>381</v>
      </c>
      <c r="I100" s="30">
        <v>42502.730393518519</v>
      </c>
      <c r="J100" s="61">
        <v>1</v>
      </c>
      <c r="K100" s="61" t="str">
        <f t="shared" si="32"/>
        <v>4025/4026</v>
      </c>
      <c r="L100" s="61" t="str">
        <f>VLOOKUP(A100,'Trips&amp;Operators'!$C$1:$E$9999,3,FALSE)</f>
        <v>YOUNG</v>
      </c>
      <c r="M100" s="12">
        <f t="shared" si="33"/>
        <v>3.7303240744222421E-2</v>
      </c>
      <c r="N100" s="13">
        <f t="shared" si="29"/>
        <v>53.716666671680287</v>
      </c>
      <c r="O100" s="13"/>
      <c r="P100" s="13"/>
      <c r="Q100" s="62"/>
      <c r="R100" s="62"/>
      <c r="T100" s="75" t="str">
        <f t="shared" si="34"/>
        <v>https://search-rtdc-monitor-bjffxe2xuh6vdkpspy63sjmuny.us-east-1.es.amazonaws.com/_plugin/kibana/#/discover/Steve-Slow-Train-Analysis-(2080s-and-2083s)?_g=(refreshInterval:(display:Off,section:0,value:0),time:(from:'2016-05-12 16:35:20-0600',mode:absolute,to:'2016-05-12 17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5" t="str">
        <f t="shared" si="35"/>
        <v>N</v>
      </c>
      <c r="V100" s="75">
        <f t="shared" si="36"/>
        <v>1</v>
      </c>
      <c r="W100" s="75">
        <f t="shared" si="25"/>
        <v>23.2971</v>
      </c>
      <c r="X100" s="75">
        <f t="shared" si="26"/>
        <v>0.10299999999999999</v>
      </c>
      <c r="Y100" s="75">
        <f t="shared" si="27"/>
        <v>23.194099999999999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207</v>
      </c>
      <c r="B101" s="61">
        <v>4040</v>
      </c>
      <c r="C101" s="61" t="s">
        <v>66</v>
      </c>
      <c r="D101" s="61" t="s">
        <v>155</v>
      </c>
      <c r="E101" s="30">
        <v>42502.666527777779</v>
      </c>
      <c r="F101" s="30">
        <v>42502.667858796296</v>
      </c>
      <c r="G101" s="38">
        <v>1</v>
      </c>
      <c r="H101" s="30" t="s">
        <v>93</v>
      </c>
      <c r="I101" s="30">
        <v>42502.699756944443</v>
      </c>
      <c r="J101" s="61">
        <v>0</v>
      </c>
      <c r="K101" s="61" t="str">
        <f t="shared" si="32"/>
        <v>4039/4040</v>
      </c>
      <c r="L101" s="61" t="str">
        <f>VLOOKUP(A101,'Trips&amp;Operators'!$C$1:$E$9999,3,FALSE)</f>
        <v>STEWART</v>
      </c>
      <c r="M101" s="12">
        <f t="shared" si="33"/>
        <v>3.1898148146865424E-2</v>
      </c>
      <c r="N101" s="13">
        <f t="shared" si="29"/>
        <v>45.93333333148621</v>
      </c>
      <c r="O101" s="13"/>
      <c r="P101" s="13"/>
      <c r="Q101" s="62"/>
      <c r="R101" s="62"/>
      <c r="T101" s="75" t="str">
        <f t="shared" si="34"/>
        <v>https://search-rtdc-monitor-bjffxe2xuh6vdkpspy63sjmuny.us-east-1.es.amazonaws.com/_plugin/kibana/#/discover/Steve-Slow-Train-Analysis-(2080s-and-2083s)?_g=(refreshInterval:(display:Off,section:0,value:0),time:(from:'2016-05-12 15:58:48-0600',mode:absolute,to:'2016-05-12 16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1" s="75" t="str">
        <f t="shared" ref="U101:U108" si="38">IF(Y101&lt;23,"Y","N")</f>
        <v>N</v>
      </c>
      <c r="V101" s="75">
        <f t="shared" si="36"/>
        <v>1</v>
      </c>
      <c r="W101" s="75">
        <f t="shared" si="25"/>
        <v>4.6699999999999998E-2</v>
      </c>
      <c r="X101" s="75">
        <f t="shared" si="26"/>
        <v>23.331199999999999</v>
      </c>
      <c r="Y101" s="75">
        <f t="shared" si="27"/>
        <v>23.284499999999998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244</v>
      </c>
      <c r="B102" s="61">
        <v>4039</v>
      </c>
      <c r="C102" s="61" t="s">
        <v>66</v>
      </c>
      <c r="D102" s="61" t="s">
        <v>88</v>
      </c>
      <c r="E102" s="30">
        <v>42502.705034722225</v>
      </c>
      <c r="F102" s="30">
        <v>42502.706493055557</v>
      </c>
      <c r="G102" s="38">
        <v>2</v>
      </c>
      <c r="H102" s="30" t="s">
        <v>176</v>
      </c>
      <c r="I102" s="30">
        <v>42502.737291666665</v>
      </c>
      <c r="J102" s="61">
        <v>1</v>
      </c>
      <c r="K102" s="61" t="str">
        <f t="shared" si="32"/>
        <v>4039/4040</v>
      </c>
      <c r="L102" s="61" t="str">
        <f>VLOOKUP(A102,'Trips&amp;Operators'!$C$1:$E$9999,3,FALSE)</f>
        <v>STEWART</v>
      </c>
      <c r="M102" s="12">
        <f t="shared" si="33"/>
        <v>3.0798611107456964E-2</v>
      </c>
      <c r="N102" s="13">
        <f t="shared" si="29"/>
        <v>44.349999994738027</v>
      </c>
      <c r="O102" s="13"/>
      <c r="P102" s="13"/>
      <c r="Q102" s="62"/>
      <c r="R102" s="62"/>
      <c r="T102" s="75" t="str">
        <f t="shared" ref="T102:T107" si="39"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https://search-rtdc-monitor-bjffxe2xuh6vdkpspy63sjmuny.us-east-1.es.amazonaws.com/_plugin/kibana/#/discover/Steve-Slow-Train-Analysis-(2080s-and-2083s)?_g=(refreshInterval:(display:Off,section:0,value:0),time:(from:'2016-05-12 16:54:15-0600',mode:absolute,to:'2016-05-12 17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2" s="75" t="str">
        <f t="shared" si="38"/>
        <v>N</v>
      </c>
      <c r="V102" s="75">
        <f t="shared" si="36"/>
        <v>1</v>
      </c>
      <c r="W102" s="75">
        <f t="shared" si="25"/>
        <v>23.3</v>
      </c>
      <c r="X102" s="75">
        <f t="shared" si="26"/>
        <v>1.7999999999999999E-2</v>
      </c>
      <c r="Y102" s="75">
        <f t="shared" si="27"/>
        <v>23.282</v>
      </c>
      <c r="Z102" s="76">
        <f>VLOOKUP(A102,Enforcements!$C$3:$J$26,8,0)</f>
        <v>126678</v>
      </c>
      <c r="AA102" s="76" t="str">
        <f>VLOOKUP(A102,Enforcements!$C$3:$J$26,3,0)</f>
        <v>EQUIPMENT RESTRICTION</v>
      </c>
    </row>
    <row r="103" spans="1:27" s="2" customFormat="1" x14ac:dyDescent="0.25">
      <c r="A103" s="61" t="s">
        <v>240</v>
      </c>
      <c r="B103" s="61">
        <v>4018</v>
      </c>
      <c r="C103" s="61" t="s">
        <v>66</v>
      </c>
      <c r="D103" s="61" t="s">
        <v>102</v>
      </c>
      <c r="E103" s="30">
        <v>42502.676087962966</v>
      </c>
      <c r="F103" s="30">
        <v>42502.677534722221</v>
      </c>
      <c r="G103" s="38">
        <v>2</v>
      </c>
      <c r="H103" s="30" t="s">
        <v>74</v>
      </c>
      <c r="I103" s="30">
        <v>42502.705833333333</v>
      </c>
      <c r="J103" s="61">
        <v>0</v>
      </c>
      <c r="K103" s="61" t="str">
        <f t="shared" si="32"/>
        <v>4017/4018</v>
      </c>
      <c r="L103" s="61" t="str">
        <f>VLOOKUP(A103,'Trips&amp;Operators'!$C$1:$E$9999,3,FALSE)</f>
        <v>BARTLETT</v>
      </c>
      <c r="M103" s="12">
        <f t="shared" si="33"/>
        <v>2.8298611112404615E-2</v>
      </c>
      <c r="N103" s="13">
        <f t="shared" si="29"/>
        <v>40.750000001862645</v>
      </c>
      <c r="O103" s="13"/>
      <c r="P103" s="13"/>
      <c r="Q103" s="62"/>
      <c r="R103" s="62"/>
      <c r="T10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16:12:34-0600',mode:absolute,to:'2016-05-12 16:57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3" s="75" t="str">
        <f t="shared" si="38"/>
        <v>N</v>
      </c>
      <c r="V103" s="75">
        <f>VALUE(LEFT(A103,3))-VALUE(LEFT(A102,3))</f>
        <v>1</v>
      </c>
      <c r="W103" s="75">
        <f t="shared" si="25"/>
        <v>4.6600000000000003E-2</v>
      </c>
      <c r="X103" s="75">
        <f t="shared" si="26"/>
        <v>23.330300000000001</v>
      </c>
      <c r="Y103" s="75">
        <f t="shared" si="27"/>
        <v>23.2837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317</v>
      </c>
      <c r="B104" s="61">
        <v>4017</v>
      </c>
      <c r="C104" s="61" t="s">
        <v>66</v>
      </c>
      <c r="D104" s="61" t="s">
        <v>128</v>
      </c>
      <c r="E104" s="30">
        <v>42502.712488425925</v>
      </c>
      <c r="F104" s="30">
        <v>42502.713842592595</v>
      </c>
      <c r="G104" s="38">
        <v>1</v>
      </c>
      <c r="H104" s="30" t="s">
        <v>78</v>
      </c>
      <c r="I104" s="30">
        <v>42502.742731481485</v>
      </c>
      <c r="J104" s="61">
        <v>0</v>
      </c>
      <c r="K104" s="61" t="str">
        <f t="shared" si="32"/>
        <v>4017/4018</v>
      </c>
      <c r="L104" s="61" t="str">
        <f>VLOOKUP(A104,'Trips&amp;Operators'!$C$1:$E$9999,3,FALSE)</f>
        <v>BARTLETT</v>
      </c>
      <c r="M104" s="12">
        <f t="shared" si="33"/>
        <v>2.8888888889923692E-2</v>
      </c>
      <c r="N104" s="13">
        <f t="shared" si="29"/>
        <v>41.600000001490116</v>
      </c>
      <c r="O104" s="13"/>
      <c r="P104" s="13"/>
      <c r="Q104" s="62"/>
      <c r="R104" s="62"/>
      <c r="T10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17:04:59-0600',mode:absolute,to:'2016-05-12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4" s="75" t="str">
        <f t="shared" si="38"/>
        <v>N</v>
      </c>
      <c r="V104" s="75">
        <f>VALUE(LEFT(A104,3))-VALUE(LEFT(A103,3))</f>
        <v>1</v>
      </c>
      <c r="W104" s="75">
        <f t="shared" si="25"/>
        <v>23.298200000000001</v>
      </c>
      <c r="X104" s="75">
        <f t="shared" si="26"/>
        <v>1.54E-2</v>
      </c>
      <c r="Y104" s="75">
        <f t="shared" si="27"/>
        <v>23.282800000000002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242</v>
      </c>
      <c r="B105" s="61">
        <v>4020</v>
      </c>
      <c r="C105" s="61" t="s">
        <v>66</v>
      </c>
      <c r="D105" s="61" t="s">
        <v>195</v>
      </c>
      <c r="E105" s="30">
        <v>42502.688321759262</v>
      </c>
      <c r="F105" s="30">
        <v>42502.689131944448</v>
      </c>
      <c r="G105" s="38">
        <v>1</v>
      </c>
      <c r="H105" s="30" t="s">
        <v>69</v>
      </c>
      <c r="I105" s="30">
        <v>42502.721585648149</v>
      </c>
      <c r="J105" s="61">
        <v>0</v>
      </c>
      <c r="K105" s="61" t="str">
        <f t="shared" si="32"/>
        <v>4019/4020</v>
      </c>
      <c r="L105" s="61" t="str">
        <f>VLOOKUP(A105,'Trips&amp;Operators'!$C$1:$E$9999,3,FALSE)</f>
        <v>SPECTOR</v>
      </c>
      <c r="M105" s="12">
        <f t="shared" si="33"/>
        <v>3.2453703701321501E-2</v>
      </c>
      <c r="N105" s="13">
        <f t="shared" si="29"/>
        <v>46.733333329902962</v>
      </c>
      <c r="O105" s="13"/>
      <c r="P105" s="13"/>
      <c r="Q105" s="62"/>
      <c r="R105" s="62"/>
      <c r="T10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16:30:11-0600',mode:absolute,to:'2016-05-12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5" s="75" t="str">
        <f t="shared" si="38"/>
        <v>N</v>
      </c>
      <c r="V105" s="75">
        <f>VALUE(LEFT(A105,3))-VALUE(LEFT(A104,3))</f>
        <v>1</v>
      </c>
      <c r="W105" s="75">
        <f t="shared" si="25"/>
        <v>4.4400000000000002E-2</v>
      </c>
      <c r="X105" s="75">
        <f t="shared" si="26"/>
        <v>23.329499999999999</v>
      </c>
      <c r="Y105" s="75">
        <f t="shared" si="27"/>
        <v>23.2851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208</v>
      </c>
      <c r="B106" s="61">
        <v>4019</v>
      </c>
      <c r="C106" s="61" t="s">
        <v>66</v>
      </c>
      <c r="D106" s="61" t="s">
        <v>70</v>
      </c>
      <c r="E106" s="30">
        <v>42502.728402777779</v>
      </c>
      <c r="F106" s="30">
        <v>42502.729375000003</v>
      </c>
      <c r="G106" s="38">
        <v>1</v>
      </c>
      <c r="H106" s="30" t="s">
        <v>81</v>
      </c>
      <c r="I106" s="30">
        <v>42502.758310185185</v>
      </c>
      <c r="J106" s="61">
        <v>0</v>
      </c>
      <c r="K106" s="61" t="str">
        <f t="shared" si="32"/>
        <v>4019/4020</v>
      </c>
      <c r="L106" s="61" t="str">
        <f>VLOOKUP(A106,'Trips&amp;Operators'!$C$1:$E$9999,3,FALSE)</f>
        <v>SPECTOR</v>
      </c>
      <c r="M106" s="12">
        <f t="shared" si="33"/>
        <v>2.8935185182490386E-2</v>
      </c>
      <c r="N106" s="13">
        <f t="shared" si="29"/>
        <v>41.666666662786156</v>
      </c>
      <c r="O106" s="13"/>
      <c r="P106" s="13"/>
      <c r="Q106" s="62"/>
      <c r="R106" s="62"/>
      <c r="T10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17:27:54-0600',mode:absolute,to:'2016-05-12 18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6" s="75" t="str">
        <f t="shared" si="38"/>
        <v>N</v>
      </c>
      <c r="V106" s="75">
        <f>VALUE(LEFT(A106,3))-VALUE(LEFT(A105,3))</f>
        <v>1</v>
      </c>
      <c r="W106" s="75">
        <f t="shared" si="25"/>
        <v>23.297799999999999</v>
      </c>
      <c r="X106" s="75">
        <f t="shared" si="26"/>
        <v>1.4500000000000001E-2</v>
      </c>
      <c r="Y106" s="75">
        <f t="shared" si="27"/>
        <v>23.283299999999997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326</v>
      </c>
      <c r="B107" s="61">
        <v>4007</v>
      </c>
      <c r="C107" s="61" t="s">
        <v>66</v>
      </c>
      <c r="D107" s="61" t="s">
        <v>97</v>
      </c>
      <c r="E107" s="30">
        <v>42502.69667824074</v>
      </c>
      <c r="F107" s="30">
        <v>42502.697893518518</v>
      </c>
      <c r="G107" s="38">
        <v>1</v>
      </c>
      <c r="H107" s="30" t="s">
        <v>98</v>
      </c>
      <c r="I107" s="30">
        <v>42502.734224537038</v>
      </c>
      <c r="J107" s="61">
        <v>0</v>
      </c>
      <c r="K107" s="61" t="str">
        <f t="shared" si="32"/>
        <v>4007/4008</v>
      </c>
      <c r="L107" s="61" t="str">
        <f>VLOOKUP(A107,'Trips&amp;Operators'!$C$1:$E$9999,3,FALSE)</f>
        <v>STORY</v>
      </c>
      <c r="M107" s="12">
        <f t="shared" si="33"/>
        <v>3.6331018520286307E-2</v>
      </c>
      <c r="N107" s="13">
        <f t="shared" si="29"/>
        <v>52.316666669212282</v>
      </c>
      <c r="O107" s="13"/>
      <c r="P107" s="13"/>
      <c r="Q107" s="62"/>
      <c r="R107" s="62"/>
      <c r="T10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16:42:13-0600',mode:absolute,to:'2016-05-12 17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7" s="75" t="str">
        <f t="shared" si="38"/>
        <v>N</v>
      </c>
      <c r="V107" s="75">
        <f t="shared" ref="V107:V109" si="40">VALUE(LEFT(A107,3))-VALUE(LEFT(A106,3))</f>
        <v>1</v>
      </c>
      <c r="W107" s="75">
        <f t="shared" si="25"/>
        <v>4.6399999999999997E-2</v>
      </c>
      <c r="X107" s="75">
        <f t="shared" si="26"/>
        <v>23.331399999999999</v>
      </c>
      <c r="Y107" s="75">
        <f t="shared" si="27"/>
        <v>23.285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221</v>
      </c>
      <c r="B108" s="61">
        <v>4009</v>
      </c>
      <c r="C108" s="61" t="s">
        <v>66</v>
      </c>
      <c r="D108" s="61" t="s">
        <v>380</v>
      </c>
      <c r="E108" s="30">
        <v>42502.732685185183</v>
      </c>
      <c r="F108" s="30">
        <v>42502.712488425925</v>
      </c>
      <c r="G108" s="38">
        <v>0</v>
      </c>
      <c r="H108" s="30" t="s">
        <v>193</v>
      </c>
      <c r="I108" s="30">
        <v>42502.744629629633</v>
      </c>
      <c r="J108" s="61">
        <v>1</v>
      </c>
      <c r="K108" s="61" t="str">
        <f t="shared" si="32"/>
        <v>4009/4010</v>
      </c>
      <c r="L108" s="61" t="str">
        <f>VLOOKUP(A108,'Trips&amp;Operators'!$C$1:$E$9999,3,FALSE)</f>
        <v>JACKSON</v>
      </c>
      <c r="M108" s="12">
        <f t="shared" si="33"/>
        <v>3.2141203708306421E-2</v>
      </c>
      <c r="N108" s="13"/>
      <c r="O108" s="13"/>
      <c r="P108" s="13">
        <f t="shared" si="29"/>
        <v>46.283333339961246</v>
      </c>
      <c r="Q108" s="62"/>
      <c r="R108" s="62" t="s">
        <v>400</v>
      </c>
      <c r="T108" s="75" t="str">
        <f t="shared" ref="T108:T116" si="41"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https://search-rtdc-monitor-bjffxe2xuh6vdkpspy63sjmuny.us-east-1.es.amazonaws.com/_plugin/kibana/#/discover/Steve-Slow-Train-Analysis-(2080s-and-2083s)?_g=(refreshInterval:(display:Off,section:0,value:0),time:(from:'2016-05-12 17:34:04-0600',mode:absolute,to:'2016-05-12 17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8" s="75" t="str">
        <f t="shared" si="38"/>
        <v>N</v>
      </c>
      <c r="V108" s="75">
        <f t="shared" si="40"/>
        <v>2</v>
      </c>
      <c r="W108" s="75">
        <v>4.5100000000000001E-2</v>
      </c>
      <c r="X108" s="75">
        <f t="shared" ref="X108:X116" si="42">RIGHT(H108,LEN(H108)-4)/10000</f>
        <v>23.3306</v>
      </c>
      <c r="Y108" s="75">
        <f t="shared" ref="Y108:Y116" si="43">ABS(X108-W108)</f>
        <v>23.285499999999999</v>
      </c>
      <c r="Z108" s="76">
        <f>VLOOKUP(A108,Enforcements!$C$3:$J$26,8,0)</f>
        <v>126585</v>
      </c>
      <c r="AA108" s="76" t="str">
        <f>VLOOKUP(A108,Enforcements!$C$3:$J$26,3,0)</f>
        <v>SIGNAL</v>
      </c>
    </row>
    <row r="109" spans="1:27" s="2" customFormat="1" x14ac:dyDescent="0.25">
      <c r="A109" s="61" t="s">
        <v>263</v>
      </c>
      <c r="B109" s="61">
        <v>4010</v>
      </c>
      <c r="C109" s="61" t="s">
        <v>66</v>
      </c>
      <c r="D109" s="61" t="s">
        <v>72</v>
      </c>
      <c r="E109" s="30">
        <v>42502.747650462959</v>
      </c>
      <c r="F109" s="30">
        <v>42502.748541666668</v>
      </c>
      <c r="G109" s="38">
        <v>1</v>
      </c>
      <c r="H109" s="30" t="s">
        <v>378</v>
      </c>
      <c r="I109" s="30">
        <v>42502.780266203707</v>
      </c>
      <c r="J109" s="61">
        <v>0</v>
      </c>
      <c r="K109" s="61" t="str">
        <f t="shared" si="32"/>
        <v>4009/4010</v>
      </c>
      <c r="L109" s="61" t="str">
        <f>VLOOKUP(A109,'Trips&amp;Operators'!$C$1:$E$9999,3,FALSE)</f>
        <v>JACKSON</v>
      </c>
      <c r="M109" s="12">
        <f t="shared" si="33"/>
        <v>3.1724537038826384E-2</v>
      </c>
      <c r="N109" s="13"/>
      <c r="O109" s="13"/>
      <c r="P109" s="13">
        <f t="shared" si="29"/>
        <v>45.683333335909992</v>
      </c>
      <c r="Q109" s="62"/>
      <c r="R109" s="62" t="s">
        <v>401</v>
      </c>
      <c r="T109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17:55:37-0600',mode:absolute,to:'2016-05-12 18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9" s="75" t="str">
        <f t="shared" ref="U109:U116" si="44">IF(Y109&lt;23,"Y","N")</f>
        <v>Y</v>
      </c>
      <c r="V109" s="75">
        <f t="shared" si="40"/>
        <v>1</v>
      </c>
      <c r="W109" s="75">
        <f t="shared" ref="W109:W116" si="45">RIGHT(D109,LEN(D109)-4)/10000</f>
        <v>23.298500000000001</v>
      </c>
      <c r="X109" s="75">
        <f t="shared" si="42"/>
        <v>12.785399999999999</v>
      </c>
      <c r="Y109" s="75">
        <f t="shared" si="43"/>
        <v>10.513100000000001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319</v>
      </c>
      <c r="B110" s="61">
        <v>4014</v>
      </c>
      <c r="C110" s="61" t="s">
        <v>66</v>
      </c>
      <c r="D110" s="61" t="s">
        <v>379</v>
      </c>
      <c r="E110" s="30">
        <v>42502.715451388889</v>
      </c>
      <c r="F110" s="30">
        <v>42502.71665509259</v>
      </c>
      <c r="G110" s="38">
        <v>1</v>
      </c>
      <c r="H110" s="30" t="s">
        <v>339</v>
      </c>
      <c r="I110" s="30">
        <v>42502.751620370371</v>
      </c>
      <c r="J110" s="61">
        <v>1</v>
      </c>
      <c r="K110" s="61" t="str">
        <f t="shared" si="32"/>
        <v>4013/4014</v>
      </c>
      <c r="L110" s="61" t="str">
        <f>VLOOKUP(A110,'Trips&amp;Operators'!$C$1:$E$9999,3,FALSE)</f>
        <v>REBOLETTI</v>
      </c>
      <c r="M110" s="12">
        <f t="shared" si="33"/>
        <v>3.496527778042946E-2</v>
      </c>
      <c r="N110" s="13">
        <f t="shared" si="29"/>
        <v>50.350000003818423</v>
      </c>
      <c r="O110" s="13"/>
      <c r="P110" s="13"/>
      <c r="Q110" s="62"/>
      <c r="R110" s="62"/>
      <c r="T110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17:09:15-0600',mode:absolute,to:'2016-05-12 18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0" s="75" t="str">
        <f t="shared" si="44"/>
        <v>N</v>
      </c>
      <c r="V110" s="75">
        <f t="shared" ref="V110:V116" si="46">VALUE(LEFT(A110,3))-VALUE(LEFT(A109,3))</f>
        <v>1</v>
      </c>
      <c r="W110" s="75">
        <f t="shared" si="45"/>
        <v>4.3700000000000003E-2</v>
      </c>
      <c r="X110" s="75">
        <f t="shared" si="42"/>
        <v>23.328900000000001</v>
      </c>
      <c r="Y110" s="75">
        <f t="shared" si="43"/>
        <v>23.2852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260</v>
      </c>
      <c r="B111" s="61">
        <v>4013</v>
      </c>
      <c r="C111" s="61" t="s">
        <v>66</v>
      </c>
      <c r="D111" s="61" t="s">
        <v>119</v>
      </c>
      <c r="E111" s="30">
        <v>42502.753217592595</v>
      </c>
      <c r="F111" s="30">
        <v>42502.754270833335</v>
      </c>
      <c r="G111" s="38">
        <v>1</v>
      </c>
      <c r="H111" s="30" t="s">
        <v>361</v>
      </c>
      <c r="I111" s="30">
        <v>42502.784131944441</v>
      </c>
      <c r="J111" s="61">
        <v>0</v>
      </c>
      <c r="K111" s="61" t="str">
        <f t="shared" si="32"/>
        <v>4013/4014</v>
      </c>
      <c r="L111" s="61" t="str">
        <f>VLOOKUP(A111,'Trips&amp;Operators'!$C$1:$E$9999,3,FALSE)</f>
        <v>REBOLETTI</v>
      </c>
      <c r="M111" s="12">
        <f t="shared" si="33"/>
        <v>2.9861111106583849E-2</v>
      </c>
      <c r="N111" s="13">
        <f t="shared" si="29"/>
        <v>42.999999993480742</v>
      </c>
      <c r="O111" s="13"/>
      <c r="P111" s="13"/>
      <c r="Q111" s="62"/>
      <c r="R111" s="62"/>
      <c r="T111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18:03:38-0600',mode:absolute,to:'2016-05-12 18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1" s="75" t="str">
        <f t="shared" si="44"/>
        <v>N</v>
      </c>
      <c r="V111" s="75">
        <f t="shared" si="46"/>
        <v>1</v>
      </c>
      <c r="W111" s="75">
        <f t="shared" si="45"/>
        <v>23.2971</v>
      </c>
      <c r="X111" s="75">
        <f t="shared" si="42"/>
        <v>1.6500000000000001E-2</v>
      </c>
      <c r="Y111" s="75">
        <f t="shared" si="43"/>
        <v>23.2806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241</v>
      </c>
      <c r="B112" s="61">
        <v>4040</v>
      </c>
      <c r="C112" s="61" t="s">
        <v>66</v>
      </c>
      <c r="D112" s="61" t="s">
        <v>102</v>
      </c>
      <c r="E112" s="30">
        <v>42502.738576388889</v>
      </c>
      <c r="F112" s="30">
        <v>42502.739976851852</v>
      </c>
      <c r="G112" s="38">
        <v>2</v>
      </c>
      <c r="H112" s="30" t="s">
        <v>342</v>
      </c>
      <c r="I112" s="30">
        <v>42502.773020833331</v>
      </c>
      <c r="J112" s="61">
        <v>0</v>
      </c>
      <c r="K112" s="61" t="str">
        <f t="shared" si="32"/>
        <v>4039/4040</v>
      </c>
      <c r="L112" s="61" t="str">
        <f>VLOOKUP(A112,'Trips&amp;Operators'!$C$1:$E$9999,3,FALSE)</f>
        <v>STRICKLAND</v>
      </c>
      <c r="M112" s="12">
        <f t="shared" si="33"/>
        <v>3.3043981478840578E-2</v>
      </c>
      <c r="N112" s="13">
        <f t="shared" si="29"/>
        <v>47.583333329530433</v>
      </c>
      <c r="O112" s="13"/>
      <c r="P112" s="13"/>
      <c r="Q112" s="62"/>
      <c r="R112" s="62"/>
      <c r="T112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17:42:33-0600',mode:absolute,to:'2016-05-12 18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5" t="str">
        <f t="shared" si="44"/>
        <v>N</v>
      </c>
      <c r="V112" s="75">
        <f t="shared" si="46"/>
        <v>3</v>
      </c>
      <c r="W112" s="75">
        <f t="shared" si="45"/>
        <v>4.6600000000000003E-2</v>
      </c>
      <c r="X112" s="75">
        <f t="shared" si="42"/>
        <v>23.3276</v>
      </c>
      <c r="Y112" s="75">
        <f t="shared" si="43"/>
        <v>23.280999999999999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265</v>
      </c>
      <c r="B113" s="61">
        <v>4039</v>
      </c>
      <c r="C113" s="61" t="s">
        <v>66</v>
      </c>
      <c r="D113" s="61" t="s">
        <v>113</v>
      </c>
      <c r="E113" s="30">
        <v>42502.774398148147</v>
      </c>
      <c r="F113" s="30">
        <v>42502.775972222225</v>
      </c>
      <c r="G113" s="38">
        <v>2</v>
      </c>
      <c r="H113" s="30" t="s">
        <v>373</v>
      </c>
      <c r="I113" s="30">
        <v>42502.808148148149</v>
      </c>
      <c r="J113" s="61">
        <v>2</v>
      </c>
      <c r="K113" s="61" t="str">
        <f t="shared" si="32"/>
        <v>4039/4040</v>
      </c>
      <c r="L113" s="61" t="str">
        <f>VLOOKUP(A113,'Trips&amp;Operators'!$C$1:$E$9999,3,FALSE)</f>
        <v>STRICKLAND</v>
      </c>
      <c r="M113" s="12">
        <f t="shared" si="33"/>
        <v>3.2175925924093463E-2</v>
      </c>
      <c r="N113" s="13">
        <f t="shared" si="29"/>
        <v>46.333333330694586</v>
      </c>
      <c r="O113" s="13"/>
      <c r="P113" s="13"/>
      <c r="Q113" s="62"/>
      <c r="R113" s="62"/>
      <c r="T113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18:34:08-0600',mode:absolute,to:'2016-05-12 19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5" t="str">
        <f t="shared" si="44"/>
        <v>N</v>
      </c>
      <c r="V113" s="75">
        <f t="shared" si="46"/>
        <v>1</v>
      </c>
      <c r="W113" s="75">
        <f t="shared" si="45"/>
        <v>23.297499999999999</v>
      </c>
      <c r="X113" s="75">
        <f t="shared" si="42"/>
        <v>1.2500000000000001E-2</v>
      </c>
      <c r="Y113" s="75">
        <f t="shared" si="43"/>
        <v>23.285</v>
      </c>
      <c r="Z113" s="76">
        <f>VLOOKUP(A113,Enforcements!$C$3:$J$26,8,0)</f>
        <v>228668</v>
      </c>
      <c r="AA113" s="76" t="str">
        <f>VLOOKUP(A113,Enforcements!$C$3:$J$26,3,0)</f>
        <v>PERMANENT SPEED RESTRICTION</v>
      </c>
    </row>
    <row r="114" spans="1:27" s="2" customFormat="1" x14ac:dyDescent="0.25">
      <c r="A114" s="61" t="s">
        <v>269</v>
      </c>
      <c r="B114" s="61">
        <v>4018</v>
      </c>
      <c r="C114" s="61" t="s">
        <v>66</v>
      </c>
      <c r="D114" s="61" t="s">
        <v>379</v>
      </c>
      <c r="E114" s="30">
        <v>42502.746215277781</v>
      </c>
      <c r="F114" s="30">
        <v>42502.747557870367</v>
      </c>
      <c r="G114" s="38">
        <v>1</v>
      </c>
      <c r="H114" s="30" t="s">
        <v>87</v>
      </c>
      <c r="I114" s="30">
        <v>42502.77783564815</v>
      </c>
      <c r="J114" s="61">
        <v>0</v>
      </c>
      <c r="K114" s="61" t="str">
        <f t="shared" si="32"/>
        <v>4017/4018</v>
      </c>
      <c r="L114" s="61" t="str">
        <f>VLOOKUP(A114,'Trips&amp;Operators'!$C$1:$E$9999,3,FALSE)</f>
        <v>BARTLETT</v>
      </c>
      <c r="M114" s="12">
        <f t="shared" si="33"/>
        <v>3.0277777783339843E-2</v>
      </c>
      <c r="N114" s="13"/>
      <c r="O114" s="13"/>
      <c r="P114" s="13">
        <f>$M114*24*60</f>
        <v>43.600000008009374</v>
      </c>
      <c r="Q114" s="62"/>
      <c r="R114" s="62" t="s">
        <v>402</v>
      </c>
      <c r="T114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17:53:33-0600',mode:absolute,to:'2016-05-12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4" s="75" t="str">
        <f>IF(Y114&lt;23,"Y","N")</f>
        <v>N</v>
      </c>
      <c r="V114" s="75">
        <f t="shared" si="46"/>
        <v>1</v>
      </c>
      <c r="W114" s="75">
        <f>RIGHT(D114,LEN(D114)-4)/10000</f>
        <v>4.3700000000000003E-2</v>
      </c>
      <c r="X114" s="75">
        <v>23.323599999999999</v>
      </c>
      <c r="Y114" s="75">
        <f>ABS(X114-W114)</f>
        <v>23.279899999999998</v>
      </c>
      <c r="Z114" s="76">
        <f>VLOOKUP(A114,Enforcements!$C$3:$J$26,8,0)</f>
        <v>126585</v>
      </c>
      <c r="AA114" s="76" t="str">
        <f>VLOOKUP(A114,Enforcements!$C$3:$J$26,3,0)</f>
        <v>SIGNAL</v>
      </c>
    </row>
    <row r="115" spans="1:27" s="2" customFormat="1" x14ac:dyDescent="0.25">
      <c r="A115" s="61" t="s">
        <v>223</v>
      </c>
      <c r="B115" s="61">
        <v>4017</v>
      </c>
      <c r="C115" s="61" t="s">
        <v>66</v>
      </c>
      <c r="D115" s="61" t="s">
        <v>371</v>
      </c>
      <c r="E115" s="30">
        <v>42502.783946759257</v>
      </c>
      <c r="F115" s="30">
        <v>42502.785138888888</v>
      </c>
      <c r="G115" s="38">
        <v>1</v>
      </c>
      <c r="H115" s="30" t="s">
        <v>372</v>
      </c>
      <c r="I115" s="30">
        <v>42502.815312500003</v>
      </c>
      <c r="J115" s="61">
        <v>1</v>
      </c>
      <c r="K115" s="61" t="str">
        <f t="shared" si="32"/>
        <v>4017/4018</v>
      </c>
      <c r="L115" s="61" t="str">
        <f>VLOOKUP(A115,'Trips&amp;Operators'!$C$1:$E$9999,3,FALSE)</f>
        <v>BARTLETT</v>
      </c>
      <c r="M115" s="12">
        <f t="shared" si="33"/>
        <v>3.0173611114150845E-2</v>
      </c>
      <c r="N115" s="13">
        <f t="shared" ref="N115:N139" si="47">$M115*24*60</f>
        <v>43.450000004377216</v>
      </c>
      <c r="O115" s="13"/>
      <c r="P115" s="13"/>
      <c r="Q115" s="62"/>
      <c r="R115" s="62"/>
      <c r="T115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18:47:53-0600',mode:absolute,to:'2016-05-12 19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5" s="75" t="str">
        <f t="shared" si="44"/>
        <v>N</v>
      </c>
      <c r="V115" s="75">
        <f t="shared" si="46"/>
        <v>1</v>
      </c>
      <c r="W115" s="75">
        <f t="shared" si="45"/>
        <v>23.292300000000001</v>
      </c>
      <c r="X115" s="75">
        <f t="shared" si="42"/>
        <v>9.3100000000000002E-2</v>
      </c>
      <c r="Y115" s="75">
        <f t="shared" si="43"/>
        <v>23.199200000000001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321</v>
      </c>
      <c r="B116" s="61">
        <v>4020</v>
      </c>
      <c r="C116" s="61" t="s">
        <v>66</v>
      </c>
      <c r="D116" s="61" t="s">
        <v>86</v>
      </c>
      <c r="E116" s="30">
        <v>42502.75990740741</v>
      </c>
      <c r="F116" s="30">
        <v>42502.763148148151</v>
      </c>
      <c r="G116" s="38">
        <v>4</v>
      </c>
      <c r="H116" s="30" t="s">
        <v>339</v>
      </c>
      <c r="I116" s="30">
        <v>42502.786840277775</v>
      </c>
      <c r="J116" s="61">
        <v>1</v>
      </c>
      <c r="K116" s="61" t="str">
        <f t="shared" si="32"/>
        <v>4019/4020</v>
      </c>
      <c r="L116" s="61" t="str">
        <f>VLOOKUP(A116,'Trips&amp;Operators'!$C$1:$E$9999,3,FALSE)</f>
        <v>BRUDER</v>
      </c>
      <c r="M116" s="12">
        <f t="shared" si="33"/>
        <v>2.3692129623668734E-2</v>
      </c>
      <c r="N116" s="13">
        <f t="shared" si="47"/>
        <v>34.116666658082977</v>
      </c>
      <c r="O116" s="13"/>
      <c r="P116" s="13"/>
      <c r="Q116" s="62"/>
      <c r="R116" s="62"/>
      <c r="T116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18:13:16-0600',mode:absolute,to:'2016-05-12 18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6" s="75" t="str">
        <f t="shared" si="44"/>
        <v>N</v>
      </c>
      <c r="V116" s="75">
        <f t="shared" si="46"/>
        <v>1</v>
      </c>
      <c r="W116" s="75">
        <f t="shared" si="45"/>
        <v>4.5499999999999999E-2</v>
      </c>
      <c r="X116" s="75">
        <f t="shared" si="42"/>
        <v>23.328900000000001</v>
      </c>
      <c r="Y116" s="75">
        <f t="shared" si="43"/>
        <v>23.2834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270</v>
      </c>
      <c r="B117" s="61">
        <v>4019</v>
      </c>
      <c r="C117" s="61" t="s">
        <v>66</v>
      </c>
      <c r="D117" s="61" t="s">
        <v>101</v>
      </c>
      <c r="E117" s="30">
        <v>42502.793124999997</v>
      </c>
      <c r="F117" s="30">
        <v>42502.794236111113</v>
      </c>
      <c r="G117" s="38">
        <v>1</v>
      </c>
      <c r="H117" s="30" t="s">
        <v>78</v>
      </c>
      <c r="I117" s="30">
        <v>42502.825231481482</v>
      </c>
      <c r="J117" s="61">
        <v>0</v>
      </c>
      <c r="K117" s="61" t="str">
        <f t="shared" si="32"/>
        <v>4019/4020</v>
      </c>
      <c r="L117" s="61" t="str">
        <f>VLOOKUP(A117,'Trips&amp;Operators'!$C$1:$E$9999,3,FALSE)</f>
        <v>BRUDER</v>
      </c>
      <c r="M117" s="12">
        <f t="shared" si="33"/>
        <v>3.0995370369055308E-2</v>
      </c>
      <c r="N117" s="13">
        <f t="shared" si="47"/>
        <v>44.633333331439644</v>
      </c>
      <c r="O117" s="13"/>
      <c r="P117" s="13"/>
      <c r="Q117" s="62"/>
      <c r="R117" s="62"/>
      <c r="T117" s="75" t="str">
        <f t="shared" ref="T117:T139" si="48"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https://search-rtdc-monitor-bjffxe2xuh6vdkpspy63sjmuny.us-east-1.es.amazonaws.com/_plugin/kibana/#/discover/Steve-Slow-Train-Analysis-(2080s-and-2083s)?_g=(refreshInterval:(display:Off,section:0,value:0),time:(from:'2016-05-12 19:01:06-0600',mode:absolute,to:'2016-05-12 19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7" s="75" t="str">
        <f t="shared" ref="U117:U139" si="49">IF(Y117&lt;23,"Y","N")</f>
        <v>N</v>
      </c>
      <c r="V117" s="75">
        <f t="shared" ref="V117:V139" si="50">VALUE(LEFT(A117,3))-VALUE(LEFT(A116,3))</f>
        <v>1</v>
      </c>
      <c r="W117" s="75">
        <f t="shared" si="25"/>
        <v>23.297999999999998</v>
      </c>
      <c r="X117" s="75">
        <f t="shared" si="26"/>
        <v>1.54E-2</v>
      </c>
      <c r="Y117" s="75">
        <f t="shared" si="27"/>
        <v>23.282599999999999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209</v>
      </c>
      <c r="B118" s="61">
        <v>4007</v>
      </c>
      <c r="C118" s="61" t="s">
        <v>66</v>
      </c>
      <c r="D118" s="61" t="s">
        <v>374</v>
      </c>
      <c r="E118" s="30">
        <v>42502.769050925926</v>
      </c>
      <c r="F118" s="30">
        <v>42502.769872685189</v>
      </c>
      <c r="G118" s="38">
        <v>1</v>
      </c>
      <c r="H118" s="30" t="s">
        <v>375</v>
      </c>
      <c r="I118" s="30">
        <v>42502.79614583333</v>
      </c>
      <c r="J118" s="61">
        <v>0</v>
      </c>
      <c r="K118" s="61" t="str">
        <f t="shared" si="32"/>
        <v>4007/4008</v>
      </c>
      <c r="L118" s="61" t="str">
        <f>VLOOKUP(A118,'Trips&amp;Operators'!$C$1:$E$9999,3,FALSE)</f>
        <v>DE LA ROSA</v>
      </c>
      <c r="M118" s="12">
        <f t="shared" si="33"/>
        <v>2.6273148141626734E-2</v>
      </c>
      <c r="N118" s="13">
        <f t="shared" si="47"/>
        <v>37.833333323942497</v>
      </c>
      <c r="O118" s="13"/>
      <c r="P118" s="13"/>
      <c r="Q118" s="62"/>
      <c r="R118" s="62"/>
      <c r="T118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18:26:26-0600',mode:absolute,to:'2016-05-12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8" s="75" t="str">
        <f t="shared" si="49"/>
        <v>N</v>
      </c>
      <c r="V118" s="75">
        <f t="shared" si="50"/>
        <v>1</v>
      </c>
      <c r="W118" s="75">
        <f t="shared" si="25"/>
        <v>4.3099999999999999E-2</v>
      </c>
      <c r="X118" s="75">
        <f t="shared" si="26"/>
        <v>23.333100000000002</v>
      </c>
      <c r="Y118" s="75">
        <f t="shared" si="27"/>
        <v>23.290000000000003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327</v>
      </c>
      <c r="B119" s="61">
        <v>4008</v>
      </c>
      <c r="C119" s="61" t="s">
        <v>66</v>
      </c>
      <c r="D119" s="61" t="s">
        <v>96</v>
      </c>
      <c r="E119" s="30">
        <v>42502.807233796295</v>
      </c>
      <c r="F119" s="30">
        <v>42502.808344907404</v>
      </c>
      <c r="G119" s="38">
        <v>1</v>
      </c>
      <c r="H119" s="30" t="s">
        <v>121</v>
      </c>
      <c r="I119" s="30">
        <v>42502.835601851853</v>
      </c>
      <c r="J119" s="61">
        <v>0</v>
      </c>
      <c r="K119" s="61" t="str">
        <f t="shared" si="32"/>
        <v>4007/4008</v>
      </c>
      <c r="L119" s="61" t="str">
        <f>VLOOKUP(A119,'Trips&amp;Operators'!$C$1:$E$9999,3,FALSE)</f>
        <v>DE LA ROSA</v>
      </c>
      <c r="M119" s="12">
        <f t="shared" si="33"/>
        <v>2.7256944449618459E-2</v>
      </c>
      <c r="N119" s="13">
        <f t="shared" si="47"/>
        <v>39.250000007450581</v>
      </c>
      <c r="O119" s="13"/>
      <c r="P119" s="13"/>
      <c r="Q119" s="62"/>
      <c r="R119" s="62"/>
      <c r="T119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19:21:25-0600',mode:absolute,to:'2016-05-12 20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9" s="75" t="str">
        <f t="shared" si="49"/>
        <v>N</v>
      </c>
      <c r="V119" s="75">
        <f t="shared" si="50"/>
        <v>1</v>
      </c>
      <c r="W119" s="75">
        <f t="shared" si="25"/>
        <v>23.299399999999999</v>
      </c>
      <c r="X119" s="75">
        <f t="shared" si="26"/>
        <v>1.47E-2</v>
      </c>
      <c r="Y119" s="75">
        <f t="shared" si="27"/>
        <v>23.284699999999997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247</v>
      </c>
      <c r="B120" s="61">
        <v>4014</v>
      </c>
      <c r="C120" s="61" t="s">
        <v>66</v>
      </c>
      <c r="D120" s="61" t="s">
        <v>97</v>
      </c>
      <c r="E120" s="30">
        <v>42502.786446759259</v>
      </c>
      <c r="F120" s="30">
        <v>42502.787789351853</v>
      </c>
      <c r="G120" s="38">
        <v>1</v>
      </c>
      <c r="H120" s="30" t="s">
        <v>370</v>
      </c>
      <c r="I120" s="30">
        <v>42502.81695601852</v>
      </c>
      <c r="J120" s="61">
        <v>0</v>
      </c>
      <c r="K120" s="61" t="str">
        <f t="shared" si="32"/>
        <v>4013/4014</v>
      </c>
      <c r="L120" s="61" t="str">
        <f>VLOOKUP(A120,'Trips&amp;Operators'!$C$1:$E$9999,3,FALSE)</f>
        <v>REBOLETTI</v>
      </c>
      <c r="M120" s="12">
        <f t="shared" si="33"/>
        <v>2.9166666667151731E-2</v>
      </c>
      <c r="N120" s="13">
        <f t="shared" si="47"/>
        <v>42.000000000698492</v>
      </c>
      <c r="O120" s="13"/>
      <c r="P120" s="13"/>
      <c r="Q120" s="62"/>
      <c r="R120" s="62"/>
      <c r="T120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18:51:29-0600',mode:absolute,to:'2016-05-12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0" s="75" t="str">
        <f t="shared" si="49"/>
        <v>N</v>
      </c>
      <c r="V120" s="75">
        <f t="shared" si="50"/>
        <v>1</v>
      </c>
      <c r="W120" s="75">
        <f t="shared" si="25"/>
        <v>4.6399999999999997E-2</v>
      </c>
      <c r="X120" s="75">
        <f t="shared" si="26"/>
        <v>23.3355</v>
      </c>
      <c r="Y120" s="75">
        <f t="shared" si="27"/>
        <v>23.289100000000001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211</v>
      </c>
      <c r="B121" s="61">
        <v>4013</v>
      </c>
      <c r="C121" s="61" t="s">
        <v>66</v>
      </c>
      <c r="D121" s="61" t="s">
        <v>369</v>
      </c>
      <c r="E121" s="30">
        <v>42502.822847222225</v>
      </c>
      <c r="F121" s="30">
        <v>42502.823946759258</v>
      </c>
      <c r="G121" s="38">
        <v>1</v>
      </c>
      <c r="H121" s="30" t="s">
        <v>130</v>
      </c>
      <c r="I121" s="30">
        <v>42502.856307870374</v>
      </c>
      <c r="J121" s="61">
        <v>1</v>
      </c>
      <c r="K121" s="61" t="str">
        <f t="shared" si="32"/>
        <v>4013/4014</v>
      </c>
      <c r="L121" s="61" t="str">
        <f>VLOOKUP(A121,'Trips&amp;Operators'!$C$1:$E$9999,3,FALSE)</f>
        <v>REBOLETTI</v>
      </c>
      <c r="M121" s="12">
        <f t="shared" si="33"/>
        <v>3.2361111116188113E-2</v>
      </c>
      <c r="N121" s="13">
        <f t="shared" si="47"/>
        <v>46.600000007310882</v>
      </c>
      <c r="O121" s="13"/>
      <c r="P121" s="13"/>
      <c r="Q121" s="62"/>
      <c r="R121" s="62"/>
      <c r="T121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19:43:54-0600',mode:absolute,to:'2016-05-12 20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1" s="75" t="str">
        <f t="shared" si="49"/>
        <v>N</v>
      </c>
      <c r="V121" s="75">
        <f t="shared" si="50"/>
        <v>1</v>
      </c>
      <c r="W121" s="75">
        <f t="shared" si="25"/>
        <v>23.303000000000001</v>
      </c>
      <c r="X121" s="75">
        <f t="shared" si="26"/>
        <v>1.67E-2</v>
      </c>
      <c r="Y121" s="75">
        <f t="shared" si="27"/>
        <v>23.286300000000001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234</v>
      </c>
      <c r="B122" s="61">
        <v>4040</v>
      </c>
      <c r="C122" s="61" t="s">
        <v>66</v>
      </c>
      <c r="D122" s="61" t="s">
        <v>122</v>
      </c>
      <c r="E122" s="30">
        <v>42502.809664351851</v>
      </c>
      <c r="F122" s="30">
        <v>42502.810844907406</v>
      </c>
      <c r="G122" s="38">
        <v>1</v>
      </c>
      <c r="H122" s="30" t="s">
        <v>69</v>
      </c>
      <c r="I122" s="30">
        <v>42502.837164351855</v>
      </c>
      <c r="J122" s="61">
        <v>0</v>
      </c>
      <c r="K122" s="61" t="str">
        <f t="shared" si="32"/>
        <v>4039/4040</v>
      </c>
      <c r="L122" s="61" t="str">
        <f>VLOOKUP(A122,'Trips&amp;Operators'!$C$1:$E$9999,3,FALSE)</f>
        <v>STRICKLAND</v>
      </c>
      <c r="M122" s="12">
        <f t="shared" si="33"/>
        <v>2.6319444448745344E-2</v>
      </c>
      <c r="N122" s="13">
        <f t="shared" si="47"/>
        <v>37.900000006193295</v>
      </c>
      <c r="O122" s="13"/>
      <c r="P122" s="13"/>
      <c r="Q122" s="62"/>
      <c r="R122" s="62"/>
      <c r="T122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19:24:55-0600',mode:absolute,to:'2016-05-12 20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5" t="str">
        <f t="shared" si="49"/>
        <v>N</v>
      </c>
      <c r="V122" s="75">
        <f t="shared" si="50"/>
        <v>1</v>
      </c>
      <c r="W122" s="75">
        <f t="shared" si="25"/>
        <v>4.6199999999999998E-2</v>
      </c>
      <c r="X122" s="75">
        <f t="shared" si="26"/>
        <v>23.329499999999999</v>
      </c>
      <c r="Y122" s="75">
        <f t="shared" si="27"/>
        <v>23.283300000000001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281</v>
      </c>
      <c r="B123" s="61">
        <v>4039</v>
      </c>
      <c r="C123" s="61" t="s">
        <v>66</v>
      </c>
      <c r="D123" s="61" t="s">
        <v>340</v>
      </c>
      <c r="E123" s="30">
        <v>42502.845902777779</v>
      </c>
      <c r="F123" s="30">
        <v>42502.846782407411</v>
      </c>
      <c r="G123" s="38">
        <v>1</v>
      </c>
      <c r="H123" s="30" t="s">
        <v>100</v>
      </c>
      <c r="I123" s="30">
        <v>42502.878460648149</v>
      </c>
      <c r="J123" s="61">
        <v>0</v>
      </c>
      <c r="K123" s="61" t="str">
        <f t="shared" si="32"/>
        <v>4039/4040</v>
      </c>
      <c r="L123" s="61" t="str">
        <f>VLOOKUP(A123,'Trips&amp;Operators'!$C$1:$E$9999,3,FALSE)</f>
        <v>STRICKLAND</v>
      </c>
      <c r="M123" s="12">
        <f t="shared" si="33"/>
        <v>3.1678240738983732E-2</v>
      </c>
      <c r="N123" s="13">
        <f t="shared" si="47"/>
        <v>45.616666664136574</v>
      </c>
      <c r="O123" s="13"/>
      <c r="P123" s="13"/>
      <c r="Q123" s="62"/>
      <c r="R123" s="62"/>
      <c r="T123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20:17:06-0600',mode:absolute,to:'2016-05-12 21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5" t="str">
        <f t="shared" si="49"/>
        <v>N</v>
      </c>
      <c r="V123" s="75">
        <f t="shared" si="50"/>
        <v>1</v>
      </c>
      <c r="W123" s="75">
        <f t="shared" si="25"/>
        <v>23.2973</v>
      </c>
      <c r="X123" s="75">
        <f t="shared" si="26"/>
        <v>1.61E-2</v>
      </c>
      <c r="Y123" s="75">
        <f t="shared" si="27"/>
        <v>23.281199999999998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289</v>
      </c>
      <c r="B124" s="61">
        <v>4020</v>
      </c>
      <c r="C124" s="61" t="s">
        <v>66</v>
      </c>
      <c r="D124" s="61" t="s">
        <v>122</v>
      </c>
      <c r="E124" s="30">
        <v>42502.82707175926</v>
      </c>
      <c r="F124" s="30">
        <v>42502.828159722223</v>
      </c>
      <c r="G124" s="38">
        <v>1</v>
      </c>
      <c r="H124" s="30" t="s">
        <v>91</v>
      </c>
      <c r="I124" s="30">
        <v>42502.85800925926</v>
      </c>
      <c r="J124" s="61">
        <v>0</v>
      </c>
      <c r="K124" s="61" t="str">
        <f t="shared" si="32"/>
        <v>4019/4020</v>
      </c>
      <c r="L124" s="61" t="str">
        <f>VLOOKUP(A124,'Trips&amp;Operators'!$C$1:$E$9999,3,FALSE)</f>
        <v>BRUDER</v>
      </c>
      <c r="M124" s="12">
        <f t="shared" si="33"/>
        <v>2.9849537037080154E-2</v>
      </c>
      <c r="N124" s="13">
        <f t="shared" si="47"/>
        <v>42.983333333395422</v>
      </c>
      <c r="O124" s="13"/>
      <c r="P124" s="13"/>
      <c r="Q124" s="62"/>
      <c r="R124" s="62"/>
      <c r="T124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19:49:59-0600',mode:absolute,to:'2016-05-12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5" t="str">
        <f t="shared" si="49"/>
        <v>N</v>
      </c>
      <c r="V124" s="75">
        <f t="shared" si="50"/>
        <v>1</v>
      </c>
      <c r="W124" s="75">
        <f t="shared" si="25"/>
        <v>4.6199999999999998E-2</v>
      </c>
      <c r="X124" s="75">
        <f t="shared" si="26"/>
        <v>23.329899999999999</v>
      </c>
      <c r="Y124" s="75">
        <f t="shared" si="27"/>
        <v>23.2837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236</v>
      </c>
      <c r="B125" s="61">
        <v>4019</v>
      </c>
      <c r="C125" s="61" t="s">
        <v>66</v>
      </c>
      <c r="D125" s="61" t="s">
        <v>116</v>
      </c>
      <c r="E125" s="30">
        <v>42502.860243055555</v>
      </c>
      <c r="F125" s="30">
        <v>42502.861574074072</v>
      </c>
      <c r="G125" s="38">
        <v>1</v>
      </c>
      <c r="H125" s="30" t="s">
        <v>83</v>
      </c>
      <c r="I125" s="30">
        <v>42502.898773148147</v>
      </c>
      <c r="J125" s="61">
        <v>1</v>
      </c>
      <c r="K125" s="61" t="str">
        <f t="shared" si="32"/>
        <v>4019/4020</v>
      </c>
      <c r="L125" s="61" t="str">
        <f>VLOOKUP(A125,'Trips&amp;Operators'!$C$1:$E$9999,3,FALSE)</f>
        <v>BRUDER</v>
      </c>
      <c r="M125" s="12">
        <f t="shared" si="33"/>
        <v>3.7199074075033423E-2</v>
      </c>
      <c r="N125" s="13">
        <f t="shared" si="47"/>
        <v>53.566666668048128</v>
      </c>
      <c r="O125" s="13"/>
      <c r="P125" s="13"/>
      <c r="Q125" s="62"/>
      <c r="R125" s="62"/>
      <c r="T125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20:37:45-0600',mode:absolute,to:'2016-05-12 21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5" t="str">
        <f t="shared" si="49"/>
        <v>N</v>
      </c>
      <c r="V125" s="75">
        <f t="shared" si="50"/>
        <v>1</v>
      </c>
      <c r="W125" s="75">
        <f t="shared" si="25"/>
        <v>23.298999999999999</v>
      </c>
      <c r="X125" s="75">
        <f t="shared" si="26"/>
        <v>1.3599999999999999E-2</v>
      </c>
      <c r="Y125" s="75">
        <f t="shared" si="27"/>
        <v>23.285399999999999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328</v>
      </c>
      <c r="B126" s="61">
        <v>4007</v>
      </c>
      <c r="C126" s="61" t="s">
        <v>66</v>
      </c>
      <c r="D126" s="61" t="s">
        <v>102</v>
      </c>
      <c r="E126" s="30">
        <v>42502.850011574075</v>
      </c>
      <c r="F126" s="30">
        <v>42502.851157407407</v>
      </c>
      <c r="G126" s="38">
        <v>1</v>
      </c>
      <c r="H126" s="30" t="s">
        <v>125</v>
      </c>
      <c r="I126" s="30">
        <v>42502.87972222222</v>
      </c>
      <c r="J126" s="61">
        <v>1</v>
      </c>
      <c r="K126" s="61" t="str">
        <f t="shared" si="32"/>
        <v>4007/4008</v>
      </c>
      <c r="L126" s="61" t="str">
        <f>VLOOKUP(A126,'Trips&amp;Operators'!$C$1:$E$9999,3,FALSE)</f>
        <v>DE LA ROSA</v>
      </c>
      <c r="M126" s="12">
        <f t="shared" si="33"/>
        <v>2.8564814812853001E-2</v>
      </c>
      <c r="N126" s="13">
        <f t="shared" si="47"/>
        <v>41.133333330508322</v>
      </c>
      <c r="O126" s="13"/>
      <c r="P126" s="13"/>
      <c r="Q126" s="62"/>
      <c r="R126" s="62"/>
      <c r="T126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20:23:01-0600',mode:absolute,to:'2016-05-12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6" s="75" t="str">
        <f t="shared" si="49"/>
        <v>N</v>
      </c>
      <c r="V126" s="75">
        <f t="shared" si="50"/>
        <v>1</v>
      </c>
      <c r="W126" s="75">
        <f t="shared" si="25"/>
        <v>4.6600000000000003E-2</v>
      </c>
      <c r="X126" s="75">
        <f t="shared" si="26"/>
        <v>23.3293</v>
      </c>
      <c r="Y126" s="75">
        <f t="shared" si="27"/>
        <v>23.282699999999998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285</v>
      </c>
      <c r="B127" s="61">
        <v>4008</v>
      </c>
      <c r="C127" s="61" t="s">
        <v>66</v>
      </c>
      <c r="D127" s="61" t="s">
        <v>113</v>
      </c>
      <c r="E127" s="30">
        <v>42502.890694444446</v>
      </c>
      <c r="F127" s="30">
        <v>42502.891643518517</v>
      </c>
      <c r="G127" s="38">
        <v>1</v>
      </c>
      <c r="H127" s="30" t="s">
        <v>81</v>
      </c>
      <c r="I127" s="30">
        <v>42502.920300925929</v>
      </c>
      <c r="J127" s="61">
        <v>0</v>
      </c>
      <c r="K127" s="61" t="str">
        <f t="shared" si="32"/>
        <v>4007/4008</v>
      </c>
      <c r="L127" s="61" t="str">
        <f>VLOOKUP(A127,'Trips&amp;Operators'!$C$1:$E$9999,3,FALSE)</f>
        <v>DE LA ROSA</v>
      </c>
      <c r="M127" s="12">
        <f t="shared" si="33"/>
        <v>2.8657407412538305E-2</v>
      </c>
      <c r="N127" s="13">
        <f t="shared" si="47"/>
        <v>41.266666674055159</v>
      </c>
      <c r="O127" s="13"/>
      <c r="P127" s="13"/>
      <c r="Q127" s="62"/>
      <c r="R127" s="62"/>
      <c r="T127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21:21:36-0600',mode:absolute,to:'2016-05-12 22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7" s="75" t="str">
        <f t="shared" si="49"/>
        <v>N</v>
      </c>
      <c r="V127" s="75">
        <f t="shared" si="50"/>
        <v>1</v>
      </c>
      <c r="W127" s="75">
        <f t="shared" ref="W127:W143" si="51">RIGHT(D127,LEN(D127)-4)/10000</f>
        <v>23.297499999999999</v>
      </c>
      <c r="X127" s="75">
        <f t="shared" ref="X127:X143" si="52">RIGHT(H127,LEN(H127)-4)/10000</f>
        <v>1.4500000000000001E-2</v>
      </c>
      <c r="Y127" s="75">
        <f t="shared" ref="Y127:Y143" si="53">ABS(X127-W127)</f>
        <v>23.282999999999998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272</v>
      </c>
      <c r="B128" s="61">
        <v>4014</v>
      </c>
      <c r="C128" s="61" t="s">
        <v>66</v>
      </c>
      <c r="D128" s="61" t="s">
        <v>122</v>
      </c>
      <c r="E128" s="30">
        <v>42502.868263888886</v>
      </c>
      <c r="F128" s="30">
        <v>42502.869432870371</v>
      </c>
      <c r="G128" s="38">
        <v>1</v>
      </c>
      <c r="H128" s="30" t="s">
        <v>74</v>
      </c>
      <c r="I128" s="30">
        <v>42502.901631944442</v>
      </c>
      <c r="J128" s="61">
        <v>0</v>
      </c>
      <c r="K128" s="61" t="str">
        <f t="shared" si="32"/>
        <v>4013/4014</v>
      </c>
      <c r="L128" s="61" t="str">
        <f>VLOOKUP(A128,'Trips&amp;Operators'!$C$1:$E$9999,3,FALSE)</f>
        <v>REBOLETTI</v>
      </c>
      <c r="M128" s="12">
        <f t="shared" si="33"/>
        <v>3.219907407037681E-2</v>
      </c>
      <c r="N128" s="13">
        <f t="shared" si="47"/>
        <v>46.366666661342606</v>
      </c>
      <c r="O128" s="13"/>
      <c r="P128" s="13"/>
      <c r="Q128" s="62"/>
      <c r="R128" s="62"/>
      <c r="T128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20:49:18-0600',mode:absolute,to:'2016-05-12 21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8" s="75" t="str">
        <f t="shared" si="49"/>
        <v>N</v>
      </c>
      <c r="V128" s="75">
        <f t="shared" si="50"/>
        <v>1</v>
      </c>
      <c r="W128" s="75">
        <f t="shared" si="51"/>
        <v>4.6199999999999998E-2</v>
      </c>
      <c r="X128" s="75">
        <f t="shared" si="52"/>
        <v>23.330300000000001</v>
      </c>
      <c r="Y128" s="75">
        <f t="shared" si="53"/>
        <v>23.284100000000002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227</v>
      </c>
      <c r="B129" s="61">
        <v>4013</v>
      </c>
      <c r="C129" s="61" t="s">
        <v>66</v>
      </c>
      <c r="D129" s="61" t="s">
        <v>340</v>
      </c>
      <c r="E129" s="30">
        <v>42502.908321759256</v>
      </c>
      <c r="F129" s="30">
        <v>42502.909120370372</v>
      </c>
      <c r="G129" s="38">
        <v>1</v>
      </c>
      <c r="H129" s="30" t="s">
        <v>71</v>
      </c>
      <c r="I129" s="30">
        <v>42502.941747685189</v>
      </c>
      <c r="J129" s="61">
        <v>0</v>
      </c>
      <c r="K129" s="61" t="str">
        <f t="shared" si="32"/>
        <v>4013/4014</v>
      </c>
      <c r="L129" s="61" t="str">
        <f>VLOOKUP(A129,'Trips&amp;Operators'!$C$1:$E$9999,3,FALSE)</f>
        <v>REBOLETTI</v>
      </c>
      <c r="M129" s="12">
        <f t="shared" si="33"/>
        <v>3.2627314816636499E-2</v>
      </c>
      <c r="N129" s="13">
        <f t="shared" si="47"/>
        <v>46.983333335956559</v>
      </c>
      <c r="O129" s="13"/>
      <c r="P129" s="13"/>
      <c r="Q129" s="62"/>
      <c r="R129" s="62"/>
      <c r="T129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21:46:59-0600',mode:absolute,to:'2016-05-12 22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9" s="75" t="str">
        <f t="shared" si="49"/>
        <v>N</v>
      </c>
      <c r="V129" s="75">
        <f t="shared" si="50"/>
        <v>1</v>
      </c>
      <c r="W129" s="75">
        <f t="shared" si="51"/>
        <v>23.2973</v>
      </c>
      <c r="X129" s="75">
        <f t="shared" si="52"/>
        <v>1.5599999999999999E-2</v>
      </c>
      <c r="Y129" s="75">
        <f t="shared" si="53"/>
        <v>23.281700000000001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287</v>
      </c>
      <c r="B130" s="61">
        <v>4040</v>
      </c>
      <c r="C130" s="61" t="s">
        <v>66</v>
      </c>
      <c r="D130" s="61" t="s">
        <v>367</v>
      </c>
      <c r="E130" s="30">
        <v>42502.889236111114</v>
      </c>
      <c r="F130" s="30">
        <v>42502.890787037039</v>
      </c>
      <c r="G130" s="38">
        <v>2</v>
      </c>
      <c r="H130" s="30" t="s">
        <v>368</v>
      </c>
      <c r="I130" s="30">
        <v>42502.923437500001</v>
      </c>
      <c r="J130" s="61">
        <v>0</v>
      </c>
      <c r="K130" s="61" t="str">
        <f t="shared" si="32"/>
        <v>4039/4040</v>
      </c>
      <c r="L130" s="61" t="str">
        <f>VLOOKUP(A130,'Trips&amp;Operators'!$C$1:$E$9999,3,FALSE)</f>
        <v>STRICKLAND</v>
      </c>
      <c r="M130" s="12">
        <f t="shared" si="33"/>
        <v>3.2650462962919846E-2</v>
      </c>
      <c r="N130" s="13">
        <f t="shared" si="47"/>
        <v>47.016666666604578</v>
      </c>
      <c r="O130" s="13"/>
      <c r="P130" s="13"/>
      <c r="Q130" s="62"/>
      <c r="R130" s="62"/>
      <c r="T130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21:19:30-0600',mode:absolute,to:'2016-05-12 22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5" t="str">
        <f t="shared" si="49"/>
        <v>N</v>
      </c>
      <c r="V130" s="75">
        <f t="shared" si="50"/>
        <v>1</v>
      </c>
      <c r="W130" s="75">
        <f t="shared" si="51"/>
        <v>4.9700000000000001E-2</v>
      </c>
      <c r="X130" s="75">
        <f t="shared" si="52"/>
        <v>23.326799999999999</v>
      </c>
      <c r="Y130" s="75">
        <f t="shared" si="53"/>
        <v>23.277099999999997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254</v>
      </c>
      <c r="B131" s="61">
        <v>4039</v>
      </c>
      <c r="C131" s="61" t="s">
        <v>66</v>
      </c>
      <c r="D131" s="61" t="s">
        <v>362</v>
      </c>
      <c r="E131" s="30">
        <v>42502.929432870369</v>
      </c>
      <c r="F131" s="30">
        <v>42502.934502314813</v>
      </c>
      <c r="G131" s="38">
        <v>7</v>
      </c>
      <c r="H131" s="30" t="s">
        <v>71</v>
      </c>
      <c r="I131" s="30">
        <v>42502.962962962964</v>
      </c>
      <c r="J131" s="61">
        <v>0</v>
      </c>
      <c r="K131" s="61" t="str">
        <f t="shared" ref="K131:K139" si="54">IF(ISEVEN(B131),(B131-1)&amp;"/"&amp;B131,B131&amp;"/"&amp;(B131+1))</f>
        <v>4039/4040</v>
      </c>
      <c r="L131" s="61" t="str">
        <f>VLOOKUP(A131,'Trips&amp;Operators'!$C$1:$E$9999,3,FALSE)</f>
        <v>STRICKLAND</v>
      </c>
      <c r="M131" s="12">
        <f t="shared" ref="M131:M139" si="55">I131-F131</f>
        <v>2.846064815093996E-2</v>
      </c>
      <c r="N131" s="13">
        <f t="shared" si="47"/>
        <v>40.983333337353542</v>
      </c>
      <c r="O131" s="13"/>
      <c r="P131" s="13"/>
      <c r="Q131" s="62"/>
      <c r="R131" s="62"/>
      <c r="T131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22:17:23-0600',mode:absolute,to:'2016-05-12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5" t="str">
        <f t="shared" si="49"/>
        <v>N</v>
      </c>
      <c r="V131" s="75">
        <f t="shared" si="50"/>
        <v>1</v>
      </c>
      <c r="W131" s="75">
        <f t="shared" si="51"/>
        <v>23.2957</v>
      </c>
      <c r="X131" s="75">
        <f t="shared" si="52"/>
        <v>1.5599999999999999E-2</v>
      </c>
      <c r="Y131" s="75">
        <f t="shared" si="53"/>
        <v>23.280100000000001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330</v>
      </c>
      <c r="B132" s="61">
        <v>4020</v>
      </c>
      <c r="C132" s="61" t="s">
        <v>66</v>
      </c>
      <c r="D132" s="61" t="s">
        <v>122</v>
      </c>
      <c r="E132" s="30">
        <v>42502.900335648148</v>
      </c>
      <c r="F132" s="30">
        <v>42502.901365740741</v>
      </c>
      <c r="G132" s="38">
        <v>1</v>
      </c>
      <c r="H132" s="30" t="s">
        <v>366</v>
      </c>
      <c r="I132" s="30">
        <v>42502.94189814815</v>
      </c>
      <c r="J132" s="61">
        <v>1</v>
      </c>
      <c r="K132" s="61" t="str">
        <f t="shared" si="54"/>
        <v>4019/4020</v>
      </c>
      <c r="L132" s="61" t="str">
        <f>VLOOKUP(A132,'Trips&amp;Operators'!$C$1:$E$9999,3,FALSE)</f>
        <v>BRUDER</v>
      </c>
      <c r="M132" s="12">
        <f t="shared" si="55"/>
        <v>4.0532407409045845E-2</v>
      </c>
      <c r="N132" s="13">
        <f t="shared" si="47"/>
        <v>58.366666669026017</v>
      </c>
      <c r="O132" s="13"/>
      <c r="P132" s="13"/>
      <c r="Q132" s="62"/>
      <c r="R132" s="62"/>
      <c r="T132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21:35:29-0600',mode:absolute,to:'2016-05-12 22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2" s="75" t="str">
        <f t="shared" si="49"/>
        <v>N</v>
      </c>
      <c r="V132" s="75">
        <f t="shared" si="50"/>
        <v>1</v>
      </c>
      <c r="W132" s="75">
        <f t="shared" si="51"/>
        <v>4.6199999999999998E-2</v>
      </c>
      <c r="X132" s="75">
        <f t="shared" si="52"/>
        <v>23.332899999999999</v>
      </c>
      <c r="Y132" s="75">
        <f t="shared" si="53"/>
        <v>23.2867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283</v>
      </c>
      <c r="B133" s="61">
        <v>4019</v>
      </c>
      <c r="C133" s="61" t="s">
        <v>66</v>
      </c>
      <c r="D133" s="61" t="s">
        <v>364</v>
      </c>
      <c r="E133" s="30">
        <v>42502.943553240744</v>
      </c>
      <c r="F133" s="30">
        <v>42502.944675925923</v>
      </c>
      <c r="G133" s="38">
        <v>1</v>
      </c>
      <c r="H133" s="30" t="s">
        <v>365</v>
      </c>
      <c r="I133" s="30">
        <v>42502.982349537036</v>
      </c>
      <c r="J133" s="61">
        <v>1</v>
      </c>
      <c r="K133" s="61" t="str">
        <f t="shared" si="54"/>
        <v>4019/4020</v>
      </c>
      <c r="L133" s="61" t="str">
        <f>VLOOKUP(A133,'Trips&amp;Operators'!$C$1:$E$9999,3,FALSE)</f>
        <v>BRUDER</v>
      </c>
      <c r="M133" s="12">
        <f t="shared" si="55"/>
        <v>3.7673611113859806E-2</v>
      </c>
      <c r="N133" s="13">
        <f t="shared" si="47"/>
        <v>54.250000003958121</v>
      </c>
      <c r="O133" s="13"/>
      <c r="P133" s="13"/>
      <c r="Q133" s="62"/>
      <c r="R133" s="62"/>
      <c r="T133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22:37:43-0600',mode:absolute,to:'2016-05-12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3" s="75" t="str">
        <f t="shared" si="49"/>
        <v>N</v>
      </c>
      <c r="V133" s="75">
        <f t="shared" si="50"/>
        <v>1</v>
      </c>
      <c r="W133" s="75">
        <f t="shared" si="51"/>
        <v>23.297899999999998</v>
      </c>
      <c r="X133" s="75">
        <f t="shared" si="52"/>
        <v>1.1900000000000001E-2</v>
      </c>
      <c r="Y133" s="75">
        <f t="shared" si="53"/>
        <v>23.285999999999998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249</v>
      </c>
      <c r="B134" s="61">
        <v>4007</v>
      </c>
      <c r="C134" s="61" t="s">
        <v>66</v>
      </c>
      <c r="D134" s="61" t="s">
        <v>82</v>
      </c>
      <c r="E134" s="30">
        <v>42502.933263888888</v>
      </c>
      <c r="F134" s="30">
        <v>42502.934421296297</v>
      </c>
      <c r="G134" s="38">
        <v>1</v>
      </c>
      <c r="H134" s="30" t="s">
        <v>118</v>
      </c>
      <c r="I134" s="30">
        <v>42502.963784722226</v>
      </c>
      <c r="J134" s="61">
        <v>0</v>
      </c>
      <c r="K134" s="61" t="str">
        <f t="shared" si="54"/>
        <v>4007/4008</v>
      </c>
      <c r="L134" s="61" t="str">
        <f>VLOOKUP(A134,'Trips&amp;Operators'!$C$1:$E$9999,3,FALSE)</f>
        <v>DE LA ROSA</v>
      </c>
      <c r="M134" s="12">
        <f t="shared" si="55"/>
        <v>2.9363425928750075E-2</v>
      </c>
      <c r="N134" s="13">
        <f t="shared" si="47"/>
        <v>42.283333337400109</v>
      </c>
      <c r="O134" s="13"/>
      <c r="P134" s="13"/>
      <c r="Q134" s="62"/>
      <c r="R134" s="62"/>
      <c r="T134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22:22:54-0600',mode:absolute,to:'2016-05-12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4" s="75" t="str">
        <f t="shared" si="49"/>
        <v>N</v>
      </c>
      <c r="V134" s="75">
        <f t="shared" si="50"/>
        <v>1</v>
      </c>
      <c r="W134" s="75">
        <f t="shared" si="51"/>
        <v>4.4699999999999997E-2</v>
      </c>
      <c r="X134" s="75">
        <f t="shared" si="52"/>
        <v>23.331499999999998</v>
      </c>
      <c r="Y134" s="75">
        <f t="shared" si="53"/>
        <v>23.286799999999999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262</v>
      </c>
      <c r="B135" s="61">
        <v>4008</v>
      </c>
      <c r="C135" s="61" t="s">
        <v>66</v>
      </c>
      <c r="D135" s="61" t="s">
        <v>174</v>
      </c>
      <c r="E135" s="30">
        <v>42502.971585648149</v>
      </c>
      <c r="F135" s="30">
        <v>42502.972708333335</v>
      </c>
      <c r="G135" s="38">
        <v>1</v>
      </c>
      <c r="H135" s="30" t="s">
        <v>112</v>
      </c>
      <c r="I135" s="30">
        <v>42503.00335648148</v>
      </c>
      <c r="J135" s="61">
        <v>0</v>
      </c>
      <c r="K135" s="61" t="str">
        <f t="shared" si="54"/>
        <v>4007/4008</v>
      </c>
      <c r="L135" s="61" t="str">
        <f>VLOOKUP(A135,'Trips&amp;Operators'!$C$1:$E$9999,3,FALSE)</f>
        <v>DE LA ROSA</v>
      </c>
      <c r="M135" s="12">
        <f t="shared" si="55"/>
        <v>3.0648148145701271E-2</v>
      </c>
      <c r="N135" s="13">
        <f t="shared" si="47"/>
        <v>44.13333332980983</v>
      </c>
      <c r="O135" s="13"/>
      <c r="P135" s="13"/>
      <c r="Q135" s="62"/>
      <c r="R135" s="62"/>
      <c r="T135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23:18:05-0600',mode:absolute,to:'2016-05-13 00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5" s="75" t="str">
        <f t="shared" si="49"/>
        <v>N</v>
      </c>
      <c r="V135" s="75">
        <f t="shared" si="50"/>
        <v>1</v>
      </c>
      <c r="W135" s="75">
        <f t="shared" si="51"/>
        <v>23.3004</v>
      </c>
      <c r="X135" s="75">
        <f t="shared" si="52"/>
        <v>1.4999999999999999E-2</v>
      </c>
      <c r="Y135" s="75">
        <f t="shared" si="53"/>
        <v>23.285399999999999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229</v>
      </c>
      <c r="B136" s="61">
        <v>4014</v>
      </c>
      <c r="C136" s="61" t="s">
        <v>66</v>
      </c>
      <c r="D136" s="61" t="s">
        <v>82</v>
      </c>
      <c r="E136" s="30">
        <v>42502.949212962965</v>
      </c>
      <c r="F136" s="30">
        <v>42502.95039351852</v>
      </c>
      <c r="G136" s="38">
        <v>1</v>
      </c>
      <c r="H136" s="30" t="s">
        <v>363</v>
      </c>
      <c r="I136" s="30">
        <v>42502.983217592591</v>
      </c>
      <c r="J136" s="61">
        <v>0</v>
      </c>
      <c r="K136" s="61" t="str">
        <f t="shared" si="54"/>
        <v>4013/4014</v>
      </c>
      <c r="L136" s="61" t="str">
        <f>VLOOKUP(A136,'Trips&amp;Operators'!$C$1:$E$9999,3,FALSE)</f>
        <v>REBOLETTI</v>
      </c>
      <c r="M136" s="12">
        <f t="shared" si="55"/>
        <v>3.2824074070958886E-2</v>
      </c>
      <c r="N136" s="13">
        <f t="shared" si="47"/>
        <v>47.266666662180796</v>
      </c>
      <c r="O136" s="13"/>
      <c r="P136" s="13"/>
      <c r="Q136" s="62"/>
      <c r="R136" s="62"/>
      <c r="T136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22:45:52-0600',mode:absolute,to:'2016-05-12 23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6" s="75" t="str">
        <f t="shared" si="49"/>
        <v>N</v>
      </c>
      <c r="V136" s="75">
        <f t="shared" si="50"/>
        <v>1</v>
      </c>
      <c r="W136" s="75">
        <f t="shared" si="51"/>
        <v>4.4699999999999997E-2</v>
      </c>
      <c r="X136" s="75">
        <f t="shared" si="52"/>
        <v>23.3264</v>
      </c>
      <c r="Y136" s="75">
        <f t="shared" si="53"/>
        <v>23.281700000000001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334</v>
      </c>
      <c r="B137" s="61">
        <v>4013</v>
      </c>
      <c r="C137" s="61" t="s">
        <v>66</v>
      </c>
      <c r="D137" s="61" t="s">
        <v>362</v>
      </c>
      <c r="E137" s="30">
        <v>42502.990324074075</v>
      </c>
      <c r="F137" s="30">
        <v>42502.991562499999</v>
      </c>
      <c r="G137" s="38">
        <v>1</v>
      </c>
      <c r="H137" s="30" t="s">
        <v>194</v>
      </c>
      <c r="I137" s="30">
        <v>42503.023460648146</v>
      </c>
      <c r="J137" s="61">
        <v>0</v>
      </c>
      <c r="K137" s="61" t="str">
        <f t="shared" si="54"/>
        <v>4013/4014</v>
      </c>
      <c r="L137" s="61" t="str">
        <f>VLOOKUP(A137,'Trips&amp;Operators'!$C$1:$E$9999,3,FALSE)</f>
        <v>REBOLETTI</v>
      </c>
      <c r="M137" s="12">
        <f t="shared" si="55"/>
        <v>3.1898148146865424E-2</v>
      </c>
      <c r="N137" s="13">
        <f t="shared" si="47"/>
        <v>45.93333333148621</v>
      </c>
      <c r="O137" s="13"/>
      <c r="P137" s="13"/>
      <c r="Q137" s="62"/>
      <c r="R137" s="62"/>
      <c r="T137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23:45:04-0600',mode:absolute,to:'2016-05-13 00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7" s="75" t="str">
        <f t="shared" si="49"/>
        <v>N</v>
      </c>
      <c r="V137" s="75">
        <f t="shared" si="50"/>
        <v>1</v>
      </c>
      <c r="W137" s="75">
        <f t="shared" si="51"/>
        <v>23.2957</v>
      </c>
      <c r="X137" s="75">
        <f t="shared" si="52"/>
        <v>1.7600000000000001E-2</v>
      </c>
      <c r="Y137" s="75">
        <f t="shared" si="53"/>
        <v>23.278099999999998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279</v>
      </c>
      <c r="B138" s="61">
        <v>4040</v>
      </c>
      <c r="C138" s="61" t="s">
        <v>66</v>
      </c>
      <c r="D138" s="61" t="s">
        <v>86</v>
      </c>
      <c r="E138" s="30">
        <v>42502.973587962966</v>
      </c>
      <c r="F138" s="30">
        <v>42502.974999999999</v>
      </c>
      <c r="G138" s="38">
        <v>2</v>
      </c>
      <c r="H138" s="30" t="s">
        <v>125</v>
      </c>
      <c r="I138" s="30">
        <v>42503.00613425926</v>
      </c>
      <c r="J138" s="61">
        <v>0</v>
      </c>
      <c r="K138" s="61" t="str">
        <f t="shared" si="54"/>
        <v>4039/4040</v>
      </c>
      <c r="L138" s="61" t="str">
        <f>VLOOKUP(A138,'Trips&amp;Operators'!$C$1:$E$9999,3,FALSE)</f>
        <v>STRICKLAND</v>
      </c>
      <c r="M138" s="12">
        <f t="shared" si="55"/>
        <v>3.1134259261307307E-2</v>
      </c>
      <c r="N138" s="13">
        <f t="shared" si="47"/>
        <v>44.833333336282521</v>
      </c>
      <c r="O138" s="13"/>
      <c r="P138" s="13"/>
      <c r="Q138" s="62"/>
      <c r="R138" s="62"/>
      <c r="T138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23:20:58-0600',mode:absolute,to:'2016-05-13 00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8" s="75" t="str">
        <f t="shared" si="49"/>
        <v>N</v>
      </c>
      <c r="V138" s="75">
        <f t="shared" si="50"/>
        <v>1</v>
      </c>
      <c r="W138" s="75">
        <f t="shared" si="51"/>
        <v>4.5499999999999999E-2</v>
      </c>
      <c r="X138" s="75">
        <f t="shared" si="52"/>
        <v>23.3293</v>
      </c>
      <c r="Y138" s="75">
        <f t="shared" si="53"/>
        <v>23.283799999999999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239</v>
      </c>
      <c r="B139" s="61">
        <v>4039</v>
      </c>
      <c r="C139" s="61" t="s">
        <v>66</v>
      </c>
      <c r="D139" s="61" t="s">
        <v>177</v>
      </c>
      <c r="E139" s="30">
        <v>42503.013958333337</v>
      </c>
      <c r="F139" s="30">
        <v>42503.015023148146</v>
      </c>
      <c r="G139" s="38">
        <v>1</v>
      </c>
      <c r="H139" s="30" t="s">
        <v>361</v>
      </c>
      <c r="I139" s="30">
        <v>42503.045104166667</v>
      </c>
      <c r="J139" s="61">
        <v>1</v>
      </c>
      <c r="K139" s="61" t="str">
        <f t="shared" si="54"/>
        <v>4039/4040</v>
      </c>
      <c r="L139" s="61" t="str">
        <f>VLOOKUP(A139,'Trips&amp;Operators'!$C$1:$E$9999,3,FALSE)</f>
        <v>STRICKLAND</v>
      </c>
      <c r="M139" s="12">
        <f t="shared" si="55"/>
        <v>3.0081018521741498E-2</v>
      </c>
      <c r="N139" s="13">
        <f t="shared" si="47"/>
        <v>43.316666671307757</v>
      </c>
      <c r="O139" s="13"/>
      <c r="P139" s="13"/>
      <c r="Q139" s="62"/>
      <c r="R139" s="62"/>
      <c r="T139" s="75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00:19:06-0600',mode:absolute,to:'2016-05-13 01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9" s="75" t="str">
        <f t="shared" si="49"/>
        <v>N</v>
      </c>
      <c r="V139" s="75">
        <f t="shared" si="50"/>
        <v>1</v>
      </c>
      <c r="W139" s="75">
        <f t="shared" si="51"/>
        <v>23.298300000000001</v>
      </c>
      <c r="X139" s="75">
        <f t="shared" si="52"/>
        <v>1.6500000000000001E-2</v>
      </c>
      <c r="Y139" s="75">
        <f t="shared" si="53"/>
        <v>23.2818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332</v>
      </c>
      <c r="B140" s="61">
        <v>4020</v>
      </c>
      <c r="C140" s="61" t="s">
        <v>66</v>
      </c>
      <c r="D140" s="61" t="s">
        <v>147</v>
      </c>
      <c r="E140" s="30">
        <v>42502.984976851854</v>
      </c>
      <c r="F140" s="30">
        <v>42502.985752314817</v>
      </c>
      <c r="G140" s="38">
        <v>1</v>
      </c>
      <c r="H140" s="30" t="s">
        <v>68</v>
      </c>
      <c r="I140" s="30">
        <v>42503.024768518517</v>
      </c>
      <c r="J140" s="61">
        <v>0</v>
      </c>
      <c r="K140" s="61" t="str">
        <f t="shared" ref="K140:K142" si="56">IF(ISEVEN(B140),(B140-1)&amp;"/"&amp;B140,B140&amp;"/"&amp;(B140+1))</f>
        <v>4019/4020</v>
      </c>
      <c r="L140" s="61" t="str">
        <f>VLOOKUP(A140,'Trips&amp;Operators'!$C$1:$E$9999,3,FALSE)</f>
        <v>BRUDER</v>
      </c>
      <c r="M140" s="12">
        <f t="shared" ref="M140:M142" si="57">I140-F140</f>
        <v>3.9016203700157348E-2</v>
      </c>
      <c r="N140" s="13">
        <f t="shared" ref="N140:N142" si="58">$M140*24*60</f>
        <v>56.183333328226581</v>
      </c>
      <c r="O140" s="13"/>
      <c r="P140" s="13"/>
      <c r="Q140" s="62"/>
      <c r="R140" s="62"/>
      <c r="T140" s="75" t="str">
        <f t="shared" ref="T140:T142" si="59"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https://search-rtdc-monitor-bjffxe2xuh6vdkpspy63sjmuny.us-east-1.es.amazonaws.com/_plugin/kibana/#/discover/Steve-Slow-Train-Analysis-(2080s-and-2083s)?_g=(refreshInterval:(display:Off,section:0,value:0),time:(from:'2016-05-12 23:37:22-0600',mode:absolute,to:'2016-05-13 00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0" s="75" t="str">
        <f t="shared" ref="U140:U142" si="60">IF(Y140&lt;23,"Y","N")</f>
        <v>N</v>
      </c>
      <c r="V140" s="75">
        <f t="shared" ref="V140:V142" si="61">VALUE(LEFT(A140,3))-VALUE(LEFT(A139,3))</f>
        <v>1</v>
      </c>
      <c r="W140" s="75">
        <f t="shared" si="51"/>
        <v>4.3999999999999997E-2</v>
      </c>
      <c r="X140" s="75">
        <f t="shared" si="52"/>
        <v>23.331</v>
      </c>
      <c r="Y140" s="75">
        <f t="shared" si="53"/>
        <v>23.286999999999999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277</v>
      </c>
      <c r="B141" s="61">
        <v>4019</v>
      </c>
      <c r="C141" s="61" t="s">
        <v>66</v>
      </c>
      <c r="D141" s="61" t="s">
        <v>96</v>
      </c>
      <c r="E141" s="30">
        <v>42503.029664351852</v>
      </c>
      <c r="F141" s="30">
        <v>42503.034282407411</v>
      </c>
      <c r="G141" s="38">
        <v>6</v>
      </c>
      <c r="H141" s="30" t="s">
        <v>92</v>
      </c>
      <c r="I141" s="30">
        <v>42503.065057870372</v>
      </c>
      <c r="J141" s="61">
        <v>0</v>
      </c>
      <c r="K141" s="61" t="str">
        <f t="shared" si="56"/>
        <v>4019/4020</v>
      </c>
      <c r="L141" s="61" t="str">
        <f>VLOOKUP(A141,'Trips&amp;Operators'!$C$1:$E$9999,3,FALSE)</f>
        <v>BRUDER</v>
      </c>
      <c r="M141" s="12">
        <f t="shared" si="57"/>
        <v>3.0775462961173616E-2</v>
      </c>
      <c r="N141" s="13">
        <f t="shared" si="58"/>
        <v>44.316666664090008</v>
      </c>
      <c r="O141" s="13"/>
      <c r="P141" s="13"/>
      <c r="Q141" s="62"/>
      <c r="R141" s="62"/>
      <c r="T141" s="75" t="str">
        <f t="shared" si="59"/>
        <v>https://search-rtdc-monitor-bjffxe2xuh6vdkpspy63sjmuny.us-east-1.es.amazonaws.com/_plugin/kibana/#/discover/Steve-Slow-Train-Analysis-(2080s-and-2083s)?_g=(refreshInterval:(display:Off,section:0,value:0),time:(from:'2016-05-13 00:41:43-0600',mode:absolute,to:'2016-05-13 01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1" s="75" t="str">
        <f t="shared" si="60"/>
        <v>N</v>
      </c>
      <c r="V141" s="75">
        <f t="shared" si="61"/>
        <v>1</v>
      </c>
      <c r="W141" s="75">
        <f t="shared" si="51"/>
        <v>23.299399999999999</v>
      </c>
      <c r="X141" s="75">
        <f t="shared" si="52"/>
        <v>1.52E-2</v>
      </c>
      <c r="Y141" s="75">
        <f t="shared" si="53"/>
        <v>23.284199999999998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284</v>
      </c>
      <c r="B142" s="61">
        <v>4007</v>
      </c>
      <c r="C142" s="61" t="s">
        <v>66</v>
      </c>
      <c r="D142" s="61" t="s">
        <v>87</v>
      </c>
      <c r="E142" s="30">
        <v>42503.017326388886</v>
      </c>
      <c r="F142" s="30">
        <v>42503.018252314818</v>
      </c>
      <c r="G142" s="38">
        <v>1</v>
      </c>
      <c r="H142" s="30" t="s">
        <v>79</v>
      </c>
      <c r="I142" s="30">
        <v>42503.046736111108</v>
      </c>
      <c r="J142" s="61">
        <v>0</v>
      </c>
      <c r="K142" s="61" t="str">
        <f t="shared" si="56"/>
        <v>4007/4008</v>
      </c>
      <c r="L142" s="61" t="str">
        <f>VLOOKUP(A142,'Trips&amp;Operators'!$C$1:$E$9999,3,FALSE)</f>
        <v>DE LA ROSA</v>
      </c>
      <c r="M142" s="12">
        <f t="shared" si="57"/>
        <v>2.848379628994735E-2</v>
      </c>
      <c r="N142" s="13">
        <f t="shared" si="58"/>
        <v>41.016666657524183</v>
      </c>
      <c r="O142" s="13"/>
      <c r="P142" s="13"/>
      <c r="Q142" s="62"/>
      <c r="R142" s="62"/>
      <c r="T142" s="75" t="str">
        <f t="shared" si="59"/>
        <v>https://search-rtdc-monitor-bjffxe2xuh6vdkpspy63sjmuny.us-east-1.es.amazonaws.com/_plugin/kibana/#/discover/Steve-Slow-Train-Analysis-(2080s-and-2083s)?_g=(refreshInterval:(display:Off,section:0,value:0),time:(from:'2016-05-13 00:23:57-0600',mode:absolute,to:'2016-05-13 01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2" s="75" t="str">
        <f t="shared" si="60"/>
        <v>N</v>
      </c>
      <c r="V142" s="75">
        <f t="shared" si="61"/>
        <v>1</v>
      </c>
      <c r="W142" s="75">
        <f t="shared" si="51"/>
        <v>4.5100000000000001E-2</v>
      </c>
      <c r="X142" s="75">
        <f t="shared" si="52"/>
        <v>23.330400000000001</v>
      </c>
      <c r="Y142" s="75">
        <f t="shared" si="53"/>
        <v>23.285299999999999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235</v>
      </c>
      <c r="B143" s="61">
        <v>4008</v>
      </c>
      <c r="C143" s="61" t="s">
        <v>66</v>
      </c>
      <c r="D143" s="61" t="s">
        <v>72</v>
      </c>
      <c r="E143" s="30">
        <v>42503.057962962965</v>
      </c>
      <c r="F143" s="30">
        <v>42503.058888888889</v>
      </c>
      <c r="G143" s="38">
        <v>1</v>
      </c>
      <c r="H143" s="30" t="s">
        <v>360</v>
      </c>
      <c r="I143" s="30">
        <v>42503.087326388886</v>
      </c>
      <c r="J143" s="61">
        <v>1</v>
      </c>
      <c r="K143" s="61" t="str">
        <f>IF(ISEVEN(B143),(B143-1)&amp;"/"&amp;B143,B143&amp;"/"&amp;(B143+1))</f>
        <v>4007/4008</v>
      </c>
      <c r="L143" s="61" t="str">
        <f>VLOOKUP(A143,'Trips&amp;Operators'!$C$1:$E$9999,3,FALSE)</f>
        <v>DE LA ROSA</v>
      </c>
      <c r="M143" s="12">
        <f>I143-F143</f>
        <v>2.8437499997380655E-2</v>
      </c>
      <c r="N143" s="13">
        <f>$M143*24*60</f>
        <v>40.949999996228144</v>
      </c>
      <c r="O143" s="13"/>
      <c r="P143" s="13"/>
      <c r="Q143" s="62"/>
      <c r="R143" s="62"/>
      <c r="T143" s="75" t="str">
        <f t="shared" ref="T143" si="62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https://search-rtdc-monitor-bjffxe2xuh6vdkpspy63sjmuny.us-east-1.es.amazonaws.com/_plugin/kibana/#/discover/Steve-Slow-Train-Analysis-(2080s-and-2083s)?_g=(refreshInterval:(display:Off,section:0,value:0),time:(from:'2016-05-13 01:22:28-0600',mode:absolute,to:'2016-05-13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3" s="75" t="str">
        <f t="shared" ref="U143" si="63">IF(Y143&lt;23,"Y","N")</f>
        <v>N</v>
      </c>
      <c r="V143" s="75">
        <f t="shared" ref="V143" si="64">VALUE(LEFT(A143,3))-VALUE(LEFT(A142,3))</f>
        <v>1</v>
      </c>
      <c r="W143" s="75">
        <f t="shared" si="51"/>
        <v>23.298500000000001</v>
      </c>
      <c r="X143" s="75">
        <f t="shared" si="52"/>
        <v>0.1177</v>
      </c>
      <c r="Y143" s="75">
        <f t="shared" si="53"/>
        <v>23.180800000000001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ht="15.75" thickBot="1" x14ac:dyDescent="0.3">
      <c r="A144" s="64"/>
      <c r="B144" s="64"/>
      <c r="C144" s="64"/>
      <c r="D144" s="64"/>
      <c r="E144" s="65"/>
      <c r="F144" s="65"/>
      <c r="G144" s="66"/>
      <c r="H144" s="65"/>
      <c r="I144" s="65"/>
      <c r="J144" s="64"/>
      <c r="K144" s="64"/>
      <c r="L144" s="64"/>
      <c r="M144" s="67"/>
      <c r="N144" s="68"/>
      <c r="O144" s="68"/>
      <c r="P144" s="68"/>
      <c r="Q144" s="69"/>
      <c r="R144" s="69"/>
      <c r="T144" s="70"/>
      <c r="U144" s="70"/>
      <c r="V144" s="70"/>
      <c r="W144" s="70"/>
      <c r="X144" s="70"/>
      <c r="Y144" s="70"/>
      <c r="Z144" s="71"/>
      <c r="AA144" s="71"/>
    </row>
    <row r="145" spans="2:27" s="2" customFormat="1" ht="15.75" thickBot="1" x14ac:dyDescent="0.3">
      <c r="E145" s="31"/>
      <c r="F145" s="31"/>
      <c r="G145" s="39"/>
      <c r="H145" s="31"/>
      <c r="I145" s="78">
        <f>Variables!A2</f>
        <v>42501</v>
      </c>
      <c r="J145" s="79"/>
      <c r="K145" s="77"/>
      <c r="L145" s="77"/>
      <c r="M145" s="80" t="s">
        <v>8</v>
      </c>
      <c r="N145" s="81"/>
      <c r="O145" s="82"/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15.75" thickBot="1" x14ac:dyDescent="0.3">
      <c r="E146" s="31"/>
      <c r="F146" s="31"/>
      <c r="G146" s="39"/>
      <c r="H146" s="31"/>
      <c r="I146" s="83" t="s">
        <v>10</v>
      </c>
      <c r="J146" s="84"/>
      <c r="K146" s="35"/>
      <c r="L146" s="59"/>
      <c r="M146" s="9" t="s">
        <v>11</v>
      </c>
      <c r="N146" s="6" t="s">
        <v>12</v>
      </c>
      <c r="O146" s="7" t="s">
        <v>13</v>
      </c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2:27" s="2" customFormat="1" ht="15.75" thickBot="1" x14ac:dyDescent="0.3">
      <c r="E147" s="31"/>
      <c r="F147" s="31"/>
      <c r="G147" s="39"/>
      <c r="H147" s="31"/>
      <c r="I147" s="32" t="s">
        <v>14</v>
      </c>
      <c r="J147" s="3">
        <f>COUNT(N3:P143)</f>
        <v>141</v>
      </c>
      <c r="K147" s="3"/>
      <c r="L147" s="3"/>
      <c r="M147" s="72" t="s">
        <v>15</v>
      </c>
      <c r="N147" s="6" t="s">
        <v>15</v>
      </c>
      <c r="O147" s="7" t="s">
        <v>15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15.75" thickBot="1" x14ac:dyDescent="0.3">
      <c r="E148" s="31"/>
      <c r="F148" s="31"/>
      <c r="G148" s="39"/>
      <c r="H148" s="31"/>
      <c r="I148" s="32" t="s">
        <v>17</v>
      </c>
      <c r="J148" s="3">
        <f>COUNT(N3:N143)</f>
        <v>134</v>
      </c>
      <c r="K148" s="3"/>
      <c r="L148" s="3"/>
      <c r="M148" s="72">
        <f>AVERAGE(N3:N143)</f>
        <v>44.467661691188411</v>
      </c>
      <c r="N148" s="6">
        <f>MIN(N3:N143)</f>
        <v>34.116666658082977</v>
      </c>
      <c r="O148" s="7">
        <f>MAX(N3:N143)</f>
        <v>114.299999991199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2:27" s="2" customFormat="1" ht="15.75" thickBot="1" x14ac:dyDescent="0.3">
      <c r="B149"/>
      <c r="C149"/>
      <c r="D149"/>
      <c r="E149" s="14"/>
      <c r="F149" s="14"/>
      <c r="G149" s="40"/>
      <c r="H149" s="14"/>
      <c r="I149" s="33" t="s">
        <v>45</v>
      </c>
      <c r="J149" s="3">
        <f>COUNT(O3:O143)</f>
        <v>0</v>
      </c>
      <c r="K149" s="3"/>
      <c r="L149" s="3"/>
      <c r="M149" s="72">
        <f>IFERROR(AVERAGE(O3:O143),0)</f>
        <v>0</v>
      </c>
      <c r="N149" s="6">
        <f>MIN(O3:O143)</f>
        <v>0</v>
      </c>
      <c r="O149" s="7">
        <f>MAX(O3:O143)</f>
        <v>0</v>
      </c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ht="15.75" thickBot="1" x14ac:dyDescent="0.3">
      <c r="B150"/>
      <c r="C150"/>
      <c r="D150"/>
      <c r="E150" s="14"/>
      <c r="F150" s="14"/>
      <c r="G150" s="40"/>
      <c r="H150" s="14"/>
      <c r="I150" s="34" t="s">
        <v>9</v>
      </c>
      <c r="J150" s="3">
        <f>COUNT(P3:P143)</f>
        <v>7</v>
      </c>
      <c r="K150" s="3"/>
      <c r="L150" s="3"/>
      <c r="M150" s="72" t="s">
        <v>15</v>
      </c>
      <c r="N150" s="6" t="s">
        <v>15</v>
      </c>
      <c r="O150" s="7" t="s">
        <v>15</v>
      </c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ht="30.75" thickBot="1" x14ac:dyDescent="0.3">
      <c r="E151" s="31"/>
      <c r="F151" s="31"/>
      <c r="G151" s="39"/>
      <c r="H151" s="31"/>
      <c r="I151" s="32" t="s">
        <v>16</v>
      </c>
      <c r="J151" s="3">
        <f>COUNT(N3:O143)</f>
        <v>134</v>
      </c>
      <c r="K151" s="3"/>
      <c r="L151" s="3"/>
      <c r="M151" s="72">
        <f>AVERAGE(N3:P143)</f>
        <v>43.942434987880567</v>
      </c>
      <c r="N151" s="6">
        <f>MIN(N3:O143)</f>
        <v>34.116666658082977</v>
      </c>
      <c r="O151" s="7">
        <f>MAX(N3:O143)</f>
        <v>114.299999991199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2:27" s="2" customFormat="1" ht="30.75" thickBot="1" x14ac:dyDescent="0.3">
      <c r="B152"/>
      <c r="C152"/>
      <c r="D152"/>
      <c r="E152" s="14"/>
      <c r="F152" s="14"/>
      <c r="G152" s="40"/>
      <c r="H152" s="14"/>
      <c r="I152" s="32" t="s">
        <v>19</v>
      </c>
      <c r="J152" s="8">
        <f>J151/J147</f>
        <v>0.95035460992907805</v>
      </c>
      <c r="K152" s="8"/>
      <c r="L152" s="8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2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2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60" spans="2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</sheetData>
  <autoFilter ref="A2:AA143">
    <sortState ref="A3:AA145">
      <sortCondition ref="A2:A145"/>
    </sortState>
  </autoFilter>
  <sortState ref="A3:Y144">
    <sortCondition ref="A3:A144"/>
  </sortState>
  <mergeCells count="4">
    <mergeCell ref="I145:J145"/>
    <mergeCell ref="M145:O145"/>
    <mergeCell ref="I146:J146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44:P144 A3:R143">
    <cfRule type="expression" dxfId="7" priority="34">
      <formula>$P3&gt;0</formula>
    </cfRule>
    <cfRule type="expression" dxfId="6" priority="35">
      <formula>$O3&gt;0</formula>
    </cfRule>
  </conditionalFormatting>
  <conditionalFormatting sqref="Q144:R144">
    <cfRule type="expression" dxfId="5" priority="76">
      <formula>$P144&gt;0</formula>
    </cfRule>
    <cfRule type="expression" dxfId="4" priority="77">
      <formula>$O163&gt;0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showGridLines="0" zoomScaleNormal="100" workbookViewId="0">
      <selection activeCell="N14" sqref="N1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42502.500752314816</v>
      </c>
      <c r="B3" s="22" t="s">
        <v>172</v>
      </c>
      <c r="C3" s="22" t="s">
        <v>307</v>
      </c>
      <c r="D3" s="22" t="s">
        <v>57</v>
      </c>
      <c r="E3" s="22" t="s">
        <v>337</v>
      </c>
      <c r="F3" s="22">
        <v>790</v>
      </c>
      <c r="G3" s="22">
        <v>840</v>
      </c>
      <c r="H3" s="22">
        <v>205878</v>
      </c>
      <c r="I3" s="22" t="s">
        <v>61</v>
      </c>
      <c r="J3" s="22">
        <v>231269</v>
      </c>
      <c r="K3" s="21" t="s">
        <v>56</v>
      </c>
      <c r="L3" s="21" t="str">
        <f>VLOOKUP(C3,'Trips&amp;Operators'!$C$1:$E$9999,3,FALSE)</f>
        <v>MALAVE</v>
      </c>
      <c r="M3" s="20" t="s">
        <v>103</v>
      </c>
      <c r="N3" s="21"/>
    </row>
    <row r="4" spans="1:14" s="19" customFormat="1" x14ac:dyDescent="0.25">
      <c r="A4" s="23">
        <v>42502.80636574074</v>
      </c>
      <c r="B4" s="22" t="s">
        <v>172</v>
      </c>
      <c r="C4" s="22" t="s">
        <v>244</v>
      </c>
      <c r="D4" s="22" t="s">
        <v>57</v>
      </c>
      <c r="E4" s="22" t="s">
        <v>337</v>
      </c>
      <c r="F4" s="22">
        <v>790</v>
      </c>
      <c r="G4" s="22">
        <v>842</v>
      </c>
      <c r="H4" s="22">
        <v>98434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STEWART</v>
      </c>
      <c r="M4" s="20" t="s">
        <v>103</v>
      </c>
      <c r="N4" s="21"/>
    </row>
    <row r="5" spans="1:14" s="19" customFormat="1" x14ac:dyDescent="0.25">
      <c r="A5" s="23">
        <v>42502.675162037034</v>
      </c>
      <c r="B5" s="22" t="s">
        <v>182</v>
      </c>
      <c r="C5" s="22" t="s">
        <v>271</v>
      </c>
      <c r="D5" s="22" t="s">
        <v>52</v>
      </c>
      <c r="E5" s="22" t="s">
        <v>109</v>
      </c>
      <c r="F5" s="22">
        <v>0</v>
      </c>
      <c r="G5" s="22">
        <v>195</v>
      </c>
      <c r="H5" s="22">
        <v>107734</v>
      </c>
      <c r="I5" s="22" t="s">
        <v>110</v>
      </c>
      <c r="J5" s="22">
        <v>108954</v>
      </c>
      <c r="K5" s="21" t="s">
        <v>55</v>
      </c>
      <c r="L5" s="21" t="str">
        <f>VLOOKUP(C5,'Trips&amp;Operators'!$C$1:$E$9999,3,FALSE)</f>
        <v>YOUNG</v>
      </c>
      <c r="M5" s="20" t="s">
        <v>338</v>
      </c>
      <c r="N5" s="21" t="s">
        <v>398</v>
      </c>
    </row>
    <row r="6" spans="1:14" s="19" customFormat="1" x14ac:dyDescent="0.25">
      <c r="A6" s="23">
        <v>42502.677349537036</v>
      </c>
      <c r="B6" s="22" t="s">
        <v>182</v>
      </c>
      <c r="C6" s="22" t="s">
        <v>271</v>
      </c>
      <c r="D6" s="22" t="s">
        <v>57</v>
      </c>
      <c r="E6" s="22" t="s">
        <v>109</v>
      </c>
      <c r="F6" s="22">
        <v>0</v>
      </c>
      <c r="G6" s="22">
        <v>17</v>
      </c>
      <c r="H6" s="22">
        <v>108981</v>
      </c>
      <c r="I6" s="22" t="s">
        <v>110</v>
      </c>
      <c r="J6" s="22">
        <v>108954</v>
      </c>
      <c r="K6" s="21" t="s">
        <v>55</v>
      </c>
      <c r="L6" s="21" t="str">
        <f>VLOOKUP(C6,'Trips&amp;Operators'!$C$1:$E$9999,3,FALSE)</f>
        <v>YOUNG</v>
      </c>
      <c r="M6" s="20" t="s">
        <v>338</v>
      </c>
      <c r="N6" s="21" t="s">
        <v>399</v>
      </c>
    </row>
    <row r="7" spans="1:14" s="19" customFormat="1" x14ac:dyDescent="0.25">
      <c r="A7" s="23">
        <v>42502.691921296297</v>
      </c>
      <c r="B7" s="22" t="s">
        <v>142</v>
      </c>
      <c r="C7" s="22" t="s">
        <v>243</v>
      </c>
      <c r="D7" s="22" t="s">
        <v>52</v>
      </c>
      <c r="E7" s="22" t="s">
        <v>109</v>
      </c>
      <c r="F7" s="22">
        <v>0</v>
      </c>
      <c r="G7" s="22">
        <v>152</v>
      </c>
      <c r="H7" s="22">
        <v>110150</v>
      </c>
      <c r="I7" s="22" t="s">
        <v>110</v>
      </c>
      <c r="J7" s="22">
        <v>109135</v>
      </c>
      <c r="K7" s="21" t="s">
        <v>56</v>
      </c>
      <c r="L7" s="21" t="str">
        <f>VLOOKUP(C7,'Trips&amp;Operators'!$C$1:$E$9999,3,FALSE)</f>
        <v>JACKSON</v>
      </c>
      <c r="M7" s="20" t="s">
        <v>338</v>
      </c>
      <c r="N7" s="21" t="s">
        <v>398</v>
      </c>
    </row>
    <row r="8" spans="1:14" s="19" customFormat="1" x14ac:dyDescent="0.25">
      <c r="A8" s="23">
        <v>42502.446226851855</v>
      </c>
      <c r="B8" s="22" t="s">
        <v>172</v>
      </c>
      <c r="C8" s="22" t="s">
        <v>220</v>
      </c>
      <c r="D8" s="22" t="s">
        <v>52</v>
      </c>
      <c r="E8" s="22" t="s">
        <v>60</v>
      </c>
      <c r="F8" s="22">
        <v>300</v>
      </c>
      <c r="G8" s="22">
        <v>412</v>
      </c>
      <c r="H8" s="22">
        <v>22670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MALAVE</v>
      </c>
      <c r="M8" s="20" t="s">
        <v>103</v>
      </c>
      <c r="N8" s="21"/>
    </row>
    <row r="9" spans="1:14" s="19" customFormat="1" x14ac:dyDescent="0.25">
      <c r="A9" s="23">
        <v>42502.553657407407</v>
      </c>
      <c r="B9" s="22" t="s">
        <v>107</v>
      </c>
      <c r="C9" s="22" t="s">
        <v>256</v>
      </c>
      <c r="D9" s="22" t="s">
        <v>52</v>
      </c>
      <c r="E9" s="22" t="s">
        <v>60</v>
      </c>
      <c r="F9" s="22">
        <v>150</v>
      </c>
      <c r="G9" s="22">
        <v>144</v>
      </c>
      <c r="H9" s="22">
        <v>4988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YORK</v>
      </c>
      <c r="M9" s="20" t="s">
        <v>103</v>
      </c>
      <c r="N9" s="21"/>
    </row>
    <row r="10" spans="1:14" s="19" customFormat="1" x14ac:dyDescent="0.25">
      <c r="A10" s="23">
        <v>42502.649131944447</v>
      </c>
      <c r="B10" s="22" t="s">
        <v>172</v>
      </c>
      <c r="C10" s="22" t="s">
        <v>306</v>
      </c>
      <c r="D10" s="22" t="s">
        <v>57</v>
      </c>
      <c r="E10" s="22" t="s">
        <v>60</v>
      </c>
      <c r="F10" s="22">
        <v>700</v>
      </c>
      <c r="G10" s="22">
        <v>750</v>
      </c>
      <c r="H10" s="22">
        <v>179493</v>
      </c>
      <c r="I10" s="22" t="s">
        <v>61</v>
      </c>
      <c r="J10" s="22">
        <v>183829</v>
      </c>
      <c r="K10" s="21" t="s">
        <v>56</v>
      </c>
      <c r="L10" s="21" t="str">
        <f>VLOOKUP(C10,'Trips&amp;Operators'!$C$1:$E$9999,3,FALSE)</f>
        <v>STEWART</v>
      </c>
      <c r="M10" s="20" t="s">
        <v>103</v>
      </c>
      <c r="N10" s="21"/>
    </row>
    <row r="11" spans="1:14" s="19" customFormat="1" x14ac:dyDescent="0.25">
      <c r="A11" s="23">
        <v>42502.718414351853</v>
      </c>
      <c r="B11" s="22" t="s">
        <v>172</v>
      </c>
      <c r="C11" s="22" t="s">
        <v>225</v>
      </c>
      <c r="D11" s="22" t="s">
        <v>57</v>
      </c>
      <c r="E11" s="22" t="s">
        <v>60</v>
      </c>
      <c r="F11" s="22">
        <v>350</v>
      </c>
      <c r="G11" s="22">
        <v>400</v>
      </c>
      <c r="H11" s="22">
        <v>226005</v>
      </c>
      <c r="I11" s="22" t="s">
        <v>61</v>
      </c>
      <c r="J11" s="22">
        <v>228668</v>
      </c>
      <c r="K11" s="21" t="s">
        <v>56</v>
      </c>
      <c r="L11" s="21" t="str">
        <f>VLOOKUP(C11,'Trips&amp;Operators'!$C$1:$E$9999,3,FALSE)</f>
        <v>STEWART</v>
      </c>
      <c r="M11" s="20" t="s">
        <v>103</v>
      </c>
      <c r="N11" s="21"/>
    </row>
    <row r="12" spans="1:14" s="19" customFormat="1" x14ac:dyDescent="0.25">
      <c r="A12" s="23">
        <v>42502.664212962962</v>
      </c>
      <c r="B12" s="22" t="s">
        <v>182</v>
      </c>
      <c r="C12" s="22" t="s">
        <v>271</v>
      </c>
      <c r="D12" s="22" t="s">
        <v>57</v>
      </c>
      <c r="E12" s="22" t="s">
        <v>60</v>
      </c>
      <c r="F12" s="22">
        <v>200</v>
      </c>
      <c r="G12" s="22">
        <v>262</v>
      </c>
      <c r="H12" s="22">
        <v>5487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YOUNG</v>
      </c>
      <c r="M12" s="20" t="s">
        <v>103</v>
      </c>
      <c r="N12" s="21"/>
    </row>
    <row r="13" spans="1:14" s="19" customFormat="1" x14ac:dyDescent="0.25">
      <c r="A13" s="23">
        <v>42502.667175925926</v>
      </c>
      <c r="B13" s="22" t="s">
        <v>182</v>
      </c>
      <c r="C13" s="22" t="s">
        <v>271</v>
      </c>
      <c r="D13" s="22" t="s">
        <v>52</v>
      </c>
      <c r="E13" s="22" t="s">
        <v>60</v>
      </c>
      <c r="F13" s="22">
        <v>300</v>
      </c>
      <c r="G13" s="22">
        <v>223</v>
      </c>
      <c r="H13" s="22">
        <v>19587</v>
      </c>
      <c r="I13" s="22" t="s">
        <v>61</v>
      </c>
      <c r="J13" s="22">
        <v>20338</v>
      </c>
      <c r="K13" s="21" t="s">
        <v>55</v>
      </c>
      <c r="L13" s="21" t="str">
        <f>VLOOKUP(C13,'Trips&amp;Operators'!$C$1:$E$9999,3,FALSE)</f>
        <v>YOUNG</v>
      </c>
      <c r="M13" s="20" t="s">
        <v>103</v>
      </c>
      <c r="N13" s="21"/>
    </row>
    <row r="14" spans="1:14" s="19" customFormat="1" x14ac:dyDescent="0.25">
      <c r="A14" s="23">
        <v>42502.675706018519</v>
      </c>
      <c r="B14" s="22" t="s">
        <v>142</v>
      </c>
      <c r="C14" s="22" t="s">
        <v>243</v>
      </c>
      <c r="D14" s="22" t="s">
        <v>52</v>
      </c>
      <c r="E14" s="22" t="s">
        <v>60</v>
      </c>
      <c r="F14" s="22">
        <v>150</v>
      </c>
      <c r="G14" s="22">
        <v>182</v>
      </c>
      <c r="H14" s="22">
        <v>229146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JACKSON</v>
      </c>
      <c r="M14" s="20" t="s">
        <v>103</v>
      </c>
      <c r="N14" s="21"/>
    </row>
    <row r="15" spans="1:14" s="19" customFormat="1" x14ac:dyDescent="0.25">
      <c r="A15" s="23">
        <v>42502.682986111111</v>
      </c>
      <c r="B15" s="22" t="s">
        <v>65</v>
      </c>
      <c r="C15" s="22" t="s">
        <v>286</v>
      </c>
      <c r="D15" s="22" t="s">
        <v>52</v>
      </c>
      <c r="E15" s="22" t="s">
        <v>60</v>
      </c>
      <c r="F15" s="22">
        <v>150</v>
      </c>
      <c r="G15" s="22">
        <v>202</v>
      </c>
      <c r="H15" s="22">
        <v>5184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SPECTOR</v>
      </c>
      <c r="M15" s="20" t="s">
        <v>103</v>
      </c>
      <c r="N15" s="21"/>
    </row>
    <row r="16" spans="1:14" s="19" customFormat="1" x14ac:dyDescent="0.25">
      <c r="A16" s="23">
        <v>42502.864247685182</v>
      </c>
      <c r="B16" s="22" t="s">
        <v>172</v>
      </c>
      <c r="C16" s="22" t="s">
        <v>265</v>
      </c>
      <c r="D16" s="22" t="s">
        <v>57</v>
      </c>
      <c r="E16" s="22" t="s">
        <v>60</v>
      </c>
      <c r="F16" s="22">
        <v>350</v>
      </c>
      <c r="G16" s="22">
        <v>405</v>
      </c>
      <c r="H16" s="22">
        <v>224735</v>
      </c>
      <c r="I16" s="22" t="s">
        <v>61</v>
      </c>
      <c r="J16" s="22">
        <v>228668</v>
      </c>
      <c r="K16" s="21" t="s">
        <v>56</v>
      </c>
      <c r="L16" s="21" t="str">
        <f>VLOOKUP(C16,'Trips&amp;Operators'!$C$1:$E$9999,3,FALSE)</f>
        <v>STRICKLAND</v>
      </c>
      <c r="M16" s="20" t="s">
        <v>103</v>
      </c>
      <c r="N16" s="21"/>
    </row>
    <row r="17" spans="1:14" s="19" customFormat="1" x14ac:dyDescent="0.25">
      <c r="A17" s="23">
        <v>42502.868750000001</v>
      </c>
      <c r="B17" s="22" t="s">
        <v>172</v>
      </c>
      <c r="C17" s="22" t="s">
        <v>265</v>
      </c>
      <c r="D17" s="22" t="s">
        <v>57</v>
      </c>
      <c r="E17" s="22" t="s">
        <v>60</v>
      </c>
      <c r="F17" s="22">
        <v>700</v>
      </c>
      <c r="G17" s="22">
        <v>751</v>
      </c>
      <c r="H17" s="22">
        <v>175941</v>
      </c>
      <c r="I17" s="22" t="s">
        <v>61</v>
      </c>
      <c r="J17" s="22">
        <v>183829</v>
      </c>
      <c r="K17" s="21" t="s">
        <v>56</v>
      </c>
      <c r="L17" s="21" t="str">
        <f>VLOOKUP(C17,'Trips&amp;Operators'!$C$1:$E$9999,3,FALSE)</f>
        <v>STRICKLAND</v>
      </c>
      <c r="M17" s="20" t="s">
        <v>103</v>
      </c>
      <c r="N17" s="21"/>
    </row>
    <row r="18" spans="1:14" s="19" customFormat="1" x14ac:dyDescent="0.25">
      <c r="A18" s="23">
        <v>42502.734502314815</v>
      </c>
      <c r="B18" s="22" t="s">
        <v>139</v>
      </c>
      <c r="C18" s="22" t="s">
        <v>221</v>
      </c>
      <c r="D18" s="22" t="s">
        <v>57</v>
      </c>
      <c r="E18" s="22" t="s">
        <v>58</v>
      </c>
      <c r="F18" s="22">
        <v>200</v>
      </c>
      <c r="G18" s="22">
        <v>254</v>
      </c>
      <c r="H18" s="22">
        <v>130817</v>
      </c>
      <c r="I18" s="22" t="s">
        <v>59</v>
      </c>
      <c r="J18" s="22">
        <v>126585</v>
      </c>
      <c r="K18" s="21" t="s">
        <v>55</v>
      </c>
      <c r="L18" s="21" t="str">
        <f>VLOOKUP(C18,'Trips&amp;Operators'!$C$1:$E$9999,3,FALSE)</f>
        <v>JACKSON</v>
      </c>
      <c r="M18" s="20" t="s">
        <v>338</v>
      </c>
      <c r="N18" s="21" t="s">
        <v>403</v>
      </c>
    </row>
    <row r="19" spans="1:14" s="19" customFormat="1" x14ac:dyDescent="0.25">
      <c r="A19" s="23">
        <v>42502.770219907405</v>
      </c>
      <c r="B19" s="22" t="s">
        <v>197</v>
      </c>
      <c r="C19" s="22" t="s">
        <v>269</v>
      </c>
      <c r="D19" s="22" t="s">
        <v>57</v>
      </c>
      <c r="E19" s="22" t="s">
        <v>58</v>
      </c>
      <c r="F19" s="22">
        <v>200</v>
      </c>
      <c r="G19" s="22">
        <v>261</v>
      </c>
      <c r="H19" s="22">
        <v>132588</v>
      </c>
      <c r="I19" s="22" t="s">
        <v>59</v>
      </c>
      <c r="J19" s="22">
        <v>126585</v>
      </c>
      <c r="K19" s="21" t="s">
        <v>55</v>
      </c>
      <c r="L19" s="21" t="str">
        <f>VLOOKUP(C19,'Trips&amp;Operators'!$C$1:$E$9999,3,FALSE)</f>
        <v>BARTLETT</v>
      </c>
      <c r="M19" s="20" t="s">
        <v>338</v>
      </c>
      <c r="N19" s="21" t="s">
        <v>403</v>
      </c>
    </row>
    <row r="20" spans="1:14" s="19" customFormat="1" x14ac:dyDescent="0.25">
      <c r="A20" s="23">
        <v>42502.427939814814</v>
      </c>
      <c r="B20" s="22" t="s">
        <v>172</v>
      </c>
      <c r="C20" s="22" t="s">
        <v>220</v>
      </c>
      <c r="D20" s="22" t="s">
        <v>57</v>
      </c>
      <c r="E20" s="22" t="s">
        <v>336</v>
      </c>
      <c r="F20" s="22">
        <v>790</v>
      </c>
      <c r="G20" s="22">
        <v>842</v>
      </c>
      <c r="H20" s="22">
        <v>205471</v>
      </c>
      <c r="I20" s="22" t="s">
        <v>61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103</v>
      </c>
      <c r="N20" s="21"/>
    </row>
    <row r="21" spans="1:14" s="19" customFormat="1" x14ac:dyDescent="0.25">
      <c r="A21" s="23">
        <v>42502.439884259256</v>
      </c>
      <c r="B21" s="22" t="s">
        <v>172</v>
      </c>
      <c r="C21" s="22" t="s">
        <v>220</v>
      </c>
      <c r="D21" s="22" t="s">
        <v>57</v>
      </c>
      <c r="E21" s="22" t="s">
        <v>336</v>
      </c>
      <c r="F21" s="22">
        <v>790</v>
      </c>
      <c r="G21" s="22">
        <v>849</v>
      </c>
      <c r="H21" s="22">
        <v>72338</v>
      </c>
      <c r="I21" s="22" t="s">
        <v>61</v>
      </c>
      <c r="J21" s="22">
        <v>103864</v>
      </c>
      <c r="K21" s="21" t="s">
        <v>56</v>
      </c>
      <c r="L21" s="21" t="str">
        <f>VLOOKUP(C21,'Trips&amp;Operators'!$C$1:$E$9999,3,FALSE)</f>
        <v>MALAVE</v>
      </c>
      <c r="M21" s="20" t="s">
        <v>103</v>
      </c>
      <c r="N21" s="21"/>
    </row>
    <row r="22" spans="1:14" s="19" customFormat="1" x14ac:dyDescent="0.25">
      <c r="A22" s="23">
        <v>42502.213495370372</v>
      </c>
      <c r="B22" s="22" t="s">
        <v>108</v>
      </c>
      <c r="C22" s="22" t="s">
        <v>181</v>
      </c>
      <c r="D22" s="22" t="s">
        <v>57</v>
      </c>
      <c r="E22" s="22" t="s">
        <v>53</v>
      </c>
      <c r="F22" s="22">
        <v>0</v>
      </c>
      <c r="G22" s="22">
        <v>24</v>
      </c>
      <c r="H22" s="22">
        <v>233491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YORK</v>
      </c>
      <c r="M22" s="20" t="s">
        <v>103</v>
      </c>
      <c r="N22" s="21"/>
    </row>
    <row r="23" spans="1:14" s="19" customFormat="1" x14ac:dyDescent="0.25">
      <c r="A23" s="23">
        <v>42502.216296296298</v>
      </c>
      <c r="B23" s="22" t="s">
        <v>231</v>
      </c>
      <c r="C23" s="22" t="s">
        <v>232</v>
      </c>
      <c r="D23" s="22" t="s">
        <v>52</v>
      </c>
      <c r="E23" s="22" t="s">
        <v>53</v>
      </c>
      <c r="F23" s="22">
        <v>0</v>
      </c>
      <c r="G23" s="22">
        <v>79</v>
      </c>
      <c r="H23" s="22">
        <v>232673</v>
      </c>
      <c r="I23" s="22" t="s">
        <v>54</v>
      </c>
      <c r="J23" s="22">
        <v>233491</v>
      </c>
      <c r="K23" s="21" t="s">
        <v>55</v>
      </c>
      <c r="L23" s="21" t="str">
        <f>VLOOKUP(C23,'Trips&amp;Operators'!$C$1:$E$9999,3,FALSE)</f>
        <v>NEWELL</v>
      </c>
      <c r="M23" s="20" t="s">
        <v>103</v>
      </c>
      <c r="N23" s="21"/>
    </row>
    <row r="24" spans="1:14" s="19" customFormat="1" x14ac:dyDescent="0.25">
      <c r="A24" s="23">
        <v>42502.253877314812</v>
      </c>
      <c r="B24" s="22" t="s">
        <v>170</v>
      </c>
      <c r="C24" s="22" t="s">
        <v>274</v>
      </c>
      <c r="D24" s="22" t="s">
        <v>52</v>
      </c>
      <c r="E24" s="22" t="s">
        <v>53</v>
      </c>
      <c r="F24" s="22">
        <v>0</v>
      </c>
      <c r="G24" s="22">
        <v>9</v>
      </c>
      <c r="H24" s="22">
        <v>233342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MALAVE</v>
      </c>
      <c r="M24" s="20" t="s">
        <v>103</v>
      </c>
      <c r="N24" s="21"/>
    </row>
    <row r="25" spans="1:14" s="19" customFormat="1" x14ac:dyDescent="0.25">
      <c r="A25" s="23">
        <v>42502.264756944445</v>
      </c>
      <c r="B25" s="22" t="s">
        <v>197</v>
      </c>
      <c r="C25" s="22" t="s">
        <v>276</v>
      </c>
      <c r="D25" s="22" t="s">
        <v>52</v>
      </c>
      <c r="E25" s="22" t="s">
        <v>53</v>
      </c>
      <c r="F25" s="22">
        <v>0</v>
      </c>
      <c r="G25" s="22">
        <v>9</v>
      </c>
      <c r="H25" s="22">
        <v>233337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CUSHING</v>
      </c>
      <c r="M25" s="20" t="s">
        <v>103</v>
      </c>
      <c r="N25" s="21"/>
    </row>
    <row r="26" spans="1:14" s="19" customFormat="1" x14ac:dyDescent="0.25">
      <c r="A26" s="23">
        <v>42502.272557870368</v>
      </c>
      <c r="B26" s="22" t="s">
        <v>171</v>
      </c>
      <c r="C26" s="22" t="s">
        <v>266</v>
      </c>
      <c r="D26" s="22" t="s">
        <v>52</v>
      </c>
      <c r="E26" s="22" t="s">
        <v>53</v>
      </c>
      <c r="F26" s="22">
        <v>0</v>
      </c>
      <c r="G26" s="22">
        <v>5</v>
      </c>
      <c r="H26" s="22">
        <v>110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CHANDLER</v>
      </c>
      <c r="M26" s="20" t="s">
        <v>103</v>
      </c>
      <c r="N26" s="21"/>
    </row>
    <row r="27" spans="1:14" s="19" customFormat="1" x14ac:dyDescent="0.25">
      <c r="A27" s="23">
        <v>42502.282939814817</v>
      </c>
      <c r="B27" s="22" t="s">
        <v>182</v>
      </c>
      <c r="C27" s="22" t="s">
        <v>294</v>
      </c>
      <c r="D27" s="22" t="s">
        <v>52</v>
      </c>
      <c r="E27" s="22" t="s">
        <v>53</v>
      </c>
      <c r="F27" s="22">
        <v>0</v>
      </c>
      <c r="G27" s="22">
        <v>43</v>
      </c>
      <c r="H27" s="22">
        <v>156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LEVIN</v>
      </c>
      <c r="M27" s="20" t="s">
        <v>103</v>
      </c>
      <c r="N27" s="21"/>
    </row>
    <row r="28" spans="1:14" s="19" customFormat="1" x14ac:dyDescent="0.25">
      <c r="A28" s="23">
        <v>42502.315069444441</v>
      </c>
      <c r="B28" s="22" t="s">
        <v>65</v>
      </c>
      <c r="C28" s="22" t="s">
        <v>255</v>
      </c>
      <c r="D28" s="22" t="s">
        <v>52</v>
      </c>
      <c r="E28" s="22" t="s">
        <v>53</v>
      </c>
      <c r="F28" s="22">
        <v>0</v>
      </c>
      <c r="G28" s="22">
        <v>2</v>
      </c>
      <c r="H28" s="22">
        <v>127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NEWELL</v>
      </c>
      <c r="M28" s="20" t="s">
        <v>103</v>
      </c>
      <c r="N28" s="21"/>
    </row>
    <row r="29" spans="1:14" s="19" customFormat="1" x14ac:dyDescent="0.25">
      <c r="A29" s="23">
        <v>42502.316747685189</v>
      </c>
      <c r="B29" s="22" t="s">
        <v>202</v>
      </c>
      <c r="C29" s="22" t="s">
        <v>250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233344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LEVIN</v>
      </c>
      <c r="M29" s="20" t="s">
        <v>103</v>
      </c>
      <c r="N29" s="21"/>
    </row>
    <row r="30" spans="1:14" s="19" customFormat="1" x14ac:dyDescent="0.25">
      <c r="A30" s="23">
        <v>42502.451412037037</v>
      </c>
      <c r="B30" s="22" t="s">
        <v>172</v>
      </c>
      <c r="C30" s="22" t="s">
        <v>220</v>
      </c>
      <c r="D30" s="22" t="s">
        <v>52</v>
      </c>
      <c r="E30" s="22" t="s">
        <v>53</v>
      </c>
      <c r="F30" s="22">
        <v>0</v>
      </c>
      <c r="G30" s="22">
        <v>9</v>
      </c>
      <c r="H30" s="22">
        <v>116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103</v>
      </c>
      <c r="N30" s="21"/>
    </row>
    <row r="31" spans="1:14" s="19" customFormat="1" x14ac:dyDescent="0.25">
      <c r="A31" s="23">
        <v>42502.482951388891</v>
      </c>
      <c r="B31" s="22" t="s">
        <v>170</v>
      </c>
      <c r="C31" s="22" t="s">
        <v>259</v>
      </c>
      <c r="D31" s="22" t="s">
        <v>52</v>
      </c>
      <c r="E31" s="22" t="s">
        <v>53</v>
      </c>
      <c r="F31" s="22">
        <v>0</v>
      </c>
      <c r="G31" s="22">
        <v>7</v>
      </c>
      <c r="H31" s="22">
        <v>233347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MALAVE</v>
      </c>
      <c r="M31" s="20" t="s">
        <v>103</v>
      </c>
      <c r="N31" s="21"/>
    </row>
    <row r="32" spans="1:14" s="19" customFormat="1" x14ac:dyDescent="0.25">
      <c r="A32" s="23">
        <v>42502.50204861111</v>
      </c>
      <c r="B32" s="22" t="s">
        <v>171</v>
      </c>
      <c r="C32" s="22" t="s">
        <v>331</v>
      </c>
      <c r="D32" s="22" t="s">
        <v>52</v>
      </c>
      <c r="E32" s="22" t="s">
        <v>53</v>
      </c>
      <c r="F32" s="22">
        <v>0</v>
      </c>
      <c r="G32" s="22">
        <v>4</v>
      </c>
      <c r="H32" s="22">
        <v>121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CHANDLER</v>
      </c>
      <c r="M32" s="20" t="s">
        <v>103</v>
      </c>
      <c r="N32" s="21"/>
    </row>
    <row r="33" spans="1:14" s="19" customFormat="1" x14ac:dyDescent="0.25">
      <c r="A33" s="23">
        <v>42502.523182870369</v>
      </c>
      <c r="B33" s="22" t="s">
        <v>172</v>
      </c>
      <c r="C33" s="22" t="s">
        <v>307</v>
      </c>
      <c r="D33" s="22" t="s">
        <v>52</v>
      </c>
      <c r="E33" s="22" t="s">
        <v>53</v>
      </c>
      <c r="F33" s="22">
        <v>0</v>
      </c>
      <c r="G33" s="22">
        <v>6</v>
      </c>
      <c r="H33" s="22">
        <v>129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MALAVE</v>
      </c>
      <c r="M33" s="20" t="s">
        <v>103</v>
      </c>
      <c r="N33" s="21"/>
    </row>
    <row r="34" spans="1:14" s="19" customFormat="1" x14ac:dyDescent="0.25">
      <c r="A34" s="23">
        <v>42502.534699074073</v>
      </c>
      <c r="B34" s="22" t="s">
        <v>173</v>
      </c>
      <c r="C34" s="22" t="s">
        <v>278</v>
      </c>
      <c r="D34" s="22" t="s">
        <v>52</v>
      </c>
      <c r="E34" s="22" t="s">
        <v>53</v>
      </c>
      <c r="F34" s="22">
        <v>0</v>
      </c>
      <c r="G34" s="22">
        <v>8</v>
      </c>
      <c r="H34" s="22">
        <v>233334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ADANE</v>
      </c>
      <c r="M34" s="20" t="s">
        <v>103</v>
      </c>
      <c r="N34" s="21"/>
    </row>
    <row r="35" spans="1:14" s="19" customFormat="1" x14ac:dyDescent="0.25">
      <c r="A35" s="23">
        <v>42502.543900462966</v>
      </c>
      <c r="B35" s="22" t="s">
        <v>65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NEWELL</v>
      </c>
      <c r="M35" s="20" t="s">
        <v>103</v>
      </c>
      <c r="N35" s="21"/>
    </row>
    <row r="36" spans="1:14" s="19" customFormat="1" x14ac:dyDescent="0.25">
      <c r="A36" s="23">
        <v>42502.525138888886</v>
      </c>
      <c r="B36" s="22" t="s">
        <v>173</v>
      </c>
      <c r="C36" s="22" t="s">
        <v>313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233334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ADANE</v>
      </c>
      <c r="M36" s="20" t="s">
        <v>103</v>
      </c>
      <c r="N36" s="21"/>
    </row>
    <row r="37" spans="1:14" s="19" customFormat="1" x14ac:dyDescent="0.25">
      <c r="A37" s="23">
        <v>42502.564502314817</v>
      </c>
      <c r="B37" s="22" t="s">
        <v>171</v>
      </c>
      <c r="C37" s="22" t="s">
        <v>308</v>
      </c>
      <c r="D37" s="22" t="s">
        <v>52</v>
      </c>
      <c r="E37" s="22" t="s">
        <v>53</v>
      </c>
      <c r="F37" s="22">
        <v>0</v>
      </c>
      <c r="G37" s="22">
        <v>37</v>
      </c>
      <c r="H37" s="22">
        <v>116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ADANE</v>
      </c>
      <c r="M37" s="20" t="s">
        <v>103</v>
      </c>
      <c r="N37" s="21"/>
    </row>
    <row r="38" spans="1:14" s="19" customFormat="1" x14ac:dyDescent="0.25">
      <c r="A38" s="23">
        <v>42502.567314814813</v>
      </c>
      <c r="B38" s="22" t="s">
        <v>64</v>
      </c>
      <c r="C38" s="22" t="s">
        <v>258</v>
      </c>
      <c r="D38" s="22" t="s">
        <v>52</v>
      </c>
      <c r="E38" s="22" t="s">
        <v>53</v>
      </c>
      <c r="F38" s="22">
        <v>0</v>
      </c>
      <c r="G38" s="22">
        <v>71</v>
      </c>
      <c r="H38" s="22">
        <v>233230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SPECTOR</v>
      </c>
      <c r="M38" s="20" t="s">
        <v>103</v>
      </c>
      <c r="N38" s="21"/>
    </row>
    <row r="39" spans="1:14" s="19" customFormat="1" x14ac:dyDescent="0.25">
      <c r="A39" s="23">
        <v>42502.605833333335</v>
      </c>
      <c r="B39" s="22" t="s">
        <v>65</v>
      </c>
      <c r="C39" s="22" t="s">
        <v>315</v>
      </c>
      <c r="D39" s="22" t="s">
        <v>52</v>
      </c>
      <c r="E39" s="22" t="s">
        <v>53</v>
      </c>
      <c r="F39" s="22">
        <v>0</v>
      </c>
      <c r="G39" s="22">
        <v>61</v>
      </c>
      <c r="H39" s="22">
        <v>238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103</v>
      </c>
      <c r="N39" s="21"/>
    </row>
    <row r="40" spans="1:14" s="19" customFormat="1" x14ac:dyDescent="0.25">
      <c r="A40" s="23">
        <v>42502.609826388885</v>
      </c>
      <c r="B40" s="22" t="s">
        <v>202</v>
      </c>
      <c r="C40" s="22" t="s">
        <v>325</v>
      </c>
      <c r="D40" s="22" t="s">
        <v>52</v>
      </c>
      <c r="E40" s="22" t="s">
        <v>53</v>
      </c>
      <c r="F40" s="22">
        <v>0</v>
      </c>
      <c r="G40" s="22">
        <v>3</v>
      </c>
      <c r="H40" s="22">
        <v>233336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YOUNG</v>
      </c>
      <c r="M40" s="20" t="s">
        <v>103</v>
      </c>
      <c r="N40" s="21"/>
    </row>
    <row r="41" spans="1:14" s="19" customFormat="1" x14ac:dyDescent="0.25">
      <c r="A41" s="23">
        <v>42502.641886574071</v>
      </c>
      <c r="B41" s="22" t="s">
        <v>171</v>
      </c>
      <c r="C41" s="22" t="s">
        <v>206</v>
      </c>
      <c r="D41" s="22" t="s">
        <v>52</v>
      </c>
      <c r="E41" s="22" t="s">
        <v>53</v>
      </c>
      <c r="F41" s="22">
        <v>0</v>
      </c>
      <c r="G41" s="22">
        <v>4</v>
      </c>
      <c r="H41" s="22">
        <v>119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ADANE</v>
      </c>
      <c r="M41" s="20" t="s">
        <v>103</v>
      </c>
      <c r="N41" s="21"/>
    </row>
    <row r="42" spans="1:14" s="19" customFormat="1" x14ac:dyDescent="0.25">
      <c r="A42" s="23">
        <v>42502.689236111109</v>
      </c>
      <c r="B42" s="22" t="s">
        <v>182</v>
      </c>
      <c r="C42" s="22" t="s">
        <v>271</v>
      </c>
      <c r="D42" s="22" t="s">
        <v>52</v>
      </c>
      <c r="E42" s="22" t="s">
        <v>53</v>
      </c>
      <c r="F42" s="22">
        <v>0</v>
      </c>
      <c r="G42" s="22">
        <v>84</v>
      </c>
      <c r="H42" s="22">
        <v>233163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YOUNG</v>
      </c>
      <c r="M42" s="20" t="s">
        <v>103</v>
      </c>
      <c r="N42" s="21"/>
    </row>
    <row r="43" spans="1:14" s="19" customFormat="1" x14ac:dyDescent="0.25">
      <c r="A43" s="23">
        <v>42502.730196759258</v>
      </c>
      <c r="B43" s="22" t="s">
        <v>182</v>
      </c>
      <c r="C43" s="22" t="s">
        <v>257</v>
      </c>
      <c r="D43" s="22" t="s">
        <v>52</v>
      </c>
      <c r="E43" s="22" t="s">
        <v>53</v>
      </c>
      <c r="F43" s="22">
        <v>0</v>
      </c>
      <c r="G43" s="22">
        <v>62</v>
      </c>
      <c r="H43" s="22">
        <v>1092</v>
      </c>
      <c r="I43" s="22" t="s">
        <v>54</v>
      </c>
      <c r="J43" s="22">
        <v>839</v>
      </c>
      <c r="K43" s="21" t="s">
        <v>56</v>
      </c>
      <c r="L43" s="21" t="str">
        <f>VLOOKUP(C43,'Trips&amp;Operators'!$C$1:$E$9999,3,FALSE)</f>
        <v>YOUNG</v>
      </c>
      <c r="M43" s="20" t="s">
        <v>103</v>
      </c>
      <c r="N43" s="21"/>
    </row>
    <row r="44" spans="1:14" s="19" customFormat="1" x14ac:dyDescent="0.25">
      <c r="A44" s="23">
        <v>42502.751469907409</v>
      </c>
      <c r="B44" s="22" t="s">
        <v>173</v>
      </c>
      <c r="C44" s="22" t="s">
        <v>319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233320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REBOLETTI</v>
      </c>
      <c r="M44" s="20" t="s">
        <v>103</v>
      </c>
      <c r="N44" s="21"/>
    </row>
    <row r="45" spans="1:14" s="19" customFormat="1" x14ac:dyDescent="0.25">
      <c r="A45" s="23">
        <v>42502.777650462966</v>
      </c>
      <c r="B45" s="22" t="s">
        <v>197</v>
      </c>
      <c r="C45" s="22" t="s">
        <v>269</v>
      </c>
      <c r="D45" s="22" t="s">
        <v>52</v>
      </c>
      <c r="E45" s="22" t="s">
        <v>53</v>
      </c>
      <c r="F45" s="22">
        <v>0</v>
      </c>
      <c r="G45" s="22">
        <v>82</v>
      </c>
      <c r="H45" s="22">
        <v>233189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103</v>
      </c>
      <c r="N45" s="21"/>
    </row>
    <row r="46" spans="1:14" s="19" customFormat="1" x14ac:dyDescent="0.25">
      <c r="A46" s="23">
        <v>42502.786759259259</v>
      </c>
      <c r="B46" s="22" t="s">
        <v>64</v>
      </c>
      <c r="C46" s="22" t="s">
        <v>321</v>
      </c>
      <c r="D46" s="22" t="s">
        <v>52</v>
      </c>
      <c r="E46" s="22" t="s">
        <v>53</v>
      </c>
      <c r="F46" s="22">
        <v>0</v>
      </c>
      <c r="G46" s="22">
        <v>7</v>
      </c>
      <c r="H46" s="22">
        <v>233322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BRUDER</v>
      </c>
      <c r="M46" s="20" t="s">
        <v>103</v>
      </c>
      <c r="N46" s="21"/>
    </row>
    <row r="47" spans="1:14" s="19" customFormat="1" x14ac:dyDescent="0.25">
      <c r="A47" s="23">
        <v>42502.815046296295</v>
      </c>
      <c r="B47" s="22" t="s">
        <v>188</v>
      </c>
      <c r="C47" s="22" t="s">
        <v>223</v>
      </c>
      <c r="D47" s="22" t="s">
        <v>52</v>
      </c>
      <c r="E47" s="22" t="s">
        <v>53</v>
      </c>
      <c r="F47" s="22">
        <v>0</v>
      </c>
      <c r="G47" s="22">
        <v>5</v>
      </c>
      <c r="H47" s="22">
        <v>896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BARTLETT</v>
      </c>
      <c r="M47" s="20" t="s">
        <v>103</v>
      </c>
      <c r="N47" s="21"/>
    </row>
    <row r="48" spans="1:14" s="19" customFormat="1" x14ac:dyDescent="0.25">
      <c r="A48" s="23">
        <v>42502.856203703705</v>
      </c>
      <c r="B48" s="22" t="s">
        <v>171</v>
      </c>
      <c r="C48" s="22" t="s">
        <v>211</v>
      </c>
      <c r="D48" s="22" t="s">
        <v>52</v>
      </c>
      <c r="E48" s="22" t="s">
        <v>53</v>
      </c>
      <c r="F48" s="22">
        <v>0</v>
      </c>
      <c r="G48" s="22">
        <v>9</v>
      </c>
      <c r="H48" s="22">
        <v>134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REBOLETTI</v>
      </c>
      <c r="M48" s="20" t="s">
        <v>103</v>
      </c>
      <c r="N48" s="21"/>
    </row>
    <row r="49" spans="1:14" s="19" customFormat="1" x14ac:dyDescent="0.25">
      <c r="A49" s="23">
        <v>42502.879618055558</v>
      </c>
      <c r="B49" s="22" t="s">
        <v>108</v>
      </c>
      <c r="C49" s="22" t="s">
        <v>328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233324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DE LA ROSA</v>
      </c>
      <c r="M49" s="20" t="s">
        <v>103</v>
      </c>
      <c r="N49" s="21"/>
    </row>
    <row r="50" spans="1:14" s="19" customFormat="1" x14ac:dyDescent="0.25">
      <c r="A50" s="23">
        <v>42502.898518518516</v>
      </c>
      <c r="B50" s="22" t="s">
        <v>65</v>
      </c>
      <c r="C50" s="22" t="s">
        <v>236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103</v>
      </c>
      <c r="N50" s="21"/>
    </row>
    <row r="51" spans="1:14" s="19" customFormat="1" x14ac:dyDescent="0.25">
      <c r="A51" s="23">
        <v>42502.941504629627</v>
      </c>
      <c r="B51" s="22" t="s">
        <v>64</v>
      </c>
      <c r="C51" s="22" t="s">
        <v>330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233346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103</v>
      </c>
      <c r="N51" s="21"/>
    </row>
    <row r="52" spans="1:14" s="19" customFormat="1" x14ac:dyDescent="0.25">
      <c r="A52" s="23">
        <v>42502.982106481482</v>
      </c>
      <c r="B52" s="22" t="s">
        <v>65</v>
      </c>
      <c r="C52" s="22" t="s">
        <v>283</v>
      </c>
      <c r="D52" s="22" t="s">
        <v>52</v>
      </c>
      <c r="E52" s="22" t="s">
        <v>53</v>
      </c>
      <c r="F52" s="22">
        <v>0</v>
      </c>
      <c r="G52" s="22">
        <v>8</v>
      </c>
      <c r="H52" s="22">
        <v>105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BRUDER</v>
      </c>
      <c r="M52" s="20" t="s">
        <v>103</v>
      </c>
      <c r="N52" s="21"/>
    </row>
    <row r="53" spans="1:14" s="19" customFormat="1" x14ac:dyDescent="0.25">
      <c r="A53" s="23">
        <v>42503.128182870372</v>
      </c>
      <c r="B53" s="22" t="s">
        <v>172</v>
      </c>
      <c r="C53" s="22" t="s">
        <v>239</v>
      </c>
      <c r="D53" s="22" t="s">
        <v>52</v>
      </c>
      <c r="E53" s="22" t="s">
        <v>53</v>
      </c>
      <c r="F53" s="22">
        <v>0</v>
      </c>
      <c r="G53" s="22">
        <v>6</v>
      </c>
      <c r="H53" s="22">
        <v>143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STRICKLAND</v>
      </c>
      <c r="M53" s="20" t="s">
        <v>103</v>
      </c>
      <c r="N53" s="21"/>
    </row>
    <row r="54" spans="1:14" s="19" customFormat="1" x14ac:dyDescent="0.25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</row>
    <row r="55" spans="1:14" s="19" customFormat="1" ht="15.75" thickBot="1" x14ac:dyDescent="0.3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3"/>
      <c r="L55" s="43"/>
      <c r="M55" s="44"/>
      <c r="N55" s="43"/>
    </row>
    <row r="56" spans="1:14" ht="30" x14ac:dyDescent="0.25">
      <c r="B56" s="60"/>
      <c r="C56" s="60"/>
      <c r="D56" s="60"/>
      <c r="E56" s="60"/>
      <c r="F56" s="60"/>
      <c r="G56" s="60"/>
      <c r="H56" s="60"/>
      <c r="I56" s="60"/>
      <c r="J56" s="60"/>
      <c r="K56" s="18" t="s">
        <v>28</v>
      </c>
      <c r="L56" s="53"/>
      <c r="M56" s="17">
        <f>COUNTIF(M3:M53,"=Y")</f>
        <v>5</v>
      </c>
    </row>
    <row r="57" spans="1:14" ht="15.75" thickBot="1" x14ac:dyDescent="0.3">
      <c r="B57" s="60"/>
      <c r="C57" s="60"/>
      <c r="D57" s="60"/>
      <c r="E57" s="60"/>
      <c r="F57" s="60"/>
      <c r="G57" s="60"/>
      <c r="H57" s="60"/>
      <c r="I57" s="60"/>
      <c r="J57" s="60"/>
      <c r="K57" s="16" t="s">
        <v>27</v>
      </c>
      <c r="L57" s="54"/>
      <c r="M57" s="15">
        <f>COUNTA(M3:M53)-M56</f>
        <v>46</v>
      </c>
    </row>
  </sheetData>
  <autoFilter ref="A2:N53">
    <sortState ref="A3:N53">
      <sortCondition ref="E2:E53"/>
    </sortState>
  </autoFilter>
  <sortState ref="A3:N63">
    <sortCondition ref="E3:E63"/>
  </sortState>
  <mergeCells count="1">
    <mergeCell ref="A1:M1"/>
  </mergeCells>
  <conditionalFormatting sqref="N2 M2:M1048576">
    <cfRule type="cellIs" dxfId="2" priority="7" operator="equal">
      <formula>"Y"</formula>
    </cfRule>
  </conditionalFormatting>
  <conditionalFormatting sqref="B27:L28 N27:N28 B54:N55 B46:L53 N46:N53 M4:M53 B3:N26">
    <cfRule type="expression" dxfId="1" priority="6">
      <formula>$M3="Y"</formula>
    </cfRule>
  </conditionalFormatting>
  <conditionalFormatting sqref="B29:L45 N29:N45">
    <cfRule type="expression" dxfId="0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5" x14ac:dyDescent="0.25"/>
  <cols>
    <col min="2" max="2" width="21" bestFit="1" customWidth="1"/>
  </cols>
  <sheetData>
    <row r="1" spans="1:2" s="60" customFormat="1" x14ac:dyDescent="0.25">
      <c r="A1" s="63" t="str">
        <f>"Trips that did not appear in PTC Data "&amp;TEXT(Variables!$A$2,"YYYY-mm-dd")</f>
        <v>Trips that did not appear in PTC Data 2016-05-11</v>
      </c>
    </row>
    <row r="2" spans="1:2" x14ac:dyDescent="0.25">
      <c r="A2" t="s">
        <v>389</v>
      </c>
      <c r="B2" t="s">
        <v>393</v>
      </c>
    </row>
    <row r="3" spans="1:2" x14ac:dyDescent="0.25">
      <c r="A3" t="s">
        <v>390</v>
      </c>
      <c r="B3" s="60" t="s">
        <v>397</v>
      </c>
    </row>
    <row r="4" spans="1:2" x14ac:dyDescent="0.25">
      <c r="A4" t="s">
        <v>391</v>
      </c>
      <c r="B4" s="60" t="s">
        <v>397</v>
      </c>
    </row>
    <row r="5" spans="1:2" x14ac:dyDescent="0.25">
      <c r="A5" t="s">
        <v>392</v>
      </c>
      <c r="B5" s="60" t="s">
        <v>393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2"/>
  <sheetViews>
    <sheetView workbookViewId="0">
      <selection sqref="A1:E15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42502.165578703702</v>
      </c>
      <c r="B1" t="s">
        <v>182</v>
      </c>
      <c r="C1" t="s">
        <v>183</v>
      </c>
      <c r="D1">
        <v>1300000</v>
      </c>
      <c r="E1" t="s">
        <v>184</v>
      </c>
    </row>
    <row r="2" spans="1:5" x14ac:dyDescent="0.25">
      <c r="A2" s="14">
        <v>42502.456782407404</v>
      </c>
      <c r="B2" t="s">
        <v>197</v>
      </c>
      <c r="C2" t="s">
        <v>198</v>
      </c>
      <c r="D2">
        <v>1310000</v>
      </c>
      <c r="E2" t="s">
        <v>199</v>
      </c>
    </row>
    <row r="3" spans="1:5" x14ac:dyDescent="0.25">
      <c r="A3" s="14">
        <v>42502.465081018519</v>
      </c>
      <c r="B3" t="s">
        <v>64</v>
      </c>
      <c r="C3" t="s">
        <v>200</v>
      </c>
      <c r="D3">
        <v>1090000</v>
      </c>
      <c r="E3" t="s">
        <v>135</v>
      </c>
    </row>
    <row r="4" spans="1:5" x14ac:dyDescent="0.25">
      <c r="A4" s="14">
        <v>42502.554155092592</v>
      </c>
      <c r="B4" t="s">
        <v>182</v>
      </c>
      <c r="C4" t="s">
        <v>201</v>
      </c>
      <c r="D4">
        <v>1800000</v>
      </c>
      <c r="E4" t="s">
        <v>136</v>
      </c>
    </row>
    <row r="5" spans="1:5" x14ac:dyDescent="0.25">
      <c r="A5" s="14">
        <v>42502.506469907406</v>
      </c>
      <c r="B5" t="s">
        <v>202</v>
      </c>
      <c r="C5" t="s">
        <v>203</v>
      </c>
      <c r="D5">
        <v>1140000</v>
      </c>
      <c r="E5" t="s">
        <v>62</v>
      </c>
    </row>
    <row r="6" spans="1:5" x14ac:dyDescent="0.25">
      <c r="A6" s="14">
        <v>42502.443333333336</v>
      </c>
      <c r="B6" t="s">
        <v>170</v>
      </c>
      <c r="C6" t="s">
        <v>204</v>
      </c>
      <c r="D6">
        <v>880000</v>
      </c>
      <c r="E6" t="s">
        <v>179</v>
      </c>
    </row>
    <row r="7" spans="1:5" x14ac:dyDescent="0.25">
      <c r="A7" s="14">
        <v>42502.610381944447</v>
      </c>
      <c r="B7" t="s">
        <v>64</v>
      </c>
      <c r="C7" t="s">
        <v>205</v>
      </c>
      <c r="D7">
        <v>1090000</v>
      </c>
      <c r="E7" t="s">
        <v>135</v>
      </c>
    </row>
    <row r="8" spans="1:5" x14ac:dyDescent="0.25">
      <c r="A8" s="14">
        <v>42502.610960648148</v>
      </c>
      <c r="B8" t="s">
        <v>171</v>
      </c>
      <c r="C8" t="s">
        <v>206</v>
      </c>
      <c r="D8">
        <v>1820000</v>
      </c>
      <c r="E8" t="s">
        <v>140</v>
      </c>
    </row>
    <row r="9" spans="1:5" x14ac:dyDescent="0.25">
      <c r="A9" s="14">
        <v>42502.667291666665</v>
      </c>
      <c r="B9" t="s">
        <v>170</v>
      </c>
      <c r="C9" t="s">
        <v>207</v>
      </c>
      <c r="D9">
        <v>880000</v>
      </c>
      <c r="E9" t="s">
        <v>179</v>
      </c>
    </row>
    <row r="10" spans="1:5" x14ac:dyDescent="0.25">
      <c r="A10" s="14">
        <v>42502.728773148148</v>
      </c>
      <c r="B10" t="s">
        <v>65</v>
      </c>
      <c r="C10" t="s">
        <v>208</v>
      </c>
      <c r="D10">
        <v>1090000</v>
      </c>
      <c r="E10" t="s">
        <v>135</v>
      </c>
    </row>
    <row r="11" spans="1:5" x14ac:dyDescent="0.25">
      <c r="A11" s="14">
        <v>42502.769560185188</v>
      </c>
      <c r="B11" t="s">
        <v>108</v>
      </c>
      <c r="C11" t="s">
        <v>209</v>
      </c>
      <c r="D11">
        <v>1780000</v>
      </c>
      <c r="E11" t="s">
        <v>180</v>
      </c>
    </row>
    <row r="12" spans="1:5" x14ac:dyDescent="0.25">
      <c r="A12" s="14">
        <v>42502.432152777779</v>
      </c>
      <c r="B12" t="s">
        <v>202</v>
      </c>
      <c r="C12" t="s">
        <v>210</v>
      </c>
      <c r="D12">
        <v>1800000</v>
      </c>
      <c r="E12" t="s">
        <v>136</v>
      </c>
    </row>
    <row r="13" spans="1:5" x14ac:dyDescent="0.25">
      <c r="A13" s="14">
        <v>42502.82340277778</v>
      </c>
      <c r="B13" t="s">
        <v>171</v>
      </c>
      <c r="C13" t="s">
        <v>211</v>
      </c>
      <c r="D13">
        <v>1750000</v>
      </c>
      <c r="E13" t="s">
        <v>158</v>
      </c>
    </row>
    <row r="14" spans="1:5" x14ac:dyDescent="0.25">
      <c r="A14" s="14">
        <v>42502.411446759259</v>
      </c>
      <c r="B14" t="s">
        <v>139</v>
      </c>
      <c r="C14" t="s">
        <v>212</v>
      </c>
      <c r="D14">
        <v>1840000</v>
      </c>
      <c r="E14" t="s">
        <v>143</v>
      </c>
    </row>
    <row r="15" spans="1:5" x14ac:dyDescent="0.25">
      <c r="A15" s="14">
        <v>42502.736851851849</v>
      </c>
      <c r="B15" t="s">
        <v>107</v>
      </c>
      <c r="C15" t="s">
        <v>213</v>
      </c>
      <c r="D15">
        <v>1470000</v>
      </c>
      <c r="E15" t="s">
        <v>127</v>
      </c>
    </row>
    <row r="16" spans="1:5" x14ac:dyDescent="0.25">
      <c r="A16" s="14">
        <v>42502.403645833336</v>
      </c>
      <c r="B16" t="s">
        <v>108</v>
      </c>
      <c r="C16" t="s">
        <v>214</v>
      </c>
      <c r="D16">
        <v>1830000</v>
      </c>
      <c r="E16" t="s">
        <v>137</v>
      </c>
    </row>
    <row r="17" spans="1:5" x14ac:dyDescent="0.25">
      <c r="A17" s="14">
        <v>42502.633414351854</v>
      </c>
      <c r="B17" t="s">
        <v>139</v>
      </c>
      <c r="C17" t="s">
        <v>215</v>
      </c>
      <c r="D17">
        <v>970000</v>
      </c>
      <c r="E17" t="s">
        <v>144</v>
      </c>
    </row>
    <row r="18" spans="1:5" x14ac:dyDescent="0.25">
      <c r="A18" s="14">
        <v>42502.381041666667</v>
      </c>
      <c r="B18" t="s">
        <v>197</v>
      </c>
      <c r="C18" t="s">
        <v>216</v>
      </c>
      <c r="D18">
        <v>1200000</v>
      </c>
      <c r="E18" t="s">
        <v>187</v>
      </c>
    </row>
    <row r="19" spans="1:5" x14ac:dyDescent="0.25">
      <c r="A19" s="14">
        <v>42502.638842592591</v>
      </c>
      <c r="B19" t="s">
        <v>188</v>
      </c>
      <c r="C19" t="s">
        <v>217</v>
      </c>
      <c r="D19">
        <v>1280000</v>
      </c>
      <c r="E19" t="s">
        <v>63</v>
      </c>
    </row>
    <row r="20" spans="1:5" x14ac:dyDescent="0.25">
      <c r="A20" s="14">
        <v>42502.348530092589</v>
      </c>
      <c r="B20" t="s">
        <v>173</v>
      </c>
      <c r="C20" t="s">
        <v>218</v>
      </c>
      <c r="D20">
        <v>1800000</v>
      </c>
      <c r="E20" t="s">
        <v>136</v>
      </c>
    </row>
    <row r="21" spans="1:5" x14ac:dyDescent="0.25">
      <c r="A21" s="14">
        <v>42502.623368055552</v>
      </c>
      <c r="B21" t="s">
        <v>108</v>
      </c>
      <c r="C21" t="s">
        <v>219</v>
      </c>
      <c r="D21">
        <v>1740000</v>
      </c>
      <c r="E21" t="s">
        <v>138</v>
      </c>
    </row>
    <row r="22" spans="1:5" x14ac:dyDescent="0.25">
      <c r="A22" s="14">
        <v>42502.339270833334</v>
      </c>
      <c r="B22" t="s">
        <v>172</v>
      </c>
      <c r="C22" t="s">
        <v>220</v>
      </c>
      <c r="D22">
        <v>1310000</v>
      </c>
      <c r="E22" t="s">
        <v>199</v>
      </c>
    </row>
    <row r="23" spans="1:5" x14ac:dyDescent="0.25">
      <c r="A23" s="14">
        <v>42502.712060185186</v>
      </c>
      <c r="B23" t="s">
        <v>139</v>
      </c>
      <c r="C23" t="s">
        <v>221</v>
      </c>
      <c r="D23">
        <v>970000</v>
      </c>
      <c r="E23" t="s">
        <v>144</v>
      </c>
    </row>
    <row r="24" spans="1:5" x14ac:dyDescent="0.25">
      <c r="A24" s="14">
        <v>42502.326018518521</v>
      </c>
      <c r="B24" t="s">
        <v>182</v>
      </c>
      <c r="C24" t="s">
        <v>222</v>
      </c>
      <c r="D24">
        <v>1300000</v>
      </c>
      <c r="E24" t="s">
        <v>184</v>
      </c>
    </row>
    <row r="25" spans="1:5" x14ac:dyDescent="0.25">
      <c r="A25" s="14">
        <v>42502.784548611111</v>
      </c>
      <c r="B25" t="s">
        <v>188</v>
      </c>
      <c r="C25" t="s">
        <v>223</v>
      </c>
      <c r="D25">
        <v>1280000</v>
      </c>
      <c r="E25" t="s">
        <v>63</v>
      </c>
    </row>
    <row r="26" spans="1:5" x14ac:dyDescent="0.25">
      <c r="A26" s="14">
        <v>42502.266226851854</v>
      </c>
      <c r="B26" t="s">
        <v>172</v>
      </c>
      <c r="C26" t="s">
        <v>224</v>
      </c>
      <c r="D26">
        <v>1310000</v>
      </c>
      <c r="E26" t="s">
        <v>199</v>
      </c>
    </row>
    <row r="27" spans="1:5" x14ac:dyDescent="0.25">
      <c r="A27" s="14">
        <v>42502.628391203703</v>
      </c>
      <c r="B27" t="s">
        <v>172</v>
      </c>
      <c r="C27" t="s">
        <v>225</v>
      </c>
      <c r="D27">
        <v>880000</v>
      </c>
      <c r="E27" t="s">
        <v>179</v>
      </c>
    </row>
    <row r="28" spans="1:5" x14ac:dyDescent="0.25">
      <c r="A28" s="14">
        <v>42502.265115740738</v>
      </c>
      <c r="B28" t="s">
        <v>139</v>
      </c>
      <c r="C28" t="s">
        <v>226</v>
      </c>
      <c r="D28">
        <v>1840000</v>
      </c>
      <c r="E28" t="s">
        <v>143</v>
      </c>
    </row>
    <row r="29" spans="1:5" x14ac:dyDescent="0.25">
      <c r="A29" s="14">
        <v>42502.908715277779</v>
      </c>
      <c r="B29" t="s">
        <v>171</v>
      </c>
      <c r="C29" t="s">
        <v>227</v>
      </c>
      <c r="D29">
        <v>1750000</v>
      </c>
      <c r="E29" t="s">
        <v>158</v>
      </c>
    </row>
    <row r="30" spans="1:5" x14ac:dyDescent="0.25">
      <c r="A30" s="14">
        <v>42502.225601851853</v>
      </c>
      <c r="B30" t="s">
        <v>107</v>
      </c>
      <c r="C30" t="s">
        <v>228</v>
      </c>
      <c r="D30">
        <v>1830000</v>
      </c>
      <c r="E30" t="s">
        <v>137</v>
      </c>
    </row>
    <row r="31" spans="1:5" x14ac:dyDescent="0.25">
      <c r="A31" s="14">
        <v>42502.949745370373</v>
      </c>
      <c r="B31" t="s">
        <v>173</v>
      </c>
      <c r="C31" t="s">
        <v>229</v>
      </c>
      <c r="D31">
        <v>1750000</v>
      </c>
      <c r="E31" t="s">
        <v>158</v>
      </c>
    </row>
    <row r="32" spans="1:5" x14ac:dyDescent="0.25">
      <c r="A32" s="14">
        <v>42502.224432870367</v>
      </c>
      <c r="B32" t="s">
        <v>107</v>
      </c>
      <c r="C32" t="s">
        <v>228</v>
      </c>
      <c r="D32">
        <v>1830000</v>
      </c>
      <c r="E32" t="s">
        <v>137</v>
      </c>
    </row>
    <row r="33" spans="1:5" x14ac:dyDescent="0.25">
      <c r="A33" s="14">
        <v>42502.228414351855</v>
      </c>
      <c r="B33" t="s">
        <v>142</v>
      </c>
      <c r="C33" t="s">
        <v>230</v>
      </c>
      <c r="D33">
        <v>1840000</v>
      </c>
      <c r="E33" t="s">
        <v>143</v>
      </c>
    </row>
    <row r="34" spans="1:5" x14ac:dyDescent="0.25">
      <c r="A34" s="14">
        <v>42502.210370370369</v>
      </c>
      <c r="B34" t="s">
        <v>231</v>
      </c>
      <c r="C34" t="s">
        <v>232</v>
      </c>
      <c r="D34">
        <v>1810000</v>
      </c>
      <c r="E34" t="s">
        <v>141</v>
      </c>
    </row>
    <row r="35" spans="1:5" x14ac:dyDescent="0.25">
      <c r="A35" s="14">
        <v>42502.301261574074</v>
      </c>
      <c r="B35" t="s">
        <v>142</v>
      </c>
      <c r="C35" t="s">
        <v>233</v>
      </c>
      <c r="D35">
        <v>1840000</v>
      </c>
      <c r="E35" t="s">
        <v>143</v>
      </c>
    </row>
    <row r="36" spans="1:5" x14ac:dyDescent="0.25">
      <c r="A36" s="14">
        <v>42502.183576388888</v>
      </c>
      <c r="B36" t="s">
        <v>108</v>
      </c>
      <c r="C36" t="s">
        <v>181</v>
      </c>
      <c r="D36">
        <v>1830000</v>
      </c>
      <c r="E36" t="s">
        <v>137</v>
      </c>
    </row>
    <row r="37" spans="1:5" x14ac:dyDescent="0.25">
      <c r="A37" s="14">
        <v>42502.810243055559</v>
      </c>
      <c r="B37" t="s">
        <v>170</v>
      </c>
      <c r="C37" t="s">
        <v>234</v>
      </c>
      <c r="D37">
        <v>1760000</v>
      </c>
      <c r="E37" t="s">
        <v>133</v>
      </c>
    </row>
    <row r="38" spans="1:5" x14ac:dyDescent="0.25">
      <c r="A38" s="14">
        <v>42503.058321759258</v>
      </c>
      <c r="B38" t="s">
        <v>107</v>
      </c>
      <c r="C38" t="s">
        <v>235</v>
      </c>
      <c r="D38">
        <v>1780000</v>
      </c>
      <c r="E38" t="s">
        <v>180</v>
      </c>
    </row>
    <row r="39" spans="1:5" x14ac:dyDescent="0.25">
      <c r="A39" s="14">
        <v>42502.861030092594</v>
      </c>
      <c r="B39" t="s">
        <v>65</v>
      </c>
      <c r="C39" t="s">
        <v>236</v>
      </c>
      <c r="D39">
        <v>1770000</v>
      </c>
      <c r="E39" t="s">
        <v>134</v>
      </c>
    </row>
    <row r="40" spans="1:5" x14ac:dyDescent="0.25">
      <c r="A40" s="14">
        <v>42502.557337962964</v>
      </c>
      <c r="B40" t="s">
        <v>139</v>
      </c>
      <c r="C40" t="s">
        <v>237</v>
      </c>
      <c r="D40">
        <v>970000</v>
      </c>
      <c r="E40" t="s">
        <v>144</v>
      </c>
    </row>
    <row r="41" spans="1:5" x14ac:dyDescent="0.25">
      <c r="A41" s="14">
        <v>42502.376493055555</v>
      </c>
      <c r="B41" t="s">
        <v>107</v>
      </c>
      <c r="C41" t="s">
        <v>238</v>
      </c>
      <c r="D41">
        <v>1830000</v>
      </c>
      <c r="E41" t="s">
        <v>137</v>
      </c>
    </row>
    <row r="42" spans="1:5" x14ac:dyDescent="0.25">
      <c r="A42" s="14">
        <v>42503.014502314814</v>
      </c>
      <c r="B42" t="s">
        <v>172</v>
      </c>
      <c r="C42" t="s">
        <v>239</v>
      </c>
      <c r="D42">
        <v>1760000</v>
      </c>
      <c r="E42" t="s">
        <v>133</v>
      </c>
    </row>
    <row r="43" spans="1:5" x14ac:dyDescent="0.25">
      <c r="A43" s="14">
        <v>42502.676736111112</v>
      </c>
      <c r="B43" t="s">
        <v>197</v>
      </c>
      <c r="C43" t="s">
        <v>240</v>
      </c>
      <c r="D43">
        <v>1280000</v>
      </c>
      <c r="E43" t="s">
        <v>63</v>
      </c>
    </row>
    <row r="44" spans="1:5" x14ac:dyDescent="0.25">
      <c r="A44" s="14">
        <v>42502.739305555559</v>
      </c>
      <c r="B44" t="s">
        <v>170</v>
      </c>
      <c r="C44" t="s">
        <v>241</v>
      </c>
      <c r="D44">
        <v>1760000</v>
      </c>
      <c r="E44" t="s">
        <v>133</v>
      </c>
    </row>
    <row r="45" spans="1:5" x14ac:dyDescent="0.25">
      <c r="A45" s="14">
        <v>42502.688750000001</v>
      </c>
      <c r="B45" t="s">
        <v>64</v>
      </c>
      <c r="C45" t="s">
        <v>242</v>
      </c>
      <c r="D45">
        <v>1090000</v>
      </c>
      <c r="E45" t="s">
        <v>135</v>
      </c>
    </row>
    <row r="46" spans="1:5" x14ac:dyDescent="0.25">
      <c r="A46" s="14">
        <v>42502.670752314814</v>
      </c>
      <c r="B46" t="s">
        <v>142</v>
      </c>
      <c r="C46" t="s">
        <v>243</v>
      </c>
      <c r="D46">
        <v>970000</v>
      </c>
      <c r="E46" t="s">
        <v>144</v>
      </c>
    </row>
    <row r="47" spans="1:5" x14ac:dyDescent="0.25">
      <c r="A47" s="14">
        <v>42502.70579861111</v>
      </c>
      <c r="B47" t="s">
        <v>172</v>
      </c>
      <c r="C47" t="s">
        <v>244</v>
      </c>
      <c r="D47">
        <v>880000</v>
      </c>
      <c r="E47" t="s">
        <v>179</v>
      </c>
    </row>
    <row r="48" spans="1:5" x14ac:dyDescent="0.25">
      <c r="A48" s="14">
        <v>42502.599733796298</v>
      </c>
      <c r="B48" t="s">
        <v>197</v>
      </c>
      <c r="C48" t="s">
        <v>245</v>
      </c>
      <c r="D48">
        <v>1280000</v>
      </c>
      <c r="E48" t="s">
        <v>63</v>
      </c>
    </row>
    <row r="49" spans="1:5" x14ac:dyDescent="0.25">
      <c r="A49" s="14">
        <v>42502.752083333333</v>
      </c>
      <c r="B49" t="s">
        <v>107</v>
      </c>
      <c r="C49" t="s">
        <v>213</v>
      </c>
      <c r="D49">
        <v>1470000</v>
      </c>
      <c r="E49" t="s">
        <v>127</v>
      </c>
    </row>
    <row r="50" spans="1:5" x14ac:dyDescent="0.25">
      <c r="A50" s="14">
        <v>42502.54650462963</v>
      </c>
      <c r="B50" t="s">
        <v>108</v>
      </c>
      <c r="C50" t="s">
        <v>246</v>
      </c>
      <c r="D50">
        <v>1740000</v>
      </c>
      <c r="E50" t="s">
        <v>138</v>
      </c>
    </row>
    <row r="51" spans="1:5" x14ac:dyDescent="0.25">
      <c r="A51" s="14">
        <v>42502.870405092595</v>
      </c>
      <c r="B51" t="s">
        <v>173</v>
      </c>
      <c r="C51" t="s">
        <v>247</v>
      </c>
      <c r="D51">
        <v>1750000</v>
      </c>
      <c r="E51" t="s">
        <v>158</v>
      </c>
    </row>
    <row r="52" spans="1:5" x14ac:dyDescent="0.25">
      <c r="A52" s="14">
        <v>42502.506365740737</v>
      </c>
      <c r="B52" t="s">
        <v>65</v>
      </c>
      <c r="C52" t="s">
        <v>248</v>
      </c>
      <c r="D52">
        <v>1810000</v>
      </c>
      <c r="E52" t="s">
        <v>141</v>
      </c>
    </row>
    <row r="53" spans="1:5" x14ac:dyDescent="0.25">
      <c r="A53" s="14">
        <v>42502.933877314812</v>
      </c>
      <c r="B53" t="s">
        <v>108</v>
      </c>
      <c r="C53" t="s">
        <v>249</v>
      </c>
      <c r="D53">
        <v>1780000</v>
      </c>
      <c r="E53" t="s">
        <v>180</v>
      </c>
    </row>
    <row r="54" spans="1:5" x14ac:dyDescent="0.25">
      <c r="A54" s="14">
        <v>42502.286759259259</v>
      </c>
      <c r="B54" t="s">
        <v>202</v>
      </c>
      <c r="C54" t="s">
        <v>250</v>
      </c>
      <c r="D54">
        <v>1300000</v>
      </c>
      <c r="E54" t="s">
        <v>184</v>
      </c>
    </row>
    <row r="55" spans="1:5" x14ac:dyDescent="0.25">
      <c r="A55" s="14">
        <v>42502.247418981482</v>
      </c>
      <c r="B55" t="s">
        <v>64</v>
      </c>
      <c r="C55" t="s">
        <v>251</v>
      </c>
      <c r="D55">
        <v>1810000</v>
      </c>
      <c r="E55" t="s">
        <v>141</v>
      </c>
    </row>
    <row r="56" spans="1:5" x14ac:dyDescent="0.25">
      <c r="A56" s="14">
        <v>42502.210752314815</v>
      </c>
      <c r="B56" t="s">
        <v>202</v>
      </c>
      <c r="C56" t="s">
        <v>252</v>
      </c>
      <c r="D56">
        <v>1300000</v>
      </c>
      <c r="E56" t="s">
        <v>184</v>
      </c>
    </row>
    <row r="57" spans="1:5" x14ac:dyDescent="0.25">
      <c r="A57" s="14">
        <v>42502.27548611111</v>
      </c>
      <c r="B57" t="s">
        <v>173</v>
      </c>
      <c r="C57" t="s">
        <v>253</v>
      </c>
      <c r="D57">
        <v>1800000</v>
      </c>
      <c r="E57" t="s">
        <v>136</v>
      </c>
    </row>
    <row r="58" spans="1:5" x14ac:dyDescent="0.25">
      <c r="A58" s="14">
        <v>42502.930578703701</v>
      </c>
      <c r="B58" t="s">
        <v>172</v>
      </c>
      <c r="C58" t="s">
        <v>254</v>
      </c>
      <c r="D58">
        <v>1760000</v>
      </c>
      <c r="E58" t="s">
        <v>133</v>
      </c>
    </row>
    <row r="59" spans="1:5" x14ac:dyDescent="0.25">
      <c r="A59" s="14">
        <v>42502.282731481479</v>
      </c>
      <c r="B59" t="s">
        <v>65</v>
      </c>
      <c r="C59" t="s">
        <v>255</v>
      </c>
      <c r="D59">
        <v>1810000</v>
      </c>
      <c r="E59" t="s">
        <v>141</v>
      </c>
    </row>
    <row r="60" spans="1:5" x14ac:dyDescent="0.25">
      <c r="A60" s="14">
        <v>42502.733067129629</v>
      </c>
      <c r="B60" t="s">
        <v>139</v>
      </c>
      <c r="C60" t="s">
        <v>221</v>
      </c>
      <c r="D60">
        <v>970000</v>
      </c>
      <c r="E60" t="s">
        <v>144</v>
      </c>
    </row>
    <row r="61" spans="1:5" x14ac:dyDescent="0.25">
      <c r="A61" s="14">
        <v>42502.440532407411</v>
      </c>
      <c r="B61" t="s">
        <v>107</v>
      </c>
      <c r="C61" t="s">
        <v>256</v>
      </c>
      <c r="D61">
        <v>1830000</v>
      </c>
      <c r="E61" t="s">
        <v>137</v>
      </c>
    </row>
    <row r="62" spans="1:5" x14ac:dyDescent="0.25">
      <c r="A62" s="14">
        <v>42502.692488425928</v>
      </c>
      <c r="B62" t="s">
        <v>182</v>
      </c>
      <c r="C62" t="s">
        <v>257</v>
      </c>
      <c r="D62">
        <v>1140000</v>
      </c>
      <c r="E62" t="s">
        <v>62</v>
      </c>
    </row>
    <row r="63" spans="1:5" x14ac:dyDescent="0.25">
      <c r="A63" s="14">
        <v>42502.537835648145</v>
      </c>
      <c r="B63" t="s">
        <v>64</v>
      </c>
      <c r="C63" t="s">
        <v>258</v>
      </c>
      <c r="D63">
        <v>1090000</v>
      </c>
      <c r="E63" t="s">
        <v>135</v>
      </c>
    </row>
    <row r="64" spans="1:5" x14ac:dyDescent="0.25">
      <c r="A64" s="14">
        <v>42502.373043981483</v>
      </c>
      <c r="B64" t="s">
        <v>170</v>
      </c>
      <c r="C64" t="s">
        <v>259</v>
      </c>
      <c r="D64">
        <v>1310000</v>
      </c>
      <c r="E64" t="s">
        <v>199</v>
      </c>
    </row>
    <row r="65" spans="1:5" x14ac:dyDescent="0.25">
      <c r="A65" s="14">
        <v>42502.753796296296</v>
      </c>
      <c r="B65" t="s">
        <v>171</v>
      </c>
      <c r="C65" t="s">
        <v>260</v>
      </c>
      <c r="D65">
        <v>1750000</v>
      </c>
      <c r="E65" t="s">
        <v>158</v>
      </c>
    </row>
    <row r="66" spans="1:5" x14ac:dyDescent="0.25">
      <c r="A66" s="14">
        <v>42502.184953703705</v>
      </c>
      <c r="B66" t="s">
        <v>108</v>
      </c>
      <c r="C66" t="s">
        <v>181</v>
      </c>
      <c r="D66">
        <v>1830000</v>
      </c>
      <c r="E66" t="s">
        <v>137</v>
      </c>
    </row>
    <row r="67" spans="1:5" x14ac:dyDescent="0.25">
      <c r="A67" s="14">
        <v>42502.420567129629</v>
      </c>
      <c r="B67" t="s">
        <v>188</v>
      </c>
      <c r="C67" t="s">
        <v>261</v>
      </c>
      <c r="D67">
        <v>1200000</v>
      </c>
      <c r="E67" t="s">
        <v>187</v>
      </c>
    </row>
    <row r="68" spans="1:5" x14ac:dyDescent="0.25">
      <c r="A68" s="14">
        <v>42502.972048611111</v>
      </c>
      <c r="B68" t="s">
        <v>107</v>
      </c>
      <c r="C68" t="s">
        <v>262</v>
      </c>
      <c r="D68">
        <v>1780000</v>
      </c>
      <c r="E68" t="s">
        <v>180</v>
      </c>
    </row>
    <row r="69" spans="1:5" x14ac:dyDescent="0.25">
      <c r="A69" s="14">
        <v>42502.748078703706</v>
      </c>
      <c r="B69" t="s">
        <v>142</v>
      </c>
      <c r="C69" t="s">
        <v>263</v>
      </c>
      <c r="D69">
        <v>970000</v>
      </c>
      <c r="E69" t="s">
        <v>144</v>
      </c>
    </row>
    <row r="70" spans="1:5" x14ac:dyDescent="0.25">
      <c r="A70" s="14">
        <v>42502.564467592594</v>
      </c>
      <c r="B70" t="s">
        <v>188</v>
      </c>
      <c r="C70" t="s">
        <v>264</v>
      </c>
      <c r="D70">
        <v>1280000</v>
      </c>
      <c r="E70" t="s">
        <v>63</v>
      </c>
    </row>
    <row r="71" spans="1:5" x14ac:dyDescent="0.25">
      <c r="A71" s="14">
        <v>42502.77542824074</v>
      </c>
      <c r="B71" t="s">
        <v>172</v>
      </c>
      <c r="C71" t="s">
        <v>265</v>
      </c>
      <c r="D71">
        <v>1760000</v>
      </c>
      <c r="E71" t="s">
        <v>133</v>
      </c>
    </row>
    <row r="72" spans="1:5" x14ac:dyDescent="0.25">
      <c r="A72" s="14">
        <v>42502.243483796294</v>
      </c>
      <c r="B72" t="s">
        <v>171</v>
      </c>
      <c r="C72" t="s">
        <v>266</v>
      </c>
      <c r="D72">
        <v>1800000</v>
      </c>
      <c r="E72" t="s">
        <v>136</v>
      </c>
    </row>
    <row r="73" spans="1:5" x14ac:dyDescent="0.25">
      <c r="A73" s="14">
        <v>42502.190115740741</v>
      </c>
      <c r="B73" t="s">
        <v>188</v>
      </c>
      <c r="C73" t="s">
        <v>186</v>
      </c>
      <c r="D73">
        <v>1200000</v>
      </c>
      <c r="E73" t="s">
        <v>187</v>
      </c>
    </row>
    <row r="74" spans="1:5" x14ac:dyDescent="0.25">
      <c r="A74" s="14">
        <v>42502.783877314818</v>
      </c>
      <c r="B74" t="s">
        <v>139</v>
      </c>
      <c r="C74" t="s">
        <v>267</v>
      </c>
      <c r="D74">
        <v>0</v>
      </c>
      <c r="E74" t="s">
        <v>178</v>
      </c>
    </row>
    <row r="75" spans="1:5" x14ac:dyDescent="0.25">
      <c r="A75" s="14">
        <v>42502.590150462966</v>
      </c>
      <c r="B75" t="s">
        <v>170</v>
      </c>
      <c r="C75" t="s">
        <v>268</v>
      </c>
      <c r="D75">
        <v>880000</v>
      </c>
      <c r="E75" t="s">
        <v>179</v>
      </c>
    </row>
    <row r="76" spans="1:5" x14ac:dyDescent="0.25">
      <c r="A76" s="14">
        <v>42502.749467592592</v>
      </c>
      <c r="B76" t="s">
        <v>197</v>
      </c>
      <c r="C76" t="s">
        <v>269</v>
      </c>
      <c r="D76">
        <v>1280000</v>
      </c>
      <c r="E76" t="s">
        <v>63</v>
      </c>
    </row>
    <row r="77" spans="1:5" x14ac:dyDescent="0.25">
      <c r="A77" s="14">
        <v>42502.793645833335</v>
      </c>
      <c r="B77" t="s">
        <v>65</v>
      </c>
      <c r="C77" t="s">
        <v>270</v>
      </c>
      <c r="D77">
        <v>1770000</v>
      </c>
      <c r="E77" t="s">
        <v>134</v>
      </c>
    </row>
    <row r="78" spans="1:5" x14ac:dyDescent="0.25">
      <c r="A78" s="14">
        <v>42502.611944444441</v>
      </c>
      <c r="B78" t="s">
        <v>182</v>
      </c>
      <c r="C78" t="s">
        <v>271</v>
      </c>
      <c r="D78">
        <v>1140000</v>
      </c>
      <c r="E78" t="s">
        <v>62</v>
      </c>
    </row>
    <row r="79" spans="1:5" x14ac:dyDescent="0.25">
      <c r="A79" s="14">
        <v>42502.869039351855</v>
      </c>
      <c r="B79" t="s">
        <v>173</v>
      </c>
      <c r="C79" t="s">
        <v>272</v>
      </c>
      <c r="D79">
        <v>1750000</v>
      </c>
      <c r="E79" t="s">
        <v>158</v>
      </c>
    </row>
    <row r="80" spans="1:5" x14ac:dyDescent="0.25">
      <c r="A80" s="14">
        <v>42502.522256944445</v>
      </c>
      <c r="B80" t="s">
        <v>142</v>
      </c>
      <c r="C80" t="s">
        <v>273</v>
      </c>
      <c r="D80">
        <v>970000</v>
      </c>
      <c r="E80" t="s">
        <v>144</v>
      </c>
    </row>
    <row r="81" spans="1:5" x14ac:dyDescent="0.25">
      <c r="A81" s="14">
        <v>42502.223692129628</v>
      </c>
      <c r="B81" t="s">
        <v>170</v>
      </c>
      <c r="C81" t="s">
        <v>274</v>
      </c>
      <c r="D81">
        <v>1310000</v>
      </c>
      <c r="E81" t="s">
        <v>199</v>
      </c>
    </row>
    <row r="82" spans="1:5" x14ac:dyDescent="0.25">
      <c r="A82" s="14">
        <v>42502.497037037036</v>
      </c>
      <c r="B82" t="s">
        <v>188</v>
      </c>
      <c r="C82" t="s">
        <v>275</v>
      </c>
      <c r="D82">
        <v>1310000</v>
      </c>
      <c r="E82" t="s">
        <v>199</v>
      </c>
    </row>
    <row r="83" spans="1:5" x14ac:dyDescent="0.25">
      <c r="A83" s="14">
        <v>42502.233055555553</v>
      </c>
      <c r="B83" t="s">
        <v>197</v>
      </c>
      <c r="C83" t="s">
        <v>276</v>
      </c>
      <c r="D83">
        <v>1200000</v>
      </c>
      <c r="E83" t="s">
        <v>187</v>
      </c>
    </row>
    <row r="84" spans="1:5" x14ac:dyDescent="0.25">
      <c r="A84" s="14">
        <v>42503.030543981484</v>
      </c>
      <c r="B84" t="s">
        <v>65</v>
      </c>
      <c r="C84" t="s">
        <v>277</v>
      </c>
      <c r="D84">
        <v>1770000</v>
      </c>
      <c r="E84" t="s">
        <v>134</v>
      </c>
    </row>
    <row r="85" spans="1:5" x14ac:dyDescent="0.25">
      <c r="A85" s="14">
        <v>42502.423877314817</v>
      </c>
      <c r="B85" t="s">
        <v>173</v>
      </c>
      <c r="C85" t="s">
        <v>278</v>
      </c>
      <c r="D85">
        <v>1820000</v>
      </c>
      <c r="E85" t="s">
        <v>140</v>
      </c>
    </row>
    <row r="86" spans="1:5" x14ac:dyDescent="0.25">
      <c r="A86" s="14">
        <v>42502.974432870367</v>
      </c>
      <c r="B86" t="s">
        <v>170</v>
      </c>
      <c r="C86" t="s">
        <v>279</v>
      </c>
      <c r="D86">
        <v>1760000</v>
      </c>
      <c r="E86" t="s">
        <v>133</v>
      </c>
    </row>
    <row r="87" spans="1:5" x14ac:dyDescent="0.25">
      <c r="A87" s="14">
        <v>42502.51666666667</v>
      </c>
      <c r="B87" t="s">
        <v>170</v>
      </c>
      <c r="C87" t="s">
        <v>280</v>
      </c>
      <c r="D87">
        <v>880000</v>
      </c>
      <c r="E87" t="s">
        <v>179</v>
      </c>
    </row>
    <row r="88" spans="1:5" x14ac:dyDescent="0.25">
      <c r="A88" s="14">
        <v>42502.846307870372</v>
      </c>
      <c r="B88" t="s">
        <v>172</v>
      </c>
      <c r="C88" t="s">
        <v>281</v>
      </c>
      <c r="D88">
        <v>1760000</v>
      </c>
      <c r="E88" t="s">
        <v>133</v>
      </c>
    </row>
    <row r="89" spans="1:5" x14ac:dyDescent="0.25">
      <c r="A89" s="14">
        <v>42502.526377314818</v>
      </c>
      <c r="B89" t="s">
        <v>197</v>
      </c>
      <c r="C89" t="s">
        <v>282</v>
      </c>
      <c r="D89">
        <v>1280000</v>
      </c>
      <c r="E89" t="s">
        <v>63</v>
      </c>
    </row>
    <row r="90" spans="1:5" x14ac:dyDescent="0.25">
      <c r="A90" s="14">
        <v>42502.944305555553</v>
      </c>
      <c r="B90" t="s">
        <v>65</v>
      </c>
      <c r="C90" t="s">
        <v>283</v>
      </c>
      <c r="D90">
        <v>1770000</v>
      </c>
      <c r="E90" t="s">
        <v>134</v>
      </c>
    </row>
    <row r="91" spans="1:5" x14ac:dyDescent="0.25">
      <c r="A91" s="14">
        <v>42503.017777777779</v>
      </c>
      <c r="B91" t="s">
        <v>108</v>
      </c>
      <c r="C91" t="s">
        <v>284</v>
      </c>
      <c r="D91">
        <v>1780000</v>
      </c>
      <c r="E91" t="s">
        <v>180</v>
      </c>
    </row>
    <row r="92" spans="1:5" x14ac:dyDescent="0.25">
      <c r="A92" s="14">
        <v>42502.891180555554</v>
      </c>
      <c r="B92" t="s">
        <v>107</v>
      </c>
      <c r="C92" t="s">
        <v>285</v>
      </c>
      <c r="D92">
        <v>1780000</v>
      </c>
      <c r="E92" t="s">
        <v>180</v>
      </c>
    </row>
    <row r="93" spans="1:5" x14ac:dyDescent="0.25">
      <c r="A93" s="14">
        <v>42502.648321759261</v>
      </c>
      <c r="B93" t="s">
        <v>65</v>
      </c>
      <c r="C93" t="s">
        <v>286</v>
      </c>
      <c r="D93">
        <v>1090000</v>
      </c>
      <c r="E93" t="s">
        <v>135</v>
      </c>
    </row>
    <row r="94" spans="1:5" x14ac:dyDescent="0.25">
      <c r="A94" s="14">
        <v>42502.890173611115</v>
      </c>
      <c r="B94" t="s">
        <v>170</v>
      </c>
      <c r="C94" t="s">
        <v>287</v>
      </c>
      <c r="D94">
        <v>1760000</v>
      </c>
      <c r="E94" t="s">
        <v>133</v>
      </c>
    </row>
    <row r="95" spans="1:5" x14ac:dyDescent="0.25">
      <c r="A95" s="14">
        <v>42502.314293981479</v>
      </c>
      <c r="B95" t="s">
        <v>171</v>
      </c>
      <c r="C95" t="s">
        <v>288</v>
      </c>
      <c r="D95">
        <v>1800000</v>
      </c>
      <c r="E95" t="s">
        <v>136</v>
      </c>
    </row>
    <row r="96" spans="1:5" x14ac:dyDescent="0.25">
      <c r="A96" s="14">
        <v>42502.827546296299</v>
      </c>
      <c r="B96" t="s">
        <v>64</v>
      </c>
      <c r="C96" t="s">
        <v>289</v>
      </c>
      <c r="D96">
        <v>1770000</v>
      </c>
      <c r="E96" t="s">
        <v>134</v>
      </c>
    </row>
    <row r="97" spans="1:5" x14ac:dyDescent="0.25">
      <c r="A97" s="14">
        <v>42502.132361111115</v>
      </c>
      <c r="B97" t="s">
        <v>173</v>
      </c>
      <c r="C97" t="s">
        <v>189</v>
      </c>
      <c r="D97">
        <v>1300000</v>
      </c>
      <c r="E97" t="s">
        <v>184</v>
      </c>
    </row>
    <row r="98" spans="1:5" x14ac:dyDescent="0.25">
      <c r="A98" s="14">
        <v>42502.7653125</v>
      </c>
      <c r="B98" t="s">
        <v>142</v>
      </c>
      <c r="C98" t="s">
        <v>263</v>
      </c>
      <c r="D98">
        <v>970000</v>
      </c>
      <c r="E98" t="s">
        <v>144</v>
      </c>
    </row>
    <row r="99" spans="1:5" x14ac:dyDescent="0.25">
      <c r="A99" s="14">
        <v>42502.171377314815</v>
      </c>
      <c r="B99" t="s">
        <v>64</v>
      </c>
      <c r="C99" t="s">
        <v>190</v>
      </c>
      <c r="D99">
        <v>1810000</v>
      </c>
      <c r="E99" t="s">
        <v>141</v>
      </c>
    </row>
    <row r="100" spans="1:5" x14ac:dyDescent="0.25">
      <c r="A100" s="14">
        <v>42502.656307870369</v>
      </c>
      <c r="B100" t="s">
        <v>202</v>
      </c>
      <c r="C100" t="s">
        <v>290</v>
      </c>
      <c r="D100">
        <v>1140000</v>
      </c>
      <c r="E100" t="s">
        <v>62</v>
      </c>
    </row>
    <row r="101" spans="1:5" x14ac:dyDescent="0.25">
      <c r="A101" s="14">
        <v>42502.205706018518</v>
      </c>
      <c r="B101" t="s">
        <v>173</v>
      </c>
      <c r="C101" t="s">
        <v>291</v>
      </c>
      <c r="D101">
        <v>1800000</v>
      </c>
      <c r="E101" t="s">
        <v>136</v>
      </c>
    </row>
    <row r="102" spans="1:5" x14ac:dyDescent="0.25">
      <c r="A102" s="14">
        <v>42502.591782407406</v>
      </c>
      <c r="B102" t="s">
        <v>142</v>
      </c>
      <c r="C102" t="s">
        <v>292</v>
      </c>
      <c r="D102">
        <v>970000</v>
      </c>
      <c r="E102" t="s">
        <v>144</v>
      </c>
    </row>
    <row r="103" spans="1:5" x14ac:dyDescent="0.25">
      <c r="A103" s="14">
        <v>42502.213090277779</v>
      </c>
      <c r="B103" t="s">
        <v>173</v>
      </c>
      <c r="C103" t="s">
        <v>291</v>
      </c>
      <c r="D103">
        <v>1800000</v>
      </c>
      <c r="E103" t="s">
        <v>136</v>
      </c>
    </row>
    <row r="104" spans="1:5" x14ac:dyDescent="0.25">
      <c r="A104" s="14">
        <v>42502.460069444445</v>
      </c>
      <c r="B104" t="s">
        <v>171</v>
      </c>
      <c r="C104" t="s">
        <v>293</v>
      </c>
      <c r="D104">
        <v>1820000</v>
      </c>
      <c r="E104" t="s">
        <v>140</v>
      </c>
    </row>
    <row r="105" spans="1:5" x14ac:dyDescent="0.25">
      <c r="A105" s="14">
        <v>42502.250081018516</v>
      </c>
      <c r="B105" t="s">
        <v>182</v>
      </c>
      <c r="C105" t="s">
        <v>294</v>
      </c>
      <c r="D105">
        <v>1300000</v>
      </c>
      <c r="E105" t="s">
        <v>184</v>
      </c>
    </row>
    <row r="106" spans="1:5" x14ac:dyDescent="0.25">
      <c r="A106" s="14">
        <v>42502.364918981482</v>
      </c>
      <c r="B106" t="s">
        <v>107</v>
      </c>
      <c r="C106" t="s">
        <v>295</v>
      </c>
      <c r="D106">
        <v>1830000</v>
      </c>
      <c r="E106" t="s">
        <v>137</v>
      </c>
    </row>
    <row r="107" spans="1:5" x14ac:dyDescent="0.25">
      <c r="A107" s="14">
        <v>42502.256608796299</v>
      </c>
      <c r="B107" t="s">
        <v>108</v>
      </c>
      <c r="C107" t="s">
        <v>296</v>
      </c>
      <c r="D107">
        <v>1830000</v>
      </c>
      <c r="E107" t="s">
        <v>137</v>
      </c>
    </row>
    <row r="108" spans="1:5" x14ac:dyDescent="0.25">
      <c r="A108" s="14">
        <v>42502.357210648152</v>
      </c>
      <c r="B108" t="s">
        <v>65</v>
      </c>
      <c r="C108" t="s">
        <v>297</v>
      </c>
      <c r="D108">
        <v>1810000</v>
      </c>
      <c r="E108" t="s">
        <v>141</v>
      </c>
    </row>
    <row r="109" spans="1:5" x14ac:dyDescent="0.25">
      <c r="A109" s="14">
        <v>42502.257592592592</v>
      </c>
      <c r="B109" t="s">
        <v>108</v>
      </c>
      <c r="C109" t="s">
        <v>296</v>
      </c>
      <c r="D109">
        <v>1830000</v>
      </c>
      <c r="E109" t="s">
        <v>137</v>
      </c>
    </row>
    <row r="110" spans="1:5" x14ac:dyDescent="0.25">
      <c r="A110" s="14">
        <v>42502.330266203702</v>
      </c>
      <c r="B110" t="s">
        <v>108</v>
      </c>
      <c r="C110" t="s">
        <v>298</v>
      </c>
      <c r="D110">
        <v>1830000</v>
      </c>
      <c r="E110" t="s">
        <v>137</v>
      </c>
    </row>
    <row r="111" spans="1:5" x14ac:dyDescent="0.25">
      <c r="A111" s="14">
        <v>42502.296342592592</v>
      </c>
      <c r="B111" t="s">
        <v>170</v>
      </c>
      <c r="C111" t="s">
        <v>299</v>
      </c>
      <c r="D111">
        <v>1310000</v>
      </c>
      <c r="E111" t="s">
        <v>199</v>
      </c>
    </row>
    <row r="112" spans="1:5" x14ac:dyDescent="0.25">
      <c r="A112" s="14">
        <v>42502.766608796293</v>
      </c>
      <c r="B112" t="s">
        <v>197</v>
      </c>
      <c r="C112" t="s">
        <v>269</v>
      </c>
      <c r="D112">
        <v>1280000</v>
      </c>
      <c r="E112" t="s">
        <v>63</v>
      </c>
    </row>
    <row r="113" spans="1:5" x14ac:dyDescent="0.25">
      <c r="A113" s="14">
        <v>42502.308483796296</v>
      </c>
      <c r="B113" t="s">
        <v>197</v>
      </c>
      <c r="C113" t="s">
        <v>300</v>
      </c>
      <c r="D113">
        <v>1200000</v>
      </c>
      <c r="E113" t="s">
        <v>187</v>
      </c>
    </row>
    <row r="114" spans="1:5" x14ac:dyDescent="0.25">
      <c r="A114" s="14">
        <v>42502.659861111111</v>
      </c>
      <c r="B114" t="s">
        <v>107</v>
      </c>
      <c r="C114" t="s">
        <v>213</v>
      </c>
      <c r="D114">
        <v>1470000</v>
      </c>
      <c r="E114" t="s">
        <v>127</v>
      </c>
    </row>
    <row r="115" spans="1:5" x14ac:dyDescent="0.25">
      <c r="A115" s="14">
        <v>42502.347175925926</v>
      </c>
      <c r="B115" t="s">
        <v>188</v>
      </c>
      <c r="C115" t="s">
        <v>301</v>
      </c>
      <c r="D115">
        <v>1200000</v>
      </c>
      <c r="E115" t="s">
        <v>187</v>
      </c>
    </row>
    <row r="116" spans="1:5" x14ac:dyDescent="0.25">
      <c r="A116" s="14">
        <v>42502.644166666665</v>
      </c>
      <c r="B116" t="s">
        <v>173</v>
      </c>
      <c r="C116" t="s">
        <v>302</v>
      </c>
      <c r="D116">
        <v>1820000</v>
      </c>
      <c r="E116" t="s">
        <v>140</v>
      </c>
    </row>
    <row r="117" spans="1:5" x14ac:dyDescent="0.25">
      <c r="A117" s="14">
        <v>42502.372812499998</v>
      </c>
      <c r="B117" t="s">
        <v>142</v>
      </c>
      <c r="C117" t="s">
        <v>303</v>
      </c>
      <c r="D117">
        <v>1840000</v>
      </c>
      <c r="E117" t="s">
        <v>143</v>
      </c>
    </row>
    <row r="118" spans="1:5" x14ac:dyDescent="0.25">
      <c r="A118" s="14">
        <v>42502.585601851853</v>
      </c>
      <c r="B118" t="s">
        <v>107</v>
      </c>
      <c r="C118" t="s">
        <v>304</v>
      </c>
      <c r="D118">
        <v>1470000</v>
      </c>
      <c r="E118" t="s">
        <v>127</v>
      </c>
    </row>
    <row r="119" spans="1:5" x14ac:dyDescent="0.25">
      <c r="A119" s="14">
        <v>42502.38994212963</v>
      </c>
      <c r="B119" t="s">
        <v>64</v>
      </c>
      <c r="C119" t="s">
        <v>305</v>
      </c>
      <c r="D119">
        <v>1810000</v>
      </c>
      <c r="E119" t="s">
        <v>141</v>
      </c>
    </row>
    <row r="120" spans="1:5" x14ac:dyDescent="0.25">
      <c r="A120" s="14">
        <v>42502.557256944441</v>
      </c>
      <c r="B120" t="s">
        <v>172</v>
      </c>
      <c r="C120" t="s">
        <v>306</v>
      </c>
      <c r="D120">
        <v>880000</v>
      </c>
      <c r="E120" t="s">
        <v>179</v>
      </c>
    </row>
    <row r="121" spans="1:5" x14ac:dyDescent="0.25">
      <c r="A121" s="14">
        <v>42502.412858796299</v>
      </c>
      <c r="B121" t="s">
        <v>172</v>
      </c>
      <c r="C121" t="s">
        <v>307</v>
      </c>
      <c r="D121">
        <v>1310000</v>
      </c>
      <c r="E121" t="s">
        <v>199</v>
      </c>
    </row>
    <row r="122" spans="1:5" x14ac:dyDescent="0.25">
      <c r="A122" s="14">
        <v>42502.538287037038</v>
      </c>
      <c r="B122" t="s">
        <v>171</v>
      </c>
      <c r="C122" t="s">
        <v>308</v>
      </c>
      <c r="D122">
        <v>1820000</v>
      </c>
      <c r="E122" t="s">
        <v>140</v>
      </c>
    </row>
    <row r="123" spans="1:5" x14ac:dyDescent="0.25">
      <c r="A123" s="14">
        <v>42502.531655092593</v>
      </c>
      <c r="B123" t="s">
        <v>142</v>
      </c>
      <c r="C123" t="s">
        <v>309</v>
      </c>
      <c r="D123">
        <v>1840000</v>
      </c>
      <c r="E123" t="s">
        <v>143</v>
      </c>
    </row>
    <row r="124" spans="1:5" x14ac:dyDescent="0.25">
      <c r="A124" s="14">
        <v>42502.515138888892</v>
      </c>
      <c r="B124" t="s">
        <v>107</v>
      </c>
      <c r="C124" t="s">
        <v>310</v>
      </c>
      <c r="D124">
        <v>1470000</v>
      </c>
      <c r="E124" t="s">
        <v>127</v>
      </c>
    </row>
    <row r="125" spans="1:5" x14ac:dyDescent="0.25">
      <c r="A125" s="14">
        <v>42502.568831018521</v>
      </c>
      <c r="B125" t="s">
        <v>139</v>
      </c>
      <c r="C125" t="s">
        <v>311</v>
      </c>
      <c r="D125">
        <v>970000</v>
      </c>
      <c r="E125" t="s">
        <v>144</v>
      </c>
    </row>
    <row r="126" spans="1:5" x14ac:dyDescent="0.25">
      <c r="A126" s="14">
        <v>42502.499756944446</v>
      </c>
      <c r="B126" t="s">
        <v>65</v>
      </c>
      <c r="C126" t="s">
        <v>312</v>
      </c>
      <c r="D126">
        <v>1090000</v>
      </c>
      <c r="E126" t="s">
        <v>135</v>
      </c>
    </row>
    <row r="127" spans="1:5" x14ac:dyDescent="0.25">
      <c r="A127" s="14">
        <v>42502.496631944443</v>
      </c>
      <c r="B127" t="s">
        <v>173</v>
      </c>
      <c r="C127" t="s">
        <v>313</v>
      </c>
      <c r="D127">
        <v>1820000</v>
      </c>
      <c r="E127" t="s">
        <v>140</v>
      </c>
    </row>
    <row r="128" spans="1:5" x14ac:dyDescent="0.25">
      <c r="A128" s="14">
        <v>42502.566435185188</v>
      </c>
      <c r="B128" t="s">
        <v>172</v>
      </c>
      <c r="C128" t="s">
        <v>314</v>
      </c>
      <c r="D128">
        <v>880000</v>
      </c>
      <c r="E128" t="s">
        <v>179</v>
      </c>
    </row>
    <row r="129" spans="1:5" x14ac:dyDescent="0.25">
      <c r="A129" s="14">
        <v>42502.576620370368</v>
      </c>
      <c r="B129" t="s">
        <v>65</v>
      </c>
      <c r="C129" t="s">
        <v>315</v>
      </c>
      <c r="D129">
        <v>1090000</v>
      </c>
      <c r="E129" t="s">
        <v>135</v>
      </c>
    </row>
    <row r="130" spans="1:5" x14ac:dyDescent="0.25">
      <c r="A130" s="14">
        <v>42502.477465277778</v>
      </c>
      <c r="B130" t="s">
        <v>108</v>
      </c>
      <c r="C130" t="s">
        <v>316</v>
      </c>
      <c r="D130">
        <v>1740000</v>
      </c>
      <c r="E130" t="s">
        <v>138</v>
      </c>
    </row>
    <row r="131" spans="1:5" x14ac:dyDescent="0.25">
      <c r="A131" s="14">
        <v>42502.712951388887</v>
      </c>
      <c r="B131" t="s">
        <v>188</v>
      </c>
      <c r="C131" t="s">
        <v>317</v>
      </c>
      <c r="D131">
        <v>1280000</v>
      </c>
      <c r="E131" t="s">
        <v>63</v>
      </c>
    </row>
    <row r="132" spans="1:5" x14ac:dyDescent="0.25">
      <c r="A132" s="14">
        <v>42502.396504629629</v>
      </c>
      <c r="B132" t="s">
        <v>182</v>
      </c>
      <c r="C132" t="s">
        <v>318</v>
      </c>
      <c r="D132">
        <v>1300000</v>
      </c>
      <c r="E132" t="s">
        <v>184</v>
      </c>
    </row>
    <row r="133" spans="1:5" x14ac:dyDescent="0.25">
      <c r="A133" s="14">
        <v>42502.716064814813</v>
      </c>
      <c r="B133" t="s">
        <v>173</v>
      </c>
      <c r="C133" t="s">
        <v>319</v>
      </c>
      <c r="D133">
        <v>1750000</v>
      </c>
      <c r="E133" t="s">
        <v>158</v>
      </c>
    </row>
    <row r="134" spans="1:5" x14ac:dyDescent="0.25">
      <c r="A134" s="14">
        <v>42502.358958333331</v>
      </c>
      <c r="B134" t="s">
        <v>202</v>
      </c>
      <c r="C134" t="s">
        <v>320</v>
      </c>
      <c r="D134">
        <v>1300000</v>
      </c>
      <c r="E134" t="s">
        <v>184</v>
      </c>
    </row>
    <row r="135" spans="1:5" x14ac:dyDescent="0.25">
      <c r="A135" s="14">
        <v>42502.76085648148</v>
      </c>
      <c r="B135" t="s">
        <v>64</v>
      </c>
      <c r="C135" t="s">
        <v>321</v>
      </c>
      <c r="D135">
        <v>1770000</v>
      </c>
      <c r="E135" t="s">
        <v>134</v>
      </c>
    </row>
    <row r="136" spans="1:5" x14ac:dyDescent="0.25">
      <c r="A136" s="14">
        <v>42502.31726851852</v>
      </c>
      <c r="B136" t="s">
        <v>64</v>
      </c>
      <c r="C136" t="s">
        <v>322</v>
      </c>
      <c r="D136">
        <v>1810000</v>
      </c>
      <c r="E136" t="s">
        <v>141</v>
      </c>
    </row>
    <row r="137" spans="1:5" x14ac:dyDescent="0.25">
      <c r="A137" s="14">
        <v>42502.569861111115</v>
      </c>
      <c r="B137" t="s">
        <v>173</v>
      </c>
      <c r="C137" t="s">
        <v>323</v>
      </c>
      <c r="D137">
        <v>1820000</v>
      </c>
      <c r="E137" t="s">
        <v>140</v>
      </c>
    </row>
    <row r="138" spans="1:5" x14ac:dyDescent="0.25">
      <c r="A138" s="14">
        <v>42502.272268518522</v>
      </c>
      <c r="B138" t="s">
        <v>188</v>
      </c>
      <c r="C138" t="s">
        <v>324</v>
      </c>
      <c r="D138">
        <v>1200000</v>
      </c>
      <c r="E138" t="s">
        <v>187</v>
      </c>
    </row>
    <row r="139" spans="1:5" x14ac:dyDescent="0.25">
      <c r="A139" s="14">
        <v>42502.578414351854</v>
      </c>
      <c r="B139" t="s">
        <v>202</v>
      </c>
      <c r="C139" t="s">
        <v>325</v>
      </c>
      <c r="D139">
        <v>1140000</v>
      </c>
      <c r="E139" t="s">
        <v>62</v>
      </c>
    </row>
    <row r="140" spans="1:5" x14ac:dyDescent="0.25">
      <c r="A140" s="14">
        <v>42502.188483796293</v>
      </c>
      <c r="B140" t="s">
        <v>139</v>
      </c>
      <c r="C140" t="s">
        <v>185</v>
      </c>
      <c r="D140">
        <v>1840000</v>
      </c>
      <c r="E140" t="s">
        <v>143</v>
      </c>
    </row>
    <row r="141" spans="1:5" x14ac:dyDescent="0.25">
      <c r="A141" s="14">
        <v>42502.697129629632</v>
      </c>
      <c r="B141" t="s">
        <v>108</v>
      </c>
      <c r="C141" t="s">
        <v>326</v>
      </c>
      <c r="D141">
        <v>1740000</v>
      </c>
      <c r="E141" t="s">
        <v>138</v>
      </c>
    </row>
    <row r="142" spans="1:5" x14ac:dyDescent="0.25">
      <c r="A142" s="14">
        <v>42502.152974537035</v>
      </c>
      <c r="B142" t="s">
        <v>170</v>
      </c>
      <c r="C142" t="s">
        <v>186</v>
      </c>
      <c r="D142">
        <v>1200000</v>
      </c>
      <c r="E142" t="s">
        <v>187</v>
      </c>
    </row>
    <row r="143" spans="1:5" x14ac:dyDescent="0.25">
      <c r="A143" s="14">
        <v>42502.807708333334</v>
      </c>
      <c r="B143" t="s">
        <v>107</v>
      </c>
      <c r="C143" t="s">
        <v>327</v>
      </c>
      <c r="D143">
        <v>1780000</v>
      </c>
      <c r="E143" t="s">
        <v>180</v>
      </c>
    </row>
    <row r="144" spans="1:5" x14ac:dyDescent="0.25">
      <c r="A144" s="14">
        <v>42502.74664351852</v>
      </c>
      <c r="B144" t="s">
        <v>197</v>
      </c>
      <c r="C144" t="s">
        <v>269</v>
      </c>
      <c r="D144">
        <v>1280000</v>
      </c>
      <c r="E144" t="s">
        <v>63</v>
      </c>
    </row>
    <row r="145" spans="1:5" x14ac:dyDescent="0.25">
      <c r="A145" s="14">
        <v>42502.850555555553</v>
      </c>
      <c r="B145" t="s">
        <v>108</v>
      </c>
      <c r="C145" t="s">
        <v>328</v>
      </c>
      <c r="D145">
        <v>1780000</v>
      </c>
      <c r="E145" t="s">
        <v>180</v>
      </c>
    </row>
    <row r="146" spans="1:5" x14ac:dyDescent="0.25">
      <c r="A146" s="14">
        <v>42502.683483796296</v>
      </c>
      <c r="B146" t="s">
        <v>171</v>
      </c>
      <c r="C146" t="s">
        <v>329</v>
      </c>
      <c r="D146">
        <v>1820000</v>
      </c>
      <c r="E146" t="s">
        <v>140</v>
      </c>
    </row>
    <row r="147" spans="1:5" x14ac:dyDescent="0.25">
      <c r="A147" s="14">
        <v>42502.900902777779</v>
      </c>
      <c r="B147" t="s">
        <v>64</v>
      </c>
      <c r="C147" t="s">
        <v>330</v>
      </c>
      <c r="D147">
        <v>1770000</v>
      </c>
      <c r="E147" t="s">
        <v>134</v>
      </c>
    </row>
    <row r="148" spans="1:5" x14ac:dyDescent="0.25">
      <c r="A148" s="14">
        <v>42502.390150462961</v>
      </c>
      <c r="B148" t="s">
        <v>171</v>
      </c>
      <c r="C148" t="s">
        <v>331</v>
      </c>
      <c r="D148">
        <v>1800000</v>
      </c>
      <c r="E148" t="s">
        <v>136</v>
      </c>
    </row>
    <row r="149" spans="1:5" x14ac:dyDescent="0.25">
      <c r="A149" s="14">
        <v>42502.985405092593</v>
      </c>
      <c r="B149" t="s">
        <v>64</v>
      </c>
      <c r="C149" t="s">
        <v>332</v>
      </c>
      <c r="D149">
        <v>1770000</v>
      </c>
      <c r="E149" t="s">
        <v>134</v>
      </c>
    </row>
    <row r="150" spans="1:5" x14ac:dyDescent="0.25">
      <c r="A150" s="14">
        <v>42502.338518518518</v>
      </c>
      <c r="B150" t="s">
        <v>139</v>
      </c>
      <c r="C150" t="s">
        <v>333</v>
      </c>
      <c r="D150">
        <v>1840000</v>
      </c>
      <c r="E150" t="s">
        <v>143</v>
      </c>
    </row>
    <row r="151" spans="1:5" x14ac:dyDescent="0.25">
      <c r="A151" s="14">
        <v>42502.990983796299</v>
      </c>
      <c r="B151" t="s">
        <v>171</v>
      </c>
      <c r="C151" t="s">
        <v>334</v>
      </c>
      <c r="D151">
        <v>1750000</v>
      </c>
      <c r="E151" t="s">
        <v>158</v>
      </c>
    </row>
    <row r="152" spans="1:5" x14ac:dyDescent="0.25">
      <c r="A152" s="14">
        <v>42502.541701388887</v>
      </c>
      <c r="B152" t="s">
        <v>182</v>
      </c>
      <c r="C152" t="s">
        <v>335</v>
      </c>
      <c r="D152">
        <v>1140000</v>
      </c>
      <c r="E152" t="s">
        <v>62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104</v>
      </c>
    </row>
    <row r="3" spans="1:6" x14ac:dyDescent="0.25">
      <c r="F3" t="s">
        <v>105</v>
      </c>
    </row>
    <row r="4" spans="1:6" x14ac:dyDescent="0.25">
      <c r="F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2016-05-13T15:15:24Z</dcterms:modified>
</cp:coreProperties>
</file>