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1835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definedNames>
    <definedName name="_xlnm._FilterDatabase" localSheetId="1" hidden="1">Enforcements!$A$6:$V$54</definedName>
    <definedName name="_xlnm._FilterDatabase" localSheetId="2" hidden="1">'Missing Trips'!$A$2:$H$2</definedName>
    <definedName name="_xlnm._FilterDatabase" localSheetId="0" hidden="1">'Train Runs'!$A$12:$AG$213</definedName>
    <definedName name="_xlnm._FilterDatabase" localSheetId="3" hidden="1">'Trips&amp;Operators'!$A$1:$E$211</definedName>
    <definedName name="astrogrep_path">Variables!$M$18</definedName>
    <definedName name="Denver_Train_Runs_04122016" localSheetId="0">'Train Runs'!$A$12:$J$43</definedName>
    <definedName name="refinertdcruntimes">Variables!$M$24</definedName>
    <definedName name="s3_bucket">Variables!$M$21</definedName>
    <definedName name="search_path">Variables!$M$19</definedName>
    <definedName name="search_regexp">Variables!$M$20</definedName>
    <definedName name="utc_offset">Variables!$M$23</definedName>
    <definedName name="walkandungz">Variables!$M$22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8" i="1" l="1"/>
  <c r="X29" i="1"/>
  <c r="X30" i="1"/>
  <c r="X31" i="1"/>
  <c r="AG14" i="1" l="1"/>
  <c r="AG16" i="1"/>
  <c r="AG18" i="1"/>
  <c r="AG19" i="1"/>
  <c r="K28" i="1"/>
  <c r="L28" i="1"/>
  <c r="M28" i="1"/>
  <c r="P28" i="1"/>
  <c r="V28" i="1"/>
  <c r="AA28" i="1"/>
  <c r="AB28" i="1"/>
  <c r="AC28" i="1"/>
  <c r="AD28" i="1"/>
  <c r="T28" i="1" s="1"/>
  <c r="AE28" i="1"/>
  <c r="AF28" i="1"/>
  <c r="AH28" i="1"/>
  <c r="K17" i="1"/>
  <c r="E3" i="6"/>
  <c r="F3" i="6"/>
  <c r="G3" i="6"/>
  <c r="H3" i="6"/>
  <c r="E4" i="6"/>
  <c r="F4" i="6"/>
  <c r="G4" i="6"/>
  <c r="H4" i="6"/>
  <c r="E5" i="6"/>
  <c r="F5" i="6"/>
  <c r="G5" i="6"/>
  <c r="H5" i="6"/>
  <c r="E6" i="6"/>
  <c r="F6" i="6"/>
  <c r="G6" i="6"/>
  <c r="H6" i="6"/>
  <c r="P196" i="1"/>
  <c r="P192" i="1"/>
  <c r="P190" i="1"/>
  <c r="P181" i="1"/>
  <c r="X151" i="1"/>
  <c r="X152" i="1"/>
  <c r="X153" i="1"/>
  <c r="X154" i="1"/>
  <c r="X155" i="1"/>
  <c r="X156" i="1"/>
  <c r="X157" i="1"/>
  <c r="X158" i="1"/>
  <c r="X159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K16" i="1"/>
  <c r="L16" i="1"/>
  <c r="M16" i="1"/>
  <c r="N16" i="1" s="1"/>
  <c r="V16" i="1"/>
  <c r="Y16" i="1"/>
  <c r="Z16" i="1"/>
  <c r="AB16" i="1"/>
  <c r="AC16" i="1"/>
  <c r="AD16" i="1"/>
  <c r="AE16" i="1"/>
  <c r="AF16" i="1"/>
  <c r="AH16" i="1"/>
  <c r="K18" i="1"/>
  <c r="L18" i="1"/>
  <c r="M18" i="1"/>
  <c r="N18" i="1" s="1"/>
  <c r="V18" i="1"/>
  <c r="Y18" i="1"/>
  <c r="Z18" i="1"/>
  <c r="AB18" i="1"/>
  <c r="AC18" i="1"/>
  <c r="AD18" i="1"/>
  <c r="AE18" i="1"/>
  <c r="AF18" i="1"/>
  <c r="AH18" i="1"/>
  <c r="K19" i="1"/>
  <c r="L19" i="1"/>
  <c r="M19" i="1"/>
  <c r="N19" i="1" s="1"/>
  <c r="V19" i="1"/>
  <c r="Y19" i="1"/>
  <c r="Z19" i="1"/>
  <c r="AB19" i="1"/>
  <c r="AC19" i="1"/>
  <c r="AD19" i="1"/>
  <c r="AE19" i="1"/>
  <c r="AF19" i="1"/>
  <c r="AH19" i="1"/>
  <c r="K20" i="1"/>
  <c r="L20" i="1"/>
  <c r="M20" i="1"/>
  <c r="N20" i="1" s="1"/>
  <c r="V20" i="1"/>
  <c r="Y20" i="1"/>
  <c r="Z20" i="1"/>
  <c r="AB20" i="1"/>
  <c r="AC20" i="1"/>
  <c r="AD20" i="1"/>
  <c r="AE20" i="1"/>
  <c r="AF20" i="1"/>
  <c r="AH20" i="1"/>
  <c r="K21" i="1"/>
  <c r="L21" i="1"/>
  <c r="M21" i="1"/>
  <c r="N21" i="1" s="1"/>
  <c r="V21" i="1"/>
  <c r="Y21" i="1"/>
  <c r="Z21" i="1"/>
  <c r="AB21" i="1"/>
  <c r="AC21" i="1"/>
  <c r="AD21" i="1"/>
  <c r="AG21" i="1" s="1"/>
  <c r="AE21" i="1"/>
  <c r="AF21" i="1"/>
  <c r="AH21" i="1"/>
  <c r="K22" i="1"/>
  <c r="L22" i="1"/>
  <c r="M22" i="1"/>
  <c r="N22" i="1" s="1"/>
  <c r="V22" i="1"/>
  <c r="Y22" i="1"/>
  <c r="Z22" i="1"/>
  <c r="AB22" i="1"/>
  <c r="AC22" i="1"/>
  <c r="AD22" i="1"/>
  <c r="AE22" i="1"/>
  <c r="AF22" i="1"/>
  <c r="AH22" i="1"/>
  <c r="K23" i="1"/>
  <c r="L23" i="1"/>
  <c r="M23" i="1"/>
  <c r="N23" i="1" s="1"/>
  <c r="V23" i="1"/>
  <c r="Y23" i="1"/>
  <c r="Z23" i="1"/>
  <c r="AB23" i="1"/>
  <c r="AC23" i="1"/>
  <c r="AD23" i="1"/>
  <c r="T23" i="1" s="1"/>
  <c r="AE23" i="1"/>
  <c r="AF23" i="1"/>
  <c r="AH23" i="1"/>
  <c r="K24" i="1"/>
  <c r="L24" i="1"/>
  <c r="M24" i="1"/>
  <c r="N24" i="1" s="1"/>
  <c r="V24" i="1"/>
  <c r="Y24" i="1"/>
  <c r="Z24" i="1"/>
  <c r="AB24" i="1"/>
  <c r="AC24" i="1"/>
  <c r="AD24" i="1"/>
  <c r="AE24" i="1"/>
  <c r="AF24" i="1"/>
  <c r="AH24" i="1"/>
  <c r="K25" i="1"/>
  <c r="L25" i="1"/>
  <c r="M25" i="1"/>
  <c r="N25" i="1" s="1"/>
  <c r="V25" i="1"/>
  <c r="Y25" i="1"/>
  <c r="Z25" i="1"/>
  <c r="AB25" i="1"/>
  <c r="AC25" i="1"/>
  <c r="AD25" i="1"/>
  <c r="AG25" i="1" s="1"/>
  <c r="AE25" i="1"/>
  <c r="AF25" i="1"/>
  <c r="AH25" i="1"/>
  <c r="K26" i="1"/>
  <c r="L26" i="1"/>
  <c r="M26" i="1"/>
  <c r="N26" i="1" s="1"/>
  <c r="V26" i="1"/>
  <c r="Y26" i="1"/>
  <c r="Z26" i="1"/>
  <c r="AB26" i="1"/>
  <c r="AC26" i="1"/>
  <c r="AD26" i="1"/>
  <c r="AE26" i="1"/>
  <c r="AF26" i="1"/>
  <c r="AH26" i="1"/>
  <c r="K27" i="1"/>
  <c r="L27" i="1"/>
  <c r="M27" i="1"/>
  <c r="P27" i="1" s="1"/>
  <c r="V27" i="1"/>
  <c r="Y27" i="1"/>
  <c r="Z27" i="1"/>
  <c r="AB27" i="1"/>
  <c r="AC27" i="1"/>
  <c r="AD27" i="1"/>
  <c r="AG27" i="1" s="1"/>
  <c r="AE27" i="1"/>
  <c r="AF27" i="1"/>
  <c r="AH27" i="1"/>
  <c r="K29" i="1"/>
  <c r="L29" i="1"/>
  <c r="M29" i="1"/>
  <c r="N29" i="1" s="1"/>
  <c r="V29" i="1"/>
  <c r="Y29" i="1"/>
  <c r="Z29" i="1"/>
  <c r="AB29" i="1"/>
  <c r="AC29" i="1"/>
  <c r="AD29" i="1"/>
  <c r="AE29" i="1"/>
  <c r="AF29" i="1"/>
  <c r="AH29" i="1"/>
  <c r="K30" i="1"/>
  <c r="L30" i="1"/>
  <c r="M30" i="1"/>
  <c r="N30" i="1" s="1"/>
  <c r="V30" i="1"/>
  <c r="Y30" i="1"/>
  <c r="Z30" i="1"/>
  <c r="AB30" i="1"/>
  <c r="AC30" i="1"/>
  <c r="AD30" i="1"/>
  <c r="AG30" i="1" s="1"/>
  <c r="AE30" i="1"/>
  <c r="AF30" i="1"/>
  <c r="AH30" i="1"/>
  <c r="K31" i="1"/>
  <c r="L31" i="1"/>
  <c r="M31" i="1"/>
  <c r="N31" i="1" s="1"/>
  <c r="V31" i="1"/>
  <c r="Y31" i="1"/>
  <c r="Z31" i="1"/>
  <c r="AB31" i="1"/>
  <c r="AC31" i="1"/>
  <c r="AD31" i="1"/>
  <c r="AE31" i="1"/>
  <c r="AF31" i="1"/>
  <c r="AH31" i="1"/>
  <c r="K32" i="1"/>
  <c r="L32" i="1"/>
  <c r="M32" i="1"/>
  <c r="N32" i="1" s="1"/>
  <c r="V32" i="1"/>
  <c r="Y32" i="1"/>
  <c r="Z32" i="1"/>
  <c r="AB32" i="1"/>
  <c r="AC32" i="1"/>
  <c r="AD32" i="1"/>
  <c r="T32" i="1" s="1"/>
  <c r="AE32" i="1"/>
  <c r="AF32" i="1"/>
  <c r="AH32" i="1"/>
  <c r="K33" i="1"/>
  <c r="L33" i="1"/>
  <c r="M33" i="1"/>
  <c r="N33" i="1" s="1"/>
  <c r="V33" i="1"/>
  <c r="Y33" i="1"/>
  <c r="Z33" i="1"/>
  <c r="AB33" i="1"/>
  <c r="AC33" i="1"/>
  <c r="AD33" i="1"/>
  <c r="AE33" i="1"/>
  <c r="AF33" i="1"/>
  <c r="AH33" i="1"/>
  <c r="K34" i="1"/>
  <c r="L34" i="1"/>
  <c r="M34" i="1"/>
  <c r="N34" i="1" s="1"/>
  <c r="V34" i="1"/>
  <c r="Y34" i="1"/>
  <c r="Z34" i="1"/>
  <c r="AB34" i="1"/>
  <c r="AC34" i="1"/>
  <c r="AD34" i="1"/>
  <c r="AG34" i="1" s="1"/>
  <c r="AE34" i="1"/>
  <c r="AF34" i="1"/>
  <c r="AH34" i="1"/>
  <c r="K35" i="1"/>
  <c r="L35" i="1"/>
  <c r="M35" i="1"/>
  <c r="N35" i="1" s="1"/>
  <c r="V35" i="1"/>
  <c r="Y35" i="1"/>
  <c r="Z35" i="1"/>
  <c r="AB35" i="1"/>
  <c r="AC35" i="1"/>
  <c r="AD35" i="1"/>
  <c r="AE35" i="1"/>
  <c r="AF35" i="1"/>
  <c r="AH35" i="1"/>
  <c r="K36" i="1"/>
  <c r="L36" i="1"/>
  <c r="M36" i="1"/>
  <c r="N36" i="1" s="1"/>
  <c r="V36" i="1"/>
  <c r="Y36" i="1"/>
  <c r="Z36" i="1"/>
  <c r="AB36" i="1"/>
  <c r="AC36" i="1"/>
  <c r="AD36" i="1"/>
  <c r="AG36" i="1" s="1"/>
  <c r="AE36" i="1"/>
  <c r="AF36" i="1"/>
  <c r="AH36" i="1"/>
  <c r="K37" i="1"/>
  <c r="L37" i="1"/>
  <c r="M37" i="1"/>
  <c r="N37" i="1" s="1"/>
  <c r="V37" i="1"/>
  <c r="Y37" i="1"/>
  <c r="Z37" i="1"/>
  <c r="AB37" i="1"/>
  <c r="AC37" i="1"/>
  <c r="AD37" i="1"/>
  <c r="AE37" i="1"/>
  <c r="AF37" i="1"/>
  <c r="AH37" i="1"/>
  <c r="K38" i="1"/>
  <c r="L38" i="1"/>
  <c r="M38" i="1"/>
  <c r="N38" i="1" s="1"/>
  <c r="V38" i="1"/>
  <c r="Y38" i="1"/>
  <c r="Z38" i="1"/>
  <c r="AB38" i="1"/>
  <c r="AC38" i="1"/>
  <c r="AD38" i="1"/>
  <c r="AG38" i="1" s="1"/>
  <c r="AE38" i="1"/>
  <c r="AF38" i="1"/>
  <c r="AH38" i="1"/>
  <c r="K39" i="1"/>
  <c r="L39" i="1"/>
  <c r="M39" i="1"/>
  <c r="N39" i="1" s="1"/>
  <c r="V39" i="1"/>
  <c r="Y39" i="1"/>
  <c r="Z39" i="1"/>
  <c r="AB39" i="1"/>
  <c r="AC39" i="1"/>
  <c r="AD39" i="1"/>
  <c r="AE39" i="1"/>
  <c r="AF39" i="1"/>
  <c r="AH39" i="1"/>
  <c r="K40" i="1"/>
  <c r="L40" i="1"/>
  <c r="M40" i="1"/>
  <c r="N40" i="1" s="1"/>
  <c r="V40" i="1"/>
  <c r="Y40" i="1"/>
  <c r="Z40" i="1"/>
  <c r="AB40" i="1"/>
  <c r="AC40" i="1"/>
  <c r="AD40" i="1"/>
  <c r="AE40" i="1"/>
  <c r="AF40" i="1"/>
  <c r="AH40" i="1"/>
  <c r="K41" i="1"/>
  <c r="L41" i="1"/>
  <c r="M41" i="1"/>
  <c r="N41" i="1" s="1"/>
  <c r="V41" i="1"/>
  <c r="Y41" i="1"/>
  <c r="Z41" i="1"/>
  <c r="AB41" i="1"/>
  <c r="AC41" i="1"/>
  <c r="AD41" i="1"/>
  <c r="AE41" i="1"/>
  <c r="AF41" i="1"/>
  <c r="AH41" i="1"/>
  <c r="K42" i="1"/>
  <c r="L42" i="1"/>
  <c r="M42" i="1"/>
  <c r="N42" i="1" s="1"/>
  <c r="V42" i="1"/>
  <c r="Y42" i="1"/>
  <c r="Z42" i="1"/>
  <c r="AB42" i="1"/>
  <c r="AC42" i="1"/>
  <c r="AD42" i="1"/>
  <c r="AG42" i="1" s="1"/>
  <c r="AE42" i="1"/>
  <c r="AF42" i="1"/>
  <c r="AH42" i="1"/>
  <c r="K43" i="1"/>
  <c r="L43" i="1"/>
  <c r="M43" i="1"/>
  <c r="N43" i="1" s="1"/>
  <c r="V43" i="1"/>
  <c r="Y43" i="1"/>
  <c r="Z43" i="1"/>
  <c r="AB43" i="1"/>
  <c r="AC43" i="1"/>
  <c r="AD43" i="1"/>
  <c r="AE43" i="1"/>
  <c r="AF43" i="1"/>
  <c r="AH43" i="1"/>
  <c r="K44" i="1"/>
  <c r="L44" i="1"/>
  <c r="M44" i="1"/>
  <c r="N44" i="1" s="1"/>
  <c r="V44" i="1"/>
  <c r="Y44" i="1"/>
  <c r="Z44" i="1"/>
  <c r="AB44" i="1"/>
  <c r="AC44" i="1"/>
  <c r="AD44" i="1"/>
  <c r="AG44" i="1" s="1"/>
  <c r="AE44" i="1"/>
  <c r="AF44" i="1"/>
  <c r="AH44" i="1"/>
  <c r="K45" i="1"/>
  <c r="L45" i="1"/>
  <c r="M45" i="1"/>
  <c r="N45" i="1" s="1"/>
  <c r="V45" i="1"/>
  <c r="Y45" i="1"/>
  <c r="Z45" i="1"/>
  <c r="AB45" i="1"/>
  <c r="AC45" i="1"/>
  <c r="AD45" i="1"/>
  <c r="AE45" i="1"/>
  <c r="AF45" i="1"/>
  <c r="AH45" i="1"/>
  <c r="K46" i="1"/>
  <c r="L46" i="1"/>
  <c r="M46" i="1"/>
  <c r="N46" i="1" s="1"/>
  <c r="V46" i="1"/>
  <c r="Y46" i="1"/>
  <c r="Z46" i="1"/>
  <c r="AB46" i="1"/>
  <c r="AC46" i="1"/>
  <c r="AD46" i="1"/>
  <c r="AG46" i="1" s="1"/>
  <c r="AE46" i="1"/>
  <c r="AF46" i="1"/>
  <c r="AH46" i="1"/>
  <c r="K47" i="1"/>
  <c r="L47" i="1"/>
  <c r="M47" i="1"/>
  <c r="N47" i="1" s="1"/>
  <c r="V47" i="1"/>
  <c r="Y47" i="1"/>
  <c r="Z47" i="1"/>
  <c r="AB47" i="1"/>
  <c r="AC47" i="1"/>
  <c r="AD47" i="1"/>
  <c r="AE47" i="1"/>
  <c r="AF47" i="1"/>
  <c r="AH47" i="1"/>
  <c r="K48" i="1"/>
  <c r="L48" i="1"/>
  <c r="M48" i="1"/>
  <c r="N48" i="1" s="1"/>
  <c r="V48" i="1"/>
  <c r="Y48" i="1"/>
  <c r="Z48" i="1"/>
  <c r="AB48" i="1"/>
  <c r="AC48" i="1"/>
  <c r="AD48" i="1"/>
  <c r="T48" i="1" s="1"/>
  <c r="AE48" i="1"/>
  <c r="AF48" i="1"/>
  <c r="AH48" i="1"/>
  <c r="K49" i="1"/>
  <c r="L49" i="1"/>
  <c r="M49" i="1"/>
  <c r="N49" i="1" s="1"/>
  <c r="V49" i="1"/>
  <c r="Y49" i="1"/>
  <c r="Z49" i="1"/>
  <c r="AB49" i="1"/>
  <c r="AC49" i="1"/>
  <c r="AD49" i="1"/>
  <c r="AE49" i="1"/>
  <c r="AF49" i="1"/>
  <c r="AH49" i="1"/>
  <c r="K50" i="1"/>
  <c r="L50" i="1"/>
  <c r="M50" i="1"/>
  <c r="N50" i="1" s="1"/>
  <c r="V50" i="1"/>
  <c r="Y50" i="1"/>
  <c r="Z50" i="1"/>
  <c r="AB50" i="1"/>
  <c r="AC50" i="1"/>
  <c r="AD50" i="1"/>
  <c r="AG50" i="1" s="1"/>
  <c r="AE50" i="1"/>
  <c r="AF50" i="1"/>
  <c r="AH50" i="1"/>
  <c r="K51" i="1"/>
  <c r="L51" i="1"/>
  <c r="M51" i="1"/>
  <c r="N51" i="1" s="1"/>
  <c r="V51" i="1"/>
  <c r="Y51" i="1"/>
  <c r="Z51" i="1"/>
  <c r="AB51" i="1"/>
  <c r="AC51" i="1"/>
  <c r="AD51" i="1"/>
  <c r="AE51" i="1"/>
  <c r="AF51" i="1"/>
  <c r="AH51" i="1"/>
  <c r="K52" i="1"/>
  <c r="L52" i="1"/>
  <c r="M52" i="1"/>
  <c r="N52" i="1" s="1"/>
  <c r="V52" i="1"/>
  <c r="Y52" i="1"/>
  <c r="Z52" i="1"/>
  <c r="AB52" i="1"/>
  <c r="AC52" i="1"/>
  <c r="AD52" i="1"/>
  <c r="AG52" i="1" s="1"/>
  <c r="AE52" i="1"/>
  <c r="AF52" i="1"/>
  <c r="AH52" i="1"/>
  <c r="K53" i="1"/>
  <c r="L53" i="1"/>
  <c r="M53" i="1"/>
  <c r="P53" i="1" s="1"/>
  <c r="V53" i="1"/>
  <c r="Y53" i="1"/>
  <c r="Z53" i="1"/>
  <c r="AB53" i="1"/>
  <c r="AC53" i="1"/>
  <c r="AD53" i="1"/>
  <c r="AE53" i="1"/>
  <c r="AF53" i="1"/>
  <c r="AH53" i="1"/>
  <c r="K54" i="1"/>
  <c r="L54" i="1"/>
  <c r="M54" i="1"/>
  <c r="N54" i="1" s="1"/>
  <c r="V54" i="1"/>
  <c r="Y54" i="1"/>
  <c r="Z54" i="1"/>
  <c r="AB54" i="1"/>
  <c r="AC54" i="1"/>
  <c r="AD54" i="1"/>
  <c r="AG54" i="1" s="1"/>
  <c r="AE54" i="1"/>
  <c r="AF54" i="1"/>
  <c r="AH54" i="1"/>
  <c r="K55" i="1"/>
  <c r="L55" i="1"/>
  <c r="M55" i="1"/>
  <c r="N55" i="1" s="1"/>
  <c r="V55" i="1"/>
  <c r="Y55" i="1"/>
  <c r="Z55" i="1"/>
  <c r="AB55" i="1"/>
  <c r="AC55" i="1"/>
  <c r="AD55" i="1"/>
  <c r="AE55" i="1"/>
  <c r="AF55" i="1"/>
  <c r="AH55" i="1"/>
  <c r="K56" i="1"/>
  <c r="L56" i="1"/>
  <c r="M56" i="1"/>
  <c r="N56" i="1" s="1"/>
  <c r="V56" i="1"/>
  <c r="Y56" i="1"/>
  <c r="Z56" i="1"/>
  <c r="AB56" i="1"/>
  <c r="AC56" i="1"/>
  <c r="AD56" i="1"/>
  <c r="T56" i="1" s="1"/>
  <c r="AE56" i="1"/>
  <c r="AF56" i="1"/>
  <c r="AH56" i="1"/>
  <c r="K57" i="1"/>
  <c r="L57" i="1"/>
  <c r="M57" i="1"/>
  <c r="N57" i="1" s="1"/>
  <c r="V57" i="1"/>
  <c r="Y57" i="1"/>
  <c r="Z57" i="1"/>
  <c r="AB57" i="1"/>
  <c r="AC57" i="1"/>
  <c r="AD57" i="1"/>
  <c r="T57" i="1" s="1"/>
  <c r="AE57" i="1"/>
  <c r="AF57" i="1"/>
  <c r="AH57" i="1"/>
  <c r="K58" i="1"/>
  <c r="L58" i="1"/>
  <c r="M58" i="1"/>
  <c r="N58" i="1" s="1"/>
  <c r="V58" i="1"/>
  <c r="Y58" i="1"/>
  <c r="Z58" i="1"/>
  <c r="AB58" i="1"/>
  <c r="AC58" i="1"/>
  <c r="AD58" i="1"/>
  <c r="AG58" i="1" s="1"/>
  <c r="AE58" i="1"/>
  <c r="AF58" i="1"/>
  <c r="AH58" i="1"/>
  <c r="K59" i="1"/>
  <c r="L59" i="1"/>
  <c r="M59" i="1"/>
  <c r="N59" i="1" s="1"/>
  <c r="V59" i="1"/>
  <c r="Y59" i="1"/>
  <c r="Z59" i="1"/>
  <c r="AB59" i="1"/>
  <c r="AC59" i="1"/>
  <c r="AD59" i="1"/>
  <c r="AE59" i="1"/>
  <c r="AF59" i="1"/>
  <c r="AH59" i="1"/>
  <c r="K60" i="1"/>
  <c r="L60" i="1"/>
  <c r="M60" i="1"/>
  <c r="N60" i="1" s="1"/>
  <c r="V60" i="1"/>
  <c r="Y60" i="1"/>
  <c r="Z60" i="1"/>
  <c r="AB60" i="1"/>
  <c r="AC60" i="1"/>
  <c r="AD60" i="1"/>
  <c r="AG60" i="1" s="1"/>
  <c r="AE60" i="1"/>
  <c r="AF60" i="1"/>
  <c r="AH60" i="1"/>
  <c r="K61" i="1"/>
  <c r="L61" i="1"/>
  <c r="M61" i="1"/>
  <c r="N61" i="1" s="1"/>
  <c r="V61" i="1"/>
  <c r="Y61" i="1"/>
  <c r="Z61" i="1"/>
  <c r="AB61" i="1"/>
  <c r="AC61" i="1"/>
  <c r="AD61" i="1"/>
  <c r="AG61" i="1" s="1"/>
  <c r="AE61" i="1"/>
  <c r="AF61" i="1"/>
  <c r="AH61" i="1"/>
  <c r="K62" i="1"/>
  <c r="L62" i="1"/>
  <c r="M62" i="1"/>
  <c r="N62" i="1" s="1"/>
  <c r="V62" i="1"/>
  <c r="Y62" i="1"/>
  <c r="Z62" i="1"/>
  <c r="AB62" i="1"/>
  <c r="AC62" i="1"/>
  <c r="AD62" i="1"/>
  <c r="T62" i="1" s="1"/>
  <c r="AE62" i="1"/>
  <c r="AF62" i="1"/>
  <c r="AH62" i="1"/>
  <c r="K63" i="1"/>
  <c r="L63" i="1"/>
  <c r="M63" i="1"/>
  <c r="N63" i="1" s="1"/>
  <c r="V63" i="1"/>
  <c r="Y63" i="1"/>
  <c r="Z63" i="1"/>
  <c r="AB63" i="1"/>
  <c r="AC63" i="1"/>
  <c r="AD63" i="1"/>
  <c r="AG63" i="1" s="1"/>
  <c r="AE63" i="1"/>
  <c r="AF63" i="1"/>
  <c r="AH63" i="1"/>
  <c r="K64" i="1"/>
  <c r="L64" i="1"/>
  <c r="M64" i="1"/>
  <c r="N64" i="1" s="1"/>
  <c r="V64" i="1"/>
  <c r="Y64" i="1"/>
  <c r="Z64" i="1"/>
  <c r="AB64" i="1"/>
  <c r="AC64" i="1"/>
  <c r="AD64" i="1"/>
  <c r="T64" i="1" s="1"/>
  <c r="AE64" i="1"/>
  <c r="AF64" i="1"/>
  <c r="AH64" i="1"/>
  <c r="K65" i="1"/>
  <c r="L65" i="1"/>
  <c r="M65" i="1"/>
  <c r="N65" i="1" s="1"/>
  <c r="V65" i="1"/>
  <c r="Y65" i="1"/>
  <c r="Z65" i="1"/>
  <c r="AB65" i="1"/>
  <c r="AC65" i="1"/>
  <c r="AD65" i="1"/>
  <c r="AE65" i="1"/>
  <c r="AF65" i="1"/>
  <c r="AH65" i="1"/>
  <c r="K66" i="1"/>
  <c r="L66" i="1"/>
  <c r="M66" i="1"/>
  <c r="N66" i="1" s="1"/>
  <c r="V66" i="1"/>
  <c r="Y66" i="1"/>
  <c r="Z66" i="1"/>
  <c r="AB66" i="1"/>
  <c r="AC66" i="1"/>
  <c r="AD66" i="1"/>
  <c r="T66" i="1" s="1"/>
  <c r="AE66" i="1"/>
  <c r="AF66" i="1"/>
  <c r="AH66" i="1"/>
  <c r="K67" i="1"/>
  <c r="L67" i="1"/>
  <c r="M67" i="1"/>
  <c r="N67" i="1" s="1"/>
  <c r="V67" i="1"/>
  <c r="Y67" i="1"/>
  <c r="Z67" i="1"/>
  <c r="AB67" i="1"/>
  <c r="AC67" i="1"/>
  <c r="AD67" i="1"/>
  <c r="AE67" i="1"/>
  <c r="AF67" i="1"/>
  <c r="AH67" i="1"/>
  <c r="K68" i="1"/>
  <c r="L68" i="1"/>
  <c r="M68" i="1"/>
  <c r="N68" i="1" s="1"/>
  <c r="V68" i="1"/>
  <c r="Y68" i="1"/>
  <c r="Z68" i="1"/>
  <c r="AB68" i="1"/>
  <c r="AC68" i="1"/>
  <c r="AD68" i="1"/>
  <c r="AG68" i="1" s="1"/>
  <c r="AE68" i="1"/>
  <c r="AF68" i="1"/>
  <c r="AH68" i="1"/>
  <c r="K69" i="1"/>
  <c r="L69" i="1"/>
  <c r="M69" i="1"/>
  <c r="N69" i="1" s="1"/>
  <c r="V69" i="1"/>
  <c r="Y69" i="1"/>
  <c r="Z69" i="1"/>
  <c r="AB69" i="1"/>
  <c r="AC69" i="1"/>
  <c r="AD69" i="1"/>
  <c r="T69" i="1" s="1"/>
  <c r="AE69" i="1"/>
  <c r="AF69" i="1"/>
  <c r="AH69" i="1"/>
  <c r="K70" i="1"/>
  <c r="L70" i="1"/>
  <c r="M70" i="1"/>
  <c r="N70" i="1" s="1"/>
  <c r="V70" i="1"/>
  <c r="Y70" i="1"/>
  <c r="Z70" i="1"/>
  <c r="AB70" i="1"/>
  <c r="AC70" i="1"/>
  <c r="AD70" i="1"/>
  <c r="AE70" i="1"/>
  <c r="AF70" i="1"/>
  <c r="AH70" i="1"/>
  <c r="K71" i="1"/>
  <c r="L71" i="1"/>
  <c r="M71" i="1"/>
  <c r="N71" i="1" s="1"/>
  <c r="V71" i="1"/>
  <c r="Y71" i="1"/>
  <c r="Z71" i="1"/>
  <c r="AA71" i="1" s="1"/>
  <c r="AB71" i="1"/>
  <c r="AC71" i="1"/>
  <c r="AD71" i="1"/>
  <c r="X71" i="1" s="1"/>
  <c r="AE71" i="1"/>
  <c r="AF71" i="1"/>
  <c r="AG71" i="1"/>
  <c r="AH71" i="1"/>
  <c r="K72" i="1"/>
  <c r="L72" i="1"/>
  <c r="M72" i="1"/>
  <c r="N72" i="1" s="1"/>
  <c r="V72" i="1"/>
  <c r="Y72" i="1"/>
  <c r="Z72" i="1"/>
  <c r="AB72" i="1"/>
  <c r="AC72" i="1"/>
  <c r="AD72" i="1"/>
  <c r="AE72" i="1"/>
  <c r="AF72" i="1"/>
  <c r="AH72" i="1"/>
  <c r="K73" i="1"/>
  <c r="L73" i="1"/>
  <c r="M73" i="1"/>
  <c r="N73" i="1" s="1"/>
  <c r="V73" i="1"/>
  <c r="Y73" i="1"/>
  <c r="Z73" i="1"/>
  <c r="AB73" i="1"/>
  <c r="AC73" i="1"/>
  <c r="AD73" i="1"/>
  <c r="X73" i="1" s="1"/>
  <c r="AE73" i="1"/>
  <c r="AF73" i="1"/>
  <c r="AH73" i="1"/>
  <c r="K74" i="1"/>
  <c r="L74" i="1"/>
  <c r="M74" i="1"/>
  <c r="N74" i="1" s="1"/>
  <c r="V74" i="1"/>
  <c r="Y74" i="1"/>
  <c r="Z74" i="1"/>
  <c r="AB74" i="1"/>
  <c r="AC74" i="1"/>
  <c r="AD74" i="1"/>
  <c r="AG74" i="1" s="1"/>
  <c r="AE74" i="1"/>
  <c r="AF74" i="1"/>
  <c r="AH74" i="1"/>
  <c r="K75" i="1"/>
  <c r="L75" i="1"/>
  <c r="M75" i="1"/>
  <c r="N75" i="1" s="1"/>
  <c r="V75" i="1"/>
  <c r="Y75" i="1"/>
  <c r="Z75" i="1"/>
  <c r="AB75" i="1"/>
  <c r="AC75" i="1"/>
  <c r="AD75" i="1"/>
  <c r="AG75" i="1" s="1"/>
  <c r="AE75" i="1"/>
  <c r="AF75" i="1"/>
  <c r="AH75" i="1"/>
  <c r="K76" i="1"/>
  <c r="L76" i="1"/>
  <c r="M76" i="1"/>
  <c r="N76" i="1" s="1"/>
  <c r="V76" i="1"/>
  <c r="Y76" i="1"/>
  <c r="Z76" i="1"/>
  <c r="AB76" i="1"/>
  <c r="AC76" i="1"/>
  <c r="AD76" i="1"/>
  <c r="T76" i="1" s="1"/>
  <c r="AE76" i="1"/>
  <c r="AF76" i="1"/>
  <c r="AH76" i="1"/>
  <c r="K77" i="1"/>
  <c r="L77" i="1"/>
  <c r="M77" i="1"/>
  <c r="N77" i="1" s="1"/>
  <c r="V77" i="1"/>
  <c r="Y77" i="1"/>
  <c r="Z77" i="1"/>
  <c r="AB77" i="1"/>
  <c r="AC77" i="1"/>
  <c r="AD77" i="1"/>
  <c r="AE77" i="1"/>
  <c r="AF77" i="1"/>
  <c r="AH77" i="1"/>
  <c r="K78" i="1"/>
  <c r="L78" i="1"/>
  <c r="M78" i="1"/>
  <c r="N78" i="1" s="1"/>
  <c r="V78" i="1"/>
  <c r="Y78" i="1"/>
  <c r="Z78" i="1"/>
  <c r="AB78" i="1"/>
  <c r="AC78" i="1"/>
  <c r="AD78" i="1"/>
  <c r="T78" i="1" s="1"/>
  <c r="AE78" i="1"/>
  <c r="AF78" i="1"/>
  <c r="AH78" i="1"/>
  <c r="K79" i="1"/>
  <c r="L79" i="1"/>
  <c r="M79" i="1"/>
  <c r="N79" i="1" s="1"/>
  <c r="V79" i="1"/>
  <c r="Y79" i="1"/>
  <c r="Z79" i="1"/>
  <c r="AB79" i="1"/>
  <c r="AC79" i="1"/>
  <c r="AD79" i="1"/>
  <c r="T79" i="1" s="1"/>
  <c r="AE79" i="1"/>
  <c r="AF79" i="1"/>
  <c r="AH79" i="1"/>
  <c r="K80" i="1"/>
  <c r="L80" i="1"/>
  <c r="M80" i="1"/>
  <c r="N80" i="1" s="1"/>
  <c r="V80" i="1"/>
  <c r="Y80" i="1"/>
  <c r="Z80" i="1"/>
  <c r="AB80" i="1"/>
  <c r="AC80" i="1"/>
  <c r="AD80" i="1"/>
  <c r="AE80" i="1"/>
  <c r="AF80" i="1"/>
  <c r="AH80" i="1"/>
  <c r="K81" i="1"/>
  <c r="L81" i="1"/>
  <c r="M81" i="1"/>
  <c r="N81" i="1" s="1"/>
  <c r="V81" i="1"/>
  <c r="Y81" i="1"/>
  <c r="Z81" i="1"/>
  <c r="AB81" i="1"/>
  <c r="AC81" i="1"/>
  <c r="AD81" i="1"/>
  <c r="AG81" i="1" s="1"/>
  <c r="AE81" i="1"/>
  <c r="AF81" i="1"/>
  <c r="AH81" i="1"/>
  <c r="K82" i="1"/>
  <c r="L82" i="1"/>
  <c r="M82" i="1"/>
  <c r="N82" i="1" s="1"/>
  <c r="V82" i="1"/>
  <c r="Y82" i="1"/>
  <c r="Z82" i="1"/>
  <c r="AB82" i="1"/>
  <c r="AC82" i="1"/>
  <c r="AD82" i="1"/>
  <c r="AE82" i="1"/>
  <c r="AF82" i="1"/>
  <c r="AH82" i="1"/>
  <c r="K83" i="1"/>
  <c r="L83" i="1"/>
  <c r="M83" i="1"/>
  <c r="N83" i="1" s="1"/>
  <c r="V83" i="1"/>
  <c r="Y83" i="1"/>
  <c r="Z83" i="1"/>
  <c r="AB83" i="1"/>
  <c r="AC83" i="1"/>
  <c r="AD83" i="1"/>
  <c r="AG83" i="1" s="1"/>
  <c r="AE83" i="1"/>
  <c r="AF83" i="1"/>
  <c r="AH83" i="1"/>
  <c r="K84" i="1"/>
  <c r="L84" i="1"/>
  <c r="M84" i="1"/>
  <c r="N84" i="1" s="1"/>
  <c r="V84" i="1"/>
  <c r="Y84" i="1"/>
  <c r="Z84" i="1"/>
  <c r="AA84" i="1" s="1"/>
  <c r="AB84" i="1"/>
  <c r="AC84" i="1"/>
  <c r="AD84" i="1"/>
  <c r="AE84" i="1"/>
  <c r="AF84" i="1"/>
  <c r="AH84" i="1"/>
  <c r="K85" i="1"/>
  <c r="L85" i="1"/>
  <c r="M85" i="1"/>
  <c r="N85" i="1" s="1"/>
  <c r="V85" i="1"/>
  <c r="Y85" i="1"/>
  <c r="Z85" i="1"/>
  <c r="AB85" i="1"/>
  <c r="AC85" i="1"/>
  <c r="AD85" i="1"/>
  <c r="T85" i="1" s="1"/>
  <c r="AE85" i="1"/>
  <c r="AF85" i="1"/>
  <c r="AG85" i="1"/>
  <c r="AH85" i="1"/>
  <c r="K86" i="1"/>
  <c r="L86" i="1"/>
  <c r="M86" i="1"/>
  <c r="N86" i="1" s="1"/>
  <c r="V86" i="1"/>
  <c r="Y86" i="1"/>
  <c r="Z86" i="1"/>
  <c r="AB86" i="1"/>
  <c r="AC86" i="1"/>
  <c r="AD86" i="1"/>
  <c r="T86" i="1" s="1"/>
  <c r="AE86" i="1"/>
  <c r="AF86" i="1"/>
  <c r="AH86" i="1"/>
  <c r="K87" i="1"/>
  <c r="L87" i="1"/>
  <c r="M87" i="1"/>
  <c r="N87" i="1" s="1"/>
  <c r="V87" i="1"/>
  <c r="Y87" i="1"/>
  <c r="Z87" i="1"/>
  <c r="AB87" i="1"/>
  <c r="AC87" i="1"/>
  <c r="AD87" i="1"/>
  <c r="T87" i="1" s="1"/>
  <c r="AE87" i="1"/>
  <c r="AF87" i="1"/>
  <c r="AH87" i="1"/>
  <c r="K88" i="1"/>
  <c r="L88" i="1"/>
  <c r="M88" i="1"/>
  <c r="N88" i="1" s="1"/>
  <c r="V88" i="1"/>
  <c r="Y88" i="1"/>
  <c r="Z88" i="1"/>
  <c r="AB88" i="1"/>
  <c r="AC88" i="1"/>
  <c r="AD88" i="1"/>
  <c r="AE88" i="1"/>
  <c r="AF88" i="1"/>
  <c r="AH88" i="1"/>
  <c r="K89" i="1"/>
  <c r="L89" i="1"/>
  <c r="M89" i="1"/>
  <c r="N89" i="1" s="1"/>
  <c r="V89" i="1"/>
  <c r="Y89" i="1"/>
  <c r="Z89" i="1"/>
  <c r="AB89" i="1"/>
  <c r="AC89" i="1"/>
  <c r="AD89" i="1"/>
  <c r="AE89" i="1"/>
  <c r="AF89" i="1"/>
  <c r="AH89" i="1"/>
  <c r="K90" i="1"/>
  <c r="L90" i="1"/>
  <c r="M90" i="1"/>
  <c r="N90" i="1" s="1"/>
  <c r="V90" i="1"/>
  <c r="Y90" i="1"/>
  <c r="Z90" i="1"/>
  <c r="AB90" i="1"/>
  <c r="AC90" i="1"/>
  <c r="AD90" i="1"/>
  <c r="AE90" i="1"/>
  <c r="AF90" i="1"/>
  <c r="AH90" i="1"/>
  <c r="K91" i="1"/>
  <c r="L91" i="1"/>
  <c r="M91" i="1"/>
  <c r="N91" i="1" s="1"/>
  <c r="V91" i="1"/>
  <c r="Y91" i="1"/>
  <c r="Z91" i="1"/>
  <c r="AB91" i="1"/>
  <c r="AC91" i="1"/>
  <c r="AD91" i="1"/>
  <c r="AE91" i="1"/>
  <c r="AF91" i="1"/>
  <c r="AH91" i="1"/>
  <c r="K92" i="1"/>
  <c r="L92" i="1"/>
  <c r="M92" i="1"/>
  <c r="N92" i="1" s="1"/>
  <c r="V92" i="1"/>
  <c r="Y92" i="1"/>
  <c r="Z92" i="1"/>
  <c r="AB92" i="1"/>
  <c r="AC92" i="1"/>
  <c r="AD92" i="1"/>
  <c r="AE92" i="1"/>
  <c r="AF92" i="1"/>
  <c r="AH92" i="1"/>
  <c r="K93" i="1"/>
  <c r="L93" i="1"/>
  <c r="M93" i="1"/>
  <c r="N93" i="1" s="1"/>
  <c r="V93" i="1"/>
  <c r="Y93" i="1"/>
  <c r="Z93" i="1"/>
  <c r="AB93" i="1"/>
  <c r="AC93" i="1"/>
  <c r="AD93" i="1"/>
  <c r="AG93" i="1" s="1"/>
  <c r="AE93" i="1"/>
  <c r="AF93" i="1"/>
  <c r="AH93" i="1"/>
  <c r="K94" i="1"/>
  <c r="L94" i="1"/>
  <c r="M94" i="1"/>
  <c r="N94" i="1" s="1"/>
  <c r="V94" i="1"/>
  <c r="Y94" i="1"/>
  <c r="Z94" i="1"/>
  <c r="AB94" i="1"/>
  <c r="AC94" i="1"/>
  <c r="AD94" i="1"/>
  <c r="AE94" i="1"/>
  <c r="AF94" i="1"/>
  <c r="AH94" i="1"/>
  <c r="K95" i="1"/>
  <c r="L95" i="1"/>
  <c r="M95" i="1"/>
  <c r="N95" i="1" s="1"/>
  <c r="T95" i="1"/>
  <c r="V95" i="1"/>
  <c r="Y95" i="1"/>
  <c r="Z95" i="1"/>
  <c r="AB95" i="1"/>
  <c r="AC95" i="1"/>
  <c r="AD95" i="1"/>
  <c r="AE95" i="1"/>
  <c r="AF95" i="1"/>
  <c r="AH95" i="1"/>
  <c r="K96" i="1"/>
  <c r="L96" i="1"/>
  <c r="M96" i="1"/>
  <c r="N96" i="1" s="1"/>
  <c r="V96" i="1"/>
  <c r="Y96" i="1"/>
  <c r="Z96" i="1"/>
  <c r="AB96" i="1"/>
  <c r="AC96" i="1"/>
  <c r="AD96" i="1"/>
  <c r="AE96" i="1"/>
  <c r="AF96" i="1"/>
  <c r="AH96" i="1"/>
  <c r="K97" i="1"/>
  <c r="L97" i="1"/>
  <c r="M97" i="1"/>
  <c r="N97" i="1" s="1"/>
  <c r="V97" i="1"/>
  <c r="Y97" i="1"/>
  <c r="Z97" i="1"/>
  <c r="AB97" i="1"/>
  <c r="AC97" i="1"/>
  <c r="AD97" i="1"/>
  <c r="AG97" i="1" s="1"/>
  <c r="AE97" i="1"/>
  <c r="AF97" i="1"/>
  <c r="AH97" i="1"/>
  <c r="K98" i="1"/>
  <c r="L98" i="1"/>
  <c r="M98" i="1"/>
  <c r="N98" i="1" s="1"/>
  <c r="V98" i="1"/>
  <c r="Y98" i="1"/>
  <c r="Z98" i="1"/>
  <c r="AB98" i="1"/>
  <c r="AC98" i="1"/>
  <c r="AD98" i="1"/>
  <c r="AE98" i="1"/>
  <c r="AF98" i="1"/>
  <c r="AH98" i="1"/>
  <c r="K99" i="1"/>
  <c r="L99" i="1"/>
  <c r="M99" i="1"/>
  <c r="N99" i="1" s="1"/>
  <c r="V99" i="1"/>
  <c r="Y99" i="1"/>
  <c r="Z99" i="1"/>
  <c r="AB99" i="1"/>
  <c r="AC99" i="1"/>
  <c r="AD99" i="1"/>
  <c r="AG99" i="1" s="1"/>
  <c r="AE99" i="1"/>
  <c r="AF99" i="1"/>
  <c r="AH99" i="1"/>
  <c r="K100" i="1"/>
  <c r="L100" i="1"/>
  <c r="M100" i="1"/>
  <c r="N100" i="1" s="1"/>
  <c r="V100" i="1"/>
  <c r="Y100" i="1"/>
  <c r="Z100" i="1"/>
  <c r="AB100" i="1"/>
  <c r="AC100" i="1"/>
  <c r="AD100" i="1"/>
  <c r="AE100" i="1"/>
  <c r="AF100" i="1"/>
  <c r="AH100" i="1"/>
  <c r="K101" i="1"/>
  <c r="L101" i="1"/>
  <c r="M101" i="1"/>
  <c r="N101" i="1" s="1"/>
  <c r="V101" i="1"/>
  <c r="Y101" i="1"/>
  <c r="Z101" i="1"/>
  <c r="AB101" i="1"/>
  <c r="AC101" i="1"/>
  <c r="AD101" i="1"/>
  <c r="AE101" i="1"/>
  <c r="AF101" i="1"/>
  <c r="AH101" i="1"/>
  <c r="K102" i="1"/>
  <c r="L102" i="1"/>
  <c r="M102" i="1"/>
  <c r="N102" i="1" s="1"/>
  <c r="V102" i="1"/>
  <c r="Y102" i="1"/>
  <c r="Z102" i="1"/>
  <c r="AB102" i="1"/>
  <c r="AC102" i="1"/>
  <c r="AD102" i="1"/>
  <c r="AE102" i="1"/>
  <c r="AF102" i="1"/>
  <c r="AH102" i="1"/>
  <c r="K103" i="1"/>
  <c r="L103" i="1"/>
  <c r="M103" i="1"/>
  <c r="N103" i="1" s="1"/>
  <c r="V103" i="1"/>
  <c r="Y103" i="1"/>
  <c r="Z103" i="1"/>
  <c r="AB103" i="1"/>
  <c r="AC103" i="1"/>
  <c r="AD103" i="1"/>
  <c r="AG103" i="1" s="1"/>
  <c r="AE103" i="1"/>
  <c r="AF103" i="1"/>
  <c r="AH103" i="1"/>
  <c r="K104" i="1"/>
  <c r="L104" i="1"/>
  <c r="M104" i="1"/>
  <c r="N104" i="1" s="1"/>
  <c r="V104" i="1"/>
  <c r="Y104" i="1"/>
  <c r="Z104" i="1"/>
  <c r="AB104" i="1"/>
  <c r="AC104" i="1"/>
  <c r="AD104" i="1"/>
  <c r="AE104" i="1"/>
  <c r="AF104" i="1"/>
  <c r="AH104" i="1"/>
  <c r="K105" i="1"/>
  <c r="L105" i="1"/>
  <c r="M105" i="1"/>
  <c r="N105" i="1" s="1"/>
  <c r="V105" i="1"/>
  <c r="Y105" i="1"/>
  <c r="Z105" i="1"/>
  <c r="AB105" i="1"/>
  <c r="AC105" i="1"/>
  <c r="AD105" i="1"/>
  <c r="AG105" i="1" s="1"/>
  <c r="AE105" i="1"/>
  <c r="AF105" i="1"/>
  <c r="AH105" i="1"/>
  <c r="K106" i="1"/>
  <c r="L106" i="1"/>
  <c r="M106" i="1"/>
  <c r="N106" i="1" s="1"/>
  <c r="V106" i="1"/>
  <c r="Y106" i="1"/>
  <c r="Z106" i="1"/>
  <c r="AB106" i="1"/>
  <c r="AC106" i="1"/>
  <c r="AD106" i="1"/>
  <c r="AG106" i="1" s="1"/>
  <c r="AE106" i="1"/>
  <c r="AF106" i="1"/>
  <c r="AH106" i="1"/>
  <c r="K107" i="1"/>
  <c r="L107" i="1"/>
  <c r="M107" i="1"/>
  <c r="N107" i="1" s="1"/>
  <c r="V107" i="1"/>
  <c r="Y107" i="1"/>
  <c r="Z107" i="1"/>
  <c r="AB107" i="1"/>
  <c r="AC107" i="1"/>
  <c r="AD107" i="1"/>
  <c r="X107" i="1" s="1"/>
  <c r="AE107" i="1"/>
  <c r="AF107" i="1"/>
  <c r="AH107" i="1"/>
  <c r="K108" i="1"/>
  <c r="L108" i="1"/>
  <c r="M108" i="1"/>
  <c r="N108" i="1" s="1"/>
  <c r="V108" i="1"/>
  <c r="Y108" i="1"/>
  <c r="Z108" i="1"/>
  <c r="AB108" i="1"/>
  <c r="AC108" i="1"/>
  <c r="AD108" i="1"/>
  <c r="T108" i="1" s="1"/>
  <c r="AE108" i="1"/>
  <c r="AF108" i="1"/>
  <c r="AH108" i="1"/>
  <c r="K109" i="1"/>
  <c r="L109" i="1"/>
  <c r="M109" i="1"/>
  <c r="N109" i="1" s="1"/>
  <c r="V109" i="1"/>
  <c r="Y109" i="1"/>
  <c r="Z109" i="1"/>
  <c r="AB109" i="1"/>
  <c r="AC109" i="1"/>
  <c r="AD109" i="1"/>
  <c r="AE109" i="1"/>
  <c r="AF109" i="1"/>
  <c r="AH109" i="1"/>
  <c r="K110" i="1"/>
  <c r="L110" i="1"/>
  <c r="M110" i="1"/>
  <c r="N110" i="1" s="1"/>
  <c r="V110" i="1"/>
  <c r="Y110" i="1"/>
  <c r="Z110" i="1"/>
  <c r="AB110" i="1"/>
  <c r="AC110" i="1"/>
  <c r="AD110" i="1"/>
  <c r="AG110" i="1" s="1"/>
  <c r="AE110" i="1"/>
  <c r="AF110" i="1"/>
  <c r="AH110" i="1"/>
  <c r="K111" i="1"/>
  <c r="L111" i="1"/>
  <c r="M111" i="1"/>
  <c r="N111" i="1" s="1"/>
  <c r="V111" i="1"/>
  <c r="Y111" i="1"/>
  <c r="Z111" i="1"/>
  <c r="AB111" i="1"/>
  <c r="AC111" i="1"/>
  <c r="AD111" i="1"/>
  <c r="AE111" i="1"/>
  <c r="AF111" i="1"/>
  <c r="AH111" i="1"/>
  <c r="K112" i="1"/>
  <c r="L112" i="1"/>
  <c r="M112" i="1"/>
  <c r="N112" i="1" s="1"/>
  <c r="V112" i="1"/>
  <c r="Y112" i="1"/>
  <c r="Z112" i="1"/>
  <c r="AB112" i="1"/>
  <c r="AC112" i="1"/>
  <c r="AD112" i="1"/>
  <c r="AG112" i="1" s="1"/>
  <c r="AE112" i="1"/>
  <c r="AF112" i="1"/>
  <c r="AH112" i="1"/>
  <c r="K113" i="1"/>
  <c r="L113" i="1"/>
  <c r="M113" i="1"/>
  <c r="N113" i="1" s="1"/>
  <c r="V113" i="1"/>
  <c r="Y113" i="1"/>
  <c r="Z113" i="1"/>
  <c r="AB113" i="1"/>
  <c r="AC113" i="1"/>
  <c r="AD113" i="1"/>
  <c r="AE113" i="1"/>
  <c r="AF113" i="1"/>
  <c r="AH113" i="1"/>
  <c r="K114" i="1"/>
  <c r="L114" i="1"/>
  <c r="M114" i="1"/>
  <c r="N114" i="1" s="1"/>
  <c r="V114" i="1"/>
  <c r="Y114" i="1"/>
  <c r="Z114" i="1"/>
  <c r="AB114" i="1"/>
  <c r="AC114" i="1"/>
  <c r="AD114" i="1"/>
  <c r="AG114" i="1" s="1"/>
  <c r="AE114" i="1"/>
  <c r="AF114" i="1"/>
  <c r="AH114" i="1"/>
  <c r="K115" i="1"/>
  <c r="L115" i="1"/>
  <c r="M115" i="1"/>
  <c r="N115" i="1" s="1"/>
  <c r="V115" i="1"/>
  <c r="Y115" i="1"/>
  <c r="Z115" i="1"/>
  <c r="AB115" i="1"/>
  <c r="AC115" i="1"/>
  <c r="AD115" i="1"/>
  <c r="AE115" i="1"/>
  <c r="AF115" i="1"/>
  <c r="AH115" i="1"/>
  <c r="K116" i="1"/>
  <c r="L116" i="1"/>
  <c r="M116" i="1"/>
  <c r="N116" i="1" s="1"/>
  <c r="V116" i="1"/>
  <c r="Y116" i="1"/>
  <c r="Z116" i="1"/>
  <c r="AB116" i="1"/>
  <c r="AC116" i="1"/>
  <c r="AD116" i="1"/>
  <c r="AE116" i="1"/>
  <c r="AF116" i="1"/>
  <c r="AH116" i="1"/>
  <c r="K117" i="1"/>
  <c r="L117" i="1"/>
  <c r="M117" i="1"/>
  <c r="N117" i="1" s="1"/>
  <c r="V117" i="1"/>
  <c r="Y117" i="1"/>
  <c r="Z117" i="1"/>
  <c r="AB117" i="1"/>
  <c r="AC117" i="1"/>
  <c r="AD117" i="1"/>
  <c r="AE117" i="1"/>
  <c r="AF117" i="1"/>
  <c r="AH117" i="1"/>
  <c r="K118" i="1"/>
  <c r="L118" i="1"/>
  <c r="M118" i="1"/>
  <c r="N118" i="1" s="1"/>
  <c r="V118" i="1"/>
  <c r="Y118" i="1"/>
  <c r="Z118" i="1"/>
  <c r="AB118" i="1"/>
  <c r="AC118" i="1"/>
  <c r="AD118" i="1"/>
  <c r="AG118" i="1" s="1"/>
  <c r="AE118" i="1"/>
  <c r="AF118" i="1"/>
  <c r="AH118" i="1"/>
  <c r="K119" i="1"/>
  <c r="L119" i="1"/>
  <c r="M119" i="1"/>
  <c r="N119" i="1" s="1"/>
  <c r="V119" i="1"/>
  <c r="Y119" i="1"/>
  <c r="Z119" i="1"/>
  <c r="AB119" i="1"/>
  <c r="AC119" i="1"/>
  <c r="AD119" i="1"/>
  <c r="AE119" i="1"/>
  <c r="AF119" i="1"/>
  <c r="AH119" i="1"/>
  <c r="K120" i="1"/>
  <c r="L120" i="1"/>
  <c r="M120" i="1"/>
  <c r="N120" i="1" s="1"/>
  <c r="V120" i="1"/>
  <c r="Y120" i="1"/>
  <c r="Z120" i="1"/>
  <c r="AB120" i="1"/>
  <c r="AC120" i="1"/>
  <c r="AD120" i="1"/>
  <c r="AG120" i="1" s="1"/>
  <c r="AE120" i="1"/>
  <c r="AF120" i="1"/>
  <c r="AH120" i="1"/>
  <c r="K121" i="1"/>
  <c r="L121" i="1"/>
  <c r="M121" i="1"/>
  <c r="N121" i="1" s="1"/>
  <c r="V121" i="1"/>
  <c r="Y121" i="1"/>
  <c r="Z121" i="1"/>
  <c r="AB121" i="1"/>
  <c r="AC121" i="1"/>
  <c r="AD121" i="1"/>
  <c r="AE121" i="1"/>
  <c r="AF121" i="1"/>
  <c r="AH121" i="1"/>
  <c r="K122" i="1"/>
  <c r="L122" i="1"/>
  <c r="M122" i="1"/>
  <c r="N122" i="1" s="1"/>
  <c r="V122" i="1"/>
  <c r="Y122" i="1"/>
  <c r="Z122" i="1"/>
  <c r="AB122" i="1"/>
  <c r="AC122" i="1"/>
  <c r="AD122" i="1"/>
  <c r="AG122" i="1" s="1"/>
  <c r="AE122" i="1"/>
  <c r="AF122" i="1"/>
  <c r="AH122" i="1"/>
  <c r="K123" i="1"/>
  <c r="L123" i="1"/>
  <c r="M123" i="1"/>
  <c r="N123" i="1" s="1"/>
  <c r="V123" i="1"/>
  <c r="Y123" i="1"/>
  <c r="Z123" i="1"/>
  <c r="AB123" i="1"/>
  <c r="AC123" i="1"/>
  <c r="AD123" i="1"/>
  <c r="AE123" i="1"/>
  <c r="AF123" i="1"/>
  <c r="AH123" i="1"/>
  <c r="K124" i="1"/>
  <c r="L124" i="1"/>
  <c r="M124" i="1"/>
  <c r="N124" i="1"/>
  <c r="V124" i="1"/>
  <c r="Y124" i="1"/>
  <c r="Z124" i="1"/>
  <c r="AB124" i="1"/>
  <c r="AC124" i="1"/>
  <c r="AD124" i="1"/>
  <c r="T124" i="1" s="1"/>
  <c r="AE124" i="1"/>
  <c r="AF124" i="1"/>
  <c r="AH124" i="1"/>
  <c r="K125" i="1"/>
  <c r="L125" i="1"/>
  <c r="M125" i="1"/>
  <c r="N125" i="1" s="1"/>
  <c r="V125" i="1"/>
  <c r="Y125" i="1"/>
  <c r="Z125" i="1"/>
  <c r="AB125" i="1"/>
  <c r="AC125" i="1"/>
  <c r="AD125" i="1"/>
  <c r="AE125" i="1"/>
  <c r="AF125" i="1"/>
  <c r="AH125" i="1"/>
  <c r="K126" i="1"/>
  <c r="L126" i="1"/>
  <c r="M126" i="1"/>
  <c r="N126" i="1" s="1"/>
  <c r="V126" i="1"/>
  <c r="Y126" i="1"/>
  <c r="Z126" i="1"/>
  <c r="AB126" i="1"/>
  <c r="AC126" i="1"/>
  <c r="AD126" i="1"/>
  <c r="AG126" i="1" s="1"/>
  <c r="AE126" i="1"/>
  <c r="AF126" i="1"/>
  <c r="AH126" i="1"/>
  <c r="K127" i="1"/>
  <c r="L127" i="1"/>
  <c r="M127" i="1"/>
  <c r="N127" i="1" s="1"/>
  <c r="V127" i="1"/>
  <c r="Y127" i="1"/>
  <c r="Z127" i="1"/>
  <c r="AB127" i="1"/>
  <c r="AC127" i="1"/>
  <c r="AD127" i="1"/>
  <c r="AE127" i="1"/>
  <c r="AF127" i="1"/>
  <c r="AH127" i="1"/>
  <c r="K128" i="1"/>
  <c r="L128" i="1"/>
  <c r="M128" i="1"/>
  <c r="N128" i="1" s="1"/>
  <c r="V128" i="1"/>
  <c r="Y128" i="1"/>
  <c r="Z128" i="1"/>
  <c r="AB128" i="1"/>
  <c r="AC128" i="1"/>
  <c r="AD128" i="1"/>
  <c r="AG128" i="1" s="1"/>
  <c r="AE128" i="1"/>
  <c r="AF128" i="1"/>
  <c r="AH128" i="1"/>
  <c r="K129" i="1"/>
  <c r="L129" i="1"/>
  <c r="M129" i="1"/>
  <c r="N129" i="1" s="1"/>
  <c r="V129" i="1"/>
  <c r="Y129" i="1"/>
  <c r="Z129" i="1"/>
  <c r="AB129" i="1"/>
  <c r="AC129" i="1"/>
  <c r="AD129" i="1"/>
  <c r="AE129" i="1"/>
  <c r="AF129" i="1"/>
  <c r="AH129" i="1"/>
  <c r="K130" i="1"/>
  <c r="L130" i="1"/>
  <c r="M130" i="1"/>
  <c r="N130" i="1" s="1"/>
  <c r="V130" i="1"/>
  <c r="Y130" i="1"/>
  <c r="Z130" i="1"/>
  <c r="AB130" i="1"/>
  <c r="AC130" i="1"/>
  <c r="AD130" i="1"/>
  <c r="AG130" i="1" s="1"/>
  <c r="AE130" i="1"/>
  <c r="AF130" i="1"/>
  <c r="AH130" i="1"/>
  <c r="K131" i="1"/>
  <c r="L131" i="1"/>
  <c r="M131" i="1"/>
  <c r="N131" i="1" s="1"/>
  <c r="V131" i="1"/>
  <c r="Y131" i="1"/>
  <c r="Z131" i="1"/>
  <c r="AB131" i="1"/>
  <c r="AC131" i="1"/>
  <c r="AD131" i="1"/>
  <c r="AE131" i="1"/>
  <c r="AF131" i="1"/>
  <c r="AH131" i="1"/>
  <c r="K132" i="1"/>
  <c r="L132" i="1"/>
  <c r="M132" i="1"/>
  <c r="N132" i="1" s="1"/>
  <c r="V132" i="1"/>
  <c r="Y132" i="1"/>
  <c r="Z132" i="1"/>
  <c r="AB132" i="1"/>
  <c r="AC132" i="1"/>
  <c r="AD132" i="1"/>
  <c r="AG132" i="1" s="1"/>
  <c r="AE132" i="1"/>
  <c r="AF132" i="1"/>
  <c r="AH132" i="1"/>
  <c r="K133" i="1"/>
  <c r="L133" i="1"/>
  <c r="M133" i="1"/>
  <c r="N133" i="1" s="1"/>
  <c r="V133" i="1"/>
  <c r="Y133" i="1"/>
  <c r="Z133" i="1"/>
  <c r="AB133" i="1"/>
  <c r="AC133" i="1"/>
  <c r="AD133" i="1"/>
  <c r="AE133" i="1"/>
  <c r="AF133" i="1"/>
  <c r="AH133" i="1"/>
  <c r="K134" i="1"/>
  <c r="L134" i="1"/>
  <c r="M134" i="1"/>
  <c r="N134" i="1" s="1"/>
  <c r="V134" i="1"/>
  <c r="Y134" i="1"/>
  <c r="Z134" i="1"/>
  <c r="AB134" i="1"/>
  <c r="AC134" i="1"/>
  <c r="AD134" i="1"/>
  <c r="AG134" i="1" s="1"/>
  <c r="AE134" i="1"/>
  <c r="AF134" i="1"/>
  <c r="AH134" i="1"/>
  <c r="K135" i="1"/>
  <c r="L135" i="1"/>
  <c r="M135" i="1"/>
  <c r="N135" i="1" s="1"/>
  <c r="V135" i="1"/>
  <c r="Y135" i="1"/>
  <c r="Z135" i="1"/>
  <c r="AB135" i="1"/>
  <c r="AC135" i="1"/>
  <c r="AD135" i="1"/>
  <c r="AE135" i="1"/>
  <c r="AF135" i="1"/>
  <c r="AH135" i="1"/>
  <c r="K136" i="1"/>
  <c r="L136" i="1"/>
  <c r="M136" i="1"/>
  <c r="N136" i="1" s="1"/>
  <c r="V136" i="1"/>
  <c r="Y136" i="1"/>
  <c r="Z136" i="1"/>
  <c r="AB136" i="1"/>
  <c r="AC136" i="1"/>
  <c r="AD136" i="1"/>
  <c r="AG136" i="1" s="1"/>
  <c r="AE136" i="1"/>
  <c r="AF136" i="1"/>
  <c r="AH136" i="1"/>
  <c r="K137" i="1"/>
  <c r="L137" i="1"/>
  <c r="M137" i="1"/>
  <c r="N137" i="1" s="1"/>
  <c r="V137" i="1"/>
  <c r="Y137" i="1"/>
  <c r="Z137" i="1"/>
  <c r="AB137" i="1"/>
  <c r="AC137" i="1"/>
  <c r="AD137" i="1"/>
  <c r="AE137" i="1"/>
  <c r="AF137" i="1"/>
  <c r="AH137" i="1"/>
  <c r="K138" i="1"/>
  <c r="L138" i="1"/>
  <c r="M138" i="1"/>
  <c r="N138" i="1" s="1"/>
  <c r="V138" i="1"/>
  <c r="Y138" i="1"/>
  <c r="Z138" i="1"/>
  <c r="AB138" i="1"/>
  <c r="AC138" i="1"/>
  <c r="AD138" i="1"/>
  <c r="AG138" i="1" s="1"/>
  <c r="AE138" i="1"/>
  <c r="AF138" i="1"/>
  <c r="AH138" i="1"/>
  <c r="K139" i="1"/>
  <c r="L139" i="1"/>
  <c r="M139" i="1"/>
  <c r="N139" i="1" s="1"/>
  <c r="V139" i="1"/>
  <c r="Y139" i="1"/>
  <c r="Z139" i="1"/>
  <c r="AB139" i="1"/>
  <c r="AC139" i="1"/>
  <c r="AD139" i="1"/>
  <c r="AE139" i="1"/>
  <c r="AF139" i="1"/>
  <c r="AH139" i="1"/>
  <c r="K140" i="1"/>
  <c r="L140" i="1"/>
  <c r="M140" i="1"/>
  <c r="N140" i="1" s="1"/>
  <c r="V140" i="1"/>
  <c r="Y140" i="1"/>
  <c r="Z140" i="1"/>
  <c r="AB140" i="1"/>
  <c r="AC140" i="1"/>
  <c r="AD140" i="1"/>
  <c r="AG140" i="1" s="1"/>
  <c r="AE140" i="1"/>
  <c r="AF140" i="1"/>
  <c r="AH140" i="1"/>
  <c r="K141" i="1"/>
  <c r="L141" i="1"/>
  <c r="M141" i="1"/>
  <c r="N141" i="1" s="1"/>
  <c r="V141" i="1"/>
  <c r="Y141" i="1"/>
  <c r="Z141" i="1"/>
  <c r="AB141" i="1"/>
  <c r="AC141" i="1"/>
  <c r="AD141" i="1"/>
  <c r="AE141" i="1"/>
  <c r="AF141" i="1"/>
  <c r="AH141" i="1"/>
  <c r="K142" i="1"/>
  <c r="L142" i="1"/>
  <c r="M142" i="1"/>
  <c r="N142" i="1" s="1"/>
  <c r="V142" i="1"/>
  <c r="Y142" i="1"/>
  <c r="Z142" i="1"/>
  <c r="AB142" i="1"/>
  <c r="AC142" i="1"/>
  <c r="AD142" i="1"/>
  <c r="AG142" i="1" s="1"/>
  <c r="AE142" i="1"/>
  <c r="AF142" i="1"/>
  <c r="AH142" i="1"/>
  <c r="K143" i="1"/>
  <c r="L143" i="1"/>
  <c r="M143" i="1"/>
  <c r="N143" i="1" s="1"/>
  <c r="V143" i="1"/>
  <c r="Y143" i="1"/>
  <c r="Z143" i="1"/>
  <c r="AB143" i="1"/>
  <c r="AC143" i="1"/>
  <c r="AD143" i="1"/>
  <c r="AE143" i="1"/>
  <c r="AF143" i="1"/>
  <c r="AH143" i="1"/>
  <c r="K144" i="1"/>
  <c r="L144" i="1"/>
  <c r="M144" i="1"/>
  <c r="N144" i="1" s="1"/>
  <c r="V144" i="1"/>
  <c r="Y144" i="1"/>
  <c r="Z144" i="1"/>
  <c r="AB144" i="1"/>
  <c r="AC144" i="1"/>
  <c r="AD144" i="1"/>
  <c r="AG144" i="1" s="1"/>
  <c r="AE144" i="1"/>
  <c r="AF144" i="1"/>
  <c r="AH144" i="1"/>
  <c r="K145" i="1"/>
  <c r="L145" i="1"/>
  <c r="M145" i="1"/>
  <c r="N145" i="1" s="1"/>
  <c r="V145" i="1"/>
  <c r="Y145" i="1"/>
  <c r="Z145" i="1"/>
  <c r="AB145" i="1"/>
  <c r="AC145" i="1"/>
  <c r="AD145" i="1"/>
  <c r="AE145" i="1"/>
  <c r="AF145" i="1"/>
  <c r="AH145" i="1"/>
  <c r="K146" i="1"/>
  <c r="L146" i="1"/>
  <c r="M146" i="1"/>
  <c r="N146" i="1" s="1"/>
  <c r="V146" i="1"/>
  <c r="Y146" i="1"/>
  <c r="Z146" i="1"/>
  <c r="AB146" i="1"/>
  <c r="AC146" i="1"/>
  <c r="AD146" i="1"/>
  <c r="AG146" i="1" s="1"/>
  <c r="AE146" i="1"/>
  <c r="AF146" i="1"/>
  <c r="AH146" i="1"/>
  <c r="K147" i="1"/>
  <c r="L147" i="1"/>
  <c r="M147" i="1"/>
  <c r="N147" i="1" s="1"/>
  <c r="V147" i="1"/>
  <c r="Y147" i="1"/>
  <c r="Z147" i="1"/>
  <c r="AB147" i="1"/>
  <c r="AC147" i="1"/>
  <c r="AD147" i="1"/>
  <c r="AE147" i="1"/>
  <c r="AF147" i="1"/>
  <c r="AH147" i="1"/>
  <c r="K148" i="1"/>
  <c r="L148" i="1"/>
  <c r="M148" i="1"/>
  <c r="N148" i="1" s="1"/>
  <c r="V148" i="1"/>
  <c r="Y148" i="1"/>
  <c r="Z148" i="1"/>
  <c r="AB148" i="1"/>
  <c r="AC148" i="1"/>
  <c r="AD148" i="1"/>
  <c r="AG148" i="1" s="1"/>
  <c r="AE148" i="1"/>
  <c r="AF148" i="1"/>
  <c r="AH148" i="1"/>
  <c r="K149" i="1"/>
  <c r="L149" i="1"/>
  <c r="M149" i="1"/>
  <c r="N149" i="1" s="1"/>
  <c r="V149" i="1"/>
  <c r="Z149" i="1"/>
  <c r="AB149" i="1"/>
  <c r="AC149" i="1"/>
  <c r="AD149" i="1"/>
  <c r="X149" i="1" s="1"/>
  <c r="AE149" i="1"/>
  <c r="AF149" i="1"/>
  <c r="AH149" i="1"/>
  <c r="K150" i="1"/>
  <c r="L150" i="1"/>
  <c r="M150" i="1"/>
  <c r="N150" i="1" s="1"/>
  <c r="V150" i="1"/>
  <c r="Z150" i="1"/>
  <c r="AA150" i="1" s="1"/>
  <c r="AB150" i="1"/>
  <c r="AC150" i="1"/>
  <c r="AD150" i="1"/>
  <c r="AG150" i="1" s="1"/>
  <c r="AE150" i="1"/>
  <c r="AF150" i="1"/>
  <c r="AH150" i="1"/>
  <c r="K151" i="1"/>
  <c r="L151" i="1"/>
  <c r="M151" i="1"/>
  <c r="N151" i="1" s="1"/>
  <c r="V151" i="1"/>
  <c r="Z151" i="1"/>
  <c r="AB151" i="1"/>
  <c r="AC151" i="1"/>
  <c r="AD151" i="1"/>
  <c r="T151" i="1" s="1"/>
  <c r="AE151" i="1"/>
  <c r="AF151" i="1"/>
  <c r="AH151" i="1"/>
  <c r="K152" i="1"/>
  <c r="L152" i="1"/>
  <c r="M152" i="1"/>
  <c r="N152" i="1" s="1"/>
  <c r="V152" i="1"/>
  <c r="Z152" i="1"/>
  <c r="AB152" i="1"/>
  <c r="AC152" i="1"/>
  <c r="AD152" i="1"/>
  <c r="T152" i="1" s="1"/>
  <c r="AE152" i="1"/>
  <c r="AF152" i="1"/>
  <c r="AH152" i="1"/>
  <c r="K153" i="1"/>
  <c r="L153" i="1"/>
  <c r="M153" i="1"/>
  <c r="N153" i="1" s="1"/>
  <c r="V153" i="1"/>
  <c r="Z153" i="1"/>
  <c r="AB153" i="1"/>
  <c r="AC153" i="1"/>
  <c r="AD153" i="1"/>
  <c r="T153" i="1" s="1"/>
  <c r="AE153" i="1"/>
  <c r="AF153" i="1"/>
  <c r="AH153" i="1"/>
  <c r="K154" i="1"/>
  <c r="L154" i="1"/>
  <c r="M154" i="1"/>
  <c r="N154" i="1" s="1"/>
  <c r="V154" i="1"/>
  <c r="Z154" i="1"/>
  <c r="AB154" i="1"/>
  <c r="AC154" i="1"/>
  <c r="AD154" i="1"/>
  <c r="T154" i="1" s="1"/>
  <c r="AE154" i="1"/>
  <c r="AF154" i="1"/>
  <c r="AH154" i="1"/>
  <c r="K155" i="1"/>
  <c r="L155" i="1"/>
  <c r="M155" i="1"/>
  <c r="N155" i="1" s="1"/>
  <c r="V155" i="1"/>
  <c r="Z155" i="1"/>
  <c r="AB155" i="1"/>
  <c r="AC155" i="1"/>
  <c r="AD155" i="1"/>
  <c r="T155" i="1" s="1"/>
  <c r="AE155" i="1"/>
  <c r="AF155" i="1"/>
  <c r="AH155" i="1"/>
  <c r="K156" i="1"/>
  <c r="L156" i="1"/>
  <c r="M156" i="1"/>
  <c r="N156" i="1" s="1"/>
  <c r="V156" i="1"/>
  <c r="Z156" i="1"/>
  <c r="AB156" i="1"/>
  <c r="AC156" i="1"/>
  <c r="AD156" i="1"/>
  <c r="T156" i="1" s="1"/>
  <c r="AE156" i="1"/>
  <c r="AF156" i="1"/>
  <c r="AH156" i="1"/>
  <c r="K205" i="1"/>
  <c r="L205" i="1"/>
  <c r="M205" i="1"/>
  <c r="N205" i="1" s="1"/>
  <c r="V205" i="1"/>
  <c r="Y205" i="1"/>
  <c r="Z205" i="1"/>
  <c r="AB205" i="1"/>
  <c r="AC205" i="1"/>
  <c r="AD205" i="1"/>
  <c r="AG205" i="1" s="1"/>
  <c r="AE205" i="1"/>
  <c r="AF205" i="1"/>
  <c r="AH205" i="1"/>
  <c r="K206" i="1"/>
  <c r="L206" i="1"/>
  <c r="M206" i="1"/>
  <c r="N206" i="1" s="1"/>
  <c r="V206" i="1"/>
  <c r="Y206" i="1"/>
  <c r="Z206" i="1"/>
  <c r="AB206" i="1"/>
  <c r="AC206" i="1"/>
  <c r="AD206" i="1"/>
  <c r="AE206" i="1"/>
  <c r="AF206" i="1"/>
  <c r="AH206" i="1"/>
  <c r="K207" i="1"/>
  <c r="L207" i="1"/>
  <c r="M207" i="1"/>
  <c r="N207" i="1" s="1"/>
  <c r="V207" i="1"/>
  <c r="Y207" i="1"/>
  <c r="Z207" i="1"/>
  <c r="AB207" i="1"/>
  <c r="AC207" i="1"/>
  <c r="AD207" i="1"/>
  <c r="AG207" i="1" s="1"/>
  <c r="AE207" i="1"/>
  <c r="AF207" i="1"/>
  <c r="AH207" i="1"/>
  <c r="K208" i="1"/>
  <c r="L208" i="1"/>
  <c r="M208" i="1"/>
  <c r="N208" i="1" s="1"/>
  <c r="V208" i="1"/>
  <c r="Y208" i="1"/>
  <c r="Z208" i="1"/>
  <c r="AB208" i="1"/>
  <c r="AC208" i="1"/>
  <c r="AD208" i="1"/>
  <c r="AG208" i="1" s="1"/>
  <c r="AE208" i="1"/>
  <c r="AF208" i="1"/>
  <c r="AH208" i="1"/>
  <c r="K209" i="1"/>
  <c r="L209" i="1"/>
  <c r="M209" i="1"/>
  <c r="N209" i="1" s="1"/>
  <c r="V209" i="1"/>
  <c r="Y209" i="1"/>
  <c r="Z209" i="1"/>
  <c r="AB209" i="1"/>
  <c r="AC209" i="1"/>
  <c r="AD209" i="1"/>
  <c r="AG209" i="1" s="1"/>
  <c r="AE209" i="1"/>
  <c r="AF209" i="1"/>
  <c r="AH209" i="1"/>
  <c r="K210" i="1"/>
  <c r="L210" i="1"/>
  <c r="M210" i="1"/>
  <c r="N210" i="1" s="1"/>
  <c r="V210" i="1"/>
  <c r="Y210" i="1"/>
  <c r="Z210" i="1"/>
  <c r="AB210" i="1"/>
  <c r="AC210" i="1"/>
  <c r="AD210" i="1"/>
  <c r="AE210" i="1"/>
  <c r="AF210" i="1"/>
  <c r="AH210" i="1"/>
  <c r="K211" i="1"/>
  <c r="L211" i="1"/>
  <c r="M211" i="1"/>
  <c r="N211" i="1" s="1"/>
  <c r="V211" i="1"/>
  <c r="Y211" i="1"/>
  <c r="Z211" i="1"/>
  <c r="AA211" i="1" s="1"/>
  <c r="AB211" i="1"/>
  <c r="AC211" i="1"/>
  <c r="AD211" i="1"/>
  <c r="AG211" i="1" s="1"/>
  <c r="AE211" i="1"/>
  <c r="AF211" i="1"/>
  <c r="AH211" i="1"/>
  <c r="K157" i="1"/>
  <c r="L157" i="1"/>
  <c r="M157" i="1"/>
  <c r="N157" i="1" s="1"/>
  <c r="V157" i="1"/>
  <c r="Z157" i="1"/>
  <c r="AB157" i="1"/>
  <c r="AC157" i="1"/>
  <c r="AD157" i="1"/>
  <c r="AG157" i="1" s="1"/>
  <c r="AE157" i="1"/>
  <c r="AF157" i="1"/>
  <c r="AH157" i="1"/>
  <c r="K158" i="1"/>
  <c r="L158" i="1"/>
  <c r="M158" i="1"/>
  <c r="N158" i="1" s="1"/>
  <c r="V158" i="1"/>
  <c r="Z158" i="1"/>
  <c r="AB158" i="1"/>
  <c r="AC158" i="1"/>
  <c r="AD158" i="1"/>
  <c r="AG158" i="1" s="1"/>
  <c r="AE158" i="1"/>
  <c r="AF158" i="1"/>
  <c r="AH158" i="1"/>
  <c r="K159" i="1"/>
  <c r="L159" i="1"/>
  <c r="M159" i="1"/>
  <c r="N159" i="1" s="1"/>
  <c r="V159" i="1"/>
  <c r="Z159" i="1"/>
  <c r="AB159" i="1"/>
  <c r="AC159" i="1"/>
  <c r="AD159" i="1"/>
  <c r="AE159" i="1"/>
  <c r="AF159" i="1"/>
  <c r="AH159" i="1"/>
  <c r="K160" i="1"/>
  <c r="L160" i="1"/>
  <c r="M160" i="1"/>
  <c r="N160" i="1" s="1"/>
  <c r="V160" i="1"/>
  <c r="Z160" i="1"/>
  <c r="AB160" i="1"/>
  <c r="AC160" i="1"/>
  <c r="AD160" i="1"/>
  <c r="AG160" i="1" s="1"/>
  <c r="AE160" i="1"/>
  <c r="AF160" i="1"/>
  <c r="AH160" i="1"/>
  <c r="K161" i="1"/>
  <c r="L161" i="1"/>
  <c r="M161" i="1"/>
  <c r="N161" i="1" s="1"/>
  <c r="V161" i="1"/>
  <c r="Z161" i="1"/>
  <c r="AB161" i="1"/>
  <c r="AC161" i="1"/>
  <c r="AD161" i="1"/>
  <c r="AG161" i="1" s="1"/>
  <c r="AE161" i="1"/>
  <c r="AF161" i="1"/>
  <c r="AH161" i="1"/>
  <c r="K162" i="1"/>
  <c r="L162" i="1"/>
  <c r="M162" i="1"/>
  <c r="N162" i="1" s="1"/>
  <c r="V162" i="1"/>
  <c r="Z162" i="1"/>
  <c r="AB162" i="1"/>
  <c r="AC162" i="1"/>
  <c r="AD162" i="1"/>
  <c r="AG162" i="1" s="1"/>
  <c r="AE162" i="1"/>
  <c r="AF162" i="1"/>
  <c r="AH162" i="1"/>
  <c r="K163" i="1"/>
  <c r="L163" i="1"/>
  <c r="M163" i="1"/>
  <c r="N163" i="1" s="1"/>
  <c r="V163" i="1"/>
  <c r="Z163" i="1"/>
  <c r="AB163" i="1"/>
  <c r="AC163" i="1"/>
  <c r="AD163" i="1"/>
  <c r="X163" i="1" s="1"/>
  <c r="AE163" i="1"/>
  <c r="AF163" i="1"/>
  <c r="AH163" i="1"/>
  <c r="K164" i="1"/>
  <c r="L164" i="1"/>
  <c r="M164" i="1"/>
  <c r="N164" i="1" s="1"/>
  <c r="V164" i="1"/>
  <c r="Z164" i="1"/>
  <c r="AB164" i="1"/>
  <c r="AC164" i="1"/>
  <c r="AD164" i="1"/>
  <c r="AG164" i="1" s="1"/>
  <c r="AE164" i="1"/>
  <c r="AF164" i="1"/>
  <c r="AH164" i="1"/>
  <c r="K165" i="1"/>
  <c r="L165" i="1"/>
  <c r="M165" i="1"/>
  <c r="N165" i="1" s="1"/>
  <c r="V165" i="1"/>
  <c r="Z165" i="1"/>
  <c r="AB165" i="1"/>
  <c r="AC165" i="1"/>
  <c r="AD165" i="1"/>
  <c r="AG165" i="1" s="1"/>
  <c r="AE165" i="1"/>
  <c r="AF165" i="1"/>
  <c r="AH165" i="1"/>
  <c r="K166" i="1"/>
  <c r="L166" i="1"/>
  <c r="M166" i="1"/>
  <c r="N166" i="1" s="1"/>
  <c r="V166" i="1"/>
  <c r="Z166" i="1"/>
  <c r="AB166" i="1"/>
  <c r="AC166" i="1"/>
  <c r="AD166" i="1"/>
  <c r="AG166" i="1" s="1"/>
  <c r="AE166" i="1"/>
  <c r="AF166" i="1"/>
  <c r="AH166" i="1"/>
  <c r="K167" i="1"/>
  <c r="L167" i="1"/>
  <c r="M167" i="1"/>
  <c r="N167" i="1" s="1"/>
  <c r="V167" i="1"/>
  <c r="Z167" i="1"/>
  <c r="AB167" i="1"/>
  <c r="AC167" i="1"/>
  <c r="AD167" i="1"/>
  <c r="X167" i="1" s="1"/>
  <c r="AE167" i="1"/>
  <c r="AF167" i="1"/>
  <c r="AH167" i="1"/>
  <c r="K168" i="1"/>
  <c r="L168" i="1"/>
  <c r="M168" i="1"/>
  <c r="N168" i="1" s="1"/>
  <c r="V168" i="1"/>
  <c r="Y168" i="1"/>
  <c r="Z168" i="1"/>
  <c r="AB168" i="1"/>
  <c r="AC168" i="1"/>
  <c r="AD168" i="1"/>
  <c r="AG168" i="1" s="1"/>
  <c r="AE168" i="1"/>
  <c r="AF168" i="1"/>
  <c r="AH168" i="1"/>
  <c r="K169" i="1"/>
  <c r="L169" i="1"/>
  <c r="M169" i="1"/>
  <c r="N169" i="1" s="1"/>
  <c r="V169" i="1"/>
  <c r="Y169" i="1"/>
  <c r="Z169" i="1"/>
  <c r="AB169" i="1"/>
  <c r="AC169" i="1"/>
  <c r="AD169" i="1"/>
  <c r="AE169" i="1"/>
  <c r="AF169" i="1"/>
  <c r="AH169" i="1"/>
  <c r="K170" i="1"/>
  <c r="L170" i="1"/>
  <c r="M170" i="1"/>
  <c r="N170" i="1" s="1"/>
  <c r="V170" i="1"/>
  <c r="Y170" i="1"/>
  <c r="Z170" i="1"/>
  <c r="AB170" i="1"/>
  <c r="AC170" i="1"/>
  <c r="AD170" i="1"/>
  <c r="AG170" i="1" s="1"/>
  <c r="AE170" i="1"/>
  <c r="AF170" i="1"/>
  <c r="AH170" i="1"/>
  <c r="K171" i="1"/>
  <c r="L171" i="1"/>
  <c r="M171" i="1"/>
  <c r="N171" i="1" s="1"/>
  <c r="V171" i="1"/>
  <c r="Y171" i="1"/>
  <c r="Z171" i="1"/>
  <c r="AB171" i="1"/>
  <c r="AC171" i="1"/>
  <c r="AD171" i="1"/>
  <c r="AE171" i="1"/>
  <c r="AF171" i="1"/>
  <c r="AH171" i="1"/>
  <c r="K172" i="1"/>
  <c r="L172" i="1"/>
  <c r="M172" i="1"/>
  <c r="N172" i="1" s="1"/>
  <c r="V172" i="1"/>
  <c r="Y172" i="1"/>
  <c r="Z172" i="1"/>
  <c r="AB172" i="1"/>
  <c r="AC172" i="1"/>
  <c r="AD172" i="1"/>
  <c r="T172" i="1" s="1"/>
  <c r="AE172" i="1"/>
  <c r="AF172" i="1"/>
  <c r="AH172" i="1"/>
  <c r="K173" i="1"/>
  <c r="L173" i="1"/>
  <c r="M173" i="1"/>
  <c r="N173" i="1" s="1"/>
  <c r="V173" i="1"/>
  <c r="Y173" i="1"/>
  <c r="Z173" i="1"/>
  <c r="AB173" i="1"/>
  <c r="AC173" i="1"/>
  <c r="AD173" i="1"/>
  <c r="X173" i="1" s="1"/>
  <c r="AE173" i="1"/>
  <c r="AF173" i="1"/>
  <c r="AH173" i="1"/>
  <c r="K174" i="1"/>
  <c r="L174" i="1"/>
  <c r="M174" i="1"/>
  <c r="N174" i="1" s="1"/>
  <c r="V174" i="1"/>
  <c r="Y174" i="1"/>
  <c r="Z174" i="1"/>
  <c r="AB174" i="1"/>
  <c r="AC174" i="1"/>
  <c r="AD174" i="1"/>
  <c r="T174" i="1" s="1"/>
  <c r="AE174" i="1"/>
  <c r="AF174" i="1"/>
  <c r="AH174" i="1"/>
  <c r="K175" i="1"/>
  <c r="L175" i="1"/>
  <c r="M175" i="1"/>
  <c r="N175" i="1" s="1"/>
  <c r="V175" i="1"/>
  <c r="Y175" i="1"/>
  <c r="Z175" i="1"/>
  <c r="AB175" i="1"/>
  <c r="AC175" i="1"/>
  <c r="AD175" i="1"/>
  <c r="AE175" i="1"/>
  <c r="AF175" i="1"/>
  <c r="AH175" i="1"/>
  <c r="K176" i="1"/>
  <c r="L176" i="1"/>
  <c r="M176" i="1"/>
  <c r="N176" i="1" s="1"/>
  <c r="V176" i="1"/>
  <c r="Y176" i="1"/>
  <c r="Z176" i="1"/>
  <c r="AB176" i="1"/>
  <c r="AC176" i="1"/>
  <c r="AD176" i="1"/>
  <c r="T176" i="1" s="1"/>
  <c r="AE176" i="1"/>
  <c r="AF176" i="1"/>
  <c r="AH176" i="1"/>
  <c r="K177" i="1"/>
  <c r="L177" i="1"/>
  <c r="M177" i="1"/>
  <c r="N177" i="1" s="1"/>
  <c r="V177" i="1"/>
  <c r="Y177" i="1"/>
  <c r="Z177" i="1"/>
  <c r="AB177" i="1"/>
  <c r="AC177" i="1"/>
  <c r="AD177" i="1"/>
  <c r="T177" i="1" s="1"/>
  <c r="AE177" i="1"/>
  <c r="AF177" i="1"/>
  <c r="AH177" i="1"/>
  <c r="K178" i="1"/>
  <c r="L178" i="1"/>
  <c r="M178" i="1"/>
  <c r="N178" i="1" s="1"/>
  <c r="V178" i="1"/>
  <c r="Y178" i="1"/>
  <c r="Z178" i="1"/>
  <c r="AB178" i="1"/>
  <c r="AC178" i="1"/>
  <c r="AD178" i="1"/>
  <c r="T178" i="1" s="1"/>
  <c r="AE178" i="1"/>
  <c r="AF178" i="1"/>
  <c r="AH178" i="1"/>
  <c r="K179" i="1"/>
  <c r="L179" i="1"/>
  <c r="M179" i="1"/>
  <c r="N179" i="1" s="1"/>
  <c r="V179" i="1"/>
  <c r="Y179" i="1"/>
  <c r="Z179" i="1"/>
  <c r="AB179" i="1"/>
  <c r="AC179" i="1"/>
  <c r="AD179" i="1"/>
  <c r="X179" i="1" s="1"/>
  <c r="AE179" i="1"/>
  <c r="AF179" i="1"/>
  <c r="AH179" i="1"/>
  <c r="K180" i="1"/>
  <c r="L180" i="1"/>
  <c r="M180" i="1"/>
  <c r="N180" i="1" s="1"/>
  <c r="V180" i="1"/>
  <c r="Y180" i="1"/>
  <c r="Z180" i="1"/>
  <c r="AB180" i="1"/>
  <c r="AC180" i="1"/>
  <c r="AD180" i="1"/>
  <c r="T180" i="1" s="1"/>
  <c r="AE180" i="1"/>
  <c r="AF180" i="1"/>
  <c r="AH180" i="1"/>
  <c r="K181" i="1"/>
  <c r="L181" i="1"/>
  <c r="M181" i="1"/>
  <c r="V181" i="1"/>
  <c r="Y181" i="1"/>
  <c r="Z181" i="1"/>
  <c r="AB181" i="1"/>
  <c r="AC181" i="1"/>
  <c r="AD181" i="1"/>
  <c r="X181" i="1" s="1"/>
  <c r="AE181" i="1"/>
  <c r="AF181" i="1"/>
  <c r="AH181" i="1"/>
  <c r="K182" i="1"/>
  <c r="L182" i="1"/>
  <c r="M182" i="1"/>
  <c r="N182" i="1" s="1"/>
  <c r="V182" i="1"/>
  <c r="Y182" i="1"/>
  <c r="Z182" i="1"/>
  <c r="AB182" i="1"/>
  <c r="AC182" i="1"/>
  <c r="AD182" i="1"/>
  <c r="T182" i="1" s="1"/>
  <c r="AE182" i="1"/>
  <c r="AF182" i="1"/>
  <c r="AH182" i="1"/>
  <c r="K183" i="1"/>
  <c r="L183" i="1"/>
  <c r="M183" i="1"/>
  <c r="N183" i="1" s="1"/>
  <c r="V183" i="1"/>
  <c r="Y183" i="1"/>
  <c r="Z183" i="1"/>
  <c r="AB183" i="1"/>
  <c r="AC183" i="1"/>
  <c r="AD183" i="1"/>
  <c r="AE183" i="1"/>
  <c r="AF183" i="1"/>
  <c r="AH183" i="1"/>
  <c r="K184" i="1"/>
  <c r="L184" i="1"/>
  <c r="M184" i="1"/>
  <c r="N184" i="1" s="1"/>
  <c r="V184" i="1"/>
  <c r="Y184" i="1"/>
  <c r="Z184" i="1"/>
  <c r="AB184" i="1"/>
  <c r="AC184" i="1"/>
  <c r="AD184" i="1"/>
  <c r="T184" i="1" s="1"/>
  <c r="AE184" i="1"/>
  <c r="AF184" i="1"/>
  <c r="AH184" i="1"/>
  <c r="K185" i="1"/>
  <c r="L185" i="1"/>
  <c r="M185" i="1"/>
  <c r="N185" i="1" s="1"/>
  <c r="V185" i="1"/>
  <c r="Y185" i="1"/>
  <c r="Z185" i="1"/>
  <c r="AB185" i="1"/>
  <c r="AC185" i="1"/>
  <c r="AD185" i="1"/>
  <c r="T185" i="1" s="1"/>
  <c r="AE185" i="1"/>
  <c r="AF185" i="1"/>
  <c r="AH185" i="1"/>
  <c r="K186" i="1"/>
  <c r="L186" i="1"/>
  <c r="M186" i="1"/>
  <c r="N186" i="1" s="1"/>
  <c r="V186" i="1"/>
  <c r="Y186" i="1"/>
  <c r="Z186" i="1"/>
  <c r="AB186" i="1"/>
  <c r="AC186" i="1"/>
  <c r="AD186" i="1"/>
  <c r="T186" i="1" s="1"/>
  <c r="AE186" i="1"/>
  <c r="AF186" i="1"/>
  <c r="AH186" i="1"/>
  <c r="K187" i="1"/>
  <c r="L187" i="1"/>
  <c r="M187" i="1"/>
  <c r="N187" i="1" s="1"/>
  <c r="V187" i="1"/>
  <c r="Y187" i="1"/>
  <c r="Z187" i="1"/>
  <c r="AB187" i="1"/>
  <c r="AC187" i="1"/>
  <c r="AD187" i="1"/>
  <c r="X187" i="1" s="1"/>
  <c r="AE187" i="1"/>
  <c r="AF187" i="1"/>
  <c r="AH187" i="1"/>
  <c r="K188" i="1"/>
  <c r="L188" i="1"/>
  <c r="M188" i="1"/>
  <c r="N188" i="1" s="1"/>
  <c r="V188" i="1"/>
  <c r="Y188" i="1"/>
  <c r="Z188" i="1"/>
  <c r="AB188" i="1"/>
  <c r="AC188" i="1"/>
  <c r="AD188" i="1"/>
  <c r="T188" i="1" s="1"/>
  <c r="AE188" i="1"/>
  <c r="AF188" i="1"/>
  <c r="AH188" i="1"/>
  <c r="K189" i="1"/>
  <c r="L189" i="1"/>
  <c r="M189" i="1"/>
  <c r="N189" i="1" s="1"/>
  <c r="V189" i="1"/>
  <c r="Y189" i="1"/>
  <c r="Z189" i="1"/>
  <c r="AB189" i="1"/>
  <c r="AC189" i="1"/>
  <c r="AD189" i="1"/>
  <c r="AE189" i="1"/>
  <c r="AF189" i="1"/>
  <c r="AH189" i="1"/>
  <c r="K190" i="1"/>
  <c r="L190" i="1"/>
  <c r="M190" i="1"/>
  <c r="V190" i="1"/>
  <c r="Y190" i="1"/>
  <c r="Z190" i="1"/>
  <c r="AB190" i="1"/>
  <c r="AC190" i="1"/>
  <c r="AD190" i="1"/>
  <c r="T190" i="1" s="1"/>
  <c r="AE190" i="1"/>
  <c r="AF190" i="1"/>
  <c r="AH190" i="1"/>
  <c r="K191" i="1"/>
  <c r="L191" i="1"/>
  <c r="M191" i="1"/>
  <c r="V191" i="1"/>
  <c r="Y191" i="1"/>
  <c r="Z191" i="1"/>
  <c r="AB191" i="1"/>
  <c r="AC191" i="1"/>
  <c r="AD191" i="1"/>
  <c r="AE191" i="1"/>
  <c r="AF191" i="1"/>
  <c r="AH191" i="1"/>
  <c r="K192" i="1"/>
  <c r="L192" i="1"/>
  <c r="M192" i="1"/>
  <c r="V192" i="1"/>
  <c r="Y192" i="1"/>
  <c r="Z192" i="1"/>
  <c r="AB192" i="1"/>
  <c r="AC192" i="1"/>
  <c r="AD192" i="1"/>
  <c r="T192" i="1" s="1"/>
  <c r="AE192" i="1"/>
  <c r="AF192" i="1"/>
  <c r="AH192" i="1"/>
  <c r="K193" i="1"/>
  <c r="L193" i="1"/>
  <c r="M193" i="1"/>
  <c r="N193" i="1" s="1"/>
  <c r="V193" i="1"/>
  <c r="Y193" i="1"/>
  <c r="Z193" i="1"/>
  <c r="AB193" i="1"/>
  <c r="AC193" i="1"/>
  <c r="AD193" i="1"/>
  <c r="T193" i="1" s="1"/>
  <c r="AE193" i="1"/>
  <c r="AF193" i="1"/>
  <c r="AH193" i="1"/>
  <c r="K194" i="1"/>
  <c r="L194" i="1"/>
  <c r="M194" i="1"/>
  <c r="N194" i="1" s="1"/>
  <c r="V194" i="1"/>
  <c r="Y194" i="1"/>
  <c r="Z194" i="1"/>
  <c r="AB194" i="1"/>
  <c r="AC194" i="1"/>
  <c r="AD194" i="1"/>
  <c r="T194" i="1" s="1"/>
  <c r="AE194" i="1"/>
  <c r="AF194" i="1"/>
  <c r="AH194" i="1"/>
  <c r="K195" i="1"/>
  <c r="L195" i="1"/>
  <c r="M195" i="1"/>
  <c r="N195" i="1" s="1"/>
  <c r="V195" i="1"/>
  <c r="Y195" i="1"/>
  <c r="Z195" i="1"/>
  <c r="AB195" i="1"/>
  <c r="AC195" i="1"/>
  <c r="AD195" i="1"/>
  <c r="X195" i="1" s="1"/>
  <c r="AE195" i="1"/>
  <c r="AF195" i="1"/>
  <c r="AH195" i="1"/>
  <c r="K196" i="1"/>
  <c r="L196" i="1"/>
  <c r="M196" i="1"/>
  <c r="V196" i="1"/>
  <c r="Y196" i="1"/>
  <c r="Z196" i="1"/>
  <c r="AB196" i="1"/>
  <c r="AC196" i="1"/>
  <c r="AD196" i="1"/>
  <c r="T196" i="1" s="1"/>
  <c r="AE196" i="1"/>
  <c r="AF196" i="1"/>
  <c r="AH196" i="1"/>
  <c r="K197" i="1"/>
  <c r="L197" i="1"/>
  <c r="M197" i="1"/>
  <c r="N197" i="1" s="1"/>
  <c r="V197" i="1"/>
  <c r="Y197" i="1"/>
  <c r="Z197" i="1"/>
  <c r="AB197" i="1"/>
  <c r="AC197" i="1"/>
  <c r="AD197" i="1"/>
  <c r="AE197" i="1"/>
  <c r="AF197" i="1"/>
  <c r="AH197" i="1"/>
  <c r="K198" i="1"/>
  <c r="L198" i="1"/>
  <c r="M198" i="1"/>
  <c r="N198" i="1" s="1"/>
  <c r="V198" i="1"/>
  <c r="Y198" i="1"/>
  <c r="Z198" i="1"/>
  <c r="AB198" i="1"/>
  <c r="AC198" i="1"/>
  <c r="AD198" i="1"/>
  <c r="T198" i="1" s="1"/>
  <c r="AE198" i="1"/>
  <c r="AF198" i="1"/>
  <c r="AH198" i="1"/>
  <c r="K199" i="1"/>
  <c r="L199" i="1"/>
  <c r="M199" i="1"/>
  <c r="N199" i="1" s="1"/>
  <c r="V199" i="1"/>
  <c r="Y199" i="1"/>
  <c r="Z199" i="1"/>
  <c r="AB199" i="1"/>
  <c r="AC199" i="1"/>
  <c r="AD199" i="1"/>
  <c r="AE199" i="1"/>
  <c r="AF199" i="1"/>
  <c r="AH199" i="1"/>
  <c r="K200" i="1"/>
  <c r="L200" i="1"/>
  <c r="M200" i="1"/>
  <c r="N200" i="1" s="1"/>
  <c r="V200" i="1"/>
  <c r="Y200" i="1"/>
  <c r="Z200" i="1"/>
  <c r="AB200" i="1"/>
  <c r="AC200" i="1"/>
  <c r="AD200" i="1"/>
  <c r="T200" i="1" s="1"/>
  <c r="AE200" i="1"/>
  <c r="AF200" i="1"/>
  <c r="AH200" i="1"/>
  <c r="K201" i="1"/>
  <c r="L201" i="1"/>
  <c r="M201" i="1"/>
  <c r="N201" i="1" s="1"/>
  <c r="V201" i="1"/>
  <c r="Y201" i="1"/>
  <c r="Z201" i="1"/>
  <c r="AB201" i="1"/>
  <c r="AC201" i="1"/>
  <c r="AD201" i="1"/>
  <c r="T201" i="1" s="1"/>
  <c r="AE201" i="1"/>
  <c r="AF201" i="1"/>
  <c r="AH201" i="1"/>
  <c r="K202" i="1"/>
  <c r="L202" i="1"/>
  <c r="M202" i="1"/>
  <c r="N202" i="1" s="1"/>
  <c r="V202" i="1"/>
  <c r="Y202" i="1"/>
  <c r="Z202" i="1"/>
  <c r="AA202" i="1" s="1"/>
  <c r="AB202" i="1"/>
  <c r="AC202" i="1"/>
  <c r="AD202" i="1"/>
  <c r="T202" i="1" s="1"/>
  <c r="AE202" i="1"/>
  <c r="AF202" i="1"/>
  <c r="AH202" i="1"/>
  <c r="K203" i="1"/>
  <c r="L203" i="1"/>
  <c r="M203" i="1"/>
  <c r="N203" i="1" s="1"/>
  <c r="V203" i="1"/>
  <c r="Y203" i="1"/>
  <c r="Z203" i="1"/>
  <c r="AB203" i="1"/>
  <c r="AC203" i="1"/>
  <c r="AD203" i="1"/>
  <c r="AG203" i="1" s="1"/>
  <c r="AE203" i="1"/>
  <c r="AF203" i="1"/>
  <c r="AH203" i="1"/>
  <c r="K204" i="1"/>
  <c r="L204" i="1"/>
  <c r="M204" i="1"/>
  <c r="N204" i="1" s="1"/>
  <c r="V204" i="1"/>
  <c r="Y204" i="1"/>
  <c r="Z204" i="1"/>
  <c r="AB204" i="1"/>
  <c r="AC204" i="1"/>
  <c r="AD204" i="1"/>
  <c r="T204" i="1" s="1"/>
  <c r="AE204" i="1"/>
  <c r="AF204" i="1"/>
  <c r="AH204" i="1"/>
  <c r="K212" i="1"/>
  <c r="L212" i="1"/>
  <c r="M212" i="1"/>
  <c r="N212" i="1" s="1"/>
  <c r="V212" i="1"/>
  <c r="Y212" i="1"/>
  <c r="Z212" i="1"/>
  <c r="AB212" i="1"/>
  <c r="AC212" i="1"/>
  <c r="AD212" i="1"/>
  <c r="T212" i="1" s="1"/>
  <c r="AE212" i="1"/>
  <c r="AF212" i="1"/>
  <c r="AH212" i="1"/>
  <c r="K213" i="1"/>
  <c r="L213" i="1"/>
  <c r="M213" i="1"/>
  <c r="N213" i="1" s="1"/>
  <c r="V213" i="1"/>
  <c r="Y213" i="1"/>
  <c r="Z213" i="1"/>
  <c r="AB213" i="1"/>
  <c r="AC213" i="1"/>
  <c r="AD213" i="1"/>
  <c r="T213" i="1" s="1"/>
  <c r="AE213" i="1"/>
  <c r="AF213" i="1"/>
  <c r="AH213" i="1"/>
  <c r="AG28" i="1" l="1"/>
  <c r="T126" i="1"/>
  <c r="AA70" i="1"/>
  <c r="T61" i="1"/>
  <c r="X44" i="1"/>
  <c r="AA38" i="1"/>
  <c r="W38" i="1" s="1"/>
  <c r="X162" i="1"/>
  <c r="AA186" i="1"/>
  <c r="X140" i="1"/>
  <c r="AG69" i="1"/>
  <c r="U69" i="1" s="1"/>
  <c r="S69" i="1" s="1"/>
  <c r="X69" i="1"/>
  <c r="AA54" i="1"/>
  <c r="W54" i="1" s="1"/>
  <c r="AA46" i="1"/>
  <c r="W46" i="1" s="1"/>
  <c r="X161" i="1"/>
  <c r="X160" i="1"/>
  <c r="AA142" i="1"/>
  <c r="W142" i="1" s="1"/>
  <c r="AA141" i="1"/>
  <c r="AA140" i="1"/>
  <c r="W140" i="1" s="1"/>
  <c r="AA93" i="1"/>
  <c r="W93" i="1" s="1"/>
  <c r="W71" i="1"/>
  <c r="T81" i="1"/>
  <c r="U81" i="1" s="1"/>
  <c r="S81" i="1" s="1"/>
  <c r="X150" i="1"/>
  <c r="AA172" i="1"/>
  <c r="AA170" i="1"/>
  <c r="W170" i="1" s="1"/>
  <c r="AA99" i="1"/>
  <c r="W99" i="1" s="1"/>
  <c r="X38" i="1"/>
  <c r="AG196" i="1"/>
  <c r="AA83" i="1"/>
  <c r="X82" i="1"/>
  <c r="AG76" i="1"/>
  <c r="U76" i="1" s="1"/>
  <c r="S76" i="1" s="1"/>
  <c r="AA65" i="1"/>
  <c r="AA62" i="1"/>
  <c r="X165" i="1"/>
  <c r="X120" i="1"/>
  <c r="AA204" i="1"/>
  <c r="AG182" i="1"/>
  <c r="U182" i="1" s="1"/>
  <c r="S182" i="1" s="1"/>
  <c r="X182" i="1"/>
  <c r="AG155" i="1"/>
  <c r="U155" i="1" s="1"/>
  <c r="S155" i="1" s="1"/>
  <c r="W150" i="1"/>
  <c r="X130" i="1"/>
  <c r="AA106" i="1"/>
  <c r="W106" i="1" s="1"/>
  <c r="AA103" i="1"/>
  <c r="W103" i="1" s="1"/>
  <c r="AA91" i="1"/>
  <c r="AA90" i="1"/>
  <c r="AA80" i="1"/>
  <c r="AA79" i="1"/>
  <c r="AA67" i="1"/>
  <c r="AA66" i="1"/>
  <c r="AA60" i="1"/>
  <c r="W60" i="1" s="1"/>
  <c r="AA30" i="1"/>
  <c r="W30" i="1" s="1"/>
  <c r="X108" i="1"/>
  <c r="X166" i="1"/>
  <c r="X164" i="1"/>
  <c r="AA205" i="1"/>
  <c r="W205" i="1" s="1"/>
  <c r="AA156" i="1"/>
  <c r="AA130" i="1"/>
  <c r="W130" i="1" s="1"/>
  <c r="AA129" i="1"/>
  <c r="AA128" i="1"/>
  <c r="W128" i="1" s="1"/>
  <c r="AA126" i="1"/>
  <c r="W126" i="1" s="1"/>
  <c r="AA120" i="1"/>
  <c r="W120" i="1" s="1"/>
  <c r="AA119" i="1"/>
  <c r="X112" i="1"/>
  <c r="T105" i="1"/>
  <c r="T99" i="1"/>
  <c r="U99" i="1" s="1"/>
  <c r="S99" i="1" s="1"/>
  <c r="AA97" i="1"/>
  <c r="W97" i="1" s="1"/>
  <c r="AA95" i="1"/>
  <c r="T93" i="1"/>
  <c r="AA89" i="1"/>
  <c r="AA87" i="1"/>
  <c r="AA86" i="1"/>
  <c r="AA63" i="1"/>
  <c r="W63" i="1" s="1"/>
  <c r="X58" i="1"/>
  <c r="T203" i="1"/>
  <c r="X197" i="1"/>
  <c r="AA196" i="1"/>
  <c r="AA166" i="1"/>
  <c r="AA155" i="1"/>
  <c r="AA137" i="1"/>
  <c r="AA136" i="1"/>
  <c r="W136" i="1" s="1"/>
  <c r="X103" i="1"/>
  <c r="T68" i="1"/>
  <c r="U68" i="1" s="1"/>
  <c r="S68" i="1" s="1"/>
  <c r="AA42" i="1"/>
  <c r="W42" i="1" s="1"/>
  <c r="AA40" i="1"/>
  <c r="X106" i="1"/>
  <c r="W83" i="1"/>
  <c r="X213" i="1"/>
  <c r="AA180" i="1"/>
  <c r="AA178" i="1"/>
  <c r="AA158" i="1"/>
  <c r="W158" i="1" s="1"/>
  <c r="AA151" i="1"/>
  <c r="X148" i="1"/>
  <c r="AA138" i="1"/>
  <c r="W138" i="1" s="1"/>
  <c r="AA134" i="1"/>
  <c r="W134" i="1" s="1"/>
  <c r="AA133" i="1"/>
  <c r="AA132" i="1"/>
  <c r="W132" i="1" s="1"/>
  <c r="X126" i="1"/>
  <c r="AA124" i="1"/>
  <c r="AA114" i="1"/>
  <c r="W114" i="1" s="1"/>
  <c r="AA108" i="1"/>
  <c r="AA105" i="1"/>
  <c r="W105" i="1" s="1"/>
  <c r="AA85" i="1"/>
  <c r="W85" i="1" s="1"/>
  <c r="X84" i="1"/>
  <c r="AA82" i="1"/>
  <c r="AA74" i="1"/>
  <c r="W74" i="1" s="1"/>
  <c r="AA59" i="1"/>
  <c r="AA58" i="1"/>
  <c r="W58" i="1" s="1"/>
  <c r="X54" i="1"/>
  <c r="AA34" i="1"/>
  <c r="W34" i="1" s="1"/>
  <c r="AA21" i="1"/>
  <c r="W21" i="1" s="1"/>
  <c r="AA20" i="1"/>
  <c r="AA18" i="1"/>
  <c r="X105" i="1"/>
  <c r="AG153" i="1"/>
  <c r="U153" i="1" s="1"/>
  <c r="S153" i="1" s="1"/>
  <c r="AA146" i="1"/>
  <c r="W146" i="1" s="1"/>
  <c r="X138" i="1"/>
  <c r="X114" i="1"/>
  <c r="X110" i="1"/>
  <c r="AG84" i="1"/>
  <c r="W84" i="1" s="1"/>
  <c r="AG82" i="1"/>
  <c r="W82" i="1" s="1"/>
  <c r="AG79" i="1"/>
  <c r="U79" i="1" s="1"/>
  <c r="S79" i="1" s="1"/>
  <c r="X75" i="1"/>
  <c r="X70" i="1"/>
  <c r="AG64" i="1"/>
  <c r="U64" i="1" s="1"/>
  <c r="S64" i="1" s="1"/>
  <c r="X64" i="1"/>
  <c r="AG62" i="1"/>
  <c r="U62" i="1" s="1"/>
  <c r="S62" i="1" s="1"/>
  <c r="X62" i="1"/>
  <c r="X52" i="1"/>
  <c r="X36" i="1"/>
  <c r="AA29" i="1"/>
  <c r="AA27" i="1"/>
  <c r="W27" i="1" s="1"/>
  <c r="AA23" i="1"/>
  <c r="X21" i="1"/>
  <c r="AA19" i="1"/>
  <c r="AG188" i="1"/>
  <c r="U188" i="1" s="1"/>
  <c r="S188" i="1" s="1"/>
  <c r="AG198" i="1"/>
  <c r="U198" i="1" s="1"/>
  <c r="S198" i="1" s="1"/>
  <c r="X198" i="1"/>
  <c r="AG180" i="1"/>
  <c r="AA162" i="1"/>
  <c r="AA209" i="1"/>
  <c r="W209" i="1" s="1"/>
  <c r="AG151" i="1"/>
  <c r="U151" i="1" s="1"/>
  <c r="S151" i="1" s="1"/>
  <c r="AA149" i="1"/>
  <c r="AA148" i="1"/>
  <c r="W148" i="1" s="1"/>
  <c r="X146" i="1"/>
  <c r="AA145" i="1"/>
  <c r="AA144" i="1"/>
  <c r="W144" i="1" s="1"/>
  <c r="X132" i="1"/>
  <c r="AA122" i="1"/>
  <c r="W122" i="1" s="1"/>
  <c r="AA121" i="1"/>
  <c r="AA116" i="1"/>
  <c r="AA112" i="1"/>
  <c r="W112" i="1" s="1"/>
  <c r="AA111" i="1"/>
  <c r="AA102" i="1"/>
  <c r="X99" i="1"/>
  <c r="T97" i="1"/>
  <c r="X83" i="1"/>
  <c r="X74" i="1"/>
  <c r="AA73" i="1"/>
  <c r="X72" i="1"/>
  <c r="AA72" i="1"/>
  <c r="AG70" i="1"/>
  <c r="W70" i="1" s="1"/>
  <c r="T60" i="1"/>
  <c r="U60" i="1" s="1"/>
  <c r="S60" i="1" s="1"/>
  <c r="AA50" i="1"/>
  <c r="W50" i="1" s="1"/>
  <c r="AA49" i="1"/>
  <c r="AA48" i="1"/>
  <c r="X46" i="1"/>
  <c r="AA45" i="1"/>
  <c r="AA44" i="1"/>
  <c r="W44" i="1" s="1"/>
  <c r="AG204" i="1"/>
  <c r="U204" i="1" s="1"/>
  <c r="S204" i="1" s="1"/>
  <c r="X204" i="1"/>
  <c r="AG174" i="1"/>
  <c r="U174" i="1" s="1"/>
  <c r="S174" i="1" s="1"/>
  <c r="X174" i="1"/>
  <c r="AA212" i="1"/>
  <c r="AA194" i="1"/>
  <c r="AG190" i="1"/>
  <c r="U190" i="1" s="1"/>
  <c r="S190" i="1" s="1"/>
  <c r="X190" i="1"/>
  <c r="X189" i="1"/>
  <c r="AA188" i="1"/>
  <c r="W188" i="1" s="1"/>
  <c r="AG172" i="1"/>
  <c r="X172" i="1"/>
  <c r="AA207" i="1"/>
  <c r="W207" i="1" s="1"/>
  <c r="AA153" i="1"/>
  <c r="AA115" i="1"/>
  <c r="AA110" i="1"/>
  <c r="W110" i="1" s="1"/>
  <c r="T110" i="1"/>
  <c r="U110" i="1" s="1"/>
  <c r="S110" i="1" s="1"/>
  <c r="AA101" i="1"/>
  <c r="AA100" i="1"/>
  <c r="AA92" i="1"/>
  <c r="AA88" i="1"/>
  <c r="AA78" i="1"/>
  <c r="X76" i="1"/>
  <c r="AA75" i="1"/>
  <c r="W75" i="1" s="1"/>
  <c r="X63" i="1"/>
  <c r="X61" i="1"/>
  <c r="AA56" i="1"/>
  <c r="AA53" i="1"/>
  <c r="AA52" i="1"/>
  <c r="W52" i="1" s="1"/>
  <c r="AA37" i="1"/>
  <c r="AA36" i="1"/>
  <c r="W36" i="1" s="1"/>
  <c r="AA32" i="1"/>
  <c r="X27" i="1"/>
  <c r="W166" i="1"/>
  <c r="T128" i="1"/>
  <c r="U128" i="1" s="1"/>
  <c r="S128" i="1" s="1"/>
  <c r="AG116" i="1"/>
  <c r="X116" i="1"/>
  <c r="AG40" i="1"/>
  <c r="X40" i="1"/>
  <c r="AA213" i="1"/>
  <c r="AG212" i="1"/>
  <c r="X212" i="1"/>
  <c r="AG200" i="1"/>
  <c r="U200" i="1" s="1"/>
  <c r="S200" i="1" s="1"/>
  <c r="X200" i="1"/>
  <c r="AG192" i="1"/>
  <c r="U192" i="1" s="1"/>
  <c r="S192" i="1" s="1"/>
  <c r="X192" i="1"/>
  <c r="AG184" i="1"/>
  <c r="U184" i="1" s="1"/>
  <c r="S184" i="1" s="1"/>
  <c r="X184" i="1"/>
  <c r="AA154" i="1"/>
  <c r="AG152" i="1"/>
  <c r="U152" i="1" s="1"/>
  <c r="S152" i="1" s="1"/>
  <c r="T150" i="1"/>
  <c r="U150" i="1" s="1"/>
  <c r="S150" i="1" s="1"/>
  <c r="AA147" i="1"/>
  <c r="T142" i="1"/>
  <c r="U142" i="1" s="1"/>
  <c r="S142" i="1" s="1"/>
  <c r="AA139" i="1"/>
  <c r="T134" i="1"/>
  <c r="U134" i="1" s="1"/>
  <c r="S134" i="1" s="1"/>
  <c r="AA131" i="1"/>
  <c r="AG124" i="1"/>
  <c r="X124" i="1"/>
  <c r="X118" i="1"/>
  <c r="AA113" i="1"/>
  <c r="AA107" i="1"/>
  <c r="AG101" i="1"/>
  <c r="T101" i="1"/>
  <c r="AA94" i="1"/>
  <c r="U85" i="1"/>
  <c r="S85" i="1" s="1"/>
  <c r="X67" i="1"/>
  <c r="X68" i="1"/>
  <c r="AG67" i="1"/>
  <c r="W162" i="1"/>
  <c r="T80" i="1"/>
  <c r="X81" i="1"/>
  <c r="X80" i="1"/>
  <c r="AG80" i="1"/>
  <c r="AG176" i="1"/>
  <c r="U176" i="1" s="1"/>
  <c r="S176" i="1" s="1"/>
  <c r="X176" i="1"/>
  <c r="AG213" i="1"/>
  <c r="AA203" i="1"/>
  <c r="W203" i="1" s="1"/>
  <c r="AG202" i="1"/>
  <c r="W202" i="1" s="1"/>
  <c r="X202" i="1"/>
  <c r="X199" i="1"/>
  <c r="AA198" i="1"/>
  <c r="U196" i="1"/>
  <c r="S196" i="1" s="1"/>
  <c r="AG194" i="1"/>
  <c r="U194" i="1" s="1"/>
  <c r="S194" i="1" s="1"/>
  <c r="X194" i="1"/>
  <c r="X191" i="1"/>
  <c r="AA190" i="1"/>
  <c r="W190" i="1" s="1"/>
  <c r="AG186" i="1"/>
  <c r="U186" i="1" s="1"/>
  <c r="S186" i="1" s="1"/>
  <c r="X186" i="1"/>
  <c r="X183" i="1"/>
  <c r="AA182" i="1"/>
  <c r="AG178" i="1"/>
  <c r="X178" i="1"/>
  <c r="X175" i="1"/>
  <c r="AA174" i="1"/>
  <c r="AA168" i="1"/>
  <c r="W168" i="1" s="1"/>
  <c r="AA164" i="1"/>
  <c r="W164" i="1" s="1"/>
  <c r="AA160" i="1"/>
  <c r="W160" i="1" s="1"/>
  <c r="W155" i="1"/>
  <c r="T148" i="1"/>
  <c r="U148" i="1" s="1"/>
  <c r="S148" i="1" s="1"/>
  <c r="X144" i="1"/>
  <c r="T140" i="1"/>
  <c r="U140" i="1" s="1"/>
  <c r="S140" i="1" s="1"/>
  <c r="X136" i="1"/>
  <c r="T132" i="1"/>
  <c r="X128" i="1"/>
  <c r="X122" i="1"/>
  <c r="T106" i="1"/>
  <c r="U106" i="1" s="1"/>
  <c r="S106" i="1" s="1"/>
  <c r="X78" i="1"/>
  <c r="AG78" i="1"/>
  <c r="U78" i="1" s="1"/>
  <c r="S78" i="1" s="1"/>
  <c r="X79" i="1"/>
  <c r="X66" i="1"/>
  <c r="AG66" i="1"/>
  <c r="U66" i="1" s="1"/>
  <c r="S66" i="1" s="1"/>
  <c r="T40" i="1"/>
  <c r="AG23" i="1"/>
  <c r="U23" i="1" s="1"/>
  <c r="S23" i="1" s="1"/>
  <c r="X23" i="1"/>
  <c r="T144" i="1"/>
  <c r="U144" i="1" s="1"/>
  <c r="S144" i="1" s="1"/>
  <c r="T136" i="1"/>
  <c r="U136" i="1" s="1"/>
  <c r="S136" i="1" s="1"/>
  <c r="T122" i="1"/>
  <c r="U122" i="1" s="1"/>
  <c r="S122" i="1" s="1"/>
  <c r="AG56" i="1"/>
  <c r="U56" i="1" s="1"/>
  <c r="S56" i="1" s="1"/>
  <c r="X56" i="1"/>
  <c r="AG48" i="1"/>
  <c r="U48" i="1" s="1"/>
  <c r="S48" i="1" s="1"/>
  <c r="X48" i="1"/>
  <c r="X203" i="1"/>
  <c r="AA200" i="1"/>
  <c r="X196" i="1"/>
  <c r="AA192" i="1"/>
  <c r="W192" i="1" s="1"/>
  <c r="X188" i="1"/>
  <c r="AA184" i="1"/>
  <c r="X180" i="1"/>
  <c r="AA176" i="1"/>
  <c r="AG156" i="1"/>
  <c r="U156" i="1" s="1"/>
  <c r="S156" i="1" s="1"/>
  <c r="AG154" i="1"/>
  <c r="U154" i="1" s="1"/>
  <c r="S154" i="1" s="1"/>
  <c r="AA152" i="1"/>
  <c r="T146" i="1"/>
  <c r="U146" i="1" s="1"/>
  <c r="S146" i="1" s="1"/>
  <c r="AA143" i="1"/>
  <c r="X142" i="1"/>
  <c r="T138" i="1"/>
  <c r="U138" i="1" s="1"/>
  <c r="S138" i="1" s="1"/>
  <c r="AA135" i="1"/>
  <c r="X134" i="1"/>
  <c r="T130" i="1"/>
  <c r="AA127" i="1"/>
  <c r="AA123" i="1"/>
  <c r="AA118" i="1"/>
  <c r="W118" i="1" s="1"/>
  <c r="T118" i="1"/>
  <c r="U118" i="1" s="1"/>
  <c r="S118" i="1" s="1"/>
  <c r="T116" i="1"/>
  <c r="U116" i="1" s="1"/>
  <c r="S116" i="1" s="1"/>
  <c r="T114" i="1"/>
  <c r="U114" i="1" s="1"/>
  <c r="S114" i="1" s="1"/>
  <c r="AG108" i="1"/>
  <c r="U108" i="1" s="1"/>
  <c r="S108" i="1" s="1"/>
  <c r="AA104" i="1"/>
  <c r="AG95" i="1"/>
  <c r="X95" i="1"/>
  <c r="T77" i="1"/>
  <c r="X77" i="1"/>
  <c r="AG77" i="1"/>
  <c r="T67" i="1"/>
  <c r="T65" i="1"/>
  <c r="X65" i="1"/>
  <c r="AG65" i="1"/>
  <c r="AG32" i="1"/>
  <c r="U32" i="1" s="1"/>
  <c r="S32" i="1" s="1"/>
  <c r="X32" i="1"/>
  <c r="AA25" i="1"/>
  <c r="W25" i="1" s="1"/>
  <c r="T84" i="1"/>
  <c r="T83" i="1"/>
  <c r="U83" i="1" s="1"/>
  <c r="S83" i="1" s="1"/>
  <c r="T82" i="1"/>
  <c r="AA81" i="1"/>
  <c r="W81" i="1" s="1"/>
  <c r="T72" i="1"/>
  <c r="T71" i="1"/>
  <c r="U71" i="1" s="1"/>
  <c r="S71" i="1" s="1"/>
  <c r="T70" i="1"/>
  <c r="AA69" i="1"/>
  <c r="AA68" i="1"/>
  <c r="W68" i="1" s="1"/>
  <c r="AA57" i="1"/>
  <c r="T54" i="1"/>
  <c r="U54" i="1" s="1"/>
  <c r="S54" i="1" s="1"/>
  <c r="AA51" i="1"/>
  <c r="X50" i="1"/>
  <c r="T46" i="1"/>
  <c r="U46" i="1" s="1"/>
  <c r="S46" i="1" s="1"/>
  <c r="AA43" i="1"/>
  <c r="X42" i="1"/>
  <c r="T38" i="1"/>
  <c r="U38" i="1" s="1"/>
  <c r="S38" i="1" s="1"/>
  <c r="AA35" i="1"/>
  <c r="X34" i="1"/>
  <c r="T30" i="1"/>
  <c r="U30" i="1" s="1"/>
  <c r="S30" i="1" s="1"/>
  <c r="AA26" i="1"/>
  <c r="X25" i="1"/>
  <c r="T21" i="1"/>
  <c r="U21" i="1" s="1"/>
  <c r="S21" i="1" s="1"/>
  <c r="AA16" i="1"/>
  <c r="U84" i="1"/>
  <c r="S84" i="1" s="1"/>
  <c r="T75" i="1"/>
  <c r="U75" i="1" s="1"/>
  <c r="S75" i="1" s="1"/>
  <c r="T74" i="1"/>
  <c r="U74" i="1" s="1"/>
  <c r="S74" i="1" s="1"/>
  <c r="T73" i="1"/>
  <c r="T63" i="1"/>
  <c r="U63" i="1" s="1"/>
  <c r="S63" i="1" s="1"/>
  <c r="T58" i="1"/>
  <c r="U58" i="1" s="1"/>
  <c r="S58" i="1" s="1"/>
  <c r="T52" i="1"/>
  <c r="U52" i="1" s="1"/>
  <c r="S52" i="1" s="1"/>
  <c r="T44" i="1"/>
  <c r="U44" i="1" s="1"/>
  <c r="S44" i="1" s="1"/>
  <c r="AA41" i="1"/>
  <c r="T36" i="1"/>
  <c r="U36" i="1" s="1"/>
  <c r="S36" i="1" s="1"/>
  <c r="AA33" i="1"/>
  <c r="T27" i="1"/>
  <c r="U27" i="1" s="1"/>
  <c r="S27" i="1" s="1"/>
  <c r="AA24" i="1"/>
  <c r="AA125" i="1"/>
  <c r="T120" i="1"/>
  <c r="U120" i="1" s="1"/>
  <c r="S120" i="1" s="1"/>
  <c r="AA117" i="1"/>
  <c r="T112" i="1"/>
  <c r="U112" i="1" s="1"/>
  <c r="S112" i="1" s="1"/>
  <c r="AA109" i="1"/>
  <c r="T103" i="1"/>
  <c r="U103" i="1" s="1"/>
  <c r="S103" i="1" s="1"/>
  <c r="AA98" i="1"/>
  <c r="AA96" i="1"/>
  <c r="AA76" i="1"/>
  <c r="AG73" i="1"/>
  <c r="AG72" i="1"/>
  <c r="AA64" i="1"/>
  <c r="AA61" i="1"/>
  <c r="W61" i="1" s="1"/>
  <c r="AA55" i="1"/>
  <c r="T50" i="1"/>
  <c r="U50" i="1" s="1"/>
  <c r="S50" i="1" s="1"/>
  <c r="AA47" i="1"/>
  <c r="T42" i="1"/>
  <c r="U42" i="1" s="1"/>
  <c r="S42" i="1" s="1"/>
  <c r="AA39" i="1"/>
  <c r="T34" i="1"/>
  <c r="U34" i="1" s="1"/>
  <c r="S34" i="1" s="1"/>
  <c r="AA31" i="1"/>
  <c r="T25" i="1"/>
  <c r="U25" i="1" s="1"/>
  <c r="S25" i="1" s="1"/>
  <c r="AA22" i="1"/>
  <c r="T197" i="1"/>
  <c r="T189" i="1"/>
  <c r="T181" i="1"/>
  <c r="T173" i="1"/>
  <c r="T169" i="1"/>
  <c r="X169" i="1"/>
  <c r="AG201" i="1"/>
  <c r="X201" i="1"/>
  <c r="AA199" i="1"/>
  <c r="AG197" i="1"/>
  <c r="AA195" i="1"/>
  <c r="AG193" i="1"/>
  <c r="X193" i="1"/>
  <c r="AA191" i="1"/>
  <c r="AG189" i="1"/>
  <c r="AA187" i="1"/>
  <c r="AG185" i="1"/>
  <c r="X185" i="1"/>
  <c r="AA183" i="1"/>
  <c r="AG181" i="1"/>
  <c r="AA179" i="1"/>
  <c r="AG177" i="1"/>
  <c r="X177" i="1"/>
  <c r="AA175" i="1"/>
  <c r="AG173" i="1"/>
  <c r="AA171" i="1"/>
  <c r="T170" i="1"/>
  <c r="U170" i="1" s="1"/>
  <c r="S170" i="1" s="1"/>
  <c r="X170" i="1"/>
  <c r="AG169" i="1"/>
  <c r="AA167" i="1"/>
  <c r="T166" i="1"/>
  <c r="U166" i="1" s="1"/>
  <c r="S166" i="1" s="1"/>
  <c r="AA163" i="1"/>
  <c r="T162" i="1"/>
  <c r="U162" i="1" s="1"/>
  <c r="S162" i="1" s="1"/>
  <c r="AA159" i="1"/>
  <c r="T158" i="1"/>
  <c r="U158" i="1" s="1"/>
  <c r="S158" i="1" s="1"/>
  <c r="AA210" i="1"/>
  <c r="T209" i="1"/>
  <c r="U209" i="1" s="1"/>
  <c r="S209" i="1" s="1"/>
  <c r="X209" i="1"/>
  <c r="AA206" i="1"/>
  <c r="T205" i="1"/>
  <c r="U205" i="1" s="1"/>
  <c r="S205" i="1" s="1"/>
  <c r="X205" i="1"/>
  <c r="AG147" i="1"/>
  <c r="X147" i="1"/>
  <c r="T147" i="1"/>
  <c r="AG143" i="1"/>
  <c r="X143" i="1"/>
  <c r="T143" i="1"/>
  <c r="AG139" i="1"/>
  <c r="X139" i="1"/>
  <c r="T139" i="1"/>
  <c r="AG135" i="1"/>
  <c r="X135" i="1"/>
  <c r="T135" i="1"/>
  <c r="AG131" i="1"/>
  <c r="X131" i="1"/>
  <c r="T131" i="1"/>
  <c r="AG127" i="1"/>
  <c r="X127" i="1"/>
  <c r="T127" i="1"/>
  <c r="AG123" i="1"/>
  <c r="X123" i="1"/>
  <c r="T123" i="1"/>
  <c r="AG119" i="1"/>
  <c r="X119" i="1"/>
  <c r="T119" i="1"/>
  <c r="AG115" i="1"/>
  <c r="W115" i="1" s="1"/>
  <c r="X115" i="1"/>
  <c r="T115" i="1"/>
  <c r="AG111" i="1"/>
  <c r="X111" i="1"/>
  <c r="T111" i="1"/>
  <c r="AG107" i="1"/>
  <c r="T107" i="1"/>
  <c r="AG104" i="1"/>
  <c r="X104" i="1"/>
  <c r="T104" i="1"/>
  <c r="AG100" i="1"/>
  <c r="X100" i="1"/>
  <c r="T100" i="1"/>
  <c r="AG96" i="1"/>
  <c r="X96" i="1"/>
  <c r="T96" i="1"/>
  <c r="AG92" i="1"/>
  <c r="X92" i="1"/>
  <c r="T92" i="1"/>
  <c r="AG59" i="1"/>
  <c r="X59" i="1"/>
  <c r="T59" i="1"/>
  <c r="X60" i="1"/>
  <c r="U213" i="1"/>
  <c r="S213" i="1" s="1"/>
  <c r="U203" i="1"/>
  <c r="S203" i="1" s="1"/>
  <c r="T165" i="1"/>
  <c r="U165" i="1" s="1"/>
  <c r="S165" i="1" s="1"/>
  <c r="T157" i="1"/>
  <c r="U157" i="1" s="1"/>
  <c r="S157" i="1" s="1"/>
  <c r="T199" i="1"/>
  <c r="W198" i="1"/>
  <c r="T191" i="1"/>
  <c r="T183" i="1"/>
  <c r="T179" i="1"/>
  <c r="U178" i="1"/>
  <c r="S178" i="1" s="1"/>
  <c r="T175" i="1"/>
  <c r="T171" i="1"/>
  <c r="X171" i="1"/>
  <c r="T167" i="1"/>
  <c r="T163" i="1"/>
  <c r="T159" i="1"/>
  <c r="W211" i="1"/>
  <c r="T210" i="1"/>
  <c r="X210" i="1"/>
  <c r="T206" i="1"/>
  <c r="X206" i="1"/>
  <c r="X101" i="1"/>
  <c r="X97" i="1"/>
  <c r="X93" i="1"/>
  <c r="T161" i="1"/>
  <c r="U161" i="1" s="1"/>
  <c r="S161" i="1" s="1"/>
  <c r="T208" i="1"/>
  <c r="U208" i="1" s="1"/>
  <c r="S208" i="1" s="1"/>
  <c r="X208" i="1"/>
  <c r="T195" i="1"/>
  <c r="T187" i="1"/>
  <c r="AA201" i="1"/>
  <c r="AG199" i="1"/>
  <c r="AA197" i="1"/>
  <c r="AG195" i="1"/>
  <c r="AA193" i="1"/>
  <c r="AG191" i="1"/>
  <c r="AA189" i="1"/>
  <c r="AG187" i="1"/>
  <c r="AA185" i="1"/>
  <c r="AG183" i="1"/>
  <c r="AA181" i="1"/>
  <c r="AG179" i="1"/>
  <c r="AA177" i="1"/>
  <c r="AG175" i="1"/>
  <c r="AA173" i="1"/>
  <c r="AG171" i="1"/>
  <c r="AA169" i="1"/>
  <c r="T168" i="1"/>
  <c r="U168" i="1" s="1"/>
  <c r="S168" i="1" s="1"/>
  <c r="X168" i="1"/>
  <c r="AG167" i="1"/>
  <c r="AA165" i="1"/>
  <c r="W165" i="1" s="1"/>
  <c r="T164" i="1"/>
  <c r="U164" i="1" s="1"/>
  <c r="S164" i="1" s="1"/>
  <c r="AG163" i="1"/>
  <c r="AA161" i="1"/>
  <c r="W161" i="1" s="1"/>
  <c r="T160" i="1"/>
  <c r="U160" i="1" s="1"/>
  <c r="S160" i="1" s="1"/>
  <c r="AG159" i="1"/>
  <c r="AA157" i="1"/>
  <c r="W157" i="1" s="1"/>
  <c r="T211" i="1"/>
  <c r="U211" i="1" s="1"/>
  <c r="S211" i="1" s="1"/>
  <c r="X211" i="1"/>
  <c r="AG210" i="1"/>
  <c r="AA208" i="1"/>
  <c r="W208" i="1" s="1"/>
  <c r="T207" i="1"/>
  <c r="U207" i="1" s="1"/>
  <c r="S207" i="1" s="1"/>
  <c r="X207" i="1"/>
  <c r="AG206" i="1"/>
  <c r="AG149" i="1"/>
  <c r="T149" i="1"/>
  <c r="AG145" i="1"/>
  <c r="X145" i="1"/>
  <c r="T145" i="1"/>
  <c r="AG141" i="1"/>
  <c r="X141" i="1"/>
  <c r="T141" i="1"/>
  <c r="AG137" i="1"/>
  <c r="X137" i="1"/>
  <c r="T137" i="1"/>
  <c r="AG133" i="1"/>
  <c r="X133" i="1"/>
  <c r="T133" i="1"/>
  <c r="AG129" i="1"/>
  <c r="X129" i="1"/>
  <c r="T129" i="1"/>
  <c r="AG125" i="1"/>
  <c r="X125" i="1"/>
  <c r="T125" i="1"/>
  <c r="AG121" i="1"/>
  <c r="X121" i="1"/>
  <c r="T121" i="1"/>
  <c r="AG117" i="1"/>
  <c r="X117" i="1"/>
  <c r="T117" i="1"/>
  <c r="AG113" i="1"/>
  <c r="W113" i="1" s="1"/>
  <c r="X113" i="1"/>
  <c r="T113" i="1"/>
  <c r="AG109" i="1"/>
  <c r="X109" i="1"/>
  <c r="T109" i="1"/>
  <c r="AG102" i="1"/>
  <c r="X102" i="1"/>
  <c r="T102" i="1"/>
  <c r="AG98" i="1"/>
  <c r="X98" i="1"/>
  <c r="T98" i="1"/>
  <c r="AG94" i="1"/>
  <c r="X94" i="1"/>
  <c r="T94" i="1"/>
  <c r="AA77" i="1"/>
  <c r="U132" i="1"/>
  <c r="S132" i="1" s="1"/>
  <c r="U130" i="1"/>
  <c r="S130" i="1" s="1"/>
  <c r="U126" i="1"/>
  <c r="S126" i="1" s="1"/>
  <c r="U124" i="1"/>
  <c r="S124" i="1" s="1"/>
  <c r="U105" i="1"/>
  <c r="S105" i="1" s="1"/>
  <c r="U97" i="1"/>
  <c r="S97" i="1" s="1"/>
  <c r="U93" i="1"/>
  <c r="S93" i="1" s="1"/>
  <c r="T91" i="1"/>
  <c r="X91" i="1"/>
  <c r="AG91" i="1"/>
  <c r="T90" i="1"/>
  <c r="X90" i="1"/>
  <c r="AG90" i="1"/>
  <c r="T89" i="1"/>
  <c r="X89" i="1"/>
  <c r="AG89" i="1"/>
  <c r="T88" i="1"/>
  <c r="X88" i="1"/>
  <c r="AG88" i="1"/>
  <c r="U61" i="1"/>
  <c r="S61" i="1" s="1"/>
  <c r="AG55" i="1"/>
  <c r="X55" i="1"/>
  <c r="T55" i="1"/>
  <c r="AG51" i="1"/>
  <c r="X51" i="1"/>
  <c r="T51" i="1"/>
  <c r="AG47" i="1"/>
  <c r="X47" i="1"/>
  <c r="T47" i="1"/>
  <c r="AG43" i="1"/>
  <c r="X43" i="1"/>
  <c r="T43" i="1"/>
  <c r="AG39" i="1"/>
  <c r="X39" i="1"/>
  <c r="T39" i="1"/>
  <c r="AG35" i="1"/>
  <c r="X35" i="1"/>
  <c r="T35" i="1"/>
  <c r="AG31" i="1"/>
  <c r="T31" i="1"/>
  <c r="AG26" i="1"/>
  <c r="X26" i="1"/>
  <c r="T26" i="1"/>
  <c r="AG22" i="1"/>
  <c r="X22" i="1"/>
  <c r="T22" i="1"/>
  <c r="AG87" i="1"/>
  <c r="AG86" i="1"/>
  <c r="AG57" i="1"/>
  <c r="X57" i="1"/>
  <c r="X87" i="1"/>
  <c r="X86" i="1"/>
  <c r="X85" i="1"/>
  <c r="AG53" i="1"/>
  <c r="X53" i="1"/>
  <c r="T53" i="1"/>
  <c r="AG49" i="1"/>
  <c r="X49" i="1"/>
  <c r="T49" i="1"/>
  <c r="AG45" i="1"/>
  <c r="X45" i="1"/>
  <c r="T45" i="1"/>
  <c r="AG41" i="1"/>
  <c r="X41" i="1"/>
  <c r="T41" i="1"/>
  <c r="AG37" i="1"/>
  <c r="X37" i="1"/>
  <c r="T37" i="1"/>
  <c r="AG33" i="1"/>
  <c r="X33" i="1"/>
  <c r="T33" i="1"/>
  <c r="AG29" i="1"/>
  <c r="T29" i="1"/>
  <c r="AG24" i="1"/>
  <c r="X24" i="1"/>
  <c r="T24" i="1"/>
  <c r="AG20" i="1"/>
  <c r="W20" i="1" s="1"/>
  <c r="X20" i="1"/>
  <c r="T20" i="1"/>
  <c r="T19" i="1"/>
  <c r="X19" i="1"/>
  <c r="T18" i="1"/>
  <c r="X18" i="1"/>
  <c r="T16" i="1"/>
  <c r="U28" i="1" l="1"/>
  <c r="S28" i="1" s="1"/>
  <c r="W28" i="1"/>
  <c r="W47" i="1"/>
  <c r="W40" i="1"/>
  <c r="U70" i="1"/>
  <c r="S70" i="1" s="1"/>
  <c r="W145" i="1"/>
  <c r="W212" i="1"/>
  <c r="W141" i="1"/>
  <c r="W107" i="1"/>
  <c r="W69" i="1"/>
  <c r="W172" i="1"/>
  <c r="W180" i="1"/>
  <c r="W48" i="1"/>
  <c r="W143" i="1"/>
  <c r="W95" i="1"/>
  <c r="W176" i="1"/>
  <c r="U101" i="1"/>
  <c r="S101" i="1" s="1"/>
  <c r="W67" i="1"/>
  <c r="W196" i="1"/>
  <c r="W77" i="1"/>
  <c r="W137" i="1"/>
  <c r="W193" i="1"/>
  <c r="W101" i="1"/>
  <c r="W178" i="1"/>
  <c r="W174" i="1"/>
  <c r="U180" i="1"/>
  <c r="S180" i="1" s="1"/>
  <c r="W152" i="1"/>
  <c r="W204" i="1"/>
  <c r="W23" i="1"/>
  <c r="W182" i="1"/>
  <c r="W124" i="1"/>
  <c r="W26" i="1"/>
  <c r="W186" i="1"/>
  <c r="W135" i="1"/>
  <c r="W129" i="1"/>
  <c r="W156" i="1"/>
  <c r="W59" i="1"/>
  <c r="W119" i="1"/>
  <c r="W76" i="1"/>
  <c r="W181" i="1"/>
  <c r="W64" i="1"/>
  <c r="W108" i="1"/>
  <c r="W184" i="1"/>
  <c r="W200" i="1"/>
  <c r="W116" i="1"/>
  <c r="W151" i="1"/>
  <c r="W123" i="1"/>
  <c r="W39" i="1"/>
  <c r="W154" i="1"/>
  <c r="U77" i="1"/>
  <c r="S77" i="1" s="1"/>
  <c r="W194" i="1"/>
  <c r="W189" i="1"/>
  <c r="W57" i="1"/>
  <c r="U40" i="1"/>
  <c r="S40" i="1" s="1"/>
  <c r="W56" i="1"/>
  <c r="W92" i="1"/>
  <c r="W153" i="1"/>
  <c r="W45" i="1"/>
  <c r="W22" i="1"/>
  <c r="W55" i="1"/>
  <c r="U202" i="1"/>
  <c r="S202" i="1" s="1"/>
  <c r="W131" i="1"/>
  <c r="U65" i="1"/>
  <c r="S65" i="1" s="1"/>
  <c r="W24" i="1"/>
  <c r="W41" i="1"/>
  <c r="U95" i="1"/>
  <c r="S95" i="1" s="1"/>
  <c r="W121" i="1"/>
  <c r="W185" i="1"/>
  <c r="W201" i="1"/>
  <c r="U212" i="1"/>
  <c r="S212" i="1" s="1"/>
  <c r="W72" i="1"/>
  <c r="U82" i="1"/>
  <c r="S82" i="1" s="1"/>
  <c r="U172" i="1"/>
  <c r="S172" i="1" s="1"/>
  <c r="U80" i="1"/>
  <c r="S80" i="1" s="1"/>
  <c r="W79" i="1"/>
  <c r="W98" i="1"/>
  <c r="W65" i="1"/>
  <c r="U72" i="1"/>
  <c r="S72" i="1" s="1"/>
  <c r="W109" i="1"/>
  <c r="W171" i="1"/>
  <c r="W32" i="1"/>
  <c r="W62" i="1"/>
  <c r="W163" i="1"/>
  <c r="W191" i="1"/>
  <c r="W177" i="1"/>
  <c r="W159" i="1"/>
  <c r="W199" i="1"/>
  <c r="U73" i="1"/>
  <c r="S73" i="1" s="1"/>
  <c r="W73" i="1"/>
  <c r="W66" i="1"/>
  <c r="W80" i="1"/>
  <c r="U67" i="1"/>
  <c r="S67" i="1" s="1"/>
  <c r="W78" i="1"/>
  <c r="W213" i="1"/>
  <c r="U18" i="1"/>
  <c r="S18" i="1" s="1"/>
  <c r="W18" i="1"/>
  <c r="U53" i="1"/>
  <c r="S53" i="1" s="1"/>
  <c r="W53" i="1"/>
  <c r="U35" i="1"/>
  <c r="S35" i="1" s="1"/>
  <c r="U51" i="1"/>
  <c r="S51" i="1" s="1"/>
  <c r="W51" i="1"/>
  <c r="U94" i="1"/>
  <c r="S94" i="1" s="1"/>
  <c r="U125" i="1"/>
  <c r="S125" i="1" s="1"/>
  <c r="U100" i="1"/>
  <c r="S100" i="1" s="1"/>
  <c r="U131" i="1"/>
  <c r="S131" i="1" s="1"/>
  <c r="U147" i="1"/>
  <c r="S147" i="1" s="1"/>
  <c r="U177" i="1"/>
  <c r="S177" i="1" s="1"/>
  <c r="U197" i="1"/>
  <c r="S197" i="1" s="1"/>
  <c r="U16" i="1"/>
  <c r="S16" i="1" s="1"/>
  <c r="U33" i="1"/>
  <c r="S33" i="1" s="1"/>
  <c r="U31" i="1"/>
  <c r="S31" i="1" s="1"/>
  <c r="U90" i="1"/>
  <c r="S90" i="1" s="1"/>
  <c r="W90" i="1"/>
  <c r="U121" i="1"/>
  <c r="S121" i="1" s="1"/>
  <c r="U210" i="1"/>
  <c r="S210" i="1" s="1"/>
  <c r="U171" i="1"/>
  <c r="S171" i="1" s="1"/>
  <c r="U187" i="1"/>
  <c r="S187" i="1" s="1"/>
  <c r="U195" i="1"/>
  <c r="S195" i="1" s="1"/>
  <c r="W125" i="1"/>
  <c r="U96" i="1"/>
  <c r="S96" i="1" s="1"/>
  <c r="U127" i="1"/>
  <c r="S127" i="1" s="1"/>
  <c r="U169" i="1"/>
  <c r="S169" i="1" s="1"/>
  <c r="U185" i="1"/>
  <c r="S185" i="1" s="1"/>
  <c r="W96" i="1"/>
  <c r="U29" i="1"/>
  <c r="S29" i="1" s="1"/>
  <c r="U57" i="1"/>
  <c r="S57" i="1" s="1"/>
  <c r="U26" i="1"/>
  <c r="S26" i="1" s="1"/>
  <c r="U43" i="1"/>
  <c r="S43" i="1" s="1"/>
  <c r="U89" i="1"/>
  <c r="S89" i="1" s="1"/>
  <c r="W89" i="1"/>
  <c r="W35" i="1"/>
  <c r="U102" i="1"/>
  <c r="S102" i="1" s="1"/>
  <c r="U117" i="1"/>
  <c r="S117" i="1" s="1"/>
  <c r="U133" i="1"/>
  <c r="S133" i="1" s="1"/>
  <c r="U149" i="1"/>
  <c r="S149" i="1" s="1"/>
  <c r="U159" i="1"/>
  <c r="S159" i="1" s="1"/>
  <c r="W173" i="1"/>
  <c r="W197" i="1"/>
  <c r="W94" i="1"/>
  <c r="W102" i="1"/>
  <c r="W147" i="1"/>
  <c r="U92" i="1"/>
  <c r="S92" i="1" s="1"/>
  <c r="U107" i="1"/>
  <c r="S107" i="1" s="1"/>
  <c r="U123" i="1"/>
  <c r="S123" i="1" s="1"/>
  <c r="U139" i="1"/>
  <c r="S139" i="1" s="1"/>
  <c r="W210" i="1"/>
  <c r="W175" i="1"/>
  <c r="U181" i="1"/>
  <c r="S181" i="1" s="1"/>
  <c r="W187" i="1"/>
  <c r="U193" i="1"/>
  <c r="S193" i="1" s="1"/>
  <c r="W100" i="1"/>
  <c r="W127" i="1"/>
  <c r="U20" i="1"/>
  <c r="S20" i="1" s="1"/>
  <c r="U37" i="1"/>
  <c r="S37" i="1" s="1"/>
  <c r="W37" i="1"/>
  <c r="U87" i="1"/>
  <c r="S87" i="1" s="1"/>
  <c r="W87" i="1"/>
  <c r="U91" i="1"/>
  <c r="S91" i="1" s="1"/>
  <c r="W91" i="1"/>
  <c r="U109" i="1"/>
  <c r="S109" i="1" s="1"/>
  <c r="U141" i="1"/>
  <c r="S141" i="1" s="1"/>
  <c r="U206" i="1"/>
  <c r="S206" i="1" s="1"/>
  <c r="U167" i="1"/>
  <c r="S167" i="1" s="1"/>
  <c r="U115" i="1"/>
  <c r="S115" i="1" s="1"/>
  <c r="W16" i="1"/>
  <c r="U49" i="1"/>
  <c r="S49" i="1" s="1"/>
  <c r="U47" i="1"/>
  <c r="S47" i="1" s="1"/>
  <c r="U137" i="1"/>
  <c r="S137" i="1" s="1"/>
  <c r="U179" i="1"/>
  <c r="S179" i="1" s="1"/>
  <c r="U111" i="1"/>
  <c r="S111" i="1" s="1"/>
  <c r="U143" i="1"/>
  <c r="S143" i="1" s="1"/>
  <c r="U173" i="1"/>
  <c r="S173" i="1" s="1"/>
  <c r="W179" i="1"/>
  <c r="U45" i="1"/>
  <c r="S45" i="1" s="1"/>
  <c r="W29" i="1"/>
  <c r="U19" i="1"/>
  <c r="S19" i="1" s="1"/>
  <c r="W19" i="1"/>
  <c r="U24" i="1"/>
  <c r="S24" i="1" s="1"/>
  <c r="U41" i="1"/>
  <c r="S41" i="1" s="1"/>
  <c r="W33" i="1"/>
  <c r="W49" i="1"/>
  <c r="U86" i="1"/>
  <c r="S86" i="1" s="1"/>
  <c r="W86" i="1"/>
  <c r="U22" i="1"/>
  <c r="S22" i="1" s="1"/>
  <c r="U39" i="1"/>
  <c r="S39" i="1" s="1"/>
  <c r="U55" i="1"/>
  <c r="S55" i="1" s="1"/>
  <c r="W31" i="1"/>
  <c r="U88" i="1"/>
  <c r="S88" i="1" s="1"/>
  <c r="W88" i="1"/>
  <c r="W43" i="1"/>
  <c r="U98" i="1"/>
  <c r="S98" i="1" s="1"/>
  <c r="U113" i="1"/>
  <c r="S113" i="1" s="1"/>
  <c r="U129" i="1"/>
  <c r="S129" i="1" s="1"/>
  <c r="U145" i="1"/>
  <c r="S145" i="1" s="1"/>
  <c r="U163" i="1"/>
  <c r="S163" i="1" s="1"/>
  <c r="W169" i="1"/>
  <c r="U175" i="1"/>
  <c r="S175" i="1" s="1"/>
  <c r="U183" i="1"/>
  <c r="S183" i="1" s="1"/>
  <c r="U191" i="1"/>
  <c r="U199" i="1"/>
  <c r="S199" i="1" s="1"/>
  <c r="W117" i="1"/>
  <c r="W133" i="1"/>
  <c r="W149" i="1"/>
  <c r="W111" i="1"/>
  <c r="U59" i="1"/>
  <c r="S59" i="1" s="1"/>
  <c r="U104" i="1"/>
  <c r="S104" i="1" s="1"/>
  <c r="U119" i="1"/>
  <c r="S119" i="1" s="1"/>
  <c r="U135" i="1"/>
  <c r="S135" i="1" s="1"/>
  <c r="W206" i="1"/>
  <c r="W167" i="1"/>
  <c r="W183" i="1"/>
  <c r="U189" i="1"/>
  <c r="S189" i="1" s="1"/>
  <c r="W195" i="1"/>
  <c r="U201" i="1"/>
  <c r="S201" i="1" s="1"/>
  <c r="W104" i="1"/>
  <c r="W139" i="1"/>
  <c r="L7" i="3"/>
  <c r="L19" i="3"/>
  <c r="L46" i="3"/>
  <c r="L47" i="3"/>
  <c r="L41" i="3"/>
  <c r="L54" i="3"/>
  <c r="L52" i="3"/>
  <c r="L38" i="3"/>
  <c r="L45" i="3"/>
  <c r="L49" i="3"/>
  <c r="L48" i="3"/>
  <c r="L14" i="3"/>
  <c r="L44" i="3"/>
  <c r="L31" i="3"/>
  <c r="L32" i="3"/>
  <c r="L42" i="3"/>
  <c r="L53" i="3"/>
  <c r="L39" i="3"/>
  <c r="S47" i="3"/>
  <c r="R47" i="3" s="1"/>
  <c r="T47" i="3"/>
  <c r="U47" i="3"/>
  <c r="V47" i="3"/>
  <c r="S41" i="3"/>
  <c r="R41" i="3" s="1"/>
  <c r="T41" i="3"/>
  <c r="U41" i="3"/>
  <c r="V41" i="3"/>
  <c r="L15" i="3"/>
  <c r="S15" i="3"/>
  <c r="R15" i="3" s="1"/>
  <c r="T15" i="3"/>
  <c r="U15" i="3"/>
  <c r="V15" i="3"/>
  <c r="L30" i="3"/>
  <c r="S30" i="3"/>
  <c r="R30" i="3" s="1"/>
  <c r="T30" i="3"/>
  <c r="U30" i="3"/>
  <c r="V30" i="3"/>
  <c r="L28" i="3"/>
  <c r="S28" i="3"/>
  <c r="R28" i="3" s="1"/>
  <c r="T28" i="3"/>
  <c r="U28" i="3"/>
  <c r="V28" i="3"/>
  <c r="L20" i="3"/>
  <c r="S20" i="3"/>
  <c r="R20" i="3" s="1"/>
  <c r="T20" i="3"/>
  <c r="U20" i="3"/>
  <c r="V20" i="3"/>
  <c r="L34" i="3"/>
  <c r="S34" i="3"/>
  <c r="R34" i="3" s="1"/>
  <c r="T34" i="3"/>
  <c r="U34" i="3"/>
  <c r="V34" i="3"/>
  <c r="L35" i="3"/>
  <c r="S35" i="3"/>
  <c r="R35" i="3" s="1"/>
  <c r="T35" i="3"/>
  <c r="U35" i="3"/>
  <c r="V35" i="3"/>
  <c r="S54" i="3"/>
  <c r="R54" i="3" s="1"/>
  <c r="T54" i="3"/>
  <c r="U54" i="3"/>
  <c r="V54" i="3"/>
  <c r="L36" i="3"/>
  <c r="S36" i="3"/>
  <c r="R36" i="3" s="1"/>
  <c r="T36" i="3"/>
  <c r="U36" i="3"/>
  <c r="V36" i="3"/>
  <c r="L37" i="3"/>
  <c r="S37" i="3"/>
  <c r="R37" i="3" s="1"/>
  <c r="T37" i="3"/>
  <c r="U37" i="3"/>
  <c r="V37" i="3"/>
  <c r="L18" i="3"/>
  <c r="S18" i="3"/>
  <c r="R18" i="3" s="1"/>
  <c r="T18" i="3"/>
  <c r="U18" i="3"/>
  <c r="V18" i="3"/>
  <c r="L22" i="3"/>
  <c r="S22" i="3"/>
  <c r="R22" i="3" s="1"/>
  <c r="T22" i="3"/>
  <c r="U22" i="3"/>
  <c r="V22" i="3"/>
  <c r="L51" i="3"/>
  <c r="S51" i="3"/>
  <c r="R51" i="3" s="1"/>
  <c r="T51" i="3"/>
  <c r="U51" i="3"/>
  <c r="V51" i="3"/>
  <c r="L10" i="3"/>
  <c r="S10" i="3"/>
  <c r="R10" i="3" s="1"/>
  <c r="T10" i="3"/>
  <c r="U10" i="3"/>
  <c r="V10" i="3"/>
  <c r="L29" i="3"/>
  <c r="S29" i="3"/>
  <c r="R29" i="3" s="1"/>
  <c r="T29" i="3"/>
  <c r="U29" i="3"/>
  <c r="V29" i="3"/>
  <c r="L50" i="3"/>
  <c r="S50" i="3"/>
  <c r="R50" i="3" s="1"/>
  <c r="T50" i="3"/>
  <c r="U50" i="3"/>
  <c r="V50" i="3"/>
  <c r="S7" i="3"/>
  <c r="R7" i="3" s="1"/>
  <c r="T7" i="3"/>
  <c r="U7" i="3"/>
  <c r="V7" i="3"/>
  <c r="L23" i="3"/>
  <c r="S23" i="3"/>
  <c r="R23" i="3" s="1"/>
  <c r="T23" i="3"/>
  <c r="U23" i="3"/>
  <c r="V23" i="3"/>
  <c r="L26" i="3"/>
  <c r="S26" i="3"/>
  <c r="R26" i="3" s="1"/>
  <c r="T26" i="3"/>
  <c r="U26" i="3"/>
  <c r="V26" i="3"/>
  <c r="L40" i="3"/>
  <c r="S40" i="3"/>
  <c r="R40" i="3" s="1"/>
  <c r="T40" i="3"/>
  <c r="U40" i="3"/>
  <c r="V40" i="3"/>
  <c r="S42" i="3"/>
  <c r="R42" i="3" s="1"/>
  <c r="T42" i="3"/>
  <c r="U42" i="3"/>
  <c r="V42" i="3"/>
  <c r="L25" i="3"/>
  <c r="S25" i="3"/>
  <c r="R25" i="3" s="1"/>
  <c r="T25" i="3"/>
  <c r="U25" i="3"/>
  <c r="V25" i="3"/>
  <c r="S14" i="3"/>
  <c r="R14" i="3" s="1"/>
  <c r="T14" i="3"/>
  <c r="U14" i="3"/>
  <c r="V14" i="3"/>
  <c r="L9" i="3"/>
  <c r="S9" i="3"/>
  <c r="R9" i="3" s="1"/>
  <c r="T9" i="3"/>
  <c r="U9" i="3"/>
  <c r="V9" i="3"/>
  <c r="L24" i="3"/>
  <c r="S24" i="3"/>
  <c r="R24" i="3" s="1"/>
  <c r="T24" i="3"/>
  <c r="U24" i="3"/>
  <c r="V24" i="3"/>
  <c r="L43" i="3"/>
  <c r="S43" i="3"/>
  <c r="R43" i="3" s="1"/>
  <c r="T43" i="3"/>
  <c r="U43" i="3"/>
  <c r="V43" i="3"/>
  <c r="AH14" i="1" l="1"/>
  <c r="AH13" i="1"/>
  <c r="Q20" i="3" l="1"/>
  <c r="P20" i="3"/>
  <c r="Q10" i="3"/>
  <c r="P10" i="3"/>
  <c r="Q42" i="3"/>
  <c r="P42" i="3"/>
  <c r="Q7" i="3"/>
  <c r="P7" i="3"/>
  <c r="Q43" i="3"/>
  <c r="P43" i="3"/>
  <c r="Q18" i="3" l="1"/>
  <c r="Q37" i="3"/>
  <c r="Q51" i="3"/>
  <c r="P36" i="3"/>
  <c r="P54" i="3"/>
  <c r="P35" i="3"/>
  <c r="P30" i="3"/>
  <c r="P34" i="3"/>
  <c r="P41" i="3"/>
  <c r="P47" i="3"/>
  <c r="Q47" i="3"/>
  <c r="Q41" i="3"/>
  <c r="P24" i="3"/>
  <c r="P9" i="3"/>
  <c r="P25" i="3"/>
  <c r="P40" i="3"/>
  <c r="P14" i="3"/>
  <c r="Q50" i="3"/>
  <c r="Q29" i="3"/>
  <c r="Q26" i="3"/>
  <c r="Q23" i="3"/>
  <c r="Q15" i="3"/>
  <c r="Q28" i="3"/>
  <c r="Q9" i="3"/>
  <c r="Q24" i="3"/>
  <c r="P18" i="3"/>
  <c r="P51" i="3"/>
  <c r="P37" i="3"/>
  <c r="Q54" i="3"/>
  <c r="Q36" i="3"/>
  <c r="Q30" i="3"/>
  <c r="Q34" i="3"/>
  <c r="Q35" i="3"/>
  <c r="Q40" i="3"/>
  <c r="Q14" i="3"/>
  <c r="Q25" i="3"/>
  <c r="P29" i="3"/>
  <c r="P26" i="3"/>
  <c r="P23" i="3"/>
  <c r="P50" i="3"/>
  <c r="P15" i="3"/>
  <c r="P28" i="3"/>
  <c r="S49" i="3" l="1"/>
  <c r="R49" i="3" s="1"/>
  <c r="T49" i="3"/>
  <c r="U49" i="3"/>
  <c r="V49" i="3"/>
  <c r="L8" i="3"/>
  <c r="S8" i="3"/>
  <c r="R8" i="3" s="1"/>
  <c r="T8" i="3"/>
  <c r="U8" i="3"/>
  <c r="V8" i="3"/>
  <c r="S45" i="3"/>
  <c r="R45" i="3" s="1"/>
  <c r="T45" i="3"/>
  <c r="U45" i="3"/>
  <c r="V45" i="3"/>
  <c r="Q49" i="3"/>
  <c r="P49" i="3"/>
  <c r="Q8" i="3" l="1"/>
  <c r="Q45" i="3"/>
  <c r="P8" i="3"/>
  <c r="P45" i="3"/>
  <c r="S46" i="3"/>
  <c r="R46" i="3" s="1"/>
  <c r="T46" i="3"/>
  <c r="U46" i="3"/>
  <c r="V46" i="3"/>
  <c r="L33" i="3"/>
  <c r="S33" i="3"/>
  <c r="R33" i="3" s="1"/>
  <c r="T33" i="3"/>
  <c r="U33" i="3"/>
  <c r="V33" i="3"/>
  <c r="S19" i="3"/>
  <c r="R19" i="3" s="1"/>
  <c r="T19" i="3"/>
  <c r="U19" i="3"/>
  <c r="V19" i="3"/>
  <c r="S39" i="3"/>
  <c r="R39" i="3" s="1"/>
  <c r="T39" i="3"/>
  <c r="U39" i="3"/>
  <c r="V39" i="3"/>
  <c r="L12" i="3"/>
  <c r="S12" i="3"/>
  <c r="R12" i="3" s="1"/>
  <c r="T12" i="3"/>
  <c r="U12" i="3"/>
  <c r="V12" i="3"/>
  <c r="S44" i="3"/>
  <c r="R44" i="3" s="1"/>
  <c r="T44" i="3"/>
  <c r="U44" i="3"/>
  <c r="V44" i="3"/>
  <c r="L21" i="3"/>
  <c r="S21" i="3"/>
  <c r="R21" i="3" s="1"/>
  <c r="T21" i="3"/>
  <c r="U21" i="3"/>
  <c r="V21" i="3"/>
  <c r="L13" i="3"/>
  <c r="S13" i="3"/>
  <c r="R13" i="3" s="1"/>
  <c r="T13" i="3"/>
  <c r="U13" i="3"/>
  <c r="V13" i="3"/>
  <c r="P52" i="3"/>
  <c r="Q52" i="3"/>
  <c r="S52" i="3"/>
  <c r="R52" i="3" s="1"/>
  <c r="T52" i="3"/>
  <c r="U52" i="3"/>
  <c r="V52" i="3"/>
  <c r="S31" i="3"/>
  <c r="R31" i="3" s="1"/>
  <c r="T31" i="3"/>
  <c r="U31" i="3"/>
  <c r="V31" i="3"/>
  <c r="L16" i="3"/>
  <c r="S16" i="3"/>
  <c r="R16" i="3" s="1"/>
  <c r="T16" i="3"/>
  <c r="U16" i="3"/>
  <c r="V16" i="3"/>
  <c r="S48" i="3"/>
  <c r="R48" i="3" s="1"/>
  <c r="T48" i="3"/>
  <c r="U48" i="3"/>
  <c r="V48" i="3"/>
  <c r="S38" i="3"/>
  <c r="R38" i="3" s="1"/>
  <c r="T38" i="3"/>
  <c r="U38" i="3"/>
  <c r="V38" i="3"/>
  <c r="L11" i="3"/>
  <c r="S11" i="3"/>
  <c r="R11" i="3" s="1"/>
  <c r="T11" i="3"/>
  <c r="U11" i="3"/>
  <c r="V11" i="3"/>
  <c r="L17" i="3"/>
  <c r="S17" i="3"/>
  <c r="R17" i="3" s="1"/>
  <c r="T17" i="3"/>
  <c r="U17" i="3"/>
  <c r="V17" i="3"/>
  <c r="S53" i="3"/>
  <c r="R53" i="3" s="1"/>
  <c r="T53" i="3"/>
  <c r="U53" i="3"/>
  <c r="V53" i="3"/>
  <c r="S32" i="3"/>
  <c r="R32" i="3" s="1"/>
  <c r="T32" i="3"/>
  <c r="U32" i="3"/>
  <c r="V32" i="3"/>
  <c r="L27" i="3"/>
  <c r="S27" i="3"/>
  <c r="R27" i="3" s="1"/>
  <c r="T27" i="3"/>
  <c r="U27" i="3"/>
  <c r="V27" i="3"/>
  <c r="Q33" i="3"/>
  <c r="P33" i="3"/>
  <c r="Q31" i="3"/>
  <c r="P31" i="3"/>
  <c r="Q46" i="3"/>
  <c r="P46" i="3"/>
  <c r="Q12" i="3"/>
  <c r="P12" i="3"/>
  <c r="Q44" i="3"/>
  <c r="Q21" i="3"/>
  <c r="P21" i="3"/>
  <c r="P44" i="3" l="1"/>
  <c r="Q13" i="3"/>
  <c r="P13" i="3"/>
  <c r="Q48" i="3"/>
  <c r="P48" i="3"/>
  <c r="Q38" i="3"/>
  <c r="P38" i="3"/>
  <c r="Q17" i="3"/>
  <c r="P17" i="3"/>
  <c r="Q19" i="3"/>
  <c r="P19" i="3"/>
  <c r="Q53" i="3"/>
  <c r="P53" i="3"/>
  <c r="Q16" i="3"/>
  <c r="P16" i="3"/>
  <c r="Q27" i="3" l="1"/>
  <c r="P27" i="3"/>
  <c r="Q32" i="3"/>
  <c r="Q11" i="3"/>
  <c r="Q39" i="3"/>
  <c r="P11" i="3"/>
  <c r="P32" i="3"/>
  <c r="P39" i="3"/>
  <c r="X6" i="1" l="1"/>
  <c r="W6" i="1"/>
  <c r="V6" i="1"/>
  <c r="S6" i="1"/>
  <c r="R2" i="1"/>
  <c r="I2" i="1"/>
  <c r="O6" i="1"/>
  <c r="N6" i="1"/>
  <c r="M6" i="1"/>
  <c r="J6" i="1"/>
  <c r="P3" i="5" l="1"/>
  <c r="V14" i="1" l="1"/>
  <c r="V13" i="1"/>
  <c r="Q22" i="3" s="1"/>
  <c r="J7" i="1" l="1"/>
  <c r="S7" i="1" l="1"/>
  <c r="AF14" i="1" l="1"/>
  <c r="AF13" i="1"/>
  <c r="AE13" i="1" l="1"/>
  <c r="P22" i="3" s="1"/>
  <c r="AE14" i="1"/>
  <c r="M18" i="5" l="1"/>
  <c r="AD14" i="1" l="1"/>
  <c r="X16" i="1" s="1"/>
  <c r="AD13" i="1"/>
  <c r="AG13" i="1" l="1"/>
  <c r="T13" i="1"/>
  <c r="T14" i="1"/>
  <c r="X13" i="1"/>
  <c r="X14" i="1"/>
  <c r="F282" i="4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F339" i="4"/>
  <c r="G339" i="4"/>
  <c r="F340" i="4"/>
  <c r="G340" i="4"/>
  <c r="F341" i="4"/>
  <c r="G341" i="4"/>
  <c r="F342" i="4"/>
  <c r="G342" i="4"/>
  <c r="F343" i="4"/>
  <c r="G343" i="4"/>
  <c r="F344" i="4"/>
  <c r="G344" i="4"/>
  <c r="F345" i="4"/>
  <c r="G345" i="4"/>
  <c r="F346" i="4"/>
  <c r="G346" i="4"/>
  <c r="F347" i="4"/>
  <c r="G347" i="4"/>
  <c r="F348" i="4"/>
  <c r="G348" i="4"/>
  <c r="F349" i="4"/>
  <c r="G349" i="4"/>
  <c r="F350" i="4"/>
  <c r="G350" i="4"/>
  <c r="F351" i="4"/>
  <c r="G351" i="4"/>
  <c r="F352" i="4"/>
  <c r="G352" i="4"/>
  <c r="F353" i="4"/>
  <c r="G353" i="4"/>
  <c r="F354" i="4"/>
  <c r="G354" i="4"/>
  <c r="F355" i="4"/>
  <c r="G355" i="4"/>
  <c r="F356" i="4"/>
  <c r="G356" i="4"/>
  <c r="F357" i="4"/>
  <c r="G357" i="4"/>
  <c r="F358" i="4"/>
  <c r="G358" i="4"/>
  <c r="F359" i="4"/>
  <c r="G359" i="4"/>
  <c r="F360" i="4"/>
  <c r="G360" i="4"/>
  <c r="F361" i="4"/>
  <c r="G361" i="4"/>
  <c r="F362" i="4"/>
  <c r="G362" i="4"/>
  <c r="F363" i="4"/>
  <c r="G363" i="4"/>
  <c r="F364" i="4"/>
  <c r="G364" i="4"/>
  <c r="F365" i="4"/>
  <c r="G365" i="4"/>
  <c r="F366" i="4"/>
  <c r="G366" i="4"/>
  <c r="F367" i="4"/>
  <c r="G367" i="4"/>
  <c r="F368" i="4"/>
  <c r="G368" i="4"/>
  <c r="F369" i="4"/>
  <c r="G369" i="4"/>
  <c r="F370" i="4"/>
  <c r="G370" i="4"/>
  <c r="F371" i="4"/>
  <c r="G371" i="4"/>
  <c r="F372" i="4"/>
  <c r="G372" i="4"/>
  <c r="F373" i="4"/>
  <c r="G373" i="4"/>
  <c r="F374" i="4"/>
  <c r="G374" i="4"/>
  <c r="F375" i="4"/>
  <c r="G375" i="4"/>
  <c r="F376" i="4"/>
  <c r="G376" i="4"/>
  <c r="F377" i="4"/>
  <c r="G377" i="4"/>
  <c r="F378" i="4"/>
  <c r="G378" i="4"/>
  <c r="F379" i="4"/>
  <c r="G379" i="4"/>
  <c r="F380" i="4"/>
  <c r="G380" i="4"/>
  <c r="F381" i="4"/>
  <c r="G381" i="4"/>
  <c r="F382" i="4"/>
  <c r="G382" i="4"/>
  <c r="F383" i="4"/>
  <c r="G383" i="4"/>
  <c r="F384" i="4"/>
  <c r="G384" i="4"/>
  <c r="F385" i="4"/>
  <c r="G385" i="4"/>
  <c r="F386" i="4"/>
  <c r="G386" i="4"/>
  <c r="F387" i="4"/>
  <c r="G387" i="4"/>
  <c r="F388" i="4"/>
  <c r="G388" i="4"/>
  <c r="F389" i="4"/>
  <c r="G389" i="4"/>
  <c r="F390" i="4"/>
  <c r="G390" i="4"/>
  <c r="F391" i="4"/>
  <c r="G391" i="4"/>
  <c r="F392" i="4"/>
  <c r="G392" i="4"/>
  <c r="F393" i="4"/>
  <c r="G393" i="4"/>
  <c r="F394" i="4"/>
  <c r="G394" i="4"/>
  <c r="F395" i="4"/>
  <c r="G395" i="4"/>
  <c r="F396" i="4"/>
  <c r="G396" i="4"/>
  <c r="F397" i="4"/>
  <c r="G397" i="4"/>
  <c r="F398" i="4"/>
  <c r="G398" i="4"/>
  <c r="F399" i="4"/>
  <c r="G399" i="4"/>
  <c r="F400" i="4"/>
  <c r="G400" i="4"/>
  <c r="F401" i="4"/>
  <c r="G401" i="4"/>
  <c r="F402" i="4"/>
  <c r="G402" i="4"/>
  <c r="F403" i="4"/>
  <c r="G403" i="4"/>
  <c r="F404" i="4"/>
  <c r="G404" i="4"/>
  <c r="F405" i="4"/>
  <c r="G405" i="4"/>
  <c r="F406" i="4"/>
  <c r="G406" i="4"/>
  <c r="F407" i="4"/>
  <c r="G407" i="4"/>
  <c r="F408" i="4"/>
  <c r="G408" i="4"/>
  <c r="F409" i="4"/>
  <c r="G409" i="4"/>
  <c r="F410" i="4"/>
  <c r="G410" i="4"/>
  <c r="F411" i="4"/>
  <c r="G411" i="4"/>
  <c r="F412" i="4"/>
  <c r="G412" i="4"/>
  <c r="F413" i="4"/>
  <c r="G413" i="4"/>
  <c r="F414" i="4"/>
  <c r="G414" i="4"/>
  <c r="F415" i="4"/>
  <c r="G415" i="4"/>
  <c r="F416" i="4"/>
  <c r="G416" i="4"/>
  <c r="F417" i="4"/>
  <c r="G417" i="4"/>
  <c r="F418" i="4"/>
  <c r="G418" i="4"/>
  <c r="F419" i="4"/>
  <c r="G419" i="4"/>
  <c r="F420" i="4"/>
  <c r="G420" i="4"/>
  <c r="F421" i="4"/>
  <c r="G421" i="4"/>
  <c r="F422" i="4"/>
  <c r="G422" i="4"/>
  <c r="F423" i="4"/>
  <c r="G423" i="4"/>
  <c r="F424" i="4"/>
  <c r="G424" i="4"/>
  <c r="F425" i="4"/>
  <c r="G425" i="4"/>
  <c r="F426" i="4"/>
  <c r="G426" i="4"/>
  <c r="F427" i="4"/>
  <c r="G427" i="4"/>
  <c r="F428" i="4"/>
  <c r="G428" i="4"/>
  <c r="F429" i="4"/>
  <c r="G429" i="4"/>
  <c r="F430" i="4"/>
  <c r="G430" i="4"/>
  <c r="F431" i="4"/>
  <c r="G431" i="4"/>
  <c r="F432" i="4"/>
  <c r="G432" i="4"/>
  <c r="F433" i="4"/>
  <c r="G433" i="4"/>
  <c r="F434" i="4"/>
  <c r="G434" i="4"/>
  <c r="F435" i="4"/>
  <c r="G435" i="4"/>
  <c r="F436" i="4"/>
  <c r="G436" i="4"/>
  <c r="F437" i="4"/>
  <c r="G437" i="4"/>
  <c r="F438" i="4"/>
  <c r="G438" i="4"/>
  <c r="F439" i="4"/>
  <c r="G439" i="4"/>
  <c r="F440" i="4"/>
  <c r="G440" i="4"/>
  <c r="F441" i="4"/>
  <c r="G441" i="4"/>
  <c r="F442" i="4"/>
  <c r="G442" i="4"/>
  <c r="F443" i="4"/>
  <c r="G443" i="4"/>
  <c r="F444" i="4"/>
  <c r="G444" i="4"/>
  <c r="F445" i="4"/>
  <c r="G445" i="4"/>
  <c r="F446" i="4"/>
  <c r="G446" i="4"/>
  <c r="F447" i="4"/>
  <c r="G447" i="4"/>
  <c r="F448" i="4"/>
  <c r="G448" i="4"/>
  <c r="F449" i="4"/>
  <c r="G449" i="4"/>
  <c r="F450" i="4"/>
  <c r="G450" i="4"/>
  <c r="F451" i="4"/>
  <c r="G451" i="4"/>
  <c r="F452" i="4"/>
  <c r="G452" i="4"/>
  <c r="F453" i="4"/>
  <c r="G453" i="4"/>
  <c r="F454" i="4"/>
  <c r="G454" i="4"/>
  <c r="F455" i="4"/>
  <c r="G455" i="4"/>
  <c r="F456" i="4"/>
  <c r="G456" i="4"/>
  <c r="F457" i="4"/>
  <c r="G457" i="4"/>
  <c r="F458" i="4"/>
  <c r="G458" i="4"/>
  <c r="F459" i="4"/>
  <c r="G459" i="4"/>
  <c r="F460" i="4"/>
  <c r="G460" i="4"/>
  <c r="F461" i="4"/>
  <c r="G461" i="4"/>
  <c r="F462" i="4"/>
  <c r="G462" i="4"/>
  <c r="F463" i="4"/>
  <c r="G463" i="4"/>
  <c r="F464" i="4"/>
  <c r="G464" i="4"/>
  <c r="F465" i="4"/>
  <c r="G465" i="4"/>
  <c r="F466" i="4"/>
  <c r="G466" i="4"/>
  <c r="F467" i="4"/>
  <c r="G467" i="4"/>
  <c r="F468" i="4"/>
  <c r="G468" i="4"/>
  <c r="F469" i="4"/>
  <c r="G469" i="4"/>
  <c r="F470" i="4"/>
  <c r="G470" i="4"/>
  <c r="F471" i="4"/>
  <c r="G471" i="4"/>
  <c r="F472" i="4"/>
  <c r="G472" i="4"/>
  <c r="F473" i="4"/>
  <c r="G473" i="4"/>
  <c r="F474" i="4"/>
  <c r="G474" i="4"/>
  <c r="F475" i="4"/>
  <c r="G475" i="4"/>
  <c r="F476" i="4"/>
  <c r="G476" i="4"/>
  <c r="F477" i="4"/>
  <c r="G477" i="4"/>
  <c r="F478" i="4"/>
  <c r="G478" i="4"/>
  <c r="F479" i="4"/>
  <c r="G479" i="4"/>
  <c r="F480" i="4"/>
  <c r="G480" i="4"/>
  <c r="F481" i="4"/>
  <c r="G481" i="4"/>
  <c r="F482" i="4"/>
  <c r="G482" i="4"/>
  <c r="F483" i="4"/>
  <c r="G483" i="4"/>
  <c r="F484" i="4"/>
  <c r="G484" i="4"/>
  <c r="F485" i="4"/>
  <c r="G485" i="4"/>
  <c r="F486" i="4"/>
  <c r="G486" i="4"/>
  <c r="F487" i="4"/>
  <c r="G487" i="4"/>
  <c r="F488" i="4"/>
  <c r="G488" i="4"/>
  <c r="F489" i="4"/>
  <c r="G489" i="4"/>
  <c r="F490" i="4"/>
  <c r="G490" i="4"/>
  <c r="F491" i="4"/>
  <c r="G491" i="4"/>
  <c r="F492" i="4"/>
  <c r="G492" i="4"/>
  <c r="F493" i="4"/>
  <c r="G493" i="4"/>
  <c r="F494" i="4"/>
  <c r="G494" i="4"/>
  <c r="F495" i="4"/>
  <c r="G495" i="4"/>
  <c r="F496" i="4"/>
  <c r="G496" i="4"/>
  <c r="F497" i="4"/>
  <c r="G497" i="4"/>
  <c r="F498" i="4"/>
  <c r="G498" i="4"/>
  <c r="F499" i="4"/>
  <c r="G499" i="4"/>
  <c r="F500" i="4"/>
  <c r="G500" i="4"/>
  <c r="F501" i="4"/>
  <c r="G501" i="4"/>
  <c r="F502" i="4"/>
  <c r="G502" i="4"/>
  <c r="F503" i="4"/>
  <c r="G503" i="4"/>
  <c r="F504" i="4"/>
  <c r="G504" i="4"/>
  <c r="F505" i="4"/>
  <c r="G505" i="4"/>
  <c r="F506" i="4"/>
  <c r="G506" i="4"/>
  <c r="F507" i="4"/>
  <c r="G507" i="4"/>
  <c r="F508" i="4"/>
  <c r="G508" i="4"/>
  <c r="F509" i="4"/>
  <c r="G509" i="4"/>
  <c r="F510" i="4"/>
  <c r="G510" i="4"/>
  <c r="F511" i="4"/>
  <c r="G511" i="4"/>
  <c r="F512" i="4"/>
  <c r="G512" i="4"/>
  <c r="F513" i="4"/>
  <c r="G513" i="4"/>
  <c r="F514" i="4"/>
  <c r="G514" i="4"/>
  <c r="F515" i="4"/>
  <c r="G515" i="4"/>
  <c r="F516" i="4"/>
  <c r="G516" i="4"/>
  <c r="F517" i="4"/>
  <c r="G517" i="4"/>
  <c r="F518" i="4"/>
  <c r="G518" i="4"/>
  <c r="F519" i="4"/>
  <c r="G519" i="4"/>
  <c r="F520" i="4"/>
  <c r="G520" i="4"/>
  <c r="F521" i="4"/>
  <c r="G521" i="4"/>
  <c r="F522" i="4"/>
  <c r="G522" i="4"/>
  <c r="F523" i="4"/>
  <c r="G523" i="4"/>
  <c r="F524" i="4"/>
  <c r="G524" i="4"/>
  <c r="F525" i="4"/>
  <c r="G525" i="4"/>
  <c r="F526" i="4"/>
  <c r="G526" i="4"/>
  <c r="F527" i="4"/>
  <c r="G527" i="4"/>
  <c r="F528" i="4"/>
  <c r="G528" i="4"/>
  <c r="F529" i="4"/>
  <c r="G529" i="4"/>
  <c r="F530" i="4"/>
  <c r="G530" i="4"/>
  <c r="F531" i="4"/>
  <c r="G531" i="4"/>
  <c r="F532" i="4"/>
  <c r="G532" i="4"/>
  <c r="F533" i="4"/>
  <c r="G533" i="4"/>
  <c r="F534" i="4"/>
  <c r="G534" i="4"/>
  <c r="F535" i="4"/>
  <c r="G535" i="4"/>
  <c r="F536" i="4"/>
  <c r="G536" i="4"/>
  <c r="F537" i="4"/>
  <c r="G537" i="4"/>
  <c r="F538" i="4"/>
  <c r="G538" i="4"/>
  <c r="F539" i="4"/>
  <c r="G539" i="4"/>
  <c r="F540" i="4"/>
  <c r="G540" i="4"/>
  <c r="F541" i="4"/>
  <c r="G541" i="4"/>
  <c r="F542" i="4"/>
  <c r="G542" i="4"/>
  <c r="F543" i="4"/>
  <c r="G543" i="4"/>
  <c r="V5" i="1" l="1"/>
  <c r="V8" i="1" s="1"/>
  <c r="F266" i="4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F236" i="4" l="1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" i="4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G1" i="4"/>
  <c r="F1" i="4"/>
  <c r="K14" i="1"/>
  <c r="K13" i="1"/>
  <c r="Z14" i="1" l="1"/>
  <c r="AB14" i="1" l="1"/>
  <c r="AC14" i="1"/>
  <c r="AC13" i="1"/>
  <c r="AB13" i="1"/>
  <c r="M14" i="5" l="1"/>
  <c r="M13" i="5"/>
  <c r="M12" i="5"/>
  <c r="M11" i="5"/>
  <c r="M10" i="5"/>
  <c r="M9" i="5"/>
  <c r="M8" i="5"/>
  <c r="M7" i="5"/>
  <c r="M6" i="5"/>
  <c r="M5" i="5"/>
  <c r="M4" i="5"/>
  <c r="M3" i="5"/>
  <c r="M2" i="3" l="1"/>
  <c r="M3" i="3" s="1"/>
  <c r="Y14" i="1" l="1"/>
  <c r="U14" i="1" s="1"/>
  <c r="S14" i="1" l="1"/>
  <c r="AA14" i="1"/>
  <c r="W14" i="1" s="1"/>
  <c r="L13" i="1"/>
  <c r="M13" i="1"/>
  <c r="N13" i="1" s="1"/>
  <c r="L14" i="1"/>
  <c r="M14" i="1"/>
  <c r="N14" i="1" s="1"/>
  <c r="S5" i="1" l="1"/>
  <c r="J5" i="1"/>
  <c r="M5" i="1"/>
  <c r="M8" i="1" s="1"/>
  <c r="W5" i="1" a="1"/>
  <c r="W5" i="1" s="1"/>
  <c r="W8" i="1" s="1"/>
  <c r="N5" i="1" a="1"/>
  <c r="N5" i="1" s="1"/>
  <c r="N8" i="1" s="1"/>
  <c r="X5" i="1" a="1"/>
  <c r="X5" i="1" s="1"/>
  <c r="X8" i="1" s="1"/>
  <c r="O5" i="1" a="1"/>
  <c r="O5" i="1" s="1"/>
  <c r="O8" i="1" s="1"/>
  <c r="J8" i="1" l="1"/>
  <c r="J4" i="1"/>
  <c r="S8" i="1"/>
  <c r="S4" i="1"/>
  <c r="Y13" i="1"/>
  <c r="Z13" i="1"/>
  <c r="S9" i="1" l="1"/>
  <c r="U13" i="1"/>
  <c r="J9" i="1"/>
  <c r="AA13" i="1"/>
  <c r="W13" i="1" s="1"/>
  <c r="S13" i="1" l="1"/>
  <c r="S11" i="1" s="1"/>
  <c r="A11" i="1"/>
  <c r="A1" i="6" l="1"/>
  <c r="A5" i="3"/>
</calcChain>
</file>

<file path=xl/connections.xml><?xml version="1.0" encoding="utf-8"?>
<connections xmlns="http://schemas.openxmlformats.org/spreadsheetml/2006/main">
  <connection id="1" name="Denver Train Runs 04122016" type="6" refreshedVersion="5" deleted="1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<sst xmlns="http://schemas.openxmlformats.org/spreadsheetml/2006/main" count="2581" uniqueCount="844">
  <si>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</si>
  <si>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</si>
  <si>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</si>
  <si>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</si>
  <si>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</si>
  <si>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</si>
  <si>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</si>
  <si>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</si>
  <si>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</si>
  <si>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</si>
  <si>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</si>
  <si>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</si>
  <si>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</si>
  <si>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</si>
  <si>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</si>
  <si>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</si>
  <si>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</si>
  <si>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</si>
  <si>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</si>
  <si>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</si>
  <si>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</si>
  <si>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</si>
  <si>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</si>
  <si>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</si>
  <si>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</si>
  <si>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</si>
  <si>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</si>
  <si>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</si>
  <si>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</si>
  <si>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</si>
  <si>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</si>
  <si>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</si>
  <si>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</si>
  <si>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</si>
  <si>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</si>
  <si>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</si>
  <si>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</si>
  <si>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</si>
  <si>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</si>
  <si>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</si>
  <si>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</si>
  <si>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</si>
  <si>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</si>
  <si>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</si>
  <si>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</si>
  <si>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</si>
  <si>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</si>
  <si>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</si>
  <si>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</si>
  <si>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</si>
  <si>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</si>
  <si>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</si>
  <si>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</si>
  <si>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</si>
  <si>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SIGNAL</t>
  </si>
  <si>
    <t>Signal based authority (5)</t>
  </si>
  <si>
    <t>PERMANENT SPEED RESTRICTION</t>
  </si>
  <si>
    <t>Speed (6)</t>
  </si>
  <si>
    <t>204:145</t>
  </si>
  <si>
    <t>204:152</t>
  </si>
  <si>
    <t>baselines:</t>
  </si>
  <si>
    <t>sunday - thu - 144/day</t>
  </si>
  <si>
    <t>fri-sat - 146/day</t>
  </si>
  <si>
    <t>Married Pair</t>
  </si>
  <si>
    <t>204:460</t>
  </si>
  <si>
    <t>204:232977</t>
  </si>
  <si>
    <t>Kibana URL</t>
  </si>
  <si>
    <t>rtdc.l.rtdc.4019:itc</t>
  </si>
  <si>
    <t>rtdc.l.rtdc.4020:itc</t>
  </si>
  <si>
    <t>rtdc.l.rtdc.4018:itc</t>
  </si>
  <si>
    <t>rtdc.l.rtdc.4017:itc</t>
  </si>
  <si>
    <t>Possible Explanation</t>
  </si>
  <si>
    <t>Recorded Operator</t>
  </si>
  <si>
    <t>Trip ID</t>
  </si>
  <si>
    <t># Of Times Offered</t>
  </si>
  <si>
    <t>Loco</t>
  </si>
  <si>
    <t>rtdc.l.rtdc.4042:itc</t>
  </si>
  <si>
    <t>Recorded Loco</t>
  </si>
  <si>
    <t>Recorded time</t>
  </si>
  <si>
    <t>Xing Completion Percentage</t>
  </si>
  <si>
    <t>IsEven</t>
  </si>
  <si>
    <t>Xing#</t>
  </si>
  <si>
    <t>BEGINMILEPOST</t>
  </si>
  <si>
    <t>ENDMILEPOST</t>
  </si>
  <si>
    <t>York and Josephine Street</t>
  </si>
  <si>
    <t>CLAYTON ST</t>
  </si>
  <si>
    <t>STEELE ST</t>
  </si>
  <si>
    <t>Dahlia Street</t>
  </si>
  <si>
    <t>Holly Street</t>
  </si>
  <si>
    <t>Monaco Parkway</t>
  </si>
  <si>
    <t>SB Quebec Parkway</t>
  </si>
  <si>
    <t>NB Quebec Parkway</t>
  </si>
  <si>
    <t>Ulster Street</t>
  </si>
  <si>
    <t>Havana Street</t>
  </si>
  <si>
    <t>Sable Boulevard</t>
  </si>
  <si>
    <t>Chambers Road</t>
  </si>
  <si>
    <t>Y</t>
  </si>
  <si>
    <t>N</t>
  </si>
  <si>
    <t>Possible System Enforcement</t>
  </si>
  <si>
    <t>Training enforcement</t>
  </si>
  <si>
    <t>204:143</t>
  </si>
  <si>
    <t>rtdc.l.rtdc.4038:itc</t>
  </si>
  <si>
    <t>STURGEON</t>
  </si>
  <si>
    <t>rtdc.l.rtdc.4026:itc</t>
  </si>
  <si>
    <t>rtdc.l.rtdc.4013:itc</t>
  </si>
  <si>
    <t>rtdc.l.rtdc.4025:itc</t>
  </si>
  <si>
    <t>rtdc.l.rtdc.4028:itc</t>
  </si>
  <si>
    <t>rtdc.l.rtdc.4029:itc</t>
  </si>
  <si>
    <t>rtdc.l.rtdc.4030:itc</t>
  </si>
  <si>
    <t>rtdc.l.rtdc.4027:itc</t>
  </si>
  <si>
    <t>204:156</t>
  </si>
  <si>
    <t>SPECTOR</t>
  </si>
  <si>
    <t>rtdc.l.rtdc.4008:itc</t>
  </si>
  <si>
    <t>GRASTON</t>
  </si>
  <si>
    <t>rtdc.l.rtdc.4007:itc</t>
  </si>
  <si>
    <t>Trip Number Sortable</t>
  </si>
  <si>
    <t>204:458</t>
  </si>
  <si>
    <t>STARKS</t>
  </si>
  <si>
    <t>LocoID</t>
  </si>
  <si>
    <t>UTC Time</t>
  </si>
  <si>
    <t>AstroGrep Path</t>
  </si>
  <si>
    <t>Search Path</t>
  </si>
  <si>
    <t>Search RegExp</t>
  </si>
  <si>
    <t>AstroGrepCall</t>
  </si>
  <si>
    <t>AWS CP</t>
  </si>
  <si>
    <t>S3 Bucket</t>
  </si>
  <si>
    <t>s3://rtdc.mdm.uploadarchive</t>
  </si>
  <si>
    <t>WalkAndUnGZ</t>
  </si>
  <si>
    <t>C:\Users\stu\Documents\GitHub\mrs-test-scripts\Headless Mode &amp; Sideloading\WalkAndUnGZ.bat</t>
  </si>
  <si>
    <t>AstroGrep</t>
  </si>
  <si>
    <t>UTC Offset</t>
  </si>
  <si>
    <t>GRADE CROSSING</t>
  </si>
  <si>
    <t>Bulletin (2)</t>
  </si>
  <si>
    <t>rtdc.l.rtdc.4015:itc</t>
  </si>
  <si>
    <t>rtdc.l.rtdc.4016:itc</t>
  </si>
  <si>
    <t>EC or NWGL</t>
  </si>
  <si>
    <t>204:154</t>
  </si>
  <si>
    <t>204:150</t>
  </si>
  <si>
    <t>204:464</t>
  </si>
  <si>
    <t>204:139</t>
  </si>
  <si>
    <t>204:462</t>
  </si>
  <si>
    <t>Omit due to TWC &lt; 1</t>
  </si>
  <si>
    <t>Reactive Enforcement (3)</t>
  </si>
  <si>
    <t>rtdc.l.rtdc.4009:itc</t>
  </si>
  <si>
    <t>rtdc.l.rtdc.4010:itc</t>
  </si>
  <si>
    <t>BRANNON</t>
  </si>
  <si>
    <t>rtdc.l.rtdc.4041:itc</t>
  </si>
  <si>
    <t>204:141</t>
  </si>
  <si>
    <t>LEVIN</t>
  </si>
  <si>
    <t>204:233293</t>
  </si>
  <si>
    <t>204:467</t>
  </si>
  <si>
    <t>COOLAHAN</t>
  </si>
  <si>
    <t>204:233303</t>
  </si>
  <si>
    <t>rtdc.l.rtdc.4011:itc</t>
  </si>
  <si>
    <t>YANAI</t>
  </si>
  <si>
    <t>rtdc.l.rtdc.4012:itc</t>
  </si>
  <si>
    <t>204:233295</t>
  </si>
  <si>
    <t>204:233308</t>
  </si>
  <si>
    <t>204:233302</t>
  </si>
  <si>
    <t>204:453</t>
  </si>
  <si>
    <t>204:149</t>
  </si>
  <si>
    <t>GEBRETEKLE</t>
  </si>
  <si>
    <t>rtdc.l.rtdc.4014:itc</t>
  </si>
  <si>
    <t>DE.1.0.7.0</t>
  </si>
  <si>
    <t>204:233291</t>
  </si>
  <si>
    <t>1828-24</t>
  </si>
  <si>
    <t>224-24</t>
  </si>
  <si>
    <t>243-24</t>
  </si>
  <si>
    <t>244-24</t>
  </si>
  <si>
    <t>rtdc.l.rtdc.4031:itc</t>
  </si>
  <si>
    <t>rtdc.l.rtdc.4032:itc</t>
  </si>
  <si>
    <t>MAYBERRY</t>
  </si>
  <si>
    <t>YOUNG</t>
  </si>
  <si>
    <t>BRUDER</t>
  </si>
  <si>
    <t>NEWELL</t>
  </si>
  <si>
    <t>STEWART</t>
  </si>
  <si>
    <t>CHANDLER</t>
  </si>
  <si>
    <t>BARTLETT</t>
  </si>
  <si>
    <t>ACKERMAN</t>
  </si>
  <si>
    <t>REBOLETTI</t>
  </si>
  <si>
    <t>HELVIE</t>
  </si>
  <si>
    <t>111-25</t>
  </si>
  <si>
    <t>102-25</t>
  </si>
  <si>
    <t>105-25</t>
  </si>
  <si>
    <t>101-25</t>
  </si>
  <si>
    <t>204:466</t>
  </si>
  <si>
    <t>204:134</t>
  </si>
  <si>
    <t>143-25</t>
  </si>
  <si>
    <t>176-25</t>
  </si>
  <si>
    <t>224-25</t>
  </si>
  <si>
    <t>204:442</t>
  </si>
  <si>
    <t>230-25</t>
  </si>
  <si>
    <t>234-25</t>
  </si>
  <si>
    <t>237-25</t>
  </si>
  <si>
    <t>241-25</t>
  </si>
  <si>
    <t>242-25</t>
  </si>
  <si>
    <t>243-25</t>
  </si>
  <si>
    <t>864-25</t>
  </si>
  <si>
    <t>rtdc.l.rtdc.4037:itc</t>
  </si>
  <si>
    <t>ROCHA</t>
  </si>
  <si>
    <t>LOCKLEAR</t>
  </si>
  <si>
    <t>LEVERE</t>
  </si>
  <si>
    <t>DAVIS</t>
  </si>
  <si>
    <t>108-26</t>
  </si>
  <si>
    <t>BONDS</t>
  </si>
  <si>
    <t>133-26</t>
  </si>
  <si>
    <t>804-26</t>
  </si>
  <si>
    <t>105-26</t>
  </si>
  <si>
    <t>107-26</t>
  </si>
  <si>
    <t>106-26</t>
  </si>
  <si>
    <t>113-26</t>
  </si>
  <si>
    <t>125-26</t>
  </si>
  <si>
    <t>127-26</t>
  </si>
  <si>
    <t>126-26</t>
  </si>
  <si>
    <t>132-26</t>
  </si>
  <si>
    <t>812-26</t>
  </si>
  <si>
    <t>134-26</t>
  </si>
  <si>
    <t>149-26</t>
  </si>
  <si>
    <t>151-26</t>
  </si>
  <si>
    <t>816-26</t>
  </si>
  <si>
    <t>158-26</t>
  </si>
  <si>
    <t>160-26</t>
  </si>
  <si>
    <t>162-26</t>
  </si>
  <si>
    <t>170-26</t>
  </si>
  <si>
    <t>821-26</t>
  </si>
  <si>
    <t>179-26</t>
  </si>
  <si>
    <t>822-26</t>
  </si>
  <si>
    <t>178-26</t>
  </si>
  <si>
    <t>180-26</t>
  </si>
  <si>
    <t>203-26</t>
  </si>
  <si>
    <t>124-26</t>
  </si>
  <si>
    <t>137-26</t>
  </si>
  <si>
    <t>140-26</t>
  </si>
  <si>
    <t>141-26</t>
  </si>
  <si>
    <t>144-26</t>
  </si>
  <si>
    <t>204:232993</t>
  </si>
  <si>
    <t>152-26</t>
  </si>
  <si>
    <t>157-26</t>
  </si>
  <si>
    <t>159-26</t>
  </si>
  <si>
    <t>204:232987</t>
  </si>
  <si>
    <t>163-26</t>
  </si>
  <si>
    <t>171-26</t>
  </si>
  <si>
    <t>173-26</t>
  </si>
  <si>
    <t>175-26</t>
  </si>
  <si>
    <t>176-26</t>
  </si>
  <si>
    <t>177-26</t>
  </si>
  <si>
    <t>181-26</t>
  </si>
  <si>
    <t>183-26</t>
  </si>
  <si>
    <t>187-26</t>
  </si>
  <si>
    <t>188-26</t>
  </si>
  <si>
    <t>195-26</t>
  </si>
  <si>
    <t>197-26</t>
  </si>
  <si>
    <t>198-26</t>
  </si>
  <si>
    <t>199-26</t>
  </si>
  <si>
    <t>207-26</t>
  </si>
  <si>
    <t>209-26</t>
  </si>
  <si>
    <t>217-26</t>
  </si>
  <si>
    <t>230-26</t>
  </si>
  <si>
    <t>238-26</t>
  </si>
  <si>
    <t>241-26</t>
  </si>
  <si>
    <t>307-26</t>
  </si>
  <si>
    <t>315-26</t>
  </si>
  <si>
    <t>807-26</t>
  </si>
  <si>
    <t>809-26</t>
  </si>
  <si>
    <t>813-26</t>
  </si>
  <si>
    <t>814-26</t>
  </si>
  <si>
    <t>815-26</t>
  </si>
  <si>
    <t>819-26</t>
  </si>
  <si>
    <t>827-26</t>
  </si>
  <si>
    <t>830-26</t>
  </si>
  <si>
    <t>831-26</t>
  </si>
  <si>
    <t>833-26</t>
  </si>
  <si>
    <t>835-26</t>
  </si>
  <si>
    <t>840-26</t>
  </si>
  <si>
    <t>842-26</t>
  </si>
  <si>
    <t>843-26</t>
  </si>
  <si>
    <t>844-26</t>
  </si>
  <si>
    <t>845-26</t>
  </si>
  <si>
    <t>906-26</t>
  </si>
  <si>
    <t>908-26</t>
  </si>
  <si>
    <t>WEBSTER</t>
  </si>
  <si>
    <t>807-27</t>
  </si>
  <si>
    <t>119-27</t>
  </si>
  <si>
    <t>SANTIZO</t>
  </si>
  <si>
    <t>302-27</t>
  </si>
  <si>
    <t>MAELZER</t>
  </si>
  <si>
    <t>129-27</t>
  </si>
  <si>
    <t>DE LA ROSA</t>
  </si>
  <si>
    <t>102-27</t>
  </si>
  <si>
    <t>804-27</t>
  </si>
  <si>
    <t>126-27</t>
  </si>
  <si>
    <t>EC Threshold for Pink Highlight (Slow Run) (mins)</t>
  </si>
  <si>
    <t>NWGL Threshold for Pink Highlight (Slow run) (mins)</t>
  </si>
  <si>
    <t>EC Crossings</t>
  </si>
  <si>
    <t>NW Crossings</t>
  </si>
  <si>
    <t>BNSF FUEL YARD</t>
  </si>
  <si>
    <t>Kibana link</t>
  </si>
  <si>
    <t>EC</t>
  </si>
  <si>
    <t>NW</t>
  </si>
  <si>
    <t>EC/NW/GL</t>
  </si>
  <si>
    <t>156-27</t>
  </si>
  <si>
    <t>204:165</t>
  </si>
  <si>
    <t>204:451</t>
  </si>
  <si>
    <t>204:232985</t>
  </si>
  <si>
    <t>SWANSON</t>
  </si>
  <si>
    <t>YORK</t>
  </si>
  <si>
    <t>rtdc.l.rtdc.4043:itc</t>
  </si>
  <si>
    <t>302-28</t>
  </si>
  <si>
    <t>101-28</t>
  </si>
  <si>
    <t>102-28</t>
  </si>
  <si>
    <t>802-28</t>
  </si>
  <si>
    <t>806-28</t>
  </si>
  <si>
    <t>204:447</t>
  </si>
  <si>
    <t>204:170</t>
  </si>
  <si>
    <t>204:232975</t>
  </si>
  <si>
    <t>204:457</t>
  </si>
  <si>
    <t>TEMPORARY SPEED RESTRICTION</t>
  </si>
  <si>
    <t>204:233309</t>
  </si>
  <si>
    <t>204:435</t>
  </si>
  <si>
    <t>204:232998</t>
  </si>
  <si>
    <t>204:160</t>
  </si>
  <si>
    <t>300:58924</t>
  </si>
  <si>
    <t>204:233004</t>
  </si>
  <si>
    <t>204:233301</t>
  </si>
  <si>
    <t>STAMBAUGH</t>
  </si>
  <si>
    <t>204:232994</t>
  </si>
  <si>
    <t>204:437</t>
  </si>
  <si>
    <t>204:233316</t>
  </si>
  <si>
    <t>204:232983</t>
  </si>
  <si>
    <t>204:233297</t>
  </si>
  <si>
    <t>204:449</t>
  </si>
  <si>
    <t>204:446</t>
  </si>
  <si>
    <t>204:455</t>
  </si>
  <si>
    <t>204:232973</t>
  </si>
  <si>
    <t>SWITCH UNKNOWN</t>
  </si>
  <si>
    <t>Track device (7)</t>
  </si>
  <si>
    <t>Onboard in-route failure</t>
  </si>
  <si>
    <t>204:232972</t>
  </si>
  <si>
    <t>204:232996</t>
  </si>
  <si>
    <t>204:473</t>
  </si>
  <si>
    <t>204:233286</t>
  </si>
  <si>
    <t>204:233314</t>
  </si>
  <si>
    <t>204:127</t>
  </si>
  <si>
    <t>204:232980</t>
  </si>
  <si>
    <t>204:444</t>
  </si>
  <si>
    <t>204:232990</t>
  </si>
  <si>
    <t>300:23304</t>
  </si>
  <si>
    <t>HAITHCOX</t>
  </si>
  <si>
    <t>ISHMAEL</t>
  </si>
  <si>
    <t>rtdc.l.rtdc.4044:itc</t>
  </si>
  <si>
    <t>OUN</t>
  </si>
  <si>
    <t>rtdc.l.rtdc.4039:itc</t>
  </si>
  <si>
    <t>ROBINSON</t>
  </si>
  <si>
    <t>:.+((SYSTEM_STATE.+slice.+state.+changed )|(ment ac)|(system.+state.+changed )|(\|lc)|(penalty)|(\[timeout)|(PRM\|1\|D)|(kpr)|(kdp))</t>
  </si>
  <si>
    <t>RefineRTDCRunTimes</t>
  </si>
  <si>
    <t>RefineTime</t>
  </si>
  <si>
    <t>204:701</t>
  </si>
  <si>
    <t>204:233289</t>
  </si>
  <si>
    <t>204:475</t>
  </si>
  <si>
    <t>204:233324</t>
  </si>
  <si>
    <t>204:233002</t>
  </si>
  <si>
    <t>204:138</t>
  </si>
  <si>
    <t>204:232978</t>
  </si>
  <si>
    <t>204:136</t>
  </si>
  <si>
    <t>204:167</t>
  </si>
  <si>
    <t>204:488</t>
  </si>
  <si>
    <t>204:440</t>
  </si>
  <si>
    <t>204:232986</t>
  </si>
  <si>
    <t>204:132</t>
  </si>
  <si>
    <t>300:58914</t>
  </si>
  <si>
    <t>300:58594</t>
  </si>
  <si>
    <t>204:978</t>
  </si>
  <si>
    <t>STRICKLAND</t>
  </si>
  <si>
    <t>Did not initialize</t>
  </si>
  <si>
    <t>Wi-MAX outage</t>
  </si>
  <si>
    <t>"%USERPROFILE%\Documents\GitHub\eaglep3\Utilities\RefineRTDCRunTimes.py"</t>
  </si>
  <si>
    <t>%USERPROFILE%\Documents\GitHub\mrs-test-scripts\Headless Mode &amp; Sideloading\WalkAndUnGZ.bat</t>
  </si>
  <si>
    <t>"%USERPROFILE%\AppData\Local\Temp\OnboardLogs"</t>
  </si>
  <si>
    <t>842-03</t>
  </si>
  <si>
    <t>234-03</t>
  </si>
  <si>
    <t>204:703</t>
  </si>
  <si>
    <t>204:233282</t>
  </si>
  <si>
    <t>204:233312</t>
  </si>
  <si>
    <t>204:233298</t>
  </si>
  <si>
    <t>204:433</t>
  </si>
  <si>
    <t>204:130</t>
  </si>
  <si>
    <t>204:232984</t>
  </si>
  <si>
    <t>204:233000</t>
  </si>
  <si>
    <t>204:158</t>
  </si>
  <si>
    <t>204:477</t>
  </si>
  <si>
    <t>204:163</t>
  </si>
  <si>
    <t>204:233278</t>
  </si>
  <si>
    <t>204:232967</t>
  </si>
  <si>
    <t>204:233319</t>
  </si>
  <si>
    <t>204:232970</t>
  </si>
  <si>
    <t>226-03</t>
  </si>
  <si>
    <t>204:233321</t>
  </si>
  <si>
    <t>228-03</t>
  </si>
  <si>
    <t>229-03</t>
  </si>
  <si>
    <t>204:233268</t>
  </si>
  <si>
    <t>230-03</t>
  </si>
  <si>
    <t>231-03</t>
  </si>
  <si>
    <t>232-03</t>
  </si>
  <si>
    <t>233-03</t>
  </si>
  <si>
    <t>235-03</t>
  </si>
  <si>
    <t>236-03</t>
  </si>
  <si>
    <t>237-03</t>
  </si>
  <si>
    <t>238-03</t>
  </si>
  <si>
    <t>204:232955</t>
  </si>
  <si>
    <t>239-03</t>
  </si>
  <si>
    <t>240-03</t>
  </si>
  <si>
    <t>241-03</t>
  </si>
  <si>
    <t>242-03</t>
  </si>
  <si>
    <t>243-03</t>
  </si>
  <si>
    <t>244-03</t>
  </si>
  <si>
    <t>309-03</t>
  </si>
  <si>
    <t>311-03</t>
  </si>
  <si>
    <t>315-03</t>
  </si>
  <si>
    <t>300:22282</t>
  </si>
  <si>
    <t>204:719</t>
  </si>
  <si>
    <t>204:1021</t>
  </si>
  <si>
    <t>204:682</t>
  </si>
  <si>
    <t>204:983</t>
  </si>
  <si>
    <t>300:58589</t>
  </si>
  <si>
    <t>204:691</t>
  </si>
  <si>
    <t>204:995</t>
  </si>
  <si>
    <t>300:58939</t>
  </si>
  <si>
    <t>300:58621</t>
  </si>
  <si>
    <t>844-03</t>
  </si>
  <si>
    <t>845-03</t>
  </si>
  <si>
    <t>300:58905</t>
  </si>
  <si>
    <t>847-03</t>
  </si>
  <si>
    <t>908-03</t>
  </si>
  <si>
    <t>MOSES</t>
  </si>
  <si>
    <t>rtdc.l.rtdc.4040:itc</t>
  </si>
  <si>
    <t>308-04</t>
  </si>
  <si>
    <t>KILLION</t>
  </si>
  <si>
    <t>113-04</t>
  </si>
  <si>
    <t>803-04</t>
  </si>
  <si>
    <t>123-04</t>
  </si>
  <si>
    <t>118-04</t>
  </si>
  <si>
    <t>120-04</t>
  </si>
  <si>
    <t>MALAVE</t>
  </si>
  <si>
    <t>129-04</t>
  </si>
  <si>
    <t>CLARK</t>
  </si>
  <si>
    <t>804-04</t>
  </si>
  <si>
    <t>800-04</t>
  </si>
  <si>
    <t>104-04</t>
  </si>
  <si>
    <t>313-03</t>
  </si>
  <si>
    <t>115-04</t>
  </si>
  <si>
    <t>119-04</t>
  </si>
  <si>
    <t>802-04</t>
  </si>
  <si>
    <t>122-04</t>
  </si>
  <si>
    <t>806-04</t>
  </si>
  <si>
    <t>106-04</t>
  </si>
  <si>
    <t>101-04</t>
  </si>
  <si>
    <t>302-04</t>
  </si>
  <si>
    <t>102-04</t>
  </si>
  <si>
    <t>107-04</t>
  </si>
  <si>
    <t>109-04</t>
  </si>
  <si>
    <t>111-04</t>
  </si>
  <si>
    <t>108-04</t>
  </si>
  <si>
    <t>110-04</t>
  </si>
  <si>
    <t>801-04</t>
  </si>
  <si>
    <t>117-04</t>
  </si>
  <si>
    <t>112-04</t>
  </si>
  <si>
    <t>114-04</t>
  </si>
  <si>
    <t>121-04</t>
  </si>
  <si>
    <t>805-04</t>
  </si>
  <si>
    <t>116-04</t>
  </si>
  <si>
    <t>125-04</t>
  </si>
  <si>
    <t>127-04</t>
  </si>
  <si>
    <t>807-04</t>
  </si>
  <si>
    <t>-</t>
  </si>
  <si>
    <t>Early arrival</t>
  </si>
  <si>
    <t>124-04</t>
  </si>
  <si>
    <t>126-04</t>
  </si>
  <si>
    <t>812-04</t>
  </si>
  <si>
    <t>139-04</t>
  </si>
  <si>
    <t>134-04</t>
  </si>
  <si>
    <t>141-04</t>
  </si>
  <si>
    <t>136-04</t>
  </si>
  <si>
    <t>813-04</t>
  </si>
  <si>
    <t>140-04</t>
  </si>
  <si>
    <t>149-04</t>
  </si>
  <si>
    <t>815-04</t>
  </si>
  <si>
    <t>150-04</t>
  </si>
  <si>
    <t>148-04</t>
  </si>
  <si>
    <t>159-04</t>
  </si>
  <si>
    <t>158-04</t>
  </si>
  <si>
    <t>170-04</t>
  </si>
  <si>
    <t>822-04</t>
  </si>
  <si>
    <t>176-04</t>
  </si>
  <si>
    <t>180-04</t>
  </si>
  <si>
    <t>824-04</t>
  </si>
  <si>
    <t>825-04</t>
  </si>
  <si>
    <t>827-04</t>
  </si>
  <si>
    <t>828-04</t>
  </si>
  <si>
    <t>205-04</t>
  </si>
  <si>
    <t>833-04</t>
  </si>
  <si>
    <t>834-04</t>
  </si>
  <si>
    <t>210-04</t>
  </si>
  <si>
    <t>838-04</t>
  </si>
  <si>
    <t>214-04</t>
  </si>
  <si>
    <t>216-04</t>
  </si>
  <si>
    <t>840-04</t>
  </si>
  <si>
    <t>842-04</t>
  </si>
  <si>
    <t>844-04</t>
  </si>
  <si>
    <t>204:233326</t>
  </si>
  <si>
    <t>204:232689</t>
  </si>
  <si>
    <t>204:109</t>
  </si>
  <si>
    <t>204:232652</t>
  </si>
  <si>
    <t>204:4671</t>
  </si>
  <si>
    <t>204:232639</t>
  </si>
  <si>
    <t>204:105</t>
  </si>
  <si>
    <t>204:233307</t>
  </si>
  <si>
    <t>204:743</t>
  </si>
  <si>
    <t>204:19128</t>
  </si>
  <si>
    <t>204:233322</t>
  </si>
  <si>
    <t>204:424</t>
  </si>
  <si>
    <t>204:699</t>
  </si>
  <si>
    <t>204:233264</t>
  </si>
  <si>
    <t>204:232942</t>
  </si>
  <si>
    <t>204:416</t>
  </si>
  <si>
    <t>204:233213</t>
  </si>
  <si>
    <t>204:232906</t>
  </si>
  <si>
    <t>204:438</t>
  </si>
  <si>
    <t>204:233361</t>
  </si>
  <si>
    <t>204:233051</t>
  </si>
  <si>
    <t>204:2619</t>
  </si>
  <si>
    <t>128-04</t>
  </si>
  <si>
    <t>204:232992</t>
  </si>
  <si>
    <t>130-04</t>
  </si>
  <si>
    <t>131-04</t>
  </si>
  <si>
    <t>132-04</t>
  </si>
  <si>
    <t>204:233013</t>
  </si>
  <si>
    <t>133-04</t>
  </si>
  <si>
    <t>135-04</t>
  </si>
  <si>
    <t>137-04</t>
  </si>
  <si>
    <t>138-04</t>
  </si>
  <si>
    <t>204:223985</t>
  </si>
  <si>
    <t>142-04</t>
  </si>
  <si>
    <t>204:232981</t>
  </si>
  <si>
    <t>143-04</t>
  </si>
  <si>
    <t>144-04</t>
  </si>
  <si>
    <t>145-04</t>
  </si>
  <si>
    <t>204:233315</t>
  </si>
  <si>
    <t>146-04</t>
  </si>
  <si>
    <t>147-04</t>
  </si>
  <si>
    <t>204:232961</t>
  </si>
  <si>
    <t>204:181</t>
  </si>
  <si>
    <t>204:233306</t>
  </si>
  <si>
    <t>151-04</t>
  </si>
  <si>
    <t>152-04</t>
  </si>
  <si>
    <t>153-04</t>
  </si>
  <si>
    <t>204:233287</t>
  </si>
  <si>
    <t>154-04</t>
  </si>
  <si>
    <t>155-04</t>
  </si>
  <si>
    <t>204:469</t>
  </si>
  <si>
    <t>156-04</t>
  </si>
  <si>
    <t>157-04</t>
  </si>
  <si>
    <t>204:233344</t>
  </si>
  <si>
    <t>204:233010</t>
  </si>
  <si>
    <t>160-04</t>
  </si>
  <si>
    <t>161-04</t>
  </si>
  <si>
    <t>204:508</t>
  </si>
  <si>
    <t>204:233359</t>
  </si>
  <si>
    <t>162-04</t>
  </si>
  <si>
    <t>204:233060</t>
  </si>
  <si>
    <t>163-04</t>
  </si>
  <si>
    <t>164-04</t>
  </si>
  <si>
    <t>165-04</t>
  </si>
  <si>
    <t>166-04</t>
  </si>
  <si>
    <t>204:233011</t>
  </si>
  <si>
    <t>167-04</t>
  </si>
  <si>
    <t>204:233318</t>
  </si>
  <si>
    <t>168-04</t>
  </si>
  <si>
    <t>169-04</t>
  </si>
  <si>
    <t>204:232976</t>
  </si>
  <si>
    <t>204:234</t>
  </si>
  <si>
    <t>171-04</t>
  </si>
  <si>
    <t>172-04</t>
  </si>
  <si>
    <t>173-04</t>
  </si>
  <si>
    <t>204:233281</t>
  </si>
  <si>
    <t>174-04</t>
  </si>
  <si>
    <t>175-04</t>
  </si>
  <si>
    <t>204:233385</t>
  </si>
  <si>
    <t>204:233057</t>
  </si>
  <si>
    <t>177-04</t>
  </si>
  <si>
    <t>178-04</t>
  </si>
  <si>
    <t>179-04</t>
  </si>
  <si>
    <t>204:233299</t>
  </si>
  <si>
    <t>181-04</t>
  </si>
  <si>
    <t>182-04</t>
  </si>
  <si>
    <t>183-04</t>
  </si>
  <si>
    <t>204:553</t>
  </si>
  <si>
    <t>184-04</t>
  </si>
  <si>
    <t>185-04</t>
  </si>
  <si>
    <t>186-04</t>
  </si>
  <si>
    <t>204:232968</t>
  </si>
  <si>
    <t>187-04</t>
  </si>
  <si>
    <t>188-04</t>
  </si>
  <si>
    <t>189-04</t>
  </si>
  <si>
    <t>204:233368</t>
  </si>
  <si>
    <t>190-04</t>
  </si>
  <si>
    <t>204:233066</t>
  </si>
  <si>
    <t>191-04</t>
  </si>
  <si>
    <t>192-04</t>
  </si>
  <si>
    <t>193-04</t>
  </si>
  <si>
    <t>194-04</t>
  </si>
  <si>
    <t>195-04</t>
  </si>
  <si>
    <t>196-04</t>
  </si>
  <si>
    <t>197-04</t>
  </si>
  <si>
    <t>198-04</t>
  </si>
  <si>
    <t>199-04</t>
  </si>
  <si>
    <t>200-04</t>
  </si>
  <si>
    <t>201-04</t>
  </si>
  <si>
    <t>204:233317</t>
  </si>
  <si>
    <t>202-04</t>
  </si>
  <si>
    <t>203-04</t>
  </si>
  <si>
    <t>204:233376</t>
  </si>
  <si>
    <t>204-04</t>
  </si>
  <si>
    <t>204:233046</t>
  </si>
  <si>
    <t>204:233230</t>
  </si>
  <si>
    <t>206-04</t>
  </si>
  <si>
    <t>204:232925</t>
  </si>
  <si>
    <t>207-04</t>
  </si>
  <si>
    <t>208-04</t>
  </si>
  <si>
    <t>209-04</t>
  </si>
  <si>
    <t>211-04</t>
  </si>
  <si>
    <t>204:233272</t>
  </si>
  <si>
    <t>212-04</t>
  </si>
  <si>
    <t>213-04</t>
  </si>
  <si>
    <t>204:223</t>
  </si>
  <si>
    <t>215-04</t>
  </si>
  <si>
    <t>217-04</t>
  </si>
  <si>
    <t>204:233342</t>
  </si>
  <si>
    <t>218-04</t>
  </si>
  <si>
    <t>219-04</t>
  </si>
  <si>
    <t>220-04</t>
  </si>
  <si>
    <t>204:232953</t>
  </si>
  <si>
    <t>221-04</t>
  </si>
  <si>
    <t>204:233283</t>
  </si>
  <si>
    <t>222-04</t>
  </si>
  <si>
    <t>223-04</t>
  </si>
  <si>
    <t>204:539</t>
  </si>
  <si>
    <t>224-04</t>
  </si>
  <si>
    <t>225-04</t>
  </si>
  <si>
    <t>226-04</t>
  </si>
  <si>
    <t>227-04</t>
  </si>
  <si>
    <t>204:482</t>
  </si>
  <si>
    <t>228-04</t>
  </si>
  <si>
    <t>229-04</t>
  </si>
  <si>
    <t>230-04</t>
  </si>
  <si>
    <t>231-04</t>
  </si>
  <si>
    <t>232-04</t>
  </si>
  <si>
    <t>233-04</t>
  </si>
  <si>
    <t>234-04</t>
  </si>
  <si>
    <t>235-04</t>
  </si>
  <si>
    <t>236-04</t>
  </si>
  <si>
    <t>204:169</t>
  </si>
  <si>
    <t>237-04</t>
  </si>
  <si>
    <t>238-04</t>
  </si>
  <si>
    <t>239-04</t>
  </si>
  <si>
    <t>240-04</t>
  </si>
  <si>
    <t>241-04</t>
  </si>
  <si>
    <t>242-04</t>
  </si>
  <si>
    <t>243-04</t>
  </si>
  <si>
    <t>244-04</t>
  </si>
  <si>
    <t>303-04</t>
  </si>
  <si>
    <t>204:19130</t>
  </si>
  <si>
    <t>305-04</t>
  </si>
  <si>
    <t>300:23166</t>
  </si>
  <si>
    <t>307-04</t>
  </si>
  <si>
    <t>300:23306</t>
  </si>
  <si>
    <t>309-04</t>
  </si>
  <si>
    <t>300:22081</t>
  </si>
  <si>
    <t>313-04</t>
  </si>
  <si>
    <t>300:23308</t>
  </si>
  <si>
    <t>315-04</t>
  </si>
  <si>
    <t>204:471</t>
  </si>
  <si>
    <t>300:58628</t>
  </si>
  <si>
    <t>204:769</t>
  </si>
  <si>
    <t>204:1060</t>
  </si>
  <si>
    <t>300:58097</t>
  </si>
  <si>
    <t>300:58613</t>
  </si>
  <si>
    <t>204:759</t>
  </si>
  <si>
    <t>300:58606</t>
  </si>
  <si>
    <t>204:1055</t>
  </si>
  <si>
    <t>300:58952</t>
  </si>
  <si>
    <t>300:58632</t>
  </si>
  <si>
    <t>204:778</t>
  </si>
  <si>
    <t>204:990</t>
  </si>
  <si>
    <t>808-04</t>
  </si>
  <si>
    <t>809-04</t>
  </si>
  <si>
    <t>204:1072</t>
  </si>
  <si>
    <t>810-04</t>
  </si>
  <si>
    <t>204:880</t>
  </si>
  <si>
    <t>811-04</t>
  </si>
  <si>
    <t>300:58920</t>
  </si>
  <si>
    <t>300:58604</t>
  </si>
  <si>
    <t>204:689</t>
  </si>
  <si>
    <t>300:58897</t>
  </si>
  <si>
    <t>814-04</t>
  </si>
  <si>
    <t>300:58579</t>
  </si>
  <si>
    <t>204:659</t>
  </si>
  <si>
    <t>300:58909</t>
  </si>
  <si>
    <t>816-04</t>
  </si>
  <si>
    <t>300:58587</t>
  </si>
  <si>
    <t>817-04</t>
  </si>
  <si>
    <t>300:58903</t>
  </si>
  <si>
    <t>818-04</t>
  </si>
  <si>
    <t>300:58576</t>
  </si>
  <si>
    <t>819-04</t>
  </si>
  <si>
    <t>820-04</t>
  </si>
  <si>
    <t>300:58600</t>
  </si>
  <si>
    <t>821-04</t>
  </si>
  <si>
    <t>204:992</t>
  </si>
  <si>
    <t>823-04</t>
  </si>
  <si>
    <t>204:1009</t>
  </si>
  <si>
    <t>300:58207</t>
  </si>
  <si>
    <t>204:878</t>
  </si>
  <si>
    <t>826-04</t>
  </si>
  <si>
    <t>204:642</t>
  </si>
  <si>
    <t>204:901</t>
  </si>
  <si>
    <t>300:58871</t>
  </si>
  <si>
    <t>300:58544</t>
  </si>
  <si>
    <t>204:671</t>
  </si>
  <si>
    <t>829-04</t>
  </si>
  <si>
    <t>204:922</t>
  </si>
  <si>
    <t>830-04</t>
  </si>
  <si>
    <t>300:58591</t>
  </si>
  <si>
    <t>204:628</t>
  </si>
  <si>
    <t>831-04</t>
  </si>
  <si>
    <t>204:953</t>
  </si>
  <si>
    <t>300:58869</t>
  </si>
  <si>
    <t>832-04</t>
  </si>
  <si>
    <t>204:733</t>
  </si>
  <si>
    <t>204:944</t>
  </si>
  <si>
    <t>300:26631</t>
  </si>
  <si>
    <t>300:26624</t>
  </si>
  <si>
    <t>300:28761</t>
  </si>
  <si>
    <t>300:58289</t>
  </si>
  <si>
    <t>835-04</t>
  </si>
  <si>
    <t>300:58867</t>
  </si>
  <si>
    <t>836-04</t>
  </si>
  <si>
    <t>300:58560</t>
  </si>
  <si>
    <t>204:745</t>
  </si>
  <si>
    <t>837-04</t>
  </si>
  <si>
    <t>204:897</t>
  </si>
  <si>
    <t>300:58596</t>
  </si>
  <si>
    <t>300:10708</t>
  </si>
  <si>
    <t>839-04</t>
  </si>
  <si>
    <t>204:1014</t>
  </si>
  <si>
    <t>300:58865</t>
  </si>
  <si>
    <t>204:624</t>
  </si>
  <si>
    <t>841-04</t>
  </si>
  <si>
    <t>204:894</t>
  </si>
  <si>
    <t>843-04</t>
  </si>
  <si>
    <t>204:930</t>
  </si>
  <si>
    <t>300:58570</t>
  </si>
  <si>
    <t>204:670</t>
  </si>
  <si>
    <t>845-04</t>
  </si>
  <si>
    <t>204:1048</t>
  </si>
  <si>
    <t>300:58894</t>
  </si>
  <si>
    <t>847-04</t>
  </si>
  <si>
    <t>204:971</t>
  </si>
  <si>
    <t>300:58843</t>
  </si>
  <si>
    <t>906-04</t>
  </si>
  <si>
    <t>300:28793</t>
  </si>
  <si>
    <t>908-04</t>
  </si>
  <si>
    <t>300:58523</t>
  </si>
  <si>
    <t>300:21896</t>
  </si>
  <si>
    <t>Wi-MAX outage at DUS prevented init</t>
  </si>
  <si>
    <t>311-04</t>
  </si>
  <si>
    <t>SHOOK</t>
  </si>
  <si>
    <t>101-05</t>
  </si>
  <si>
    <t>803-05</t>
  </si>
  <si>
    <t>125-05</t>
  </si>
  <si>
    <t>114-05</t>
  </si>
  <si>
    <t>109-05</t>
  </si>
  <si>
    <t>106-05</t>
  </si>
  <si>
    <t>127-05</t>
  </si>
  <si>
    <t>132-05</t>
  </si>
  <si>
    <t>117-05</t>
  </si>
  <si>
    <t>103-05</t>
  </si>
  <si>
    <t>801-05</t>
  </si>
  <si>
    <t>120-05</t>
  </si>
  <si>
    <t>807-05</t>
  </si>
  <si>
    <t>811-05</t>
  </si>
  <si>
    <t>SUR</t>
  </si>
  <si>
    <t>124-05</t>
  </si>
  <si>
    <t>131-05</t>
  </si>
  <si>
    <t>137-05</t>
  </si>
  <si>
    <t>800-05</t>
  </si>
  <si>
    <t>121-05</t>
  </si>
  <si>
    <t>901-05</t>
  </si>
  <si>
    <t>111-05</t>
  </si>
  <si>
    <t>128-05</t>
  </si>
  <si>
    <t>133-05</t>
  </si>
  <si>
    <t>rtdc.l.rtdc.4006:itc</t>
  </si>
  <si>
    <t>GOLIGHTLY-04</t>
  </si>
  <si>
    <t>GOLIGHTLY</t>
  </si>
  <si>
    <t>110-05</t>
  </si>
  <si>
    <t>102-05</t>
  </si>
  <si>
    <t>104-05</t>
  </si>
  <si>
    <t>808-05</t>
  </si>
  <si>
    <t>107-05</t>
  </si>
  <si>
    <t>119-05</t>
  </si>
  <si>
    <t>805-05</t>
  </si>
  <si>
    <t>115-05</t>
  </si>
  <si>
    <t>130-05</t>
  </si>
  <si>
    <t>129-05</t>
  </si>
  <si>
    <t>116-05</t>
  </si>
  <si>
    <t>809-05</t>
  </si>
  <si>
    <t>810-05</t>
  </si>
  <si>
    <t>802-05</t>
  </si>
  <si>
    <t>122-05</t>
  </si>
  <si>
    <t>113-05</t>
  </si>
  <si>
    <t>126-05</t>
  </si>
  <si>
    <t>806-05</t>
  </si>
  <si>
    <t>112-05</t>
  </si>
  <si>
    <t>804-05</t>
  </si>
  <si>
    <t>108-05</t>
  </si>
  <si>
    <t>135-05</t>
  </si>
  <si>
    <t>123-05</t>
  </si>
  <si>
    <t>118-05</t>
  </si>
  <si>
    <t>302-05</t>
  </si>
  <si>
    <t>105-05</t>
  </si>
  <si>
    <t>139-05</t>
  </si>
  <si>
    <t>Onboard in-route failure delayed init</t>
  </si>
  <si>
    <t>Wi-MAX outage, but made it into DUS</t>
  </si>
  <si>
    <t>NW0109XH (BNSF FUEL CROSSING) 14-2T 2S premature downgrade</t>
  </si>
  <si>
    <t>61st 2N was STOP, cleared a minute later</t>
  </si>
  <si>
    <t>40th 4S was STOP, cleared a minute later</t>
  </si>
  <si>
    <t>Went active too close to signal</t>
  </si>
  <si>
    <t>Overspeed</t>
  </si>
  <si>
    <t>103-04</t>
  </si>
  <si>
    <t>105-04</t>
  </si>
  <si>
    <t>846-04</t>
  </si>
  <si>
    <t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22103-04%22)),sort:!(Time,asc))</t>
  </si>
  <si>
    <t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22105-04%22)),sort:!(Time,asc))</t>
  </si>
  <si>
    <t>not found in data</t>
  </si>
  <si>
    <t>BNSF train issue on adjacent track, turned around for safety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</si>
</sst>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h:mm:ss;@"/>
    <numFmt numFmtId="165" formatCode="0.0%"/>
    <numFmt numFmtId="166" formatCode="yyyy\-mm\-dd"/>
    <numFmt numFmtId="167" formatCode="yyyy\-mm\-dd\ hh:mm:ss"/>
    <numFmt numFmtId="168" formatCode="m/d/yy\ h:mm;@"/>
    <numFmt numFmtId="169" formatCode="[$-F400]h:mm:ss\ AM/PM"/>
    <numFmt numFmtId="170" formatCode="0.000"/>
    <numFmt numFmtId="171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4C9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ECF0F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169" fontId="0" fillId="0" borderId="0"/>
    <xf numFmtId="169" fontId="7" fillId="0" borderId="0"/>
    <xf numFmtId="9" fontId="11" fillId="0" borderId="0" applyFont="0" applyFill="0" applyBorder="0" applyAlignment="0" applyProtection="0"/>
  </cellStyleXfs>
  <cellXfs count="146">
    <xf numFmtId="169" fontId="0" fillId="0" borderId="0" xfId="0"/>
    <xf numFmtId="169" fontId="0" fillId="0" borderId="0" xfId="0" applyFill="1"/>
    <xf numFmtId="1" fontId="0" fillId="0" borderId="0" xfId="0" applyNumberFormat="1"/>
    <xf numFmtId="1" fontId="0" fillId="0" borderId="2" xfId="0" applyNumberFormat="1" applyBorder="1" applyAlignment="1">
      <alignment horizontal="center" vertical="center"/>
    </xf>
    <xf numFmtId="169" fontId="0" fillId="0" borderId="0" xfId="0" applyBorder="1" applyAlignment="1">
      <alignment horizontal="center" vertical="center" wrapText="1"/>
    </xf>
    <xf numFmtId="169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169" fontId="0" fillId="0" borderId="5" xfId="0" applyFill="1" applyBorder="1" applyAlignment="1"/>
    <xf numFmtId="169" fontId="0" fillId="0" borderId="5" xfId="0" applyFill="1" applyBorder="1" applyAlignment="1">
      <alignment vertical="center"/>
    </xf>
    <xf numFmtId="167" fontId="1" fillId="0" borderId="5" xfId="0" applyNumberFormat="1" applyFont="1" applyFill="1" applyBorder="1" applyAlignment="1">
      <alignment horizontal="center" vertical="center" wrapText="1"/>
    </xf>
    <xf numFmtId="169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9" fontId="3" fillId="0" borderId="6" xfId="0" applyFont="1" applyBorder="1" applyAlignment="1">
      <alignment horizontal="center" wrapText="1"/>
    </xf>
    <xf numFmtId="166" fontId="4" fillId="0" borderId="7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9" fontId="1" fillId="0" borderId="5" xfId="0" applyFont="1" applyFill="1" applyBorder="1" applyAlignment="1">
      <alignment horizontal="left" vertical="center" wrapText="1"/>
    </xf>
    <xf numFmtId="169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169" fontId="1" fillId="0" borderId="5" xfId="0" applyFont="1" applyBorder="1" applyAlignment="1">
      <alignment horizontal="center" vertical="center" wrapText="1"/>
    </xf>
    <xf numFmtId="169" fontId="5" fillId="0" borderId="0" xfId="0" applyFont="1"/>
    <xf numFmtId="169" fontId="0" fillId="0" borderId="0" xfId="0"/>
    <xf numFmtId="169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169" fontId="0" fillId="0" borderId="0" xfId="0" applyBorder="1"/>
    <xf numFmtId="167" fontId="0" fillId="0" borderId="8" xfId="0" applyNumberFormat="1" applyBorder="1"/>
    <xf numFmtId="17" fontId="0" fillId="0" borderId="0" xfId="0" applyNumberFormat="1"/>
    <xf numFmtId="167" fontId="0" fillId="0" borderId="0" xfId="0" applyNumberFormat="1" applyBorder="1"/>
    <xf numFmtId="169" fontId="0" fillId="0" borderId="0" xfId="0" applyAlignment="1">
      <alignment horizontal="left"/>
    </xf>
    <xf numFmtId="169" fontId="0" fillId="0" borderId="0" xfId="0" applyFill="1" applyBorder="1"/>
    <xf numFmtId="168" fontId="0" fillId="0" borderId="5" xfId="0" applyNumberFormat="1" applyFill="1" applyBorder="1" applyAlignment="1">
      <alignment horizontal="left"/>
    </xf>
    <xf numFmtId="169" fontId="0" fillId="0" borderId="5" xfId="0" applyBorder="1"/>
    <xf numFmtId="169" fontId="8" fillId="4" borderId="9" xfId="1" applyFont="1" applyFill="1" applyBorder="1" applyAlignment="1">
      <alignment horizontal="center"/>
    </xf>
    <xf numFmtId="169" fontId="8" fillId="0" borderId="10" xfId="1" applyFont="1" applyFill="1" applyBorder="1" applyAlignment="1">
      <alignment wrapText="1"/>
    </xf>
    <xf numFmtId="169" fontId="8" fillId="0" borderId="10" xfId="1" applyFont="1" applyFill="1" applyBorder="1" applyAlignment="1">
      <alignment horizontal="right" wrapText="1"/>
    </xf>
    <xf numFmtId="9" fontId="0" fillId="0" borderId="5" xfId="0" applyNumberFormat="1" applyFill="1" applyBorder="1"/>
    <xf numFmtId="169" fontId="0" fillId="2" borderId="11" xfId="0" applyFill="1" applyBorder="1" applyAlignment="1">
      <alignment vertical="center" wrapText="1"/>
    </xf>
    <xf numFmtId="169" fontId="0" fillId="0" borderId="14" xfId="0" applyBorder="1" applyAlignment="1">
      <alignment vertical="center" wrapText="1"/>
    </xf>
    <xf numFmtId="167" fontId="0" fillId="0" borderId="5" xfId="0" applyNumberFormat="1" applyBorder="1"/>
    <xf numFmtId="22" fontId="0" fillId="0" borderId="5" xfId="0" applyNumberFormat="1" applyFill="1" applyBorder="1" applyAlignment="1">
      <alignment horizontal="left"/>
    </xf>
    <xf numFmtId="167" fontId="0" fillId="0" borderId="0" xfId="0" applyNumberFormat="1" applyAlignment="1">
      <alignment horizontal="left"/>
    </xf>
    <xf numFmtId="169" fontId="0" fillId="0" borderId="0" xfId="0" applyFill="1" applyAlignment="1">
      <alignment horizontal="left"/>
    </xf>
    <xf numFmtId="20" fontId="0" fillId="0" borderId="0" xfId="0" applyNumberFormat="1" applyFill="1" applyAlignment="1">
      <alignment horizontal="left" wrapText="1"/>
    </xf>
    <xf numFmtId="1" fontId="0" fillId="0" borderId="0" xfId="0" applyNumberFormat="1" applyAlignment="1">
      <alignment horizontal="left"/>
    </xf>
    <xf numFmtId="169" fontId="0" fillId="0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169" fontId="0" fillId="0" borderId="4" xfId="0" applyBorder="1" applyAlignment="1">
      <alignment horizontal="left" vertical="center"/>
    </xf>
    <xf numFmtId="1" fontId="0" fillId="0" borderId="3" xfId="0" applyNumberFormat="1" applyFill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1" fontId="0" fillId="0" borderId="5" xfId="0" applyNumberFormat="1" applyBorder="1"/>
    <xf numFmtId="169" fontId="0" fillId="0" borderId="0" xfId="0" applyNumberFormat="1"/>
    <xf numFmtId="169" fontId="0" fillId="0" borderId="0" xfId="0" applyNumberFormat="1" applyAlignment="1">
      <alignment horizontal="center" vertical="center"/>
    </xf>
    <xf numFmtId="169" fontId="0" fillId="0" borderId="5" xfId="0" applyFill="1" applyBorder="1"/>
    <xf numFmtId="169" fontId="10" fillId="0" borderId="0" xfId="0" applyFont="1" applyBorder="1" applyAlignment="1">
      <alignment horizontal="center" vertical="center" wrapText="1"/>
    </xf>
    <xf numFmtId="169" fontId="10" fillId="0" borderId="0" xfId="0" applyFont="1" applyFill="1" applyBorder="1"/>
    <xf numFmtId="169" fontId="10" fillId="0" borderId="0" xfId="0" applyFont="1" applyFill="1"/>
    <xf numFmtId="169" fontId="0" fillId="0" borderId="5" xfId="0" applyBorder="1" applyAlignment="1">
      <alignment horizontal="center" vertical="center" wrapText="1"/>
    </xf>
    <xf numFmtId="1" fontId="0" fillId="0" borderId="4" xfId="0" applyNumberFormat="1" applyBorder="1" applyAlignment="1">
      <alignment horizontal="left" vertical="center"/>
    </xf>
    <xf numFmtId="170" fontId="5" fillId="0" borderId="0" xfId="0" applyNumberFormat="1" applyFont="1" applyAlignment="1">
      <alignment horizontal="left"/>
    </xf>
    <xf numFmtId="170" fontId="0" fillId="0" borderId="0" xfId="0" applyNumberFormat="1"/>
    <xf numFmtId="170" fontId="10" fillId="0" borderId="0" xfId="0" applyNumberFormat="1" applyFont="1" applyBorder="1" applyAlignment="1">
      <alignment horizontal="center" vertical="center" wrapText="1"/>
    </xf>
    <xf numFmtId="170" fontId="10" fillId="0" borderId="0" xfId="0" applyNumberFormat="1" applyFont="1" applyBorder="1" applyAlignment="1">
      <alignment horizontal="left" vertical="center" wrapText="1"/>
    </xf>
    <xf numFmtId="170" fontId="10" fillId="0" borderId="0" xfId="0" applyNumberFormat="1" applyFont="1" applyFill="1" applyBorder="1" applyAlignment="1">
      <alignment horizontal="left"/>
    </xf>
    <xf numFmtId="170" fontId="10" fillId="0" borderId="0" xfId="0" applyNumberFormat="1" applyFont="1" applyFill="1"/>
    <xf numFmtId="1" fontId="5" fillId="0" borderId="0" xfId="0" applyNumberFormat="1" applyFont="1" applyAlignment="1">
      <alignment horizontal="left"/>
    </xf>
    <xf numFmtId="1" fontId="10" fillId="0" borderId="0" xfId="0" applyNumberFormat="1" applyFont="1" applyBorder="1" applyAlignment="1">
      <alignment horizontal="left" vertical="center" wrapText="1"/>
    </xf>
    <xf numFmtId="1" fontId="10" fillId="0" borderId="0" xfId="0" applyNumberFormat="1" applyFont="1" applyFill="1" applyBorder="1" applyAlignment="1">
      <alignment horizontal="left"/>
    </xf>
    <xf numFmtId="171" fontId="5" fillId="0" borderId="0" xfId="0" applyNumberFormat="1" applyFont="1"/>
    <xf numFmtId="171" fontId="10" fillId="0" borderId="0" xfId="0" applyNumberFormat="1" applyFont="1" applyBorder="1" applyAlignment="1">
      <alignment horizontal="center" vertical="center" wrapText="1"/>
    </xf>
    <xf numFmtId="171" fontId="10" fillId="0" borderId="0" xfId="0" applyNumberFormat="1" applyFont="1" applyFill="1" applyBorder="1"/>
    <xf numFmtId="1" fontId="5" fillId="0" borderId="0" xfId="0" applyNumberFormat="1" applyFont="1"/>
    <xf numFmtId="1" fontId="10" fillId="0" borderId="0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0" fillId="0" borderId="5" xfId="0" applyNumberFormat="1" applyBorder="1" applyAlignment="1">
      <alignment horizontal="center" vertical="center" wrapText="1"/>
    </xf>
    <xf numFmtId="0" fontId="0" fillId="0" borderId="5" xfId="0" applyNumberFormat="1" applyFill="1" applyBorder="1"/>
    <xf numFmtId="165" fontId="0" fillId="0" borderId="0" xfId="2" applyNumberFormat="1" applyFont="1" applyAlignment="1">
      <alignment horizontal="left"/>
    </xf>
    <xf numFmtId="169" fontId="0" fillId="2" borderId="12" xfId="0" applyFill="1" applyBorder="1" applyAlignment="1">
      <alignment horizontal="left" vertical="center" wrapText="1"/>
    </xf>
    <xf numFmtId="169" fontId="0" fillId="0" borderId="15" xfId="0" applyBorder="1" applyAlignment="1">
      <alignment horizontal="left" vertical="center" wrapText="1"/>
    </xf>
    <xf numFmtId="0" fontId="0" fillId="2" borderId="13" xfId="0" applyNumberFormat="1" applyFill="1" applyBorder="1"/>
    <xf numFmtId="0" fontId="0" fillId="0" borderId="16" xfId="0" applyNumberFormat="1" applyBorder="1"/>
    <xf numFmtId="169" fontId="1" fillId="0" borderId="5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169" fontId="1" fillId="0" borderId="5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5" xfId="0" applyNumberFormat="1" applyBorder="1" applyAlignment="1">
      <alignment horizontal="left"/>
    </xf>
    <xf numFmtId="169" fontId="0" fillId="0" borderId="5" xfId="0" applyBorder="1" applyAlignment="1">
      <alignment horizontal="left"/>
    </xf>
    <xf numFmtId="167" fontId="0" fillId="0" borderId="5" xfId="0" applyNumberFormat="1" applyBorder="1" applyAlignment="1">
      <alignment horizontal="left"/>
    </xf>
    <xf numFmtId="0" fontId="1" fillId="0" borderId="0" xfId="0" applyNumberFormat="1" applyFont="1" applyBorder="1" applyAlignment="1">
      <alignment horizontal="center" wrapText="1"/>
    </xf>
    <xf numFmtId="0" fontId="0" fillId="0" borderId="5" xfId="0" applyNumberFormat="1" applyBorder="1"/>
    <xf numFmtId="0" fontId="0" fillId="0" borderId="0" xfId="0" applyNumberFormat="1" applyAlignment="1">
      <alignment horizontal="center"/>
    </xf>
    <xf numFmtId="0" fontId="1" fillId="0" borderId="0" xfId="0" applyNumberFormat="1" applyFont="1" applyBorder="1" applyAlignment="1">
      <alignment horizontal="left" wrapText="1"/>
    </xf>
    <xf numFmtId="0" fontId="0" fillId="0" borderId="0" xfId="0" applyNumberFormat="1" applyAlignment="1">
      <alignment horizontal="left"/>
    </xf>
    <xf numFmtId="0" fontId="1" fillId="0" borderId="5" xfId="0" applyNumberFormat="1" applyFont="1" applyFill="1" applyBorder="1" applyAlignment="1">
      <alignment horizont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/>
    <xf numFmtId="169" fontId="8" fillId="4" borderId="0" xfId="1" applyFont="1" applyFill="1" applyBorder="1" applyAlignment="1">
      <alignment horizontal="center"/>
    </xf>
    <xf numFmtId="166" fontId="0" fillId="0" borderId="1" xfId="0" applyNumberFormat="1" applyBorder="1" applyAlignment="1"/>
    <xf numFmtId="166" fontId="0" fillId="0" borderId="2" xfId="0" applyNumberFormat="1" applyBorder="1" applyAlignment="1"/>
    <xf numFmtId="166" fontId="0" fillId="0" borderId="4" xfId="0" applyNumberFormat="1" applyBorder="1" applyAlignment="1">
      <alignment horizontal="left"/>
    </xf>
    <xf numFmtId="169" fontId="1" fillId="0" borderId="1" xfId="0" applyFont="1" applyBorder="1" applyAlignment="1"/>
    <xf numFmtId="169" fontId="1" fillId="0" borderId="4" xfId="0" applyFont="1" applyBorder="1" applyAlignment="1"/>
    <xf numFmtId="169" fontId="1" fillId="0" borderId="2" xfId="0" applyFont="1" applyBorder="1" applyAlignment="1"/>
    <xf numFmtId="20" fontId="0" fillId="0" borderId="1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20" fontId="0" fillId="0" borderId="2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167" fontId="0" fillId="2" borderId="3" xfId="0" applyNumberFormat="1" applyFill="1" applyBorder="1" applyAlignment="1">
      <alignment horizontal="left" vertical="center"/>
    </xf>
    <xf numFmtId="167" fontId="0" fillId="3" borderId="3" xfId="0" applyNumberFormat="1" applyFill="1" applyBorder="1" applyAlignment="1">
      <alignment horizontal="left" vertical="center"/>
    </xf>
    <xf numFmtId="20" fontId="0" fillId="0" borderId="0" xfId="0" applyNumberFormat="1" applyFill="1" applyAlignment="1">
      <alignment horizontal="left"/>
    </xf>
    <xf numFmtId="1" fontId="0" fillId="0" borderId="0" xfId="0" applyNumberFormat="1" applyAlignment="1"/>
    <xf numFmtId="169" fontId="0" fillId="0" borderId="17" xfId="0" applyFill="1" applyBorder="1" applyAlignment="1">
      <alignment horizontal="left"/>
    </xf>
    <xf numFmtId="169" fontId="0" fillId="0" borderId="17" xfId="0" applyFill="1" applyBorder="1" applyAlignment="1">
      <alignment horizontal="left" vertical="center"/>
    </xf>
    <xf numFmtId="169" fontId="1" fillId="0" borderId="17" xfId="0" applyFont="1" applyBorder="1" applyAlignment="1">
      <alignment horizontal="left" vertical="center" wrapText="1"/>
    </xf>
    <xf numFmtId="0" fontId="10" fillId="0" borderId="0" xfId="0" applyNumberFormat="1" applyFont="1" applyFill="1" applyBorder="1"/>
    <xf numFmtId="0" fontId="0" fillId="0" borderId="5" xfId="0" quotePrefix="1" applyNumberFormat="1" applyBorder="1" applyAlignment="1">
      <alignment horizontal="left"/>
    </xf>
    <xf numFmtId="169" fontId="0" fillId="5" borderId="0" xfId="0" applyFill="1"/>
    <xf numFmtId="169" fontId="10" fillId="5" borderId="0" xfId="0" applyFont="1" applyFill="1" applyBorder="1" applyAlignment="1">
      <alignment horizontal="center" vertical="center" wrapText="1"/>
    </xf>
    <xf numFmtId="169" fontId="10" fillId="5" borderId="0" xfId="0" applyFont="1" applyFill="1"/>
    <xf numFmtId="169" fontId="0" fillId="6" borderId="0" xfId="0" applyFill="1"/>
    <xf numFmtId="169" fontId="10" fillId="6" borderId="0" xfId="0" applyFont="1" applyFill="1" applyBorder="1" applyAlignment="1">
      <alignment horizontal="center" vertical="center" wrapText="1"/>
    </xf>
    <xf numFmtId="169" fontId="10" fillId="6" borderId="0" xfId="0" applyFont="1" applyFill="1"/>
    <xf numFmtId="169" fontId="10" fillId="7" borderId="0" xfId="0" applyFont="1" applyFill="1"/>
    <xf numFmtId="169" fontId="10" fillId="7" borderId="0" xfId="0" applyFont="1" applyFill="1" applyBorder="1" applyAlignment="1">
      <alignment horizontal="center" vertical="center" wrapText="1"/>
    </xf>
    <xf numFmtId="169" fontId="1" fillId="0" borderId="1" xfId="0" applyFont="1" applyFill="1" applyBorder="1" applyAlignment="1"/>
    <xf numFmtId="169" fontId="5" fillId="0" borderId="0" xfId="0" applyFont="1" applyFill="1"/>
    <xf numFmtId="169" fontId="5" fillId="8" borderId="0" xfId="0" applyFont="1" applyFill="1"/>
    <xf numFmtId="169" fontId="10" fillId="8" borderId="0" xfId="0" applyFont="1" applyFill="1" applyBorder="1" applyAlignment="1">
      <alignment horizontal="center" vertical="center" wrapText="1"/>
    </xf>
    <xf numFmtId="169" fontId="10" fillId="8" borderId="0" xfId="0" applyFont="1" applyFill="1" applyBorder="1"/>
    <xf numFmtId="0" fontId="1" fillId="0" borderId="0" xfId="0" applyNumberFormat="1" applyFont="1" applyBorder="1"/>
    <xf numFmtId="169" fontId="0" fillId="6" borderId="0" xfId="0" applyFill="1" applyAlignment="1">
      <alignment horizontal="center" vertical="center"/>
    </xf>
    <xf numFmtId="169" fontId="9" fillId="6" borderId="5" xfId="0" applyFont="1" applyFill="1" applyBorder="1" applyAlignment="1">
      <alignment horizontal="center" vertical="center" wrapText="1"/>
    </xf>
    <xf numFmtId="169" fontId="10" fillId="6" borderId="5" xfId="0" applyFont="1" applyFill="1" applyBorder="1"/>
    <xf numFmtId="169" fontId="6" fillId="8" borderId="0" xfId="0" applyFont="1" applyFill="1"/>
    <xf numFmtId="169" fontId="6" fillId="8" borderId="0" xfId="0" applyFont="1" applyFill="1" applyAlignment="1">
      <alignment horizontal="center" vertical="center"/>
    </xf>
    <xf numFmtId="169" fontId="9" fillId="8" borderId="5" xfId="0" applyFont="1" applyFill="1" applyBorder="1" applyAlignment="1">
      <alignment horizontal="center" vertical="center" wrapText="1"/>
    </xf>
    <xf numFmtId="169" fontId="10" fillId="8" borderId="5" xfId="0" applyFont="1" applyFill="1" applyBorder="1" applyAlignment="1"/>
    <xf numFmtId="169" fontId="0" fillId="5" borderId="0" xfId="0" applyFill="1" applyAlignment="1">
      <alignment horizontal="center" vertical="center"/>
    </xf>
    <xf numFmtId="169" fontId="9" fillId="5" borderId="5" xfId="0" applyFont="1" applyFill="1" applyBorder="1"/>
    <xf numFmtId="169" fontId="10" fillId="5" borderId="5" xfId="0" applyFont="1" applyFill="1" applyBorder="1"/>
    <xf numFmtId="1" fontId="0" fillId="0" borderId="5" xfId="0" quotePrefix="1" applyNumberFormat="1" applyFill="1" applyBorder="1" applyAlignment="1">
      <alignment horizontal="left"/>
    </xf>
    <xf numFmtId="169" fontId="2" fillId="0" borderId="0" xfId="0" applyFont="1" applyBorder="1" applyAlignment="1">
      <alignment horizontal="center" vertical="center"/>
    </xf>
    <xf numFmtId="169" fontId="1" fillId="0" borderId="0" xfId="0" applyFont="1" applyBorder="1" applyAlignment="1">
      <alignment horizontal="center"/>
    </xf>
  </cellXfs>
  <cellStyles count="3">
    <cellStyle name="Normal" xfId="0" builtinId="0"/>
    <cellStyle name="Normal_XINGS" xfId="1"/>
    <cellStyle name="Percent" xfId="2" builtinId="5"/>
  </cellStyles>
  <dxfs count="15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13"/>
  <sheetViews>
    <sheetView tabSelected="1" topLeftCell="A175" workbookViewId="0">
      <selection activeCell="R196" sqref="R196"/>
    </sheetView>
  </sheetViews>
  <sheetFormatPr defaultRowHeight="15" x14ac:dyDescent="0.25"/>
  <cols>
    <col min="1" max="1" width="8" style="44" customWidth="1"/>
    <col min="2" max="2" width="6.140625" style="46" customWidth="1"/>
    <col min="3" max="3" width="13.5703125" style="31" hidden="1" customWidth="1"/>
    <col min="4" max="4" width="16.140625" style="31" hidden="1" customWidth="1"/>
    <col min="5" max="5" width="19.5703125" style="43" hidden="1" customWidth="1"/>
    <col min="6" max="6" width="18.28515625" style="43" customWidth="1"/>
    <col min="7" max="7" width="4.85546875" style="46" hidden="1" customWidth="1"/>
    <col min="8" max="8" width="22.140625" style="43" hidden="1" customWidth="1"/>
    <col min="9" max="9" width="18.5703125" style="43" customWidth="1"/>
    <col min="10" max="10" width="7.28515625" style="46" customWidth="1"/>
    <col min="11" max="11" width="10.42578125" style="31" customWidth="1"/>
    <col min="12" max="12" width="13.28515625" style="31" customWidth="1"/>
    <col min="13" max="13" width="9.5703125" style="45" customWidth="1"/>
    <col min="14" max="14" width="4.140625" style="46" customWidth="1"/>
    <col min="15" max="15" width="4.7109375" style="2" customWidth="1"/>
    <col min="16" max="16" width="4" style="2" customWidth="1"/>
    <col min="17" max="17" width="5.85546875" hidden="1" customWidth="1"/>
    <col min="18" max="18" width="47" customWidth="1"/>
    <col min="19" max="19" width="7.7109375" style="24" customWidth="1"/>
    <col min="20" max="20" width="3.85546875" customWidth="1"/>
    <col min="21" max="21" width="4.7109375" style="75" customWidth="1"/>
    <col min="22" max="22" width="5.7109375" style="129" customWidth="1"/>
    <col min="23" max="23" width="3.85546875" style="23" customWidth="1"/>
    <col min="24" max="24" width="4.140625" style="73" customWidth="1"/>
    <col min="25" max="25" width="9.140625" style="70"/>
    <col min="26" max="26" width="7.28515625" style="70" customWidth="1"/>
    <col min="27" max="27" width="9.140625" style="70"/>
    <col min="28" max="28" width="10.7109375" style="67" hidden="1" customWidth="1"/>
    <col min="29" max="29" width="9.42578125" style="61" hidden="1" customWidth="1"/>
    <col min="30" max="30" width="7.85546875" style="62" customWidth="1"/>
    <col min="31" max="31" width="4.5703125" style="122" customWidth="1"/>
    <col min="32" max="32" width="6.28515625" style="119" customWidth="1"/>
    <col min="33" max="33" width="5.42578125" customWidth="1"/>
    <col min="34" max="34" width="5" style="125" customWidth="1"/>
  </cols>
  <sheetData>
    <row r="1" spans="1:91" s="24" customFormat="1" ht="15.75" thickBot="1" x14ac:dyDescent="0.3">
      <c r="A1" s="44"/>
      <c r="B1" s="46"/>
      <c r="C1" s="31"/>
      <c r="D1" s="31"/>
      <c r="E1" s="43"/>
      <c r="F1" s="43"/>
      <c r="G1" s="46"/>
      <c r="H1" s="43"/>
      <c r="I1" s="43" t="s">
        <v>297</v>
      </c>
      <c r="J1" s="46"/>
      <c r="K1" s="31"/>
      <c r="L1" s="31"/>
      <c r="M1" s="45"/>
      <c r="N1" s="46"/>
      <c r="O1" s="2"/>
      <c r="P1" s="2"/>
      <c r="R1" s="43" t="s">
        <v>298</v>
      </c>
      <c r="S1" s="46"/>
      <c r="T1" s="31"/>
      <c r="U1" s="31"/>
      <c r="V1" s="45"/>
      <c r="W1" s="46"/>
      <c r="X1" s="2"/>
      <c r="Y1" s="70"/>
      <c r="Z1" s="70"/>
      <c r="AA1" s="70"/>
      <c r="AB1" s="67"/>
      <c r="AC1" s="61"/>
      <c r="AD1" s="62"/>
      <c r="AE1" s="1"/>
      <c r="AF1" s="1"/>
      <c r="AG1" s="1"/>
      <c r="AH1" s="58"/>
    </row>
    <row r="2" spans="1:91" s="24" customFormat="1" ht="15.75" thickBot="1" x14ac:dyDescent="0.3">
      <c r="A2" s="44"/>
      <c r="B2" s="46"/>
      <c r="C2" s="31"/>
      <c r="D2" s="31"/>
      <c r="E2" s="43"/>
      <c r="F2" s="43"/>
      <c r="G2" s="46"/>
      <c r="H2" s="43"/>
      <c r="I2" s="100">
        <f>Variables!$A$2</f>
        <v>42586</v>
      </c>
      <c r="J2" s="101"/>
      <c r="K2" s="102"/>
      <c r="L2" s="102"/>
      <c r="M2" s="103" t="s">
        <v>8</v>
      </c>
      <c r="N2" s="104"/>
      <c r="O2" s="105"/>
      <c r="P2" s="2"/>
      <c r="R2" s="100">
        <f>Variables!$A$2</f>
        <v>42586</v>
      </c>
      <c r="S2" s="101"/>
      <c r="T2" s="102"/>
      <c r="U2" s="102"/>
      <c r="V2" s="127" t="s">
        <v>8</v>
      </c>
      <c r="W2" s="104"/>
      <c r="X2" s="105"/>
      <c r="Y2" s="70"/>
      <c r="Z2" s="70"/>
      <c r="AA2" s="70"/>
      <c r="AB2" s="67"/>
      <c r="AC2" s="61"/>
      <c r="AD2" s="62"/>
      <c r="AE2" s="1"/>
      <c r="AF2" s="1"/>
      <c r="AG2" s="1"/>
      <c r="AH2" s="58"/>
    </row>
    <row r="3" spans="1:91" s="24" customFormat="1" ht="15.75" thickBot="1" x14ac:dyDescent="0.3">
      <c r="A3" s="44"/>
      <c r="B3" s="46"/>
      <c r="C3" s="31"/>
      <c r="D3" s="31"/>
      <c r="E3" s="43"/>
      <c r="F3" s="43"/>
      <c r="G3" s="46"/>
      <c r="H3" s="43"/>
      <c r="I3" s="106" t="s">
        <v>10</v>
      </c>
      <c r="J3" s="107"/>
      <c r="K3" s="108"/>
      <c r="L3" s="108"/>
      <c r="M3" s="47" t="s">
        <v>11</v>
      </c>
      <c r="N3" s="48" t="s">
        <v>12</v>
      </c>
      <c r="O3" s="3" t="s">
        <v>13</v>
      </c>
      <c r="P3" s="2"/>
      <c r="R3" s="106" t="s">
        <v>10</v>
      </c>
      <c r="S3" s="107"/>
      <c r="T3" s="108"/>
      <c r="U3" s="108"/>
      <c r="V3" s="47" t="s">
        <v>11</v>
      </c>
      <c r="W3" s="48" t="s">
        <v>12</v>
      </c>
      <c r="X3" s="3" t="s">
        <v>13</v>
      </c>
      <c r="Y3" s="70"/>
      <c r="Z3" s="70"/>
      <c r="AA3" s="70"/>
      <c r="AB3" s="67"/>
      <c r="AC3" s="61"/>
      <c r="AD3" s="62"/>
      <c r="AE3" s="1"/>
      <c r="AF3" s="1"/>
      <c r="AG3" s="1"/>
      <c r="AH3" s="58"/>
    </row>
    <row r="4" spans="1:91" s="24" customFormat="1" ht="15.75" thickBot="1" x14ac:dyDescent="0.3">
      <c r="A4" s="44"/>
      <c r="B4" s="46"/>
      <c r="C4" s="31"/>
      <c r="D4" s="31"/>
      <c r="E4" s="43"/>
      <c r="F4" s="43"/>
      <c r="G4" s="46"/>
      <c r="H4" s="43"/>
      <c r="I4" s="109" t="s">
        <v>14</v>
      </c>
      <c r="J4" s="60">
        <f>SUM(J5:J7)</f>
        <v>144</v>
      </c>
      <c r="K4" s="49"/>
      <c r="L4" s="49"/>
      <c r="M4" s="50" t="s">
        <v>15</v>
      </c>
      <c r="N4" s="48" t="s">
        <v>15</v>
      </c>
      <c r="O4" s="3" t="s">
        <v>15</v>
      </c>
      <c r="P4" s="2"/>
      <c r="R4" s="109" t="s">
        <v>14</v>
      </c>
      <c r="S4" s="60">
        <f>SUM(S5:S7)</f>
        <v>47</v>
      </c>
      <c r="T4" s="49"/>
      <c r="U4" s="49"/>
      <c r="V4" s="50" t="s">
        <v>15</v>
      </c>
      <c r="W4" s="48" t="s">
        <v>15</v>
      </c>
      <c r="X4" s="3" t="s">
        <v>15</v>
      </c>
      <c r="Y4" s="70"/>
      <c r="Z4" s="70"/>
      <c r="AA4" s="70"/>
      <c r="AB4" s="67"/>
      <c r="AC4" s="61"/>
      <c r="AD4" s="62"/>
      <c r="AE4" s="1"/>
      <c r="AF4" s="1"/>
      <c r="AG4" s="1"/>
      <c r="AH4" s="58"/>
    </row>
    <row r="5" spans="1:91" s="24" customFormat="1" ht="15.75" thickBot="1" x14ac:dyDescent="0.3">
      <c r="A5" s="44"/>
      <c r="B5" s="46"/>
      <c r="C5" s="31"/>
      <c r="D5" s="31"/>
      <c r="E5" s="43"/>
      <c r="F5" s="43"/>
      <c r="G5" s="46"/>
      <c r="H5" s="43"/>
      <c r="I5" s="109" t="s">
        <v>17</v>
      </c>
      <c r="J5" s="60">
        <f>COUNTIFS($N$13:$N$9870,"&gt;0",$AG$13:$AG$9870,I1)</f>
        <v>139</v>
      </c>
      <c r="K5" s="49"/>
      <c r="L5" s="49"/>
      <c r="M5" s="50">
        <f>AVERAGEIFS($N$13:$N$9870,$AG$13:$AG$9870,I1)</f>
        <v>43.6847721820399</v>
      </c>
      <c r="N5" s="48">
        <f t="array" ref="N5">MIN(IF($AG$13:$AG$9870=I1,IF(ISNUMBER($N$13:$N$9870),IF($N$13:$N$9870&gt;0,$N$13:$N$9870))))</f>
        <v>35.399999998044223</v>
      </c>
      <c r="O5" s="3">
        <f t="array" ref="O5">MAX(IF($AG$13:$AG$9870=I1,IF(ISNUMBER($N$13:$N$9870),IF($N$13:$N$9870&gt;0,$N$13:$N$9870))))</f>
        <v>57.699999993201345</v>
      </c>
      <c r="P5" s="2"/>
      <c r="R5" s="109" t="s">
        <v>17</v>
      </c>
      <c r="S5" s="60">
        <f>COUNTIFS($N$13:$N$9870,"&gt;0",$AG$13:$AG$9870,R1)</f>
        <v>43</v>
      </c>
      <c r="T5" s="49"/>
      <c r="U5" s="49"/>
      <c r="V5" s="50">
        <f>AVERAGEIFS($N$13:$N$9870,$AG$13:$AG$9870,R1)</f>
        <v>22.543410853358246</v>
      </c>
      <c r="W5" s="48">
        <f t="array" ref="W5">MIN(IF($AG$13:$AG$9870=R1,IF(ISNUMBER($N$13:$N$9870),IF($N$13:$N$9870&gt;0,$N$13:$N$9870))))</f>
        <v>15.716666673542932</v>
      </c>
      <c r="X5" s="3">
        <f t="array" ref="X5">MAX(IF($AG$13:$AG$9870=R1,IF(ISNUMBER($N$13:$N$9870),IF($N$13:$N$9870&gt;0,$N$13:$N$9870))))</f>
        <v>37.116666667861864</v>
      </c>
      <c r="Y5" s="70"/>
      <c r="Z5" s="70"/>
      <c r="AA5" s="70"/>
      <c r="AB5" s="67"/>
      <c r="AC5" s="61"/>
      <c r="AD5" s="62"/>
      <c r="AE5" s="1"/>
      <c r="AF5" s="1"/>
      <c r="AG5" s="1"/>
      <c r="AH5" s="58"/>
    </row>
    <row r="6" spans="1:91" s="24" customFormat="1" ht="15.75" thickBot="1" x14ac:dyDescent="0.3">
      <c r="A6" s="44"/>
      <c r="B6" s="46"/>
      <c r="C6" s="31"/>
      <c r="D6" s="31"/>
      <c r="E6" s="43"/>
      <c r="F6" s="43"/>
      <c r="G6" s="46"/>
      <c r="H6" s="43"/>
      <c r="I6" s="110" t="s">
        <v>43</v>
      </c>
      <c r="J6" s="60">
        <f>COUNT($O$13:$O$570)</f>
        <v>0</v>
      </c>
      <c r="K6" s="49"/>
      <c r="L6" s="49"/>
      <c r="M6" s="50">
        <f>IFERROR(AVERAGE($O$13:$O$570),0)</f>
        <v>0</v>
      </c>
      <c r="N6" s="48">
        <f>MIN($O$13:$O$570)</f>
        <v>0</v>
      </c>
      <c r="O6" s="3">
        <f>MAX($O$13:$O$570)</f>
        <v>0</v>
      </c>
      <c r="P6" s="2"/>
      <c r="R6" s="110" t="s">
        <v>43</v>
      </c>
      <c r="S6" s="60">
        <f>COUNT($O$13:$O$570)</f>
        <v>0</v>
      </c>
      <c r="T6" s="49"/>
      <c r="U6" s="49"/>
      <c r="V6" s="50">
        <f>IFERROR(AVERAGE($O$13:$O$570),0)</f>
        <v>0</v>
      </c>
      <c r="W6" s="48">
        <f>MIN($O$13:$O$570)</f>
        <v>0</v>
      </c>
      <c r="X6" s="3">
        <f>MAX($O$13:$O$570)</f>
        <v>0</v>
      </c>
      <c r="Y6" s="70"/>
      <c r="Z6" s="70"/>
      <c r="AA6" s="70"/>
      <c r="AB6" s="67"/>
      <c r="AC6" s="61"/>
      <c r="AD6" s="62"/>
      <c r="AE6" s="1"/>
      <c r="AF6" s="1"/>
      <c r="AG6" s="1"/>
      <c r="AH6" s="58"/>
    </row>
    <row r="7" spans="1:91" s="24" customFormat="1" ht="15.75" thickBot="1" x14ac:dyDescent="0.3">
      <c r="A7" s="44"/>
      <c r="B7" s="46"/>
      <c r="C7" s="31"/>
      <c r="D7" s="31"/>
      <c r="E7" s="43"/>
      <c r="F7" s="43"/>
      <c r="G7" s="46"/>
      <c r="H7" s="43"/>
      <c r="I7" s="111" t="s">
        <v>9</v>
      </c>
      <c r="J7" s="60">
        <f>COUNTIFS($P$13:$P$9870,"&gt;0",$AG$13:$AG$9870,I1)</f>
        <v>5</v>
      </c>
      <c r="K7" s="49"/>
      <c r="L7" s="49"/>
      <c r="M7" s="50" t="s">
        <v>15</v>
      </c>
      <c r="N7" s="48" t="s">
        <v>15</v>
      </c>
      <c r="O7" s="3" t="s">
        <v>15</v>
      </c>
      <c r="P7" s="2"/>
      <c r="R7" s="111" t="s">
        <v>9</v>
      </c>
      <c r="S7" s="60">
        <f>COUNTIFS($P$13:$P$9870,"&gt;0",$AG$13:$AG$9870,R1)</f>
        <v>4</v>
      </c>
      <c r="T7" s="49"/>
      <c r="U7" s="49"/>
      <c r="V7" s="50" t="s">
        <v>15</v>
      </c>
      <c r="W7" s="48" t="s">
        <v>15</v>
      </c>
      <c r="X7" s="3" t="s">
        <v>15</v>
      </c>
      <c r="Y7" s="70"/>
      <c r="Z7" s="70"/>
      <c r="AA7" s="70"/>
      <c r="AB7" s="67"/>
      <c r="AC7" s="61"/>
      <c r="AD7" s="62"/>
      <c r="AE7" s="1"/>
      <c r="AF7" s="1"/>
      <c r="AG7" s="1"/>
      <c r="AH7" s="58"/>
    </row>
    <row r="8" spans="1:91" s="24" customFormat="1" ht="15.75" thickBot="1" x14ac:dyDescent="0.3">
      <c r="A8" s="44"/>
      <c r="B8" s="46"/>
      <c r="C8" s="31"/>
      <c r="D8" s="31"/>
      <c r="E8" s="43"/>
      <c r="F8" s="43"/>
      <c r="G8" s="46"/>
      <c r="H8" s="43"/>
      <c r="I8" s="109" t="s">
        <v>16</v>
      </c>
      <c r="J8" s="60">
        <f>J5</f>
        <v>139</v>
      </c>
      <c r="K8" s="49"/>
      <c r="L8" s="49"/>
      <c r="M8" s="50">
        <f>M5</f>
        <v>43.6847721820399</v>
      </c>
      <c r="N8" s="48">
        <f>N5</f>
        <v>35.399999998044223</v>
      </c>
      <c r="O8" s="3">
        <f>O5</f>
        <v>57.699999993201345</v>
      </c>
      <c r="P8" s="2"/>
      <c r="R8" s="109" t="s">
        <v>16</v>
      </c>
      <c r="S8" s="60">
        <f>S5</f>
        <v>43</v>
      </c>
      <c r="T8" s="49"/>
      <c r="U8" s="49"/>
      <c r="V8" s="50">
        <f>V5</f>
        <v>22.543410853358246</v>
      </c>
      <c r="W8" s="48">
        <f>W5</f>
        <v>15.716666673542932</v>
      </c>
      <c r="X8" s="3">
        <f>X5</f>
        <v>37.116666667861864</v>
      </c>
      <c r="Y8" s="70"/>
      <c r="Z8" s="70"/>
      <c r="AA8" s="70"/>
      <c r="AB8" s="67"/>
      <c r="AC8" s="61"/>
      <c r="AD8" s="62"/>
      <c r="AE8" s="1"/>
      <c r="AF8" s="1"/>
      <c r="AG8" s="1"/>
      <c r="AH8" s="58"/>
    </row>
    <row r="9" spans="1:91" s="24" customFormat="1" ht="15.75" thickBot="1" x14ac:dyDescent="0.3">
      <c r="A9" s="44"/>
      <c r="B9" s="46"/>
      <c r="C9" s="31"/>
      <c r="D9" s="31"/>
      <c r="E9" s="43"/>
      <c r="F9" s="43"/>
      <c r="G9" s="46"/>
      <c r="H9" s="43"/>
      <c r="I9" s="109" t="s">
        <v>19</v>
      </c>
      <c r="J9" s="78">
        <f>J8/J4</f>
        <v>0.96527777777777779</v>
      </c>
      <c r="K9" s="51"/>
      <c r="L9" s="51"/>
      <c r="M9" s="112"/>
      <c r="N9" s="46"/>
      <c r="O9" s="113"/>
      <c r="P9" s="2"/>
      <c r="R9" s="109" t="s">
        <v>19</v>
      </c>
      <c r="S9" s="78">
        <f>S8/S4</f>
        <v>0.91489361702127658</v>
      </c>
      <c r="T9" s="51"/>
      <c r="U9" s="51"/>
      <c r="V9" s="112"/>
      <c r="W9" s="46"/>
      <c r="X9" s="113"/>
      <c r="Y9" s="70"/>
      <c r="Z9" s="70"/>
      <c r="AA9" s="70"/>
      <c r="AB9" s="67"/>
      <c r="AC9" s="61"/>
      <c r="AD9" s="62"/>
      <c r="AE9" s="1"/>
      <c r="AF9" s="1"/>
      <c r="AG9" s="1"/>
      <c r="AH9" s="58"/>
    </row>
    <row r="10" spans="1:91" s="24" customFormat="1" x14ac:dyDescent="0.25">
      <c r="A10" s="44"/>
      <c r="B10" s="46"/>
      <c r="C10" s="31"/>
      <c r="D10" s="31"/>
      <c r="E10" s="43"/>
      <c r="F10" s="43"/>
      <c r="G10" s="46"/>
      <c r="H10" s="43"/>
      <c r="I10" s="43"/>
      <c r="J10" s="46"/>
      <c r="K10" s="31"/>
      <c r="L10" s="31"/>
      <c r="M10" s="45"/>
      <c r="N10" s="46"/>
      <c r="O10" s="2"/>
      <c r="P10" s="2"/>
      <c r="U10" s="75"/>
      <c r="V10" s="128"/>
      <c r="W10" s="23"/>
      <c r="X10" s="73"/>
      <c r="Y10" s="70"/>
      <c r="Z10" s="70"/>
      <c r="AA10" s="70"/>
      <c r="AB10" s="67"/>
      <c r="AC10" s="61"/>
      <c r="AD10" s="62"/>
      <c r="AE10" s="1"/>
      <c r="AF10" s="1"/>
      <c r="AG10" s="1"/>
      <c r="AH10" s="58"/>
    </row>
    <row r="11" spans="1:91" ht="16.5" thickBot="1" x14ac:dyDescent="0.3">
      <c r="A11" s="144" t="str">
        <f>"Eagle P3 System Performance - "&amp;TEXT(Variables!A2,"yyyy-mm-dd")</f>
        <v>Eagle P3 System Performance - 2016-08-04</v>
      </c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S11" s="86">
        <f>AVERAGE(S13:S153)</f>
        <v>0.9928057553956835</v>
      </c>
      <c r="V11" s="128"/>
      <c r="AE11" s="1"/>
      <c r="AF11" s="1"/>
      <c r="AG11" s="1"/>
      <c r="AH11" s="58"/>
    </row>
    <row r="12" spans="1:91" s="5" customFormat="1" ht="69" customHeight="1" thickBot="1" x14ac:dyDescent="0.3">
      <c r="A12" s="17" t="s">
        <v>0</v>
      </c>
      <c r="B12" s="21" t="s">
        <v>44</v>
      </c>
      <c r="C12" s="18" t="s">
        <v>26</v>
      </c>
      <c r="D12" s="18" t="s">
        <v>1</v>
      </c>
      <c r="E12" s="19" t="s">
        <v>2</v>
      </c>
      <c r="F12" s="19" t="s">
        <v>3</v>
      </c>
      <c r="G12" s="21" t="s">
        <v>4</v>
      </c>
      <c r="H12" s="19" t="s">
        <v>5</v>
      </c>
      <c r="I12" s="19" t="s">
        <v>6</v>
      </c>
      <c r="J12" s="21" t="s">
        <v>7</v>
      </c>
      <c r="K12" s="116" t="s">
        <v>63</v>
      </c>
      <c r="L12" s="18" t="s">
        <v>47</v>
      </c>
      <c r="M12" s="20" t="s">
        <v>8</v>
      </c>
      <c r="N12" s="18" t="s">
        <v>41</v>
      </c>
      <c r="O12" s="21" t="s">
        <v>42</v>
      </c>
      <c r="P12" s="21" t="s">
        <v>18</v>
      </c>
      <c r="Q12" s="22" t="s">
        <v>46</v>
      </c>
      <c r="R12" s="22" t="s">
        <v>24</v>
      </c>
      <c r="S12" s="22" t="s">
        <v>79</v>
      </c>
      <c r="T12" s="59" t="s">
        <v>80</v>
      </c>
      <c r="U12" s="76" t="s">
        <v>81</v>
      </c>
      <c r="V12" s="130" t="s">
        <v>45</v>
      </c>
      <c r="W12" s="56" t="s">
        <v>23</v>
      </c>
      <c r="X12" s="74" t="s">
        <v>48</v>
      </c>
      <c r="Y12" s="71" t="s">
        <v>20</v>
      </c>
      <c r="Z12" s="71" t="s">
        <v>21</v>
      </c>
      <c r="AA12" s="71" t="s">
        <v>22</v>
      </c>
      <c r="AB12" s="68" t="s">
        <v>39</v>
      </c>
      <c r="AC12" s="64" t="s">
        <v>40</v>
      </c>
      <c r="AD12" s="63" t="s">
        <v>115</v>
      </c>
      <c r="AE12" s="123" t="s">
        <v>124</v>
      </c>
      <c r="AF12" s="120" t="s">
        <v>129</v>
      </c>
      <c r="AG12" s="4" t="s">
        <v>299</v>
      </c>
      <c r="AH12" s="126" t="s">
        <v>355</v>
      </c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</row>
    <row r="13" spans="1:91" s="1" customFormat="1" x14ac:dyDescent="0.25">
      <c r="A13" s="42" t="s">
        <v>455</v>
      </c>
      <c r="B13" s="7">
        <v>4020</v>
      </c>
      <c r="C13" s="25" t="s">
        <v>163</v>
      </c>
      <c r="D13" s="25" t="s">
        <v>419</v>
      </c>
      <c r="E13" s="16">
        <v>42586.133344907408</v>
      </c>
      <c r="F13" s="16">
        <v>42586.134097222224</v>
      </c>
      <c r="G13" s="7">
        <v>1</v>
      </c>
      <c r="H13" s="16" t="s">
        <v>508</v>
      </c>
      <c r="I13" s="16">
        <v>42586.163854166669</v>
      </c>
      <c r="J13" s="7">
        <v>1</v>
      </c>
      <c r="K13" s="114" t="str">
        <f t="shared" ref="K13:K14" si="0">IF(ISEVEN(B13),(B13-1)&amp;"/"&amp;B13,B13&amp;"/"&amp;(B13+1))</f>
        <v>4019/4020</v>
      </c>
      <c r="L13" s="25" t="str">
        <f>VLOOKUP(A13,'Trips&amp;Operators'!$C$1:$E$10000,3,FALSE)</f>
        <v>MAELZER</v>
      </c>
      <c r="M13" s="6">
        <f t="shared" ref="M13:M14" si="1">I13-F13</f>
        <v>2.9756944444670808E-2</v>
      </c>
      <c r="N13" s="7">
        <f t="shared" ref="N13:P78" si="2">24*60*SUM($M13:$M13)</f>
        <v>42.850000000325963</v>
      </c>
      <c r="O13" s="7"/>
      <c r="P13" s="7"/>
      <c r="Q13" s="26"/>
      <c r="R13" s="26"/>
      <c r="S13" s="38">
        <f t="shared" ref="S13:S14" si="3">SUM(U13:U13)/IF(AG13="EC",12,1)</f>
        <v>1</v>
      </c>
      <c r="T13" s="55" t="str">
        <f>IF(ISEVEN(LEFT(AD13,4)),"Southbound","NorthBound")</f>
        <v>NorthBound</v>
      </c>
      <c r="U13" s="77">
        <f>IF(AG13="EC",COUNTIFS(Variables!$M$2:$M$19,IF(T13="NorthBound","&gt;=","&lt;=")&amp;Y13,Variables!$M$2:$M$19,IF(T13="NorthBound","&lt;=","&gt;=")&amp;Z13),COUNTIFS(Variables!$P$2:$P$19,IF(T13="NorthBound","&gt;=","&lt;=")&amp;Y13,Variables!$P$2:$P$19,IF(T13="NorthBound","&lt;=","&gt;=")&amp;Z13))</f>
        <v>12</v>
      </c>
      <c r="V13" s="131" t="str">
        <f t="shared" ref="V13:V14" si="4">"https://search-rtdc-monitor-bjffxe2xuh6vdkpspy63sjmuny.us-east-1.es.amazonaws.com/_plugin/kibana/#/discover/Steve-Slow-Train-Analysis-(2080s-and-2083s)?_g=(refreshInterval:(display:Off,section:0,value:0),time:(from:'"&amp;TEXT(E13-1/24,"yyyy-MM-DD hh:mm:ss")&amp;"-0600',mode:absolute,to:'"&amp;TEXT(I13+1/24,"yyyy-MM-DD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13&amp;"%22')),sort:!(Time,asc))"</f>
        <v>https://search-rtdc-monitor-bjffxe2xuh6vdkpspy63sjmuny.us-east-1.es.amazonaws.com/_plugin/kibana/#/discover/Steve-Slow-Train-Analysis-(2080s-and-2083s)?_g=(refreshInterval:(display:Off,section:0,value:0),time:(from:'2016-08-04 02:12:01-0600',mode:absolute,to:'2016-08-04 04:55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3" s="57" t="str">
        <f t="shared" ref="W13:W14" si="5">IF(AA13&lt;IF(AG13="EC",23,5.65),"Y","N")</f>
        <v>N</v>
      </c>
      <c r="X13" s="117" t="e">
        <f>VALUE(LEFT(AD13,4))-VALUE(LEFT(AD12,4))</f>
        <v>#VALUE!</v>
      </c>
      <c r="Y13" s="72">
        <f t="shared" ref="Y13:Y14" si="6">RIGHT(D13,LEN(D13)-4)/10000</f>
        <v>7.1900000000000006E-2</v>
      </c>
      <c r="Z13" s="72">
        <f t="shared" ref="Z13:Z14" si="7">RIGHT(H13,LEN(H13)-4)/10000</f>
        <v>23.332599999999999</v>
      </c>
      <c r="AA13" s="72">
        <f t="shared" ref="AA13:AA14" si="8">ABS(Z13-Y13)</f>
        <v>23.2607</v>
      </c>
      <c r="AB13" s="69">
        <f>VLOOKUP(A13,Enforcements!$C$7:$J$24,8,0)</f>
        <v>224231</v>
      </c>
      <c r="AC13" s="65" t="str">
        <f>VLOOKUP(A13,Enforcements!$C$7:$E$24,3,0)</f>
        <v>SIGNAL</v>
      </c>
      <c r="AD13" s="66" t="str">
        <f t="shared" ref="AD13:AD14" si="9">IF(LEN(A13)=6,"0"&amp;A13,A13)</f>
        <v>0101-04</v>
      </c>
      <c r="AE13" s="124" t="str">
        <f t="shared" ref="AE13:AE14" si="10">"aws s3 cp "&amp;s3_bucket&amp;"/RTDC"&amp;B13&amp;"/"&amp;TEXT(F13,"YYYY-MM-DD")&amp;"/ "&amp;search_path&amp;"\RTDC"&amp;B13&amp;"\"&amp;TEXT(F13,"YYYY-MM-DD")&amp;" --recursive &amp; """&amp;walkandungz&amp;""" "&amp;search_path&amp;"\RTDC"&amp;B13&amp;"\"&amp;TEXT(F13,"YYYY-MM-DD")
&amp;" &amp; "&amp;"aws s3 cp "&amp;s3_bucket&amp;"/RTDC"&amp;B13&amp;"/"&amp;TEXT(F13+1,"YYYY-MM-DD")&amp;"/ "&amp;search_path&amp;"\RTDC"&amp;B13&amp;"\"&amp;TEXT(F13+1,"YYYY-MM-DD")&amp;" --recursive &amp; """&amp;walkandungz&amp;""" "&amp;search_path&amp;"\RTDC"&amp;B13&amp;"\"&amp;TEXT(F13+1,"YYYY-MM-DD")</f>
        <v>aws s3 cp s3://rtdc.mdm.uploadarchive/RTDC4020/2016-08-04/ "%USERPROFILE%\AppData\Local\Temp\OnboardLogs"\RTDC4020\2016-08-04 --recursive &amp; "%USERPROFILE%\Documents\GitHub\mrs-test-scripts\Headless Mode &amp; Sideloading\WalkAndUnGZ.bat" "%USERPROFILE%\AppData\Local\Temp\OnboardLogs"\RTDC4020\2016-08-04 &amp; aws s3 cp s3://rtdc.mdm.uploadarchive/RTDC4020/2016-08-05/ "%USERPROFILE%\AppData\Local\Temp\OnboardLogs"\RTDC4020\2016-08-05 --recursive &amp; "%USERPROFILE%\Documents\GitHub\mrs-test-scripts\Headless Mode &amp; Sideloading\WalkAndUnGZ.bat" "%USERPROFILE%\AppData\Local\Temp\OnboardLogs"\RTDC4020\2016-08-05</v>
      </c>
      <c r="AF13" s="121" t="str">
        <f t="shared" ref="AF13:AF14" si="11">astrogrep_path&amp;" /spath="&amp;search_path&amp;" /stypes=""*"&amp;B13&amp;"*"&amp;TEXT(I13-utc_offset/24,"YYYYMMDD")&amp;"*"" /stext="" "&amp;TEXT(I13-utc_offset/24,"HH")&amp;search_regexp&amp;""" /e /r /s"</f>
        <v>"C:\Program Files (x86)\AstroGrep\AstroGrep.exe" /spath="%USERPROFILE%\AppData\Local\Temp\OnboardLogs" /stypes="*4020*20160804*" /stext=" 09:.+((SYSTEM_STATE.+slice.+state.+changed )|(ment ac)|(system.+state.+changed )|(\|lc)|(penalty)|(\[timeout)|(PRM\|1\|D)|(kpr)|(kdp))" /e /r /s</v>
      </c>
      <c r="AG13" s="1" t="str">
        <f>IF(VALUE(LEFT(AD13,2))&lt;=2,"EC",IF(OR(VALUE(LEFT(AD13,2))=8,VALUE(LEFT(AD13,2))=18),"NW","GL"))</f>
        <v>EC</v>
      </c>
      <c r="AH13" s="125" t="str">
        <f>refinertdcruntimes&amp;" --tripid "&amp;A13&amp;" --locoid "&amp;B13&amp;" --swversion "&amp;C13&amp;" --startMP "&amp;D13&amp;" --initTime "&amp;TEXT(E13,"yyyy-mm-ddTHH:MM:SS")&amp;" --startdatetime "&amp;TEXT(F13,"yyyy-mm-ddTHH:MM:SS")&amp;" --delay "&amp;G13&amp;" --endMP "&amp;H13&amp;" --enddatetime "&amp;TEXT(I13,"yyyy-mm-ddTHH:MM:SS")&amp;" --enforcementcount "&amp;J13&amp;" &gt;&gt; "&amp;TEXT(Variables!$A$2,"yyyy-mm-dd")&amp;"-refined-runtimes.txt"</f>
        <v>"%USERPROFILE%\Documents\GitHub\eaglep3\Utilities\RefineRTDCRunTimes.py" --tripid 101-04 --locoid 4020 --swversion DE.1.0.7.0 --startMP 204:719 --initTime 2016-08-04T03:12:01 --startdatetime 2016-08-04T03:13:06 --delay 1 --endMP 204:233326 --enddatetime 2016-08-04T03:55:57 --enforcementcount 1 &gt;&gt; 2016-08-04-refined-runtimes.txt</v>
      </c>
    </row>
    <row r="14" spans="1:91" s="1" customFormat="1" x14ac:dyDescent="0.25">
      <c r="A14" s="42" t="s">
        <v>457</v>
      </c>
      <c r="B14" s="7">
        <v>4032</v>
      </c>
      <c r="C14" s="25" t="s">
        <v>163</v>
      </c>
      <c r="D14" s="25" t="s">
        <v>509</v>
      </c>
      <c r="E14" s="16">
        <v>42586.169652777775</v>
      </c>
      <c r="F14" s="16">
        <v>42586.170914351853</v>
      </c>
      <c r="G14" s="7">
        <v>1</v>
      </c>
      <c r="H14" s="16" t="s">
        <v>510</v>
      </c>
      <c r="I14" s="16">
        <v>42586.200983796298</v>
      </c>
      <c r="J14" s="7">
        <v>0</v>
      </c>
      <c r="K14" s="114" t="str">
        <f t="shared" si="0"/>
        <v>4031/4032</v>
      </c>
      <c r="L14" s="25" t="str">
        <f>VLOOKUP(A14,'Trips&amp;Operators'!$C$1:$E$10000,3,FALSE)</f>
        <v>MAELZER</v>
      </c>
      <c r="M14" s="6">
        <f t="shared" si="1"/>
        <v>3.0069444444961846E-2</v>
      </c>
      <c r="N14" s="7">
        <f t="shared" si="2"/>
        <v>43.300000000745058</v>
      </c>
      <c r="O14" s="7"/>
      <c r="P14" s="7"/>
      <c r="Q14" s="26"/>
      <c r="R14" s="26"/>
      <c r="S14" s="38">
        <f t="shared" si="3"/>
        <v>1</v>
      </c>
      <c r="T14" s="55" t="str">
        <f t="shared" ref="T14" si="12">IF(ISEVEN(LEFT(AD14,4)),"Southbound","NorthBound")</f>
        <v>Southbound</v>
      </c>
      <c r="U14" s="77">
        <f>IF(AG14="EC",COUNTIFS(Variables!$M$2:$M$19,IF(T14="NorthBound","&gt;=","&lt;=")&amp;Y14,Variables!$M$2:$M$19,IF(T14="NorthBound","&lt;=","&gt;=")&amp;Z14),COUNTIFS(Variables!$P$2:$P$19,IF(T14="NorthBound","&gt;=","&lt;=")&amp;Y14,Variables!$P$2:$P$19,IF(T14="NorthBound","&lt;=","&gt;=")&amp;Z14))</f>
        <v>12</v>
      </c>
      <c r="V14" s="131" t="str">
        <f t="shared" si="4"/>
        <v>https://search-rtdc-monitor-bjffxe2xuh6vdkpspy63sjmuny.us-east-1.es.amazonaws.com/_plugin/kibana/#/discover/Steve-Slow-Train-Analysis-(2080s-and-2083s)?_g=(refreshInterval:(display:Off,section:0,value:0),time:(from:'2016-08-04 03:04:18-0600',mode:absolute,to:'2016-08-04 05:49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4" s="57" t="str">
        <f t="shared" si="5"/>
        <v>N</v>
      </c>
      <c r="X14" s="117">
        <f t="shared" ref="X14" si="13">VALUE(LEFT(AD14,4))-VALUE(LEFT(AD13,4))</f>
        <v>1</v>
      </c>
      <c r="Y14" s="72">
        <f t="shared" si="6"/>
        <v>23.268899999999999</v>
      </c>
      <c r="Z14" s="72">
        <f t="shared" si="7"/>
        <v>1.09E-2</v>
      </c>
      <c r="AA14" s="72">
        <f t="shared" si="8"/>
        <v>23.257999999999999</v>
      </c>
      <c r="AB14" s="69" t="e">
        <f>VLOOKUP(A14,Enforcements!$C$7:$J$24,8,0)</f>
        <v>#N/A</v>
      </c>
      <c r="AC14" s="65" t="e">
        <f>VLOOKUP(A14,Enforcements!$C$7:$E$24,3,0)</f>
        <v>#N/A</v>
      </c>
      <c r="AD14" s="66" t="str">
        <f t="shared" si="9"/>
        <v>0102-04</v>
      </c>
      <c r="AE14" s="124" t="str">
        <f t="shared" si="10"/>
        <v>aws s3 cp s3://rtdc.mdm.uploadarchive/RTDC4032/2016-08-04/ "%USERPROFILE%\AppData\Local\Temp\OnboardLogs"\RTDC4032\2016-08-04 --recursive &amp; "%USERPROFILE%\Documents\GitHub\mrs-test-scripts\Headless Mode &amp; Sideloading\WalkAndUnGZ.bat" "%USERPROFILE%\AppData\Local\Temp\OnboardLogs"\RTDC4032\2016-08-04 &amp; aws s3 cp s3://rtdc.mdm.uploadarchive/RTDC4032/2016-08-05/ "%USERPROFILE%\AppData\Local\Temp\OnboardLogs"\RTDC4032\2016-08-05 --recursive &amp; "%USERPROFILE%\Documents\GitHub\mrs-test-scripts\Headless Mode &amp; Sideloading\WalkAndUnGZ.bat" "%USERPROFILE%\AppData\Local\Temp\OnboardLogs"\RTDC4032\2016-08-05</v>
      </c>
      <c r="AF14" s="121" t="str">
        <f t="shared" si="11"/>
        <v>"C:\Program Files (x86)\AstroGrep\AstroGrep.exe" /spath="%USERPROFILE%\AppData\Local\Temp\OnboardLogs" /stypes="*4032*20160804*" /stext=" 10:.+((SYSTEM_STATE.+slice.+state.+changed )|(ment ac)|(system.+state.+changed )|(\|lc)|(penalty)|(\[timeout)|(PRM\|1\|D)|(kpr)|(kdp))" /e /r /s</v>
      </c>
      <c r="AG14" s="1" t="str">
        <f t="shared" ref="AG14:AG19" si="14">IF(VALUE(LEFT(AD14,2))&lt;=2,"EC",IF(OR(VALUE(LEFT(AD14,2))=8,VALUE(LEFT(AD14,2))=18),"NW","GL"))</f>
        <v>EC</v>
      </c>
      <c r="AH14" s="125" t="str">
        <f>refinertdcruntimes&amp;" --tripid "&amp;A14&amp;" --locoid "&amp;B14&amp;" --swversion "&amp;C14&amp;" --startMP "&amp;D14&amp;" --initTime "&amp;TEXT(E14,"yyyy-mm-ddTHH:MM:SS")&amp;" --startdatetime "&amp;TEXT(F14,"yyyy-mm-ddTHH:MM:SS")&amp;" --delay "&amp;G14&amp;" --endMP "&amp;H14&amp;" --enddatetime "&amp;TEXT(I14,"yyyy-mm-ddTHH:MM:SS")&amp;" --enforcementcount "&amp;J14&amp;" &gt;&gt; "&amp;TEXT(Variables!$A$2,"yyyy-mm-dd")&amp;"-refined-runtimes.txt"</f>
        <v>"%USERPROFILE%\Documents\GitHub\eaglep3\Utilities\RefineRTDCRunTimes.py" --tripid 102-04 --locoid 4032 --swversion DE.1.0.7.0 --startMP 204:232689 --initTime 2016-08-04T04:04:18 --startdatetime 2016-08-04T04:06:07 --delay 1 --endMP 204:109 --enddatetime 2016-08-04T04:49:25 --enforcementcount 0 &gt;&gt; 2016-08-04-refined-runtimes.txt</v>
      </c>
    </row>
    <row r="15" spans="1:91" s="1" customFormat="1" x14ac:dyDescent="0.25">
      <c r="A15" s="42" t="s">
        <v>837</v>
      </c>
      <c r="B15" s="143" t="s">
        <v>473</v>
      </c>
      <c r="C15" s="25"/>
      <c r="D15" s="25"/>
      <c r="E15" s="16"/>
      <c r="F15" s="143" t="s">
        <v>473</v>
      </c>
      <c r="G15" s="7"/>
      <c r="H15" s="16"/>
      <c r="I15" s="143" t="s">
        <v>473</v>
      </c>
      <c r="J15" s="143" t="s">
        <v>473</v>
      </c>
      <c r="K15" s="143" t="s">
        <v>473</v>
      </c>
      <c r="L15" s="143" t="s">
        <v>473</v>
      </c>
      <c r="M15" s="143" t="s">
        <v>473</v>
      </c>
      <c r="N15" s="7"/>
      <c r="O15" s="7"/>
      <c r="P15" s="7">
        <v>1</v>
      </c>
      <c r="Q15" s="26"/>
      <c r="R15" s="26" t="s">
        <v>373</v>
      </c>
      <c r="S15" s="38"/>
      <c r="T15" s="55"/>
      <c r="U15" s="77"/>
      <c r="V15" s="131" t="s">
        <v>840</v>
      </c>
      <c r="W15" s="57"/>
      <c r="X15" s="117"/>
      <c r="Y15" s="72"/>
      <c r="Z15" s="72"/>
      <c r="AA15" s="72"/>
      <c r="AB15" s="69"/>
      <c r="AC15" s="65"/>
      <c r="AD15" s="66"/>
      <c r="AE15" s="124"/>
      <c r="AF15" s="121"/>
      <c r="AG15" s="1" t="s">
        <v>297</v>
      </c>
      <c r="AH15" s="125"/>
    </row>
    <row r="16" spans="1:91" s="1" customFormat="1" x14ac:dyDescent="0.25">
      <c r="A16" s="42" t="s">
        <v>447</v>
      </c>
      <c r="B16" s="7">
        <v>4030</v>
      </c>
      <c r="C16" s="25" t="s">
        <v>163</v>
      </c>
      <c r="D16" s="25" t="s">
        <v>511</v>
      </c>
      <c r="E16" s="16">
        <v>42586.19740740741</v>
      </c>
      <c r="F16" s="16">
        <v>42586.19809027778</v>
      </c>
      <c r="G16" s="7">
        <v>0</v>
      </c>
      <c r="H16" s="16" t="s">
        <v>512</v>
      </c>
      <c r="I16" s="16">
        <v>42586.224826388891</v>
      </c>
      <c r="J16" s="7">
        <v>1</v>
      </c>
      <c r="K16" s="114" t="str">
        <f t="shared" ref="K16:K81" si="15">IF(ISEVEN(B16),(B16-1)&amp;"/"&amp;B16,B16&amp;"/"&amp;(B16+1))</f>
        <v>4029/4030</v>
      </c>
      <c r="L16" s="25" t="str">
        <f>VLOOKUP(A16,'Trips&amp;Operators'!$C$1:$E$10000,3,FALSE)</f>
        <v>SPECTOR</v>
      </c>
      <c r="M16" s="6">
        <f t="shared" ref="M16:M81" si="16">I16-F16</f>
        <v>2.6736111110949423E-2</v>
      </c>
      <c r="N16" s="7">
        <f t="shared" si="2"/>
        <v>38.499999999767169</v>
      </c>
      <c r="O16" s="7"/>
      <c r="P16" s="7"/>
      <c r="Q16" s="26"/>
      <c r="R16" s="26" t="s">
        <v>831</v>
      </c>
      <c r="S16" s="38">
        <f t="shared" ref="S16:S81" si="17">SUM(U16:U16)/IF(AG16="EC",12,1)</f>
        <v>1</v>
      </c>
      <c r="T16" s="55" t="str">
        <f t="shared" ref="T16:T81" si="18">IF(ISEVEN(LEFT(AD16,4)),"Southbound","NorthBound")</f>
        <v>Southbound</v>
      </c>
      <c r="U16" s="77">
        <f>IF(AG16="EC",COUNTIFS(Variables!$M$2:$M$19,IF(T16="NorthBound","&gt;=","&lt;=")&amp;Y16,Variables!$M$2:$M$19,IF(T16="NorthBound","&lt;=","&gt;=")&amp;Z16),COUNTIFS(Variables!$P$2:$P$19,IF(T16="NorthBound","&gt;=","&lt;=")&amp;Y16,Variables!$P$2:$P$19,IF(T16="NorthBound","&lt;=","&gt;=")&amp;Z16))</f>
        <v>12</v>
      </c>
      <c r="V16" s="131" t="str">
        <f t="shared" ref="V16:V81" si="19">"https://search-rtdc-monitor-bjffxe2xuh6vdkpspy63sjmuny.us-east-1.es.amazonaws.com/_plugin/kibana/#/discover/Steve-Slow-Train-Analysis-(2080s-and-2083s)?_g=(refreshInterval:(display:Off,section:0,value:0),time:(from:'"&amp;TEXT(E16-1/24,"yyyy-MM-DD hh:mm:ss")&amp;"-0600',mode:absolute,to:'"&amp;TEXT(I16+1/24,"yyyy-MM-DD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16&amp;"%22')),sort:!(Time,asc))"</f>
        <v>https://search-rtdc-monitor-bjffxe2xuh6vdkpspy63sjmuny.us-east-1.es.amazonaws.com/_plugin/kibana/#/discover/Steve-Slow-Train-Analysis-(2080s-and-2083s)?_g=(refreshInterval:(display:Off,section:0,value:0),time:(from:'2016-08-04 03:44:16-0600',mode:absolute,to:'2016-08-04 06:23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6" s="57" t="str">
        <f t="shared" ref="W16:W81" si="20">IF(AA16&lt;IF(AG16="EC",23,5.65),"Y","N")</f>
        <v>Y</v>
      </c>
      <c r="X16" s="117">
        <f>VALUE(LEFT(AD16,4))-VALUE(LEFT(AD14,4))</f>
        <v>2</v>
      </c>
      <c r="Y16" s="72">
        <f t="shared" ref="Y16:Y81" si="21">RIGHT(D16,LEN(D16)-4)/10000</f>
        <v>23.2652</v>
      </c>
      <c r="Z16" s="72">
        <f t="shared" ref="Z16:Z81" si="22">RIGHT(H16,LEN(H16)-4)/10000</f>
        <v>0.46710000000000002</v>
      </c>
      <c r="AA16" s="72">
        <f t="shared" ref="AA16:AA81" si="23">ABS(Z16-Y16)</f>
        <v>22.798100000000002</v>
      </c>
      <c r="AB16" s="69" t="e">
        <f>VLOOKUP(A16,Enforcements!$C$7:$J$24,8,0)</f>
        <v>#N/A</v>
      </c>
      <c r="AC16" s="65" t="e">
        <f>VLOOKUP(A16,Enforcements!$C$7:$E$24,3,0)</f>
        <v>#N/A</v>
      </c>
      <c r="AD16" s="66" t="str">
        <f t="shared" ref="AD16:AD81" si="24">IF(LEN(A16)=6,"0"&amp;A16,A16)</f>
        <v>0104-04</v>
      </c>
      <c r="AE16" s="124" t="str">
        <f t="shared" ref="AE16:AE81" si="25">"aws s3 cp "&amp;s3_bucket&amp;"/RTDC"&amp;B16&amp;"/"&amp;TEXT(F16,"YYYY-MM-DD")&amp;"/ "&amp;search_path&amp;"\RTDC"&amp;B16&amp;"\"&amp;TEXT(F16,"YYYY-MM-DD")&amp;" --recursive &amp; """&amp;walkandungz&amp;""" "&amp;search_path&amp;"\RTDC"&amp;B16&amp;"\"&amp;TEXT(F16,"YYYY-MM-DD")
&amp;" &amp; "&amp;"aws s3 cp "&amp;s3_bucket&amp;"/RTDC"&amp;B16&amp;"/"&amp;TEXT(F16+1,"YYYY-MM-DD")&amp;"/ "&amp;search_path&amp;"\RTDC"&amp;B16&amp;"\"&amp;TEXT(F16+1,"YYYY-MM-DD")&amp;" --recursive &amp; """&amp;walkandungz&amp;""" "&amp;search_path&amp;"\RTDC"&amp;B16&amp;"\"&amp;TEXT(F16+1,"YYYY-MM-DD")</f>
        <v>aws s3 cp s3://rtdc.mdm.uploadarchive/RTDC4030/2016-08-04/ "%USERPROFILE%\AppData\Local\Temp\OnboardLogs"\RTDC4030\2016-08-04 --recursive &amp; "%USERPROFILE%\Documents\GitHub\mrs-test-scripts\Headless Mode &amp; Sideloading\WalkAndUnGZ.bat" "%USERPROFILE%\AppData\Local\Temp\OnboardLogs"\RTDC4030\2016-08-04 &amp; aws s3 cp s3://rtdc.mdm.uploadarchive/RTDC4030/2016-08-05/ "%USERPROFILE%\AppData\Local\Temp\OnboardLogs"\RTDC4030\2016-08-05 --recursive &amp; "%USERPROFILE%\Documents\GitHub\mrs-test-scripts\Headless Mode &amp; Sideloading\WalkAndUnGZ.bat" "%USERPROFILE%\AppData\Local\Temp\OnboardLogs"\RTDC4030\2016-08-05</v>
      </c>
      <c r="AF16" s="121" t="str">
        <f t="shared" ref="AF16:AF81" si="26">astrogrep_path&amp;" /spath="&amp;search_path&amp;" /stypes=""*"&amp;B16&amp;"*"&amp;TEXT(I16-utc_offset/24,"YYYYMMDD")&amp;"*"" /stext="" "&amp;TEXT(I16-utc_offset/24,"HH")&amp;search_regexp&amp;""" /e /r /s"</f>
        <v>"C:\Program Files (x86)\AstroGrep\AstroGrep.exe" /spath="%USERPROFILE%\AppData\Local\Temp\OnboardLogs" /stypes="*4030*20160804*" /stext=" 11:.+((SYSTEM_STATE.+slice.+state.+changed )|(ment ac)|(system.+state.+changed )|(\|lc)|(penalty)|(\[timeout)|(PRM\|1\|D)|(kpr)|(kdp))" /e /r /s</v>
      </c>
      <c r="AG16" s="1" t="str">
        <f t="shared" si="14"/>
        <v>EC</v>
      </c>
      <c r="AH16" s="125" t="str">
        <f>refinertdcruntimes&amp;" --tripid "&amp;A16&amp;" --locoid "&amp;B16&amp;" --swversion "&amp;C16&amp;" --startMP "&amp;D16&amp;" --initTime "&amp;TEXT(E16,"yyyy-mm-ddTHH:MM:SS")&amp;" --startdatetime "&amp;TEXT(F16,"yyyy-mm-ddTHH:MM:SS")&amp;" --delay "&amp;G16&amp;" --endMP "&amp;H16&amp;" --enddatetime "&amp;TEXT(I16,"yyyy-mm-ddTHH:MM:SS")&amp;" --enforcementcount "&amp;J16&amp;" &gt;&gt; "&amp;TEXT(Variables!$A$2,"yyyy-mm-dd")&amp;"-refined-runtimes.txt"</f>
        <v>"%USERPROFILE%\Documents\GitHub\eaglep3\Utilities\RefineRTDCRunTimes.py" --tripid 104-04 --locoid 4030 --swversion DE.1.0.7.0 --startMP 204:232652 --initTime 2016-08-04T04:44:16 --startdatetime 2016-08-04T04:45:15 --delay 0 --endMP 204:4671 --enddatetime 2016-08-04T05:23:45 --enforcementcount 1 &gt;&gt; 2016-08-04-refined-runtimes.txt</v>
      </c>
    </row>
    <row r="17" spans="1:34" s="1" customFormat="1" x14ac:dyDescent="0.25">
      <c r="A17" s="42" t="s">
        <v>838</v>
      </c>
      <c r="B17" s="143">
        <v>4011</v>
      </c>
      <c r="C17" s="25"/>
      <c r="D17" s="25"/>
      <c r="E17" s="16"/>
      <c r="F17" s="143" t="s">
        <v>473</v>
      </c>
      <c r="G17" s="7"/>
      <c r="H17" s="16"/>
      <c r="I17" s="143" t="s">
        <v>473</v>
      </c>
      <c r="J17" s="143" t="s">
        <v>473</v>
      </c>
      <c r="K17" s="114" t="str">
        <f t="shared" ref="K17" si="27">IF(ISEVEN(B17),(B17-1)&amp;"/"&amp;B17,B17&amp;"/"&amp;(B17+1))</f>
        <v>4011/4012</v>
      </c>
      <c r="L17" s="143" t="s">
        <v>473</v>
      </c>
      <c r="M17" s="143" t="s">
        <v>473</v>
      </c>
      <c r="N17" s="7"/>
      <c r="O17" s="7"/>
      <c r="P17" s="7">
        <v>1</v>
      </c>
      <c r="Q17" s="26"/>
      <c r="R17" s="26" t="s">
        <v>373</v>
      </c>
      <c r="S17" s="38"/>
      <c r="T17" s="55"/>
      <c r="U17" s="77"/>
      <c r="V17" s="131" t="s">
        <v>841</v>
      </c>
      <c r="W17" s="57"/>
      <c r="X17" s="117"/>
      <c r="Y17" s="72"/>
      <c r="Z17" s="72"/>
      <c r="AA17" s="72"/>
      <c r="AB17" s="69"/>
      <c r="AC17" s="65"/>
      <c r="AD17" s="66"/>
      <c r="AE17" s="124"/>
      <c r="AF17" s="121"/>
      <c r="AG17" s="1" t="s">
        <v>297</v>
      </c>
      <c r="AH17" s="125"/>
    </row>
    <row r="18" spans="1:34" s="1" customFormat="1" x14ac:dyDescent="0.25">
      <c r="A18" s="42" t="s">
        <v>454</v>
      </c>
      <c r="B18" s="7">
        <v>4037</v>
      </c>
      <c r="C18" s="25" t="s">
        <v>163</v>
      </c>
      <c r="D18" s="25" t="s">
        <v>513</v>
      </c>
      <c r="E18" s="16">
        <v>42586.214108796295</v>
      </c>
      <c r="F18" s="16">
        <v>42586.215254629627</v>
      </c>
      <c r="G18" s="7">
        <v>1</v>
      </c>
      <c r="H18" s="16" t="s">
        <v>514</v>
      </c>
      <c r="I18" s="16">
        <v>42586.243217592593</v>
      </c>
      <c r="J18" s="7">
        <v>1</v>
      </c>
      <c r="K18" s="114" t="str">
        <f t="shared" si="15"/>
        <v>4037/4038</v>
      </c>
      <c r="L18" s="25" t="str">
        <f>VLOOKUP(A18,'Trips&amp;Operators'!$C$1:$E$10000,3,FALSE)</f>
        <v>MALAVE</v>
      </c>
      <c r="M18" s="6">
        <f t="shared" si="16"/>
        <v>2.7962962965830229E-2</v>
      </c>
      <c r="N18" s="7">
        <f t="shared" si="2"/>
        <v>40.26666667079553</v>
      </c>
      <c r="O18" s="7"/>
      <c r="P18" s="7"/>
      <c r="Q18" s="26"/>
      <c r="R18" s="26"/>
      <c r="S18" s="38">
        <f t="shared" si="17"/>
        <v>1</v>
      </c>
      <c r="T18" s="55" t="str">
        <f t="shared" si="18"/>
        <v>Southbound</v>
      </c>
      <c r="U18" s="77">
        <f>IF(AG18="EC",COUNTIFS(Variables!$M$2:$M$19,IF(T18="NorthBound","&gt;=","&lt;=")&amp;Y18,Variables!$M$2:$M$19,IF(T18="NorthBound","&lt;=","&gt;=")&amp;Z18),COUNTIFS(Variables!$P$2:$P$19,IF(T18="NorthBound","&gt;=","&lt;=")&amp;Y18,Variables!$P$2:$P$19,IF(T18="NorthBound","&lt;=","&gt;=")&amp;Z18))</f>
        <v>12</v>
      </c>
      <c r="V18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04:08:19-0600',mode:absolute,to:'2016-08-04 06:50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8" s="57" t="str">
        <f t="shared" si="20"/>
        <v>N</v>
      </c>
      <c r="X18" s="117">
        <f>VALUE(LEFT(AD18,4))-VALUE(LEFT(AD16,4))</f>
        <v>2</v>
      </c>
      <c r="Y18" s="72">
        <f t="shared" si="21"/>
        <v>23.2639</v>
      </c>
      <c r="Z18" s="72">
        <f t="shared" si="22"/>
        <v>1.0500000000000001E-2</v>
      </c>
      <c r="AA18" s="72">
        <f t="shared" si="23"/>
        <v>23.253399999999999</v>
      </c>
      <c r="AB18" s="69" t="e">
        <f>VLOOKUP(A18,Enforcements!$C$7:$J$24,8,0)</f>
        <v>#N/A</v>
      </c>
      <c r="AC18" s="65" t="e">
        <f>VLOOKUP(A18,Enforcements!$C$7:$E$24,3,0)</f>
        <v>#N/A</v>
      </c>
      <c r="AD18" s="66" t="str">
        <f t="shared" si="24"/>
        <v>0106-04</v>
      </c>
      <c r="AE18" s="124" t="str">
        <f t="shared" si="25"/>
        <v>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 &amp; aws s3 cp s3://rtdc.mdm.uploadarchive/RTDC4037/2016-08-05/ "%USERPROFILE%\AppData\Local\Temp\OnboardLogs"\RTDC4037\2016-08-05 --recursive &amp; "%USERPROFILE%\Documents\GitHub\mrs-test-scripts\Headless Mode &amp; Sideloading\WalkAndUnGZ.bat" "%USERPROFILE%\AppData\Local\Temp\OnboardLogs"\RTDC4037\2016-08-05</v>
      </c>
      <c r="AF18" s="121" t="str">
        <f t="shared" si="26"/>
        <v>"C:\Program Files (x86)\AstroGrep\AstroGrep.exe" /spath="%USERPROFILE%\AppData\Local\Temp\OnboardLogs" /stypes="*4037*20160804*" /stext=" 11:.+((SYSTEM_STATE.+slice.+state.+changed )|(ment ac)|(system.+state.+changed )|(\|lc)|(penalty)|(\[timeout)|(PRM\|1\|D)|(kpr)|(kdp))" /e /r /s</v>
      </c>
      <c r="AG18" s="1" t="str">
        <f t="shared" si="14"/>
        <v>EC</v>
      </c>
      <c r="AH18" s="125" t="str">
        <f>refinertdcruntimes&amp;" --tripid "&amp;A18&amp;" --locoid "&amp;B18&amp;" --swversion "&amp;C18&amp;" --startMP "&amp;D18&amp;" --initTime "&amp;TEXT(E18,"yyyy-mm-ddTHH:MM:SS")&amp;" --startdatetime "&amp;TEXT(F18,"yyyy-mm-ddTHH:MM:SS")&amp;" --delay "&amp;G18&amp;" --endMP "&amp;H18&amp;" --enddatetime "&amp;TEXT(I18,"yyyy-mm-ddTHH:MM:SS")&amp;" --enforcementcount "&amp;J18&amp;" &gt;&gt; "&amp;TEXT(Variables!$A$2,"yyyy-mm-dd")&amp;"-refined-runtimes.txt"</f>
        <v>"%USERPROFILE%\Documents\GitHub\eaglep3\Utilities\RefineRTDCRunTimes.py" --tripid 106-04 --locoid 4037 --swversion DE.1.0.7.0 --startMP 204:232639 --initTime 2016-08-04T05:08:19 --startdatetime 2016-08-04T05:09:58 --delay 1 --endMP 204:105 --enddatetime 2016-08-04T05:50:14 --enforcementcount 1 &gt;&gt; 2016-08-04-refined-runtimes.txt</v>
      </c>
    </row>
    <row r="19" spans="1:34" s="1" customFormat="1" x14ac:dyDescent="0.25">
      <c r="A19" s="42" t="s">
        <v>458</v>
      </c>
      <c r="B19" s="7">
        <v>4007</v>
      </c>
      <c r="C19" s="25" t="s">
        <v>163</v>
      </c>
      <c r="D19" s="25" t="s">
        <v>339</v>
      </c>
      <c r="E19" s="16">
        <v>42586.184525462966</v>
      </c>
      <c r="F19" s="16">
        <v>42586.185752314814</v>
      </c>
      <c r="G19" s="7">
        <v>1</v>
      </c>
      <c r="H19" s="16" t="s">
        <v>357</v>
      </c>
      <c r="I19" s="16">
        <v>42586.215358796297</v>
      </c>
      <c r="J19" s="7">
        <v>0</v>
      </c>
      <c r="K19" s="114" t="str">
        <f t="shared" si="15"/>
        <v>4007/4008</v>
      </c>
      <c r="L19" s="25" t="str">
        <f>VLOOKUP(A19,'Trips&amp;Operators'!$C$1:$E$10000,3,FALSE)</f>
        <v>STRICKLAND</v>
      </c>
      <c r="M19" s="6">
        <f t="shared" si="16"/>
        <v>2.9606481482915115E-2</v>
      </c>
      <c r="N19" s="7">
        <f t="shared" si="2"/>
        <v>42.633333335397765</v>
      </c>
      <c r="O19" s="7"/>
      <c r="P19" s="7"/>
      <c r="Q19" s="26"/>
      <c r="R19" s="26"/>
      <c r="S19" s="38">
        <f t="shared" si="17"/>
        <v>1</v>
      </c>
      <c r="T19" s="55" t="str">
        <f t="shared" si="18"/>
        <v>NorthBound</v>
      </c>
      <c r="U19" s="77">
        <f>IF(AG19="EC",COUNTIFS(Variables!$M$2:$M$19,IF(T19="NorthBound","&gt;=","&lt;=")&amp;Y19,Variables!$M$2:$M$19,IF(T19="NorthBound","&lt;=","&gt;=")&amp;Z19),COUNTIFS(Variables!$P$2:$P$19,IF(T19="NorthBound","&gt;=","&lt;=")&amp;Y19,Variables!$P$2:$P$19,IF(T19="NorthBound","&lt;=","&gt;=")&amp;Z19))</f>
        <v>12</v>
      </c>
      <c r="V19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03:25:43-0600',mode:absolute,to:'2016-08-04 06:10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9" s="57" t="str">
        <f t="shared" si="20"/>
        <v>N</v>
      </c>
      <c r="X19" s="117">
        <f t="shared" ref="X19:X81" si="28">VALUE(LEFT(AD19,4))-VALUE(LEFT(AD18,4))</f>
        <v>1</v>
      </c>
      <c r="Y19" s="72">
        <f t="shared" si="21"/>
        <v>4.7300000000000002E-2</v>
      </c>
      <c r="Z19" s="72">
        <f t="shared" si="22"/>
        <v>23.328900000000001</v>
      </c>
      <c r="AA19" s="72">
        <f t="shared" si="23"/>
        <v>23.281600000000001</v>
      </c>
      <c r="AB19" s="69" t="e">
        <f>VLOOKUP(A19,Enforcements!$C$7:$J$24,8,0)</f>
        <v>#N/A</v>
      </c>
      <c r="AC19" s="65" t="e">
        <f>VLOOKUP(A19,Enforcements!$C$7:$E$24,3,0)</f>
        <v>#N/A</v>
      </c>
      <c r="AD19" s="66" t="str">
        <f t="shared" si="24"/>
        <v>0107-04</v>
      </c>
      <c r="AE19" s="124" t="str">
        <f t="shared" si="25"/>
        <v>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 &amp; aws s3 cp s3://rtdc.mdm.uploadarchive/RTDC4007/2016-08-05/ "%USERPROFILE%\AppData\Local\Temp\OnboardLogs"\RTDC4007\2016-08-05 --recursive &amp; "%USERPROFILE%\Documents\GitHub\mrs-test-scripts\Headless Mode &amp; Sideloading\WalkAndUnGZ.bat" "%USERPROFILE%\AppData\Local\Temp\OnboardLogs"\RTDC4007\2016-08-05</v>
      </c>
      <c r="AF19" s="121" t="str">
        <f t="shared" si="26"/>
        <v>"C:\Program Files (x86)\AstroGrep\AstroGrep.exe" /spath="%USERPROFILE%\AppData\Local\Temp\OnboardLogs" /stypes="*4007*20160804*" /stext=" 11:.+((SYSTEM_STATE.+slice.+state.+changed )|(ment ac)|(system.+state.+changed )|(\|lc)|(penalty)|(\[timeout)|(PRM\|1\|D)|(kpr)|(kdp))" /e /r /s</v>
      </c>
      <c r="AG19" s="1" t="str">
        <f t="shared" si="14"/>
        <v>EC</v>
      </c>
      <c r="AH19" s="125" t="str">
        <f>refinertdcruntimes&amp;" --tripid "&amp;A19&amp;" --locoid "&amp;B19&amp;" --swversion "&amp;C19&amp;" --startMP "&amp;D19&amp;" --initTime "&amp;TEXT(E19,"yyyy-mm-ddTHH:MM:SS")&amp;" --startdatetime "&amp;TEXT(F19,"yyyy-mm-ddTHH:MM:SS")&amp;" --delay "&amp;G19&amp;" --endMP "&amp;H19&amp;" --enddatetime "&amp;TEXT(I19,"yyyy-mm-ddTHH:MM:SS")&amp;" --enforcementcount "&amp;J19&amp;" &gt;&gt; "&amp;TEXT(Variables!$A$2,"yyyy-mm-dd")&amp;"-refined-runtimes.txt"</f>
        <v>"%USERPROFILE%\Documents\GitHub\eaglep3\Utilities\RefineRTDCRunTimes.py" --tripid 107-04 --locoid 4007 --swversion DE.1.0.7.0 --startMP 204:473 --initTime 2016-08-04T04:25:43 --startdatetime 2016-08-04T04:27:29 --delay 1 --endMP 204:233289 --enddatetime 2016-08-04T05:10:07 --enforcementcount 0 &gt;&gt; 2016-08-04-refined-runtimes.txt</v>
      </c>
    </row>
    <row r="20" spans="1:34" s="1" customFormat="1" ht="16.5" customHeight="1" x14ac:dyDescent="0.25">
      <c r="A20" s="42" t="s">
        <v>461</v>
      </c>
      <c r="B20" s="7">
        <v>4008</v>
      </c>
      <c r="C20" s="25" t="s">
        <v>163</v>
      </c>
      <c r="D20" s="25" t="s">
        <v>394</v>
      </c>
      <c r="E20" s="16">
        <v>42586.222719907404</v>
      </c>
      <c r="F20" s="16">
        <v>42586.224212962959</v>
      </c>
      <c r="G20" s="7">
        <v>2</v>
      </c>
      <c r="H20" s="16" t="s">
        <v>147</v>
      </c>
      <c r="I20" s="16">
        <v>42586.255567129629</v>
      </c>
      <c r="J20" s="7">
        <v>0</v>
      </c>
      <c r="K20" s="114" t="str">
        <f t="shared" si="15"/>
        <v>4007/4008</v>
      </c>
      <c r="L20" s="25" t="str">
        <f>VLOOKUP(A20,'Trips&amp;Operators'!$C$1:$E$10000,3,FALSE)</f>
        <v>STRICKLAND</v>
      </c>
      <c r="M20" s="6">
        <f t="shared" si="16"/>
        <v>3.1354166669188999E-2</v>
      </c>
      <c r="N20" s="7">
        <f t="shared" si="2"/>
        <v>45.150000003632158</v>
      </c>
      <c r="O20" s="7"/>
      <c r="P20" s="7"/>
      <c r="Q20" s="26"/>
      <c r="R20" s="26"/>
      <c r="S20" s="38">
        <f t="shared" si="17"/>
        <v>1</v>
      </c>
      <c r="T20" s="55" t="str">
        <f t="shared" si="18"/>
        <v>Southbound</v>
      </c>
      <c r="U20" s="77">
        <f>IF(AG20="EC",COUNTIFS(Variables!$M$2:$M$19,IF(T20="NorthBound","&gt;=","&lt;=")&amp;Y20,Variables!$M$2:$M$19,IF(T20="NorthBound","&lt;=","&gt;=")&amp;Z20),COUNTIFS(Variables!$P$2:$P$19,IF(T20="NorthBound","&gt;=","&lt;=")&amp;Y20,Variables!$P$2:$P$19,IF(T20="NorthBound","&lt;=","&gt;=")&amp;Z20))</f>
        <v>12</v>
      </c>
      <c r="V20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04:20:43-0600',mode:absolute,to:'2016-08-04 07:08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20" s="57" t="str">
        <f t="shared" si="20"/>
        <v>N</v>
      </c>
      <c r="X20" s="117">
        <f t="shared" si="28"/>
        <v>1</v>
      </c>
      <c r="Y20" s="72">
        <f t="shared" si="21"/>
        <v>23.297000000000001</v>
      </c>
      <c r="Z20" s="72">
        <f t="shared" si="22"/>
        <v>1.41E-2</v>
      </c>
      <c r="AA20" s="72">
        <f t="shared" si="23"/>
        <v>23.282900000000001</v>
      </c>
      <c r="AB20" s="69" t="e">
        <f>VLOOKUP(A20,Enforcements!$C$7:$J$24,8,0)</f>
        <v>#N/A</v>
      </c>
      <c r="AC20" s="65" t="e">
        <f>VLOOKUP(A20,Enforcements!$C$7:$E$24,3,0)</f>
        <v>#N/A</v>
      </c>
      <c r="AD20" s="66" t="str">
        <f t="shared" si="24"/>
        <v>0108-04</v>
      </c>
      <c r="AE20" s="124" t="str">
        <f t="shared" si="25"/>
        <v>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 &amp; aws s3 cp s3://rtdc.mdm.uploadarchive/RTDC4008/2016-08-05/ "%USERPROFILE%\AppData\Local\Temp\OnboardLogs"\RTDC4008\2016-08-05 --recursive &amp; "%USERPROFILE%\Documents\GitHub\mrs-test-scripts\Headless Mode &amp; Sideloading\WalkAndUnGZ.bat" "%USERPROFILE%\AppData\Local\Temp\OnboardLogs"\RTDC4008\2016-08-05</v>
      </c>
      <c r="AF20" s="121" t="str">
        <f t="shared" si="26"/>
        <v>"C:\Program Files (x86)\AstroGrep\AstroGrep.exe" /spath="%USERPROFILE%\AppData\Local\Temp\OnboardLogs" /stypes="*4008*20160804*" /stext=" 12:.+((SYSTEM_STATE.+slice.+state.+changed )|(ment ac)|(system.+state.+changed )|(\|lc)|(penalty)|(\[timeout)|(PRM\|1\|D)|(kpr)|(kdp))" /e /r /s</v>
      </c>
      <c r="AG20" s="1" t="str">
        <f t="shared" ref="AG20:AG81" si="29">IF(VALUE(LEFT(AD20,2))&lt;=2,"EC",IF(OR(VALUE(LEFT(AD20,2))=8,VALUE(LEFT(AD20,2))=18),"NW","GL"))</f>
        <v>EC</v>
      </c>
      <c r="AH20" s="125" t="str">
        <f>refinertdcruntimes&amp;" --tripid "&amp;A20&amp;" --locoid "&amp;B20&amp;" --swversion "&amp;C20&amp;" --startMP "&amp;D20&amp;" --initTime "&amp;TEXT(E20,"yyyy-mm-ddTHH:MM:SS")&amp;" --startdatetime "&amp;TEXT(F20,"yyyy-mm-ddTHH:MM:SS")&amp;" --delay "&amp;G20&amp;" --endMP "&amp;H20&amp;" --enddatetime "&amp;TEXT(I20,"yyyy-mm-ddTHH:MM:SS")&amp;" --enforcementcount "&amp;J20&amp;" &gt;&gt; "&amp;TEXT(Variables!$A$2,"yyyy-mm-dd")&amp;"-refined-runtimes.txt"</f>
        <v>"%USERPROFILE%\Documents\GitHub\eaglep3\Utilities\RefineRTDCRunTimes.py" --tripid 108-04 --locoid 4008 --swversion DE.1.0.7.0 --startMP 204:232970 --initTime 2016-08-04T05:20:43 --startdatetime 2016-08-04T05:22:52 --delay 2 --endMP 204:141 --enddatetime 2016-08-04T06:08:01 --enforcementcount 0 &gt;&gt; 2016-08-04-refined-runtimes.txt</v>
      </c>
    </row>
    <row r="21" spans="1:34" s="1" customFormat="1" x14ac:dyDescent="0.25">
      <c r="A21" s="42" t="s">
        <v>459</v>
      </c>
      <c r="B21" s="7">
        <v>4025</v>
      </c>
      <c r="C21" s="25" t="s">
        <v>163</v>
      </c>
      <c r="D21" s="25" t="s">
        <v>331</v>
      </c>
      <c r="E21" s="16">
        <v>42586.193252314813</v>
      </c>
      <c r="F21" s="16">
        <v>42586.194363425922</v>
      </c>
      <c r="G21" s="7">
        <v>1</v>
      </c>
      <c r="H21" s="16" t="s">
        <v>515</v>
      </c>
      <c r="I21" s="16">
        <v>42586.223090277781</v>
      </c>
      <c r="J21" s="7">
        <v>0</v>
      </c>
      <c r="K21" s="114" t="str">
        <f t="shared" si="15"/>
        <v>4025/4026</v>
      </c>
      <c r="L21" s="25" t="str">
        <f>VLOOKUP(A21,'Trips&amp;Operators'!$C$1:$E$10000,3,FALSE)</f>
        <v>SANTIZO</v>
      </c>
      <c r="M21" s="6">
        <f t="shared" si="16"/>
        <v>2.8726851858664304E-2</v>
      </c>
      <c r="N21" s="7">
        <f t="shared" si="2"/>
        <v>41.366666676476598</v>
      </c>
      <c r="O21" s="7"/>
      <c r="P21" s="7"/>
      <c r="Q21" s="26"/>
      <c r="R21" s="26"/>
      <c r="S21" s="38">
        <f t="shared" si="17"/>
        <v>1</v>
      </c>
      <c r="T21" s="55" t="str">
        <f t="shared" si="18"/>
        <v>NorthBound</v>
      </c>
      <c r="U21" s="77">
        <f>IF(AG21="EC",COUNTIFS(Variables!$M$2:$M$19,IF(T21="NorthBound","&gt;=","&lt;=")&amp;Y21,Variables!$M$2:$M$19,IF(T21="NorthBound","&lt;=","&gt;=")&amp;Z21),COUNTIFS(Variables!$P$2:$P$19,IF(T21="NorthBound","&gt;=","&lt;=")&amp;Y21,Variables!$P$2:$P$19,IF(T21="NorthBound","&lt;=","&gt;=")&amp;Z21))</f>
        <v>12</v>
      </c>
      <c r="V21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03:38:17-0600',mode:absolute,to:'2016-08-04 06:21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1" s="57" t="str">
        <f t="shared" si="20"/>
        <v>N</v>
      </c>
      <c r="X21" s="117">
        <f t="shared" si="28"/>
        <v>1</v>
      </c>
      <c r="Y21" s="72">
        <f t="shared" si="21"/>
        <v>4.4600000000000001E-2</v>
      </c>
      <c r="Z21" s="72">
        <f t="shared" si="22"/>
        <v>23.3307</v>
      </c>
      <c r="AA21" s="72">
        <f t="shared" si="23"/>
        <v>23.286100000000001</v>
      </c>
      <c r="AB21" s="69" t="e">
        <f>VLOOKUP(A21,Enforcements!$C$7:$J$24,8,0)</f>
        <v>#N/A</v>
      </c>
      <c r="AC21" s="65" t="e">
        <f>VLOOKUP(A21,Enforcements!$C$7:$E$24,3,0)</f>
        <v>#N/A</v>
      </c>
      <c r="AD21" s="66" t="str">
        <f t="shared" si="24"/>
        <v>0109-04</v>
      </c>
      <c r="AE21" s="124" t="str">
        <f t="shared" si="25"/>
        <v>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 &amp; aws s3 cp s3://rtdc.mdm.uploadarchive/RTDC4025/2016-08-05/ "%USERPROFILE%\AppData\Local\Temp\OnboardLogs"\RTDC4025\2016-08-05 --recursive &amp; "%USERPROFILE%\Documents\GitHub\mrs-test-scripts\Headless Mode &amp; Sideloading\WalkAndUnGZ.bat" "%USERPROFILE%\AppData\Local\Temp\OnboardLogs"\RTDC4025\2016-08-05</v>
      </c>
      <c r="AF21" s="121" t="str">
        <f t="shared" si="26"/>
        <v>"C:\Program Files (x86)\AstroGrep\AstroGrep.exe" /spath="%USERPROFILE%\AppData\Local\Temp\OnboardLogs" /stypes="*4025*20160804*" /stext=" 11:.+((SYSTEM_STATE.+slice.+state.+changed )|(ment ac)|(system.+state.+changed )|(\|lc)|(penalty)|(\[timeout)|(PRM\|1\|D)|(kpr)|(kdp))" /e /r /s</v>
      </c>
      <c r="AG21" s="1" t="str">
        <f t="shared" si="29"/>
        <v>EC</v>
      </c>
      <c r="AH21" s="125" t="str">
        <f>refinertdcruntimes&amp;" --tripid "&amp;A21&amp;" --locoid "&amp;B21&amp;" --swversion "&amp;C21&amp;" --startMP "&amp;D21&amp;" --initTime "&amp;TEXT(E21,"yyyy-mm-ddTHH:MM:SS")&amp;" --startdatetime "&amp;TEXT(F21,"yyyy-mm-ddTHH:MM:SS")&amp;" --delay "&amp;G21&amp;" --endMP "&amp;H21&amp;" --enddatetime "&amp;TEXT(I21,"yyyy-mm-ddTHH:MM:SS")&amp;" --enforcementcount "&amp;J21&amp;" &gt;&gt; "&amp;TEXT(Variables!$A$2,"yyyy-mm-dd")&amp;"-refined-runtimes.txt"</f>
        <v>"%USERPROFILE%\Documents\GitHub\eaglep3\Utilities\RefineRTDCRunTimes.py" --tripid 109-04 --locoid 4025 --swversion DE.1.0.7.0 --startMP 204:446 --initTime 2016-08-04T04:38:17 --startdatetime 2016-08-04T04:39:53 --delay 1 --endMP 204:233307 --enddatetime 2016-08-04T05:21:15 --enforcementcount 0 &gt;&gt; 2016-08-04-refined-runtimes.txt</v>
      </c>
    </row>
    <row r="22" spans="1:34" s="32" customFormat="1" x14ac:dyDescent="0.25">
      <c r="A22" s="42" t="s">
        <v>462</v>
      </c>
      <c r="B22" s="7">
        <v>4026</v>
      </c>
      <c r="C22" s="25" t="s">
        <v>163</v>
      </c>
      <c r="D22" s="25" t="s">
        <v>362</v>
      </c>
      <c r="E22" s="16">
        <v>42586.22519675926</v>
      </c>
      <c r="F22" s="16">
        <v>42586.229525462964</v>
      </c>
      <c r="G22" s="7">
        <v>6</v>
      </c>
      <c r="H22" s="16" t="s">
        <v>361</v>
      </c>
      <c r="I22" s="16">
        <v>42586.264872685184</v>
      </c>
      <c r="J22" s="7">
        <v>0</v>
      </c>
      <c r="K22" s="114" t="str">
        <f t="shared" si="15"/>
        <v>4025/4026</v>
      </c>
      <c r="L22" s="25" t="str">
        <f>VLOOKUP(A22,'Trips&amp;Operators'!$C$1:$E$10000,3,FALSE)</f>
        <v>SANTIZO</v>
      </c>
      <c r="M22" s="6">
        <f t="shared" si="16"/>
        <v>3.534722221957054E-2</v>
      </c>
      <c r="N22" s="7">
        <f t="shared" si="2"/>
        <v>50.899999996181577</v>
      </c>
      <c r="O22" s="7"/>
      <c r="P22" s="7"/>
      <c r="Q22" s="26"/>
      <c r="R22" s="26"/>
      <c r="S22" s="38">
        <f t="shared" si="17"/>
        <v>1</v>
      </c>
      <c r="T22" s="55" t="str">
        <f t="shared" si="18"/>
        <v>Southbound</v>
      </c>
      <c r="U22" s="77">
        <f>IF(AG22="EC",COUNTIFS(Variables!$M$2:$M$19,IF(T22="NorthBound","&gt;=","&lt;=")&amp;Y22,Variables!$M$2:$M$19,IF(T22="NorthBound","&lt;=","&gt;=")&amp;Z22),COUNTIFS(Variables!$P$2:$P$19,IF(T22="NorthBound","&gt;=","&lt;=")&amp;Y22,Variables!$P$2:$P$19,IF(T22="NorthBound","&lt;=","&gt;=")&amp;Z22))</f>
        <v>12</v>
      </c>
      <c r="V22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04:24:17-0600',mode:absolute,to:'2016-08-04 07:21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2" s="57" t="str">
        <f t="shared" si="20"/>
        <v>N</v>
      </c>
      <c r="X22" s="117">
        <f t="shared" si="28"/>
        <v>1</v>
      </c>
      <c r="Y22" s="72">
        <f t="shared" si="21"/>
        <v>23.297799999999999</v>
      </c>
      <c r="Z22" s="72">
        <f t="shared" si="22"/>
        <v>1.38E-2</v>
      </c>
      <c r="AA22" s="72">
        <f t="shared" si="23"/>
        <v>23.283999999999999</v>
      </c>
      <c r="AB22" s="69" t="e">
        <f>VLOOKUP(A22,Enforcements!$C$7:$J$24,8,0)</f>
        <v>#N/A</v>
      </c>
      <c r="AC22" s="65" t="e">
        <f>VLOOKUP(A22,Enforcements!$C$7:$E$24,3,0)</f>
        <v>#N/A</v>
      </c>
      <c r="AD22" s="66" t="str">
        <f t="shared" si="24"/>
        <v>0110-04</v>
      </c>
      <c r="AE22" s="124" t="str">
        <f t="shared" si="25"/>
        <v>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 &amp; aws s3 cp s3://rtdc.mdm.uploadarchive/RTDC4026/2016-08-05/ "%USERPROFILE%\AppData\Local\Temp\OnboardLogs"\RTDC4026\2016-08-05 --recursive &amp; "%USERPROFILE%\Documents\GitHub\mrs-test-scripts\Headless Mode &amp; Sideloading\WalkAndUnGZ.bat" "%USERPROFILE%\AppData\Local\Temp\OnboardLogs"\RTDC4026\2016-08-05</v>
      </c>
      <c r="AF22" s="121" t="str">
        <f t="shared" si="26"/>
        <v>"C:\Program Files (x86)\AstroGrep\AstroGrep.exe" /spath="%USERPROFILE%\AppData\Local\Temp\OnboardLogs" /stypes="*4026*20160804*" /stext=" 12:.+((SYSTEM_STATE.+slice.+state.+changed )|(ment ac)|(system.+state.+changed )|(\|lc)|(penalty)|(\[timeout)|(PRM\|1\|D)|(kpr)|(kdp))" /e /r /s</v>
      </c>
      <c r="AG22" s="1" t="str">
        <f t="shared" si="29"/>
        <v>EC</v>
      </c>
      <c r="AH22" s="125" t="str">
        <f>refinertdcruntimes&amp;" --tripid "&amp;A22&amp;" --locoid "&amp;B22&amp;" --swversion "&amp;C22&amp;" --startMP "&amp;D22&amp;" --initTime "&amp;TEXT(E22,"yyyy-mm-ddTHH:MM:SS")&amp;" --startdatetime "&amp;TEXT(F22,"yyyy-mm-ddTHH:MM:SS")&amp;" --delay "&amp;G22&amp;" --endMP "&amp;H22&amp;" --enddatetime "&amp;TEXT(I22,"yyyy-mm-ddTHH:MM:SS")&amp;" --enforcementcount "&amp;J22&amp;" &gt;&gt; "&amp;TEXT(Variables!$A$2,"yyyy-mm-dd")&amp;"-refined-runtimes.txt"</f>
        <v>"%USERPROFILE%\Documents\GitHub\eaglep3\Utilities\RefineRTDCRunTimes.py" --tripid 110-04 --locoid 4026 --swversion DE.1.0.7.0 --startMP 204:232978 --initTime 2016-08-04T05:24:17 --startdatetime 2016-08-04T05:30:31 --delay 6 --endMP 204:138 --enddatetime 2016-08-04T06:21:25 --enforcementcount 0 &gt;&gt; 2016-08-04-refined-runtimes.txt</v>
      </c>
    </row>
    <row r="23" spans="1:34" s="1" customFormat="1" x14ac:dyDescent="0.25">
      <c r="A23" s="42" t="s">
        <v>460</v>
      </c>
      <c r="B23" s="7">
        <v>4020</v>
      </c>
      <c r="C23" s="25" t="s">
        <v>163</v>
      </c>
      <c r="D23" s="25" t="s">
        <v>516</v>
      </c>
      <c r="E23" s="16">
        <v>42586.211296296293</v>
      </c>
      <c r="F23" s="16">
        <v>42586.212592592594</v>
      </c>
      <c r="G23" s="7">
        <v>1</v>
      </c>
      <c r="H23" s="16" t="s">
        <v>396</v>
      </c>
      <c r="I23" s="16">
        <v>42586.242175925923</v>
      </c>
      <c r="J23" s="7">
        <v>1</v>
      </c>
      <c r="K23" s="114" t="str">
        <f t="shared" si="15"/>
        <v>4019/4020</v>
      </c>
      <c r="L23" s="25" t="str">
        <f>VLOOKUP(A23,'Trips&amp;Operators'!$C$1:$E$10000,3,FALSE)</f>
        <v>STARKS</v>
      </c>
      <c r="M23" s="6">
        <f t="shared" si="16"/>
        <v>2.958333332935581E-2</v>
      </c>
      <c r="N23" s="7">
        <f t="shared" si="2"/>
        <v>42.599999994272366</v>
      </c>
      <c r="O23" s="7"/>
      <c r="P23" s="7"/>
      <c r="Q23" s="26"/>
      <c r="R23" s="26"/>
      <c r="S23" s="38">
        <f t="shared" si="17"/>
        <v>1</v>
      </c>
      <c r="T23" s="55" t="str">
        <f t="shared" si="18"/>
        <v>NorthBound</v>
      </c>
      <c r="U23" s="77">
        <f>IF(AG23="EC",COUNTIFS(Variables!$M$2:$M$19,IF(T23="NorthBound","&gt;=","&lt;=")&amp;Y23,Variables!$M$2:$M$19,IF(T23="NorthBound","&lt;=","&gt;=")&amp;Z23),COUNTIFS(Variables!$P$2:$P$19,IF(T23="NorthBound","&gt;=","&lt;=")&amp;Y23,Variables!$P$2:$P$19,IF(T23="NorthBound","&lt;=","&gt;=")&amp;Z23))</f>
        <v>12</v>
      </c>
      <c r="V23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04:04:16-0600',mode:absolute,to:'2016-08-04 06:48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3" s="57" t="str">
        <f t="shared" si="20"/>
        <v>N</v>
      </c>
      <c r="X23" s="117">
        <f t="shared" si="28"/>
        <v>1</v>
      </c>
      <c r="Y23" s="72">
        <f t="shared" si="21"/>
        <v>7.4300000000000005E-2</v>
      </c>
      <c r="Z23" s="72">
        <f t="shared" si="22"/>
        <v>23.332100000000001</v>
      </c>
      <c r="AA23" s="72">
        <f t="shared" si="23"/>
        <v>23.2578</v>
      </c>
      <c r="AB23" s="69" t="e">
        <f>VLOOKUP(A23,Enforcements!$C$7:$J$24,8,0)</f>
        <v>#N/A</v>
      </c>
      <c r="AC23" s="65" t="e">
        <f>VLOOKUP(A23,Enforcements!$C$7:$E$24,3,0)</f>
        <v>#N/A</v>
      </c>
      <c r="AD23" s="66" t="str">
        <f t="shared" si="24"/>
        <v>0111-04</v>
      </c>
      <c r="AE23" s="124" t="str">
        <f t="shared" si="25"/>
        <v>aws s3 cp s3://rtdc.mdm.uploadarchive/RTDC4020/2016-08-04/ "%USERPROFILE%\AppData\Local\Temp\OnboardLogs"\RTDC4020\2016-08-04 --recursive &amp; "%USERPROFILE%\Documents\GitHub\mrs-test-scripts\Headless Mode &amp; Sideloading\WalkAndUnGZ.bat" "%USERPROFILE%\AppData\Local\Temp\OnboardLogs"\RTDC4020\2016-08-04 &amp; aws s3 cp s3://rtdc.mdm.uploadarchive/RTDC4020/2016-08-05/ "%USERPROFILE%\AppData\Local\Temp\OnboardLogs"\RTDC4020\2016-08-05 --recursive &amp; "%USERPROFILE%\Documents\GitHub\mrs-test-scripts\Headless Mode &amp; Sideloading\WalkAndUnGZ.bat" "%USERPROFILE%\AppData\Local\Temp\OnboardLogs"\RTDC4020\2016-08-05</v>
      </c>
      <c r="AF23" s="121" t="str">
        <f t="shared" si="26"/>
        <v>"C:\Program Files (x86)\AstroGrep\AstroGrep.exe" /spath="%USERPROFILE%\AppData\Local\Temp\OnboardLogs" /stypes="*4020*20160804*" /stext=" 11:.+((SYSTEM_STATE.+slice.+state.+changed )|(ment ac)|(system.+state.+changed )|(\|lc)|(penalty)|(\[timeout)|(PRM\|1\|D)|(kpr)|(kdp))" /e /r /s</v>
      </c>
      <c r="AG23" s="1" t="str">
        <f t="shared" si="29"/>
        <v>EC</v>
      </c>
      <c r="AH23" s="125" t="str">
        <f>refinertdcruntimes&amp;" --tripid "&amp;A23&amp;" --locoid "&amp;B23&amp;" --swversion "&amp;C23&amp;" --startMP "&amp;D23&amp;" --initTime "&amp;TEXT(E23,"yyyy-mm-ddTHH:MM:SS")&amp;" --startdatetime "&amp;TEXT(F23,"yyyy-mm-ddTHH:MM:SS")&amp;" --delay "&amp;G23&amp;" --endMP "&amp;H23&amp;" --enddatetime "&amp;TEXT(I23,"yyyy-mm-ddTHH:MM:SS")&amp;" --enforcementcount "&amp;J23&amp;" &gt;&gt; "&amp;TEXT(Variables!$A$2,"yyyy-mm-dd")&amp;"-refined-runtimes.txt"</f>
        <v>"%USERPROFILE%\Documents\GitHub\eaglep3\Utilities\RefineRTDCRunTimes.py" --tripid 111-04 --locoid 4020 --swversion DE.1.0.7.0 --startMP 204:743 --initTime 2016-08-04T05:04:16 --startdatetime 2016-08-04T05:06:08 --delay 1 --endMP 204:233321 --enddatetime 2016-08-04T05:48:44 --enforcementcount 1 &gt;&gt; 2016-08-04-refined-runtimes.txt</v>
      </c>
    </row>
    <row r="24" spans="1:34" s="1" customFormat="1" ht="14.25" customHeight="1" x14ac:dyDescent="0.25">
      <c r="A24" s="42" t="s">
        <v>465</v>
      </c>
      <c r="B24" s="7">
        <v>4019</v>
      </c>
      <c r="C24" s="25" t="s">
        <v>163</v>
      </c>
      <c r="D24" s="25" t="s">
        <v>360</v>
      </c>
      <c r="E24" s="16">
        <v>42586.245104166665</v>
      </c>
      <c r="F24" s="16">
        <v>42586.246122685188</v>
      </c>
      <c r="G24" s="7">
        <v>1</v>
      </c>
      <c r="H24" s="16" t="s">
        <v>388</v>
      </c>
      <c r="I24" s="16">
        <v>42586.27616898148</v>
      </c>
      <c r="J24" s="7">
        <v>0</v>
      </c>
      <c r="K24" s="114" t="str">
        <f t="shared" si="15"/>
        <v>4019/4020</v>
      </c>
      <c r="L24" s="25" t="str">
        <f>VLOOKUP(A24,'Trips&amp;Operators'!$C$1:$E$10000,3,FALSE)</f>
        <v>STARKS</v>
      </c>
      <c r="M24" s="6">
        <f t="shared" si="16"/>
        <v>3.0046296291402541E-2</v>
      </c>
      <c r="N24" s="7">
        <f t="shared" si="2"/>
        <v>43.266666659619659</v>
      </c>
      <c r="O24" s="7"/>
      <c r="P24" s="7"/>
      <c r="Q24" s="26"/>
      <c r="R24" s="26"/>
      <c r="S24" s="38">
        <f t="shared" si="17"/>
        <v>1</v>
      </c>
      <c r="T24" s="55" t="str">
        <f t="shared" si="18"/>
        <v>Southbound</v>
      </c>
      <c r="U24" s="77">
        <f>IF(AG24="EC",COUNTIFS(Variables!$M$2:$M$19,IF(T24="NorthBound","&gt;=","&lt;=")&amp;Y24,Variables!$M$2:$M$19,IF(T24="NorthBound","&lt;=","&gt;=")&amp;Z24),COUNTIFS(Variables!$P$2:$P$19,IF(T24="NorthBound","&gt;=","&lt;=")&amp;Y24,Variables!$P$2:$P$19,IF(T24="NorthBound","&lt;=","&gt;=")&amp;Z24))</f>
        <v>12</v>
      </c>
      <c r="V24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04:52:57-0600',mode:absolute,to:'2016-08-04 07:37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4" s="57" t="str">
        <f t="shared" si="20"/>
        <v>N</v>
      </c>
      <c r="X24" s="117">
        <f t="shared" si="28"/>
        <v>1</v>
      </c>
      <c r="Y24" s="72">
        <f t="shared" si="21"/>
        <v>23.3002</v>
      </c>
      <c r="Z24" s="72">
        <f t="shared" si="22"/>
        <v>1.5800000000000002E-2</v>
      </c>
      <c r="AA24" s="72">
        <f t="shared" si="23"/>
        <v>23.284400000000002</v>
      </c>
      <c r="AB24" s="69" t="e">
        <f>VLOOKUP(A24,Enforcements!$C$7:$J$24,8,0)</f>
        <v>#N/A</v>
      </c>
      <c r="AC24" s="65" t="e">
        <f>VLOOKUP(A24,Enforcements!$C$7:$E$24,3,0)</f>
        <v>#N/A</v>
      </c>
      <c r="AD24" s="66" t="str">
        <f t="shared" si="24"/>
        <v>0112-04</v>
      </c>
      <c r="AE24" s="124" t="str">
        <f t="shared" si="25"/>
        <v>aws s3 cp s3://rtdc.mdm.uploadarchive/RTDC4019/2016-08-04/ "%USERPROFILE%\AppData\Local\Temp\OnboardLogs"\RTDC4019\2016-08-04 --recursive &amp; "%USERPROFILE%\Documents\GitHub\mrs-test-scripts\Headless Mode &amp; Sideloading\WalkAndUnGZ.bat" "%USERPROFILE%\AppData\Local\Temp\OnboardLogs"\RTDC4019\2016-08-04 &amp; aws s3 cp s3://rtdc.mdm.uploadarchive/RTDC4019/2016-08-05/ "%USERPROFILE%\AppData\Local\Temp\OnboardLogs"\RTDC4019\2016-08-05 --recursive &amp; "%USERPROFILE%\Documents\GitHub\mrs-test-scripts\Headless Mode &amp; Sideloading\WalkAndUnGZ.bat" "%USERPROFILE%\AppData\Local\Temp\OnboardLogs"\RTDC4019\2016-08-05</v>
      </c>
      <c r="AF24" s="121" t="str">
        <f t="shared" si="26"/>
        <v>"C:\Program Files (x86)\AstroGrep\AstroGrep.exe" /spath="%USERPROFILE%\AppData\Local\Temp\OnboardLogs" /stypes="*4019*20160804*" /stext=" 12:.+((SYSTEM_STATE.+slice.+state.+changed )|(ment ac)|(system.+state.+changed )|(\|lc)|(penalty)|(\[timeout)|(PRM\|1\|D)|(kpr)|(kdp))" /e /r /s</v>
      </c>
      <c r="AG24" s="1" t="str">
        <f t="shared" si="29"/>
        <v>EC</v>
      </c>
      <c r="AH24" s="125" t="str">
        <f>refinertdcruntimes&amp;" --tripid "&amp;A24&amp;" --locoid "&amp;B24&amp;" --swversion "&amp;C24&amp;" --startMP "&amp;D24&amp;" --initTime "&amp;TEXT(E24,"yyyy-mm-ddTHH:MM:SS")&amp;" --startdatetime "&amp;TEXT(F24,"yyyy-mm-ddTHH:MM:SS")&amp;" --delay "&amp;G24&amp;" --endMP "&amp;H24&amp;" --enddatetime "&amp;TEXT(I24,"yyyy-mm-ddTHH:MM:SS")&amp;" --enforcementcount "&amp;J24&amp;" &gt;&gt; "&amp;TEXT(Variables!$A$2,"yyyy-mm-dd")&amp;"-refined-runtimes.txt"</f>
        <v>"%USERPROFILE%\Documents\GitHub\eaglep3\Utilities\RefineRTDCRunTimes.py" --tripid 112-04 --locoid 4019 --swversion DE.1.0.7.0 --startMP 204:233002 --initTime 2016-08-04T05:52:57 --startdatetime 2016-08-04T05:54:25 --delay 1 --endMP 204:158 --enddatetime 2016-08-04T06:37:41 --enforcementcount 0 &gt;&gt; 2016-08-04-refined-runtimes.txt</v>
      </c>
    </row>
    <row r="25" spans="1:34" s="1" customFormat="1" x14ac:dyDescent="0.25">
      <c r="A25" s="42" t="s">
        <v>437</v>
      </c>
      <c r="B25" s="7">
        <v>4031</v>
      </c>
      <c r="C25" s="25" t="s">
        <v>163</v>
      </c>
      <c r="D25" s="25" t="s">
        <v>344</v>
      </c>
      <c r="E25" s="16">
        <v>42586.216689814813</v>
      </c>
      <c r="F25" s="16">
        <v>42586.217812499999</v>
      </c>
      <c r="G25" s="7">
        <v>1</v>
      </c>
      <c r="H25" s="16" t="s">
        <v>164</v>
      </c>
      <c r="I25" s="16">
        <v>42586.246412037035</v>
      </c>
      <c r="J25" s="7">
        <v>0</v>
      </c>
      <c r="K25" s="114" t="str">
        <f t="shared" si="15"/>
        <v>4031/4032</v>
      </c>
      <c r="L25" s="25" t="str">
        <f>VLOOKUP(A25,'Trips&amp;Operators'!$C$1:$E$10000,3,FALSE)</f>
        <v>MAELZER</v>
      </c>
      <c r="M25" s="6">
        <f t="shared" si="16"/>
        <v>2.8599537035916001E-2</v>
      </c>
      <c r="N25" s="7">
        <f t="shared" si="2"/>
        <v>41.183333331719041</v>
      </c>
      <c r="O25" s="7"/>
      <c r="P25" s="7"/>
      <c r="Q25" s="26"/>
      <c r="R25" s="26"/>
      <c r="S25" s="38">
        <f t="shared" si="17"/>
        <v>1</v>
      </c>
      <c r="T25" s="55" t="str">
        <f t="shared" si="18"/>
        <v>NorthBound</v>
      </c>
      <c r="U25" s="77">
        <f>IF(AG25="EC",COUNTIFS(Variables!$M$2:$M$19,IF(T25="NorthBound","&gt;=","&lt;=")&amp;Y25,Variables!$M$2:$M$19,IF(T25="NorthBound","&lt;=","&gt;=")&amp;Z25),COUNTIFS(Variables!$P$2:$P$19,IF(T25="NorthBound","&gt;=","&lt;=")&amp;Y25,Variables!$P$2:$P$19,IF(T25="NorthBound","&lt;=","&gt;=")&amp;Z25))</f>
        <v>12</v>
      </c>
      <c r="V25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04:12:02-0600',mode:absolute,to:'2016-08-04 06:54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5" s="57" t="str">
        <f t="shared" si="20"/>
        <v>N</v>
      </c>
      <c r="X25" s="117">
        <f t="shared" si="28"/>
        <v>1</v>
      </c>
      <c r="Y25" s="72">
        <f t="shared" si="21"/>
        <v>4.4400000000000002E-2</v>
      </c>
      <c r="Z25" s="72">
        <f t="shared" si="22"/>
        <v>23.3291</v>
      </c>
      <c r="AA25" s="72">
        <f t="shared" si="23"/>
        <v>23.284700000000001</v>
      </c>
      <c r="AB25" s="69" t="e">
        <f>VLOOKUP(A25,Enforcements!$C$7:$J$24,8,0)</f>
        <v>#N/A</v>
      </c>
      <c r="AC25" s="65" t="e">
        <f>VLOOKUP(A25,Enforcements!$C$7:$E$24,3,0)</f>
        <v>#N/A</v>
      </c>
      <c r="AD25" s="66" t="str">
        <f t="shared" si="24"/>
        <v>0113-04</v>
      </c>
      <c r="AE25" s="124" t="str">
        <f t="shared" si="25"/>
        <v>aws s3 cp s3://rtdc.mdm.uploadarchive/RTDC4031/2016-08-04/ "%USERPROFILE%\AppData\Local\Temp\OnboardLogs"\RTDC4031\2016-08-04 --recursive &amp; "%USERPROFILE%\Documents\GitHub\mrs-test-scripts\Headless Mode &amp; Sideloading\WalkAndUnGZ.bat" "%USERPROFILE%\AppData\Local\Temp\OnboardLogs"\RTDC4031\2016-08-04 &amp; aws s3 cp s3://rtdc.mdm.uploadarchive/RTDC4031/2016-08-05/ "%USERPROFILE%\AppData\Local\Temp\OnboardLogs"\RTDC4031\2016-08-05 --recursive &amp; "%USERPROFILE%\Documents\GitHub\mrs-test-scripts\Headless Mode &amp; Sideloading\WalkAndUnGZ.bat" "%USERPROFILE%\AppData\Local\Temp\OnboardLogs"\RTDC4031\2016-08-05</v>
      </c>
      <c r="AF25" s="121" t="str">
        <f t="shared" si="26"/>
        <v>"C:\Program Files (x86)\AstroGrep\AstroGrep.exe" /spath="%USERPROFILE%\AppData\Local\Temp\OnboardLogs" /stypes="*4031*20160804*" /stext=" 11:.+((SYSTEM_STATE.+slice.+state.+changed )|(ment ac)|(system.+state.+changed )|(\|lc)|(penalty)|(\[timeout)|(PRM\|1\|D)|(kpr)|(kdp))" /e /r /s</v>
      </c>
      <c r="AG25" s="1" t="str">
        <f t="shared" si="29"/>
        <v>EC</v>
      </c>
      <c r="AH25" s="125" t="str">
        <f>refinertdcruntimes&amp;" --tripid "&amp;A25&amp;" --locoid "&amp;B25&amp;" --swversion "&amp;C25&amp;" --startMP "&amp;D25&amp;" --initTime "&amp;TEXT(E25,"yyyy-mm-ddTHH:MM:SS")&amp;" --startdatetime "&amp;TEXT(F25,"yyyy-mm-ddTHH:MM:SS")&amp;" --delay "&amp;G25&amp;" --endMP "&amp;H25&amp;" --enddatetime "&amp;TEXT(I25,"yyyy-mm-ddTHH:MM:SS")&amp;" --enforcementcount "&amp;J25&amp;" &gt;&gt; "&amp;TEXT(Variables!$A$2,"yyyy-mm-dd")&amp;"-refined-runtimes.txt"</f>
        <v>"%USERPROFILE%\Documents\GitHub\eaglep3\Utilities\RefineRTDCRunTimes.py" --tripid 113-04 --locoid 4031 --swversion DE.1.0.7.0 --startMP 204:444 --initTime 2016-08-04T05:12:02 --startdatetime 2016-08-04T05:13:39 --delay 1 --endMP 204:233291 --enddatetime 2016-08-04T05:54:50 --enforcementcount 0 &gt;&gt; 2016-08-04-refined-runtimes.txt</v>
      </c>
    </row>
    <row r="26" spans="1:34" s="1" customFormat="1" x14ac:dyDescent="0.25">
      <c r="A26" s="42" t="s">
        <v>466</v>
      </c>
      <c r="B26" s="7">
        <v>4032</v>
      </c>
      <c r="C26" s="25" t="s">
        <v>163</v>
      </c>
      <c r="D26" s="25" t="s">
        <v>392</v>
      </c>
      <c r="E26" s="16">
        <v>42586.251493055555</v>
      </c>
      <c r="F26" s="16">
        <v>42586.252291666664</v>
      </c>
      <c r="G26" s="7">
        <v>1</v>
      </c>
      <c r="H26" s="16" t="s">
        <v>58</v>
      </c>
      <c r="I26" s="16">
        <v>42586.287175925929</v>
      </c>
      <c r="J26" s="7">
        <v>0</v>
      </c>
      <c r="K26" s="114" t="str">
        <f t="shared" si="15"/>
        <v>4031/4032</v>
      </c>
      <c r="L26" s="25" t="str">
        <f>VLOOKUP(A26,'Trips&amp;Operators'!$C$1:$E$10000,3,FALSE)</f>
        <v>MAELZER</v>
      </c>
      <c r="M26" s="6">
        <f t="shared" si="16"/>
        <v>3.4884259264799766E-2</v>
      </c>
      <c r="N26" s="7">
        <f t="shared" si="2"/>
        <v>50.233333341311663</v>
      </c>
      <c r="O26" s="7"/>
      <c r="P26" s="7"/>
      <c r="Q26" s="26"/>
      <c r="R26" s="26"/>
      <c r="S26" s="38">
        <f t="shared" si="17"/>
        <v>1</v>
      </c>
      <c r="T26" s="55" t="str">
        <f t="shared" si="18"/>
        <v>Southbound</v>
      </c>
      <c r="U26" s="77">
        <f>IF(AG26="EC",COUNTIFS(Variables!$M$2:$M$19,IF(T26="NorthBound","&gt;=","&lt;=")&amp;Y26,Variables!$M$2:$M$19,IF(T26="NorthBound","&lt;=","&gt;=")&amp;Z26),COUNTIFS(Variables!$P$2:$P$19,IF(T26="NorthBound","&gt;=","&lt;=")&amp;Y26,Variables!$P$2:$P$19,IF(T26="NorthBound","&lt;=","&gt;=")&amp;Z26))</f>
        <v>12</v>
      </c>
      <c r="V26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05:02:09-0600',mode:absolute,to:'2016-08-04 07:53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26" s="57" t="str">
        <f t="shared" si="20"/>
        <v>N</v>
      </c>
      <c r="X26" s="117">
        <f t="shared" si="28"/>
        <v>1</v>
      </c>
      <c r="Y26" s="72">
        <f t="shared" si="21"/>
        <v>23.296700000000001</v>
      </c>
      <c r="Z26" s="72">
        <f t="shared" si="22"/>
        <v>1.4500000000000001E-2</v>
      </c>
      <c r="AA26" s="72">
        <f t="shared" si="23"/>
        <v>23.2822</v>
      </c>
      <c r="AB26" s="69" t="e">
        <f>VLOOKUP(A26,Enforcements!$C$7:$J$24,8,0)</f>
        <v>#N/A</v>
      </c>
      <c r="AC26" s="65" t="e">
        <f>VLOOKUP(A26,Enforcements!$C$7:$E$24,3,0)</f>
        <v>#N/A</v>
      </c>
      <c r="AD26" s="66" t="str">
        <f t="shared" si="24"/>
        <v>0114-04</v>
      </c>
      <c r="AE26" s="124" t="str">
        <f t="shared" si="25"/>
        <v>aws s3 cp s3://rtdc.mdm.uploadarchive/RTDC4032/2016-08-04/ "%USERPROFILE%\AppData\Local\Temp\OnboardLogs"\RTDC4032\2016-08-04 --recursive &amp; "%USERPROFILE%\Documents\GitHub\mrs-test-scripts\Headless Mode &amp; Sideloading\WalkAndUnGZ.bat" "%USERPROFILE%\AppData\Local\Temp\OnboardLogs"\RTDC4032\2016-08-04 &amp; aws s3 cp s3://rtdc.mdm.uploadarchive/RTDC4032/2016-08-05/ "%USERPROFILE%\AppData\Local\Temp\OnboardLogs"\RTDC4032\2016-08-05 --recursive &amp; "%USERPROFILE%\Documents\GitHub\mrs-test-scripts\Headless Mode &amp; Sideloading\WalkAndUnGZ.bat" "%USERPROFILE%\AppData\Local\Temp\OnboardLogs"\RTDC4032\2016-08-05</v>
      </c>
      <c r="AF26" s="121" t="str">
        <f t="shared" si="26"/>
        <v>"C:\Program Files (x86)\AstroGrep\AstroGrep.exe" /spath="%USERPROFILE%\AppData\Local\Temp\OnboardLogs" /stypes="*4032*20160804*" /stext=" 12:.+((SYSTEM_STATE.+slice.+state.+changed )|(ment ac)|(system.+state.+changed )|(\|lc)|(penalty)|(\[timeout)|(PRM\|1\|D)|(kpr)|(kdp))" /e /r /s</v>
      </c>
      <c r="AG26" s="1" t="str">
        <f t="shared" si="29"/>
        <v>EC</v>
      </c>
      <c r="AH26" s="125" t="str">
        <f>refinertdcruntimes&amp;" --tripid "&amp;A26&amp;" --locoid "&amp;B26&amp;" --swversion "&amp;C26&amp;" --startMP "&amp;D26&amp;" --initTime "&amp;TEXT(E26,"yyyy-mm-ddTHH:MM:SS")&amp;" --startdatetime "&amp;TEXT(F26,"yyyy-mm-ddTHH:MM:SS")&amp;" --delay "&amp;G26&amp;" --endMP "&amp;H26&amp;" --enddatetime "&amp;TEXT(I26,"yyyy-mm-ddTHH:MM:SS")&amp;" --enforcementcount "&amp;J26&amp;" &gt;&gt; "&amp;TEXT(Variables!$A$2,"yyyy-mm-dd")&amp;"-refined-runtimes.txt"</f>
        <v>"%USERPROFILE%\Documents\GitHub\eaglep3\Utilities\RefineRTDCRunTimes.py" --tripid 114-04 --locoid 4032 --swversion DE.1.0.7.0 --startMP 204:232967 --initTime 2016-08-04T06:02:09 --startdatetime 2016-08-04T06:03:18 --delay 1 --endMP 204:145 --enddatetime 2016-08-04T06:53:32 --enforcementcount 0 &gt;&gt; 2016-08-04-refined-runtimes.txt</v>
      </c>
    </row>
    <row r="27" spans="1:34" s="1" customFormat="1" x14ac:dyDescent="0.25">
      <c r="A27" s="42" t="s">
        <v>449</v>
      </c>
      <c r="B27" s="7">
        <v>4027</v>
      </c>
      <c r="C27" s="25" t="s">
        <v>163</v>
      </c>
      <c r="D27" s="25" t="s">
        <v>517</v>
      </c>
      <c r="E27" s="16">
        <v>42586.238865740743</v>
      </c>
      <c r="F27" s="16">
        <v>42586.240381944444</v>
      </c>
      <c r="G27" s="7">
        <v>2</v>
      </c>
      <c r="H27" s="16" t="s">
        <v>518</v>
      </c>
      <c r="I27" s="16">
        <v>42586.268333333333</v>
      </c>
      <c r="J27" s="7">
        <v>0</v>
      </c>
      <c r="K27" s="114" t="str">
        <f t="shared" si="15"/>
        <v>4027/4028</v>
      </c>
      <c r="L27" s="25" t="str">
        <f>VLOOKUP(A27,'Trips&amp;Operators'!$C$1:$E$10000,3,FALSE)</f>
        <v>BRANNON</v>
      </c>
      <c r="M27" s="6">
        <f t="shared" si="16"/>
        <v>2.7951388889050577E-2</v>
      </c>
      <c r="N27" s="7"/>
      <c r="O27" s="7"/>
      <c r="P27" s="7">
        <f t="shared" si="2"/>
        <v>40.250000000232831</v>
      </c>
      <c r="Q27" s="26"/>
      <c r="R27" s="26" t="s">
        <v>773</v>
      </c>
      <c r="S27" s="38">
        <f t="shared" si="17"/>
        <v>1</v>
      </c>
      <c r="T27" s="55" t="str">
        <f t="shared" si="18"/>
        <v>NorthBound</v>
      </c>
      <c r="U27" s="77">
        <f>IF(AG27="EC",COUNTIFS(Variables!$M$2:$M$19,IF(T27="NorthBound","&gt;=","&lt;=")&amp;Y27,Variables!$M$2:$M$19,IF(T27="NorthBound","&lt;=","&gt;=")&amp;Z27),COUNTIFS(Variables!$P$2:$P$19,IF(T27="NorthBound","&gt;=","&lt;=")&amp;Y27,Variables!$P$2:$P$19,IF(T27="NorthBound","&lt;=","&gt;=")&amp;Z27))</f>
        <v>12</v>
      </c>
      <c r="V27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04:43:58-0600',mode:absolute,to:'2016-08-04 07:26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27" s="57" t="str">
        <f t="shared" si="20"/>
        <v>Y</v>
      </c>
      <c r="X27" s="117">
        <f t="shared" si="28"/>
        <v>1</v>
      </c>
      <c r="Y27" s="72">
        <f t="shared" si="21"/>
        <v>1.9128000000000001</v>
      </c>
      <c r="Z27" s="72">
        <f t="shared" si="22"/>
        <v>23.3322</v>
      </c>
      <c r="AA27" s="72">
        <f t="shared" si="23"/>
        <v>21.4194</v>
      </c>
      <c r="AB27" s="69" t="e">
        <f>VLOOKUP(A27,Enforcements!$C$7:$J$24,8,0)</f>
        <v>#N/A</v>
      </c>
      <c r="AC27" s="65" t="e">
        <f>VLOOKUP(A27,Enforcements!$C$7:$E$24,3,0)</f>
        <v>#N/A</v>
      </c>
      <c r="AD27" s="66" t="str">
        <f t="shared" si="24"/>
        <v>0115-04</v>
      </c>
      <c r="AE27" s="124" t="str">
        <f t="shared" si="25"/>
        <v>aws s3 cp s3://rtdc.mdm.uploadarchive/RTDC4027/2016-08-04/ "%USERPROFILE%\AppData\Local\Temp\OnboardLogs"\RTDC4027\2016-08-04 --recursive &amp; "%USERPROFILE%\Documents\GitHub\mrs-test-scripts\Headless Mode &amp; Sideloading\WalkAndUnGZ.bat" "%USERPROFILE%\AppData\Local\Temp\OnboardLogs"\RTDC4027\2016-08-04 &amp; aws s3 cp s3://rtdc.mdm.uploadarchive/RTDC4027/2016-08-05/ "%USERPROFILE%\AppData\Local\Temp\OnboardLogs"\RTDC4027\2016-08-05 --recursive &amp; "%USERPROFILE%\Documents\GitHub\mrs-test-scripts\Headless Mode &amp; Sideloading\WalkAndUnGZ.bat" "%USERPROFILE%\AppData\Local\Temp\OnboardLogs"\RTDC4027\2016-08-05</v>
      </c>
      <c r="AF27" s="121" t="str">
        <f t="shared" si="26"/>
        <v>"C:\Program Files (x86)\AstroGrep\AstroGrep.exe" /spath="%USERPROFILE%\AppData\Local\Temp\OnboardLogs" /stypes="*4027*20160804*" /stext=" 12:.+((SYSTEM_STATE.+slice.+state.+changed )|(ment ac)|(system.+state.+changed )|(\|lc)|(penalty)|(\[timeout)|(PRM\|1\|D)|(kpr)|(kdp))" /e /r /s</v>
      </c>
      <c r="AG27" s="1" t="str">
        <f t="shared" si="29"/>
        <v>EC</v>
      </c>
      <c r="AH27" s="125" t="str">
        <f>refinertdcruntimes&amp;" --tripid "&amp;A27&amp;" --locoid "&amp;B27&amp;" --swversion "&amp;C27&amp;" --startMP "&amp;D27&amp;" --initTime "&amp;TEXT(E27,"yyyy-mm-ddTHH:MM:SS")&amp;" --startdatetime "&amp;TEXT(F27,"yyyy-mm-ddTHH:MM:SS")&amp;" --delay "&amp;G27&amp;" --endMP "&amp;H27&amp;" --enddatetime "&amp;TEXT(I27,"yyyy-mm-ddTHH:MM:SS")&amp;" --enforcementcount "&amp;J27&amp;" &gt;&gt; "&amp;TEXT(Variables!$A$2,"yyyy-mm-dd")&amp;"-refined-runtimes.txt"</f>
        <v>"%USERPROFILE%\Documents\GitHub\eaglep3\Utilities\RefineRTDCRunTimes.py" --tripid 115-04 --locoid 4027 --swversion DE.1.0.7.0 --startMP 204:19128 --initTime 2016-08-04T05:43:58 --startdatetime 2016-08-04T05:46:09 --delay 2 --endMP 204:233322 --enddatetime 2016-08-04T06:26:24 --enforcementcount 0 &gt;&gt; 2016-08-04-refined-runtimes.txt</v>
      </c>
    </row>
    <row r="28" spans="1:34" s="1" customFormat="1" x14ac:dyDescent="0.25">
      <c r="A28" s="42" t="s">
        <v>469</v>
      </c>
      <c r="B28" s="7">
        <v>4028</v>
      </c>
      <c r="C28" s="25" t="s">
        <v>163</v>
      </c>
      <c r="D28" s="25" t="s">
        <v>517</v>
      </c>
      <c r="E28" s="16">
        <v>42586.238865740743</v>
      </c>
      <c r="F28" s="16">
        <v>42586.269849537035</v>
      </c>
      <c r="G28" s="7">
        <v>2</v>
      </c>
      <c r="H28" s="16" t="s">
        <v>518</v>
      </c>
      <c r="I28" s="16">
        <v>42586.270335648151</v>
      </c>
      <c r="J28" s="7">
        <v>0</v>
      </c>
      <c r="K28" s="114" t="str">
        <f t="shared" ref="K28" si="30">IF(ISEVEN(B28),(B28-1)&amp;"/"&amp;B28,B28&amp;"/"&amp;(B28+1))</f>
        <v>4027/4028</v>
      </c>
      <c r="L28" s="25" t="str">
        <f>VLOOKUP(A28,'Trips&amp;Operators'!$C$1:$E$10000,3,FALSE)</f>
        <v>CLARK</v>
      </c>
      <c r="M28" s="6">
        <f t="shared" ref="M28" si="31">I28-F28</f>
        <v>4.8611111560603604E-4</v>
      </c>
      <c r="N28" s="7"/>
      <c r="O28" s="7"/>
      <c r="P28" s="7">
        <f t="shared" si="2"/>
        <v>0.70000000647269189</v>
      </c>
      <c r="Q28" s="26"/>
      <c r="R28" s="26" t="s">
        <v>336</v>
      </c>
      <c r="S28" s="38">
        <f t="shared" ref="S28" si="32">SUM(U28:U28)/IF(AG28="EC",12,1)</f>
        <v>0</v>
      </c>
      <c r="T28" s="55" t="str">
        <f t="shared" ref="T28" si="33">IF(ISEVEN(LEFT(AD28,4)),"Southbound","NorthBound")</f>
        <v>Southbound</v>
      </c>
      <c r="U28" s="77">
        <f>IF(AG28="EC",COUNTIFS(Variables!$M$2:$M$19,IF(T28="NorthBound","&gt;=","&lt;=")&amp;Y28,Variables!$M$2:$M$19,IF(T28="NorthBound","&lt;=","&gt;=")&amp;Z28),COUNTIFS(Variables!$P$2:$P$19,IF(T28="NorthBound","&gt;=","&lt;=")&amp;Y28,Variables!$P$2:$P$19,IF(T28="NorthBound","&lt;=","&gt;=")&amp;Z28))</f>
        <v>0</v>
      </c>
      <c r="V28" s="131" t="str">
        <f t="shared" ref="V28" si="34">"https://search-rtdc-monitor-bjffxe2xuh6vdkpspy63sjmuny.us-east-1.es.amazonaws.com/_plugin/kibana/#/discover/Steve-Slow-Train-Analysis-(2080s-and-2083s)?_g=(refreshInterval:(display:Off,section:0,value:0),time:(from:'"&amp;TEXT(E28-1/24,"yyyy-MM-DD hh:mm:ss")&amp;"-0600',mode:absolute,to:'"&amp;TEXT(I28+1/24,"yyyy-MM-DD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28&amp;"%22')),sort:!(Time,asc))"</f>
        <v>https://search-rtdc-monitor-bjffxe2xuh6vdkpspy63sjmuny.us-east-1.es.amazonaws.com/_plugin/kibana/#/discover/Steve-Slow-Train-Analysis-(2080s-and-2083s)?_g=(refreshInterval:(display:Off,section:0,value:0),time:(from:'2016-08-04 04:43:58-0600',mode:absolute,to:'2016-08-04 07:29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28" s="57" t="str">
        <f t="shared" ref="W28" si="35">IF(AA28&lt;IF(AG28="EC",23,5.65),"Y","N")</f>
        <v>Y</v>
      </c>
      <c r="X28" s="117">
        <f t="shared" si="28"/>
        <v>1</v>
      </c>
      <c r="Y28" s="72">
        <v>23.3</v>
      </c>
      <c r="Z28" s="72">
        <v>23.3</v>
      </c>
      <c r="AA28" s="72">
        <f t="shared" ref="AA28" si="36">ABS(Z28-Y28)</f>
        <v>0</v>
      </c>
      <c r="AB28" s="69" t="e">
        <f>VLOOKUP(A28,Enforcements!$C$7:$J$24,8,0)</f>
        <v>#N/A</v>
      </c>
      <c r="AC28" s="65" t="e">
        <f>VLOOKUP(A28,Enforcements!$C$7:$E$24,3,0)</f>
        <v>#N/A</v>
      </c>
      <c r="AD28" s="66" t="str">
        <f t="shared" ref="AD28" si="37">IF(LEN(A28)=6,"0"&amp;A28,A28)</f>
        <v>0116-04</v>
      </c>
      <c r="AE28" s="124" t="str">
        <f t="shared" ref="AE28" si="38">"aws s3 cp "&amp;s3_bucket&amp;"/RTDC"&amp;B28&amp;"/"&amp;TEXT(F28,"YYYY-MM-DD")&amp;"/ "&amp;search_path&amp;"\RTDC"&amp;B28&amp;"\"&amp;TEXT(F28,"YYYY-MM-DD")&amp;" --recursive &amp; """&amp;walkandungz&amp;""" "&amp;search_path&amp;"\RTDC"&amp;B28&amp;"\"&amp;TEXT(F28,"YYYY-MM-DD")
&amp;" &amp; "&amp;"aws s3 cp "&amp;s3_bucket&amp;"/RTDC"&amp;B28&amp;"/"&amp;TEXT(F28+1,"YYYY-MM-DD")&amp;"/ "&amp;search_path&amp;"\RTDC"&amp;B28&amp;"\"&amp;TEXT(F28+1,"YYYY-MM-DD")&amp;" --recursive &amp; """&amp;walkandungz&amp;""" "&amp;search_path&amp;"\RTDC"&amp;B28&amp;"\"&amp;TEXT(F28+1,"YYYY-MM-DD")</f>
        <v>aws s3 cp s3://rtdc.mdm.uploadarchive/RTDC4028/2016-08-04/ "%USERPROFILE%\AppData\Local\Temp\OnboardLogs"\RTDC4028\2016-08-04 --recursive &amp; "%USERPROFILE%\Documents\GitHub\mrs-test-scripts\Headless Mode &amp; Sideloading\WalkAndUnGZ.bat" "%USERPROFILE%\AppData\Local\Temp\OnboardLogs"\RTDC4028\2016-08-04 &amp; aws s3 cp s3://rtdc.mdm.uploadarchive/RTDC4028/2016-08-05/ "%USERPROFILE%\AppData\Local\Temp\OnboardLogs"\RTDC4028\2016-08-05 --recursive &amp; "%USERPROFILE%\Documents\GitHub\mrs-test-scripts\Headless Mode &amp; Sideloading\WalkAndUnGZ.bat" "%USERPROFILE%\AppData\Local\Temp\OnboardLogs"\RTDC4028\2016-08-05</v>
      </c>
      <c r="AF28" s="121" t="str">
        <f t="shared" ref="AF28" si="39">astrogrep_path&amp;" /spath="&amp;search_path&amp;" /stypes=""*"&amp;B28&amp;"*"&amp;TEXT(I28-utc_offset/24,"YYYYMMDD")&amp;"*"" /stext="" "&amp;TEXT(I28-utc_offset/24,"HH")&amp;search_regexp&amp;""" /e /r /s"</f>
        <v>"C:\Program Files (x86)\AstroGrep\AstroGrep.exe" /spath="%USERPROFILE%\AppData\Local\Temp\OnboardLogs" /stypes="*4028*20160804*" /stext=" 12:.+((SYSTEM_STATE.+slice.+state.+changed )|(ment ac)|(system.+state.+changed )|(\|lc)|(penalty)|(\[timeout)|(PRM\|1\|D)|(kpr)|(kdp))" /e /r /s</v>
      </c>
      <c r="AG28" s="1" t="str">
        <f t="shared" ref="AG28" si="40">IF(VALUE(LEFT(AD28,2))&lt;=2,"EC",IF(OR(VALUE(LEFT(AD28,2))=8,VALUE(LEFT(AD28,2))=18),"NW","GL"))</f>
        <v>EC</v>
      </c>
      <c r="AH28" s="125" t="str">
        <f>refinertdcruntimes&amp;" --tripid "&amp;A28&amp;" --locoid "&amp;B28&amp;" --swversion "&amp;C28&amp;" --startMP "&amp;D28&amp;" --initTime "&amp;TEXT(E28,"yyyy-mm-ddTHH:MM:SS")&amp;" --startdatetime "&amp;TEXT(F28,"yyyy-mm-ddTHH:MM:SS")&amp;" --delay "&amp;G28&amp;" --endMP "&amp;H28&amp;" --enddatetime "&amp;TEXT(I28,"yyyy-mm-ddTHH:MM:SS")&amp;" --enforcementcount "&amp;J28&amp;" &gt;&gt; "&amp;TEXT(Variables!$A$2,"yyyy-mm-dd")&amp;"-refined-runtimes.txt"</f>
        <v>"%USERPROFILE%\Documents\GitHub\eaglep3\Utilities\RefineRTDCRunTimes.py" --tripid 116-04 --locoid 4028 --swversion DE.1.0.7.0 --startMP 204:19128 --initTime 2016-08-04T05:43:58 --startdatetime 2016-08-04T06:28:35 --delay 2 --endMP 204:233322 --enddatetime 2016-08-04T06:29:17 --enforcementcount 0 &gt;&gt; 2016-08-04-refined-runtimes.txt</v>
      </c>
    </row>
    <row r="29" spans="1:34" s="1" customFormat="1" x14ac:dyDescent="0.25">
      <c r="A29" s="42" t="s">
        <v>464</v>
      </c>
      <c r="B29" s="7">
        <v>4029</v>
      </c>
      <c r="C29" s="25" t="s">
        <v>163</v>
      </c>
      <c r="D29" s="25" t="s">
        <v>519</v>
      </c>
      <c r="E29" s="16">
        <v>42586.236157407409</v>
      </c>
      <c r="F29" s="16">
        <v>42586.237141203703</v>
      </c>
      <c r="G29" s="7">
        <v>1</v>
      </c>
      <c r="H29" s="16" t="s">
        <v>393</v>
      </c>
      <c r="I29" s="16">
        <v>42586.276099537034</v>
      </c>
      <c r="J29" s="7">
        <v>0</v>
      </c>
      <c r="K29" s="114" t="str">
        <f t="shared" si="15"/>
        <v>4029/4030</v>
      </c>
      <c r="L29" s="25" t="str">
        <f>VLOOKUP(A29,'Trips&amp;Operators'!$C$1:$E$10000,3,FALSE)</f>
        <v>SPECTOR</v>
      </c>
      <c r="M29" s="6">
        <f t="shared" si="16"/>
        <v>3.8958333330811001E-2</v>
      </c>
      <c r="N29" s="7">
        <f t="shared" si="2"/>
        <v>56.099999996367842</v>
      </c>
      <c r="O29" s="7"/>
      <c r="P29" s="7"/>
      <c r="Q29" s="26"/>
      <c r="R29" s="26"/>
      <c r="S29" s="38">
        <f t="shared" si="17"/>
        <v>1</v>
      </c>
      <c r="T29" s="55" t="str">
        <f t="shared" si="18"/>
        <v>NorthBound</v>
      </c>
      <c r="U29" s="77">
        <f>IF(AG29="EC",COUNTIFS(Variables!$M$2:$M$19,IF(T29="NorthBound","&gt;=","&lt;=")&amp;Y29,Variables!$M$2:$M$19,IF(T29="NorthBound","&lt;=","&gt;=")&amp;Z29),COUNTIFS(Variables!$P$2:$P$19,IF(T29="NorthBound","&gt;=","&lt;=")&amp;Y29,Variables!$P$2:$P$19,IF(T29="NorthBound","&lt;=","&gt;=")&amp;Z29))</f>
        <v>12</v>
      </c>
      <c r="V29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04:40:04-0600',mode:absolute,to:'2016-08-04 07:37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29" s="57" t="str">
        <f t="shared" si="20"/>
        <v>N</v>
      </c>
      <c r="X29" s="117">
        <f t="shared" si="28"/>
        <v>1</v>
      </c>
      <c r="Y29" s="72">
        <f t="shared" si="21"/>
        <v>4.24E-2</v>
      </c>
      <c r="Z29" s="72">
        <f t="shared" si="22"/>
        <v>23.331900000000001</v>
      </c>
      <c r="AA29" s="72">
        <f t="shared" si="23"/>
        <v>23.2895</v>
      </c>
      <c r="AB29" s="69" t="e">
        <f>VLOOKUP(A29,Enforcements!$C$7:$J$24,8,0)</f>
        <v>#N/A</v>
      </c>
      <c r="AC29" s="65" t="e">
        <f>VLOOKUP(A29,Enforcements!$C$7:$E$24,3,0)</f>
        <v>#N/A</v>
      </c>
      <c r="AD29" s="66" t="str">
        <f t="shared" si="24"/>
        <v>0117-04</v>
      </c>
      <c r="AE29" s="124" t="str">
        <f t="shared" si="25"/>
        <v>aws s3 cp s3://rtdc.mdm.uploadarchive/RTDC4029/2016-08-04/ "%USERPROFILE%\AppData\Local\Temp\OnboardLogs"\RTDC4029\2016-08-04 --recursive &amp; "%USERPROFILE%\Documents\GitHub\mrs-test-scripts\Headless Mode &amp; Sideloading\WalkAndUnGZ.bat" "%USERPROFILE%\AppData\Local\Temp\OnboardLogs"\RTDC4029\2016-08-04 &amp; aws s3 cp s3://rtdc.mdm.uploadarchive/RTDC4029/2016-08-05/ "%USERPROFILE%\AppData\Local\Temp\OnboardLogs"\RTDC4029\2016-08-05 --recursive &amp; "%USERPROFILE%\Documents\GitHub\mrs-test-scripts\Headless Mode &amp; Sideloading\WalkAndUnGZ.bat" "%USERPROFILE%\AppData\Local\Temp\OnboardLogs"\RTDC4029\2016-08-05</v>
      </c>
      <c r="AF29" s="121" t="str">
        <f t="shared" si="26"/>
        <v>"C:\Program Files (x86)\AstroGrep\AstroGrep.exe" /spath="%USERPROFILE%\AppData\Local\Temp\OnboardLogs" /stypes="*4029*20160804*" /stext=" 12:.+((SYSTEM_STATE.+slice.+state.+changed )|(ment ac)|(system.+state.+changed )|(\|lc)|(penalty)|(\[timeout)|(PRM\|1\|D)|(kpr)|(kdp))" /e /r /s</v>
      </c>
      <c r="AG29" s="1" t="str">
        <f t="shared" si="29"/>
        <v>EC</v>
      </c>
      <c r="AH29" s="125" t="str">
        <f>refinertdcruntimes&amp;" --tripid "&amp;A29&amp;" --locoid "&amp;B29&amp;" --swversion "&amp;C29&amp;" --startMP "&amp;D29&amp;" --initTime "&amp;TEXT(E29,"yyyy-mm-ddTHH:MM:SS")&amp;" --startdatetime "&amp;TEXT(F29,"yyyy-mm-ddTHH:MM:SS")&amp;" --delay "&amp;G29&amp;" --endMP "&amp;H29&amp;" --enddatetime "&amp;TEXT(I29,"yyyy-mm-ddTHH:MM:SS")&amp;" --enforcementcount "&amp;J29&amp;" &gt;&gt; "&amp;TEXT(Variables!$A$2,"yyyy-mm-dd")&amp;"-refined-runtimes.txt"</f>
        <v>"%USERPROFILE%\Documents\GitHub\eaglep3\Utilities\RefineRTDCRunTimes.py" --tripid 117-04 --locoid 4029 --swversion DE.1.0.7.0 --startMP 204:424 --initTime 2016-08-04T05:40:04 --startdatetime 2016-08-04T05:41:29 --delay 1 --endMP 204:233319 --enddatetime 2016-08-04T06:37:35 --enforcementcount 0 &gt;&gt; 2016-08-04-refined-runtimes.txt</v>
      </c>
    </row>
    <row r="30" spans="1:34" s="1" customFormat="1" x14ac:dyDescent="0.25">
      <c r="A30" s="42" t="s">
        <v>440</v>
      </c>
      <c r="B30" s="7">
        <v>4030</v>
      </c>
      <c r="C30" s="25" t="s">
        <v>163</v>
      </c>
      <c r="D30" s="25" t="s">
        <v>319</v>
      </c>
      <c r="E30" s="16">
        <v>42586.278275462966</v>
      </c>
      <c r="F30" s="16">
        <v>42586.279004629629</v>
      </c>
      <c r="G30" s="7">
        <v>1</v>
      </c>
      <c r="H30" s="16" t="s">
        <v>361</v>
      </c>
      <c r="I30" s="16">
        <v>42586.307557870372</v>
      </c>
      <c r="J30" s="7">
        <v>0</v>
      </c>
      <c r="K30" s="114" t="str">
        <f t="shared" si="15"/>
        <v>4029/4030</v>
      </c>
      <c r="L30" s="25" t="str">
        <f>VLOOKUP(A30,'Trips&amp;Operators'!$C$1:$E$10000,3,FALSE)</f>
        <v>SPECTOR</v>
      </c>
      <c r="M30" s="6">
        <f t="shared" si="16"/>
        <v>2.8553240743349306E-2</v>
      </c>
      <c r="N30" s="7">
        <f t="shared" si="2"/>
        <v>41.116666670423001</v>
      </c>
      <c r="O30" s="7"/>
      <c r="P30" s="7"/>
      <c r="Q30" s="26"/>
      <c r="R30" s="26"/>
      <c r="S30" s="38">
        <f t="shared" si="17"/>
        <v>1</v>
      </c>
      <c r="T30" s="55" t="str">
        <f t="shared" si="18"/>
        <v>Southbound</v>
      </c>
      <c r="U30" s="77">
        <f>IF(AG30="EC",COUNTIFS(Variables!$M$2:$M$19,IF(T30="NorthBound","&gt;=","&lt;=")&amp;Y30,Variables!$M$2:$M$19,IF(T30="NorthBound","&lt;=","&gt;=")&amp;Z30),COUNTIFS(Variables!$P$2:$P$19,IF(T30="NorthBound","&gt;=","&lt;=")&amp;Y30,Variables!$P$2:$P$19,IF(T30="NorthBound","&lt;=","&gt;=")&amp;Z30))</f>
        <v>12</v>
      </c>
      <c r="V30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05:40:43-0600',mode:absolute,to:'2016-08-04 08:22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30" s="57" t="str">
        <f t="shared" si="20"/>
        <v>N</v>
      </c>
      <c r="X30" s="117">
        <f t="shared" si="28"/>
        <v>1</v>
      </c>
      <c r="Y30" s="72">
        <f t="shared" si="21"/>
        <v>23.299800000000001</v>
      </c>
      <c r="Z30" s="72">
        <f t="shared" si="22"/>
        <v>1.38E-2</v>
      </c>
      <c r="AA30" s="72">
        <f t="shared" si="23"/>
        <v>23.286000000000001</v>
      </c>
      <c r="AB30" s="69" t="e">
        <f>VLOOKUP(A30,Enforcements!$C$7:$J$24,8,0)</f>
        <v>#N/A</v>
      </c>
      <c r="AC30" s="65" t="e">
        <f>VLOOKUP(A30,Enforcements!$C$7:$E$24,3,0)</f>
        <v>#N/A</v>
      </c>
      <c r="AD30" s="66" t="str">
        <f t="shared" si="24"/>
        <v>0118-04</v>
      </c>
      <c r="AE30" s="124" t="str">
        <f t="shared" si="25"/>
        <v>aws s3 cp s3://rtdc.mdm.uploadarchive/RTDC4030/2016-08-04/ "%USERPROFILE%\AppData\Local\Temp\OnboardLogs"\RTDC4030\2016-08-04 --recursive &amp; "%USERPROFILE%\Documents\GitHub\mrs-test-scripts\Headless Mode &amp; Sideloading\WalkAndUnGZ.bat" "%USERPROFILE%\AppData\Local\Temp\OnboardLogs"\RTDC4030\2016-08-04 &amp; aws s3 cp s3://rtdc.mdm.uploadarchive/RTDC4030/2016-08-05/ "%USERPROFILE%\AppData\Local\Temp\OnboardLogs"\RTDC4030\2016-08-05 --recursive &amp; "%USERPROFILE%\Documents\GitHub\mrs-test-scripts\Headless Mode &amp; Sideloading\WalkAndUnGZ.bat" "%USERPROFILE%\AppData\Local\Temp\OnboardLogs"\RTDC4030\2016-08-05</v>
      </c>
      <c r="AF30" s="121" t="str">
        <f t="shared" si="26"/>
        <v>"C:\Program Files (x86)\AstroGrep\AstroGrep.exe" /spath="%USERPROFILE%\AppData\Local\Temp\OnboardLogs" /stypes="*4030*20160804*" /stext=" 13:.+((SYSTEM_STATE.+slice.+state.+changed )|(ment ac)|(system.+state.+changed )|(\|lc)|(penalty)|(\[timeout)|(PRM\|1\|D)|(kpr)|(kdp))" /e /r /s</v>
      </c>
      <c r="AG30" s="1" t="str">
        <f t="shared" si="29"/>
        <v>EC</v>
      </c>
      <c r="AH30" s="125" t="str">
        <f>refinertdcruntimes&amp;" --tripid "&amp;A30&amp;" --locoid "&amp;B30&amp;" --swversion "&amp;C30&amp;" --startMP "&amp;D30&amp;" --initTime "&amp;TEXT(E30,"yyyy-mm-ddTHH:MM:SS")&amp;" --startdatetime "&amp;TEXT(F30,"yyyy-mm-ddTHH:MM:SS")&amp;" --delay "&amp;G30&amp;" --endMP "&amp;H30&amp;" --enddatetime "&amp;TEXT(I30,"yyyy-mm-ddTHH:MM:SS")&amp;" --enforcementcount "&amp;J30&amp;" &gt;&gt; "&amp;TEXT(Variables!$A$2,"yyyy-mm-dd")&amp;"-refined-runtimes.txt"</f>
        <v>"%USERPROFILE%\Documents\GitHub\eaglep3\Utilities\RefineRTDCRunTimes.py" --tripid 118-04 --locoid 4030 --swversion DE.1.0.7.0 --startMP 204:232998 --initTime 2016-08-04T06:40:43 --startdatetime 2016-08-04T06:41:46 --delay 1 --endMP 204:138 --enddatetime 2016-08-04T07:22:53 --enforcementcount 0 &gt;&gt; 2016-08-04-refined-runtimes.txt</v>
      </c>
    </row>
    <row r="31" spans="1:34" s="1" customFormat="1" x14ac:dyDescent="0.25">
      <c r="A31" s="42" t="s">
        <v>450</v>
      </c>
      <c r="B31" s="7">
        <v>4011</v>
      </c>
      <c r="C31" s="25" t="s">
        <v>163</v>
      </c>
      <c r="D31" s="25" t="s">
        <v>520</v>
      </c>
      <c r="E31" s="16">
        <v>42586.247430555559</v>
      </c>
      <c r="F31" s="16">
        <v>42586.249097222222</v>
      </c>
      <c r="G31" s="7">
        <v>2</v>
      </c>
      <c r="H31" s="16" t="s">
        <v>521</v>
      </c>
      <c r="I31" s="16">
        <v>42586.277673611112</v>
      </c>
      <c r="J31" s="7">
        <v>1</v>
      </c>
      <c r="K31" s="114" t="str">
        <f t="shared" si="15"/>
        <v>4011/4012</v>
      </c>
      <c r="L31" s="25" t="str">
        <f>VLOOKUP(A31,'Trips&amp;Operators'!$C$1:$E$10000,3,FALSE)</f>
        <v>MALAVE</v>
      </c>
      <c r="M31" s="6">
        <f t="shared" si="16"/>
        <v>2.8576388889632653E-2</v>
      </c>
      <c r="N31" s="7">
        <f t="shared" si="2"/>
        <v>41.150000001071021</v>
      </c>
      <c r="O31" s="7"/>
      <c r="P31" s="7"/>
      <c r="Q31" s="26"/>
      <c r="R31" s="26"/>
      <c r="S31" s="38">
        <f t="shared" si="17"/>
        <v>1</v>
      </c>
      <c r="T31" s="55" t="str">
        <f t="shared" si="18"/>
        <v>NorthBound</v>
      </c>
      <c r="U31" s="77">
        <f>IF(AG31="EC",COUNTIFS(Variables!$M$2:$M$19,IF(T31="NorthBound","&gt;=","&lt;=")&amp;Y31,Variables!$M$2:$M$19,IF(T31="NorthBound","&lt;=","&gt;=")&amp;Z31),COUNTIFS(Variables!$P$2:$P$19,IF(T31="NorthBound","&gt;=","&lt;=")&amp;Y31,Variables!$P$2:$P$19,IF(T31="NorthBound","&lt;=","&gt;=")&amp;Z31))</f>
        <v>12</v>
      </c>
      <c r="V31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04:56:18-0600',mode:absolute,to:'2016-08-04 07:39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31" s="57" t="str">
        <f t="shared" si="20"/>
        <v>N</v>
      </c>
      <c r="X31" s="117">
        <f t="shared" si="28"/>
        <v>1</v>
      </c>
      <c r="Y31" s="72">
        <f t="shared" si="21"/>
        <v>6.9900000000000004E-2</v>
      </c>
      <c r="Z31" s="72">
        <f t="shared" si="22"/>
        <v>23.3264</v>
      </c>
      <c r="AA31" s="72">
        <f t="shared" si="23"/>
        <v>23.256499999999999</v>
      </c>
      <c r="AB31" s="69">
        <f>VLOOKUP(A31,Enforcements!$C$7:$J$24,8,0)</f>
        <v>155600</v>
      </c>
      <c r="AC31" s="65" t="str">
        <f>VLOOKUP(A31,Enforcements!$C$7:$E$24,3,0)</f>
        <v>SIGNAL</v>
      </c>
      <c r="AD31" s="66" t="str">
        <f t="shared" si="24"/>
        <v>0119-04</v>
      </c>
      <c r="AE31" s="124" t="str">
        <f t="shared" si="25"/>
        <v>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 &amp; aws s3 cp s3://rtdc.mdm.uploadarchive/RTDC4011/2016-08-05/ "%USERPROFILE%\AppData\Local\Temp\OnboardLogs"\RTDC4011\2016-08-05 --recursive &amp; "%USERPROFILE%\Documents\GitHub\mrs-test-scripts\Headless Mode &amp; Sideloading\WalkAndUnGZ.bat" "%USERPROFILE%\AppData\Local\Temp\OnboardLogs"\RTDC4011\2016-08-05</v>
      </c>
      <c r="AF31" s="121" t="str">
        <f t="shared" si="26"/>
        <v>"C:\Program Files (x86)\AstroGrep\AstroGrep.exe" /spath="%USERPROFILE%\AppData\Local\Temp\OnboardLogs" /stypes="*4011*20160804*" /stext=" 12:.+((SYSTEM_STATE.+slice.+state.+changed )|(ment ac)|(system.+state.+changed )|(\|lc)|(penalty)|(\[timeout)|(PRM\|1\|D)|(kpr)|(kdp))" /e /r /s</v>
      </c>
      <c r="AG31" s="1" t="str">
        <f t="shared" si="29"/>
        <v>EC</v>
      </c>
      <c r="AH31" s="125" t="str">
        <f>refinertdcruntimes&amp;" --tripid "&amp;A31&amp;" --locoid "&amp;B31&amp;" --swversion "&amp;C31&amp;" --startMP "&amp;D31&amp;" --initTime "&amp;TEXT(E31,"yyyy-mm-ddTHH:MM:SS")&amp;" --startdatetime "&amp;TEXT(F31,"yyyy-mm-ddTHH:MM:SS")&amp;" --delay "&amp;G31&amp;" --endMP "&amp;H31&amp;" --enddatetime "&amp;TEXT(I31,"yyyy-mm-ddTHH:MM:SS")&amp;" --enforcementcount "&amp;J31&amp;" &gt;&gt; "&amp;TEXT(Variables!$A$2,"yyyy-mm-dd")&amp;"-refined-runtimes.txt"</f>
        <v>"%USERPROFILE%\Documents\GitHub\eaglep3\Utilities\RefineRTDCRunTimes.py" --tripid 119-04 --locoid 4011 --swversion DE.1.0.7.0 --startMP 204:699 --initTime 2016-08-04T05:56:18 --startdatetime 2016-08-04T05:58:42 --delay 2 --endMP 204:233264 --enddatetime 2016-08-04T06:39:51 --enforcementcount 1 &gt;&gt; 2016-08-04-refined-runtimes.txt</v>
      </c>
    </row>
    <row r="32" spans="1:34" s="1" customFormat="1" x14ac:dyDescent="0.25">
      <c r="A32" s="42" t="s">
        <v>441</v>
      </c>
      <c r="B32" s="7">
        <v>4012</v>
      </c>
      <c r="C32" s="25" t="s">
        <v>163</v>
      </c>
      <c r="D32" s="25" t="s">
        <v>522</v>
      </c>
      <c r="E32" s="16">
        <v>42586.287106481483</v>
      </c>
      <c r="F32" s="16">
        <v>42586.288171296299</v>
      </c>
      <c r="G32" s="7">
        <v>1</v>
      </c>
      <c r="H32" s="16" t="s">
        <v>320</v>
      </c>
      <c r="I32" s="16">
        <v>42586.31690972222</v>
      </c>
      <c r="J32" s="7">
        <v>0</v>
      </c>
      <c r="K32" s="114" t="str">
        <f t="shared" si="15"/>
        <v>4011/4012</v>
      </c>
      <c r="L32" s="25" t="str">
        <f>VLOOKUP(A32,'Trips&amp;Operators'!$C$1:$E$10000,3,FALSE)</f>
        <v>MALAVE</v>
      </c>
      <c r="M32" s="6">
        <f t="shared" si="16"/>
        <v>2.8738425920892041E-2</v>
      </c>
      <c r="N32" s="7">
        <f t="shared" si="2"/>
        <v>41.383333326084539</v>
      </c>
      <c r="O32" s="7"/>
      <c r="P32" s="7"/>
      <c r="Q32" s="26"/>
      <c r="R32" s="26"/>
      <c r="S32" s="38">
        <f t="shared" si="17"/>
        <v>1</v>
      </c>
      <c r="T32" s="55" t="str">
        <f t="shared" si="18"/>
        <v>Southbound</v>
      </c>
      <c r="U32" s="77">
        <f>IF(AG32="EC",COUNTIFS(Variables!$M$2:$M$19,IF(T32="NorthBound","&gt;=","&lt;=")&amp;Y32,Variables!$M$2:$M$19,IF(T32="NorthBound","&lt;=","&gt;=")&amp;Z32),COUNTIFS(Variables!$P$2:$P$19,IF(T32="NorthBound","&gt;=","&lt;=")&amp;Y32,Variables!$P$2:$P$19,IF(T32="NorthBound","&lt;=","&gt;=")&amp;Z32))</f>
        <v>12</v>
      </c>
      <c r="V32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05:53:26-0600',mode:absolute,to:'2016-08-04 08:36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32" s="57" t="str">
        <f t="shared" si="20"/>
        <v>N</v>
      </c>
      <c r="X32" s="117">
        <f t="shared" si="28"/>
        <v>1</v>
      </c>
      <c r="Y32" s="72">
        <f t="shared" si="21"/>
        <v>23.2942</v>
      </c>
      <c r="Z32" s="72">
        <f t="shared" si="22"/>
        <v>1.6E-2</v>
      </c>
      <c r="AA32" s="72">
        <f t="shared" si="23"/>
        <v>23.278200000000002</v>
      </c>
      <c r="AB32" s="69" t="e">
        <f>VLOOKUP(A32,Enforcements!$C$7:$J$24,8,0)</f>
        <v>#N/A</v>
      </c>
      <c r="AC32" s="65" t="e">
        <f>VLOOKUP(A32,Enforcements!$C$7:$E$24,3,0)</f>
        <v>#N/A</v>
      </c>
      <c r="AD32" s="66" t="str">
        <f t="shared" si="24"/>
        <v>0120-04</v>
      </c>
      <c r="AE32" s="124" t="str">
        <f t="shared" si="25"/>
        <v>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 &amp; aws s3 cp s3://rtdc.mdm.uploadarchive/RTDC4012/2016-08-05/ "%USERPROFILE%\AppData\Local\Temp\OnboardLogs"\RTDC4012\2016-08-05 --recursive &amp; "%USERPROFILE%\Documents\GitHub\mrs-test-scripts\Headless Mode &amp; Sideloading\WalkAndUnGZ.bat" "%USERPROFILE%\AppData\Local\Temp\OnboardLogs"\RTDC4012\2016-08-05</v>
      </c>
      <c r="AF32" s="121" t="str">
        <f t="shared" si="26"/>
        <v>"C:\Program Files (x86)\AstroGrep\AstroGrep.exe" /spath="%USERPROFILE%\AppData\Local\Temp\OnboardLogs" /stypes="*4012*20160804*" /stext=" 13:.+((SYSTEM_STATE.+slice.+state.+changed )|(ment ac)|(system.+state.+changed )|(\|lc)|(penalty)|(\[timeout)|(PRM\|1\|D)|(kpr)|(kdp))" /e /r /s</v>
      </c>
      <c r="AG32" s="1" t="str">
        <f t="shared" si="29"/>
        <v>EC</v>
      </c>
      <c r="AH32" s="125" t="str">
        <f>refinertdcruntimes&amp;" --tripid "&amp;A32&amp;" --locoid "&amp;B32&amp;" --swversion "&amp;C32&amp;" --startMP "&amp;D32&amp;" --initTime "&amp;TEXT(E32,"yyyy-mm-ddTHH:MM:SS")&amp;" --startdatetime "&amp;TEXT(F32,"yyyy-mm-ddTHH:MM:SS")&amp;" --delay "&amp;G32&amp;" --endMP "&amp;H32&amp;" --enddatetime "&amp;TEXT(I32,"yyyy-mm-ddTHH:MM:SS")&amp;" --enforcementcount "&amp;J32&amp;" &gt;&gt; "&amp;TEXT(Variables!$A$2,"yyyy-mm-dd")&amp;"-refined-runtimes.txt"</f>
        <v>"%USERPROFILE%\Documents\GitHub\eaglep3\Utilities\RefineRTDCRunTimes.py" --tripid 120-04 --locoid 4012 --swversion DE.1.0.7.0 --startMP 204:232942 --initTime 2016-08-04T06:53:26 --startdatetime 2016-08-04T06:54:58 --delay 1 --endMP 204:160 --enddatetime 2016-08-04T07:36:21 --enforcementcount 0 &gt;&gt; 2016-08-04-refined-runtimes.txt</v>
      </c>
    </row>
    <row r="33" spans="1:34" s="1" customFormat="1" x14ac:dyDescent="0.25">
      <c r="A33" s="42" t="s">
        <v>467</v>
      </c>
      <c r="B33" s="7">
        <v>4007</v>
      </c>
      <c r="C33" s="25" t="s">
        <v>163</v>
      </c>
      <c r="D33" s="25" t="s">
        <v>523</v>
      </c>
      <c r="E33" s="16">
        <v>42586.257962962962</v>
      </c>
      <c r="F33" s="16">
        <v>42586.259386574071</v>
      </c>
      <c r="G33" s="7">
        <v>2</v>
      </c>
      <c r="H33" s="16" t="s">
        <v>524</v>
      </c>
      <c r="I33" s="16">
        <v>42586.29078703704</v>
      </c>
      <c r="J33" s="7">
        <v>5</v>
      </c>
      <c r="K33" s="114" t="str">
        <f t="shared" si="15"/>
        <v>4007/4008</v>
      </c>
      <c r="L33" s="25" t="str">
        <f>VLOOKUP(A33,'Trips&amp;Operators'!$C$1:$E$10000,3,FALSE)</f>
        <v>STRICKLAND</v>
      </c>
      <c r="M33" s="6">
        <f t="shared" si="16"/>
        <v>3.1400462969031651E-2</v>
      </c>
      <c r="N33" s="7">
        <f t="shared" si="2"/>
        <v>45.216666675405577</v>
      </c>
      <c r="O33" s="7"/>
      <c r="P33" s="7"/>
      <c r="Q33" s="26"/>
      <c r="R33" s="26"/>
      <c r="S33" s="38">
        <f t="shared" si="17"/>
        <v>1</v>
      </c>
      <c r="T33" s="55" t="str">
        <f t="shared" si="18"/>
        <v>NorthBound</v>
      </c>
      <c r="U33" s="77">
        <f>IF(AG33="EC",COUNTIFS(Variables!$M$2:$M$19,IF(T33="NorthBound","&gt;=","&lt;=")&amp;Y33,Variables!$M$2:$M$19,IF(T33="NorthBound","&lt;=","&gt;=")&amp;Z33),COUNTIFS(Variables!$P$2:$P$19,IF(T33="NorthBound","&gt;=","&lt;=")&amp;Y33,Variables!$P$2:$P$19,IF(T33="NorthBound","&lt;=","&gt;=")&amp;Z33))</f>
        <v>12</v>
      </c>
      <c r="V33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05:11:28-0600',mode:absolute,to:'2016-08-04 07:58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33" s="57" t="str">
        <f t="shared" si="20"/>
        <v>N</v>
      </c>
      <c r="X33" s="117">
        <f t="shared" si="28"/>
        <v>1</v>
      </c>
      <c r="Y33" s="72">
        <f t="shared" si="21"/>
        <v>4.1599999999999998E-2</v>
      </c>
      <c r="Z33" s="72">
        <f t="shared" si="22"/>
        <v>23.321300000000001</v>
      </c>
      <c r="AA33" s="72">
        <f t="shared" si="23"/>
        <v>23.279700000000002</v>
      </c>
      <c r="AB33" s="69">
        <f>VLOOKUP(A33,Enforcements!$C$7:$J$24,8,0)</f>
        <v>230436</v>
      </c>
      <c r="AC33" s="65" t="str">
        <f>VLOOKUP(A33,Enforcements!$C$7:$E$24,3,0)</f>
        <v>PERMANENT SPEED RESTRICTION</v>
      </c>
      <c r="AD33" s="66" t="str">
        <f t="shared" si="24"/>
        <v>0121-04</v>
      </c>
      <c r="AE33" s="124" t="str">
        <f t="shared" si="25"/>
        <v>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 &amp; aws s3 cp s3://rtdc.mdm.uploadarchive/RTDC4007/2016-08-05/ "%USERPROFILE%\AppData\Local\Temp\OnboardLogs"\RTDC4007\2016-08-05 --recursive &amp; "%USERPROFILE%\Documents\GitHub\mrs-test-scripts\Headless Mode &amp; Sideloading\WalkAndUnGZ.bat" "%USERPROFILE%\AppData\Local\Temp\OnboardLogs"\RTDC4007\2016-08-05</v>
      </c>
      <c r="AF33" s="121" t="str">
        <f t="shared" si="26"/>
        <v>"C:\Program Files (x86)\AstroGrep\AstroGrep.exe" /spath="%USERPROFILE%\AppData\Local\Temp\OnboardLogs" /stypes="*4007*20160804*" /stext=" 12:.+((SYSTEM_STATE.+slice.+state.+changed )|(ment ac)|(system.+state.+changed )|(\|lc)|(penalty)|(\[timeout)|(PRM\|1\|D)|(kpr)|(kdp))" /e /r /s</v>
      </c>
      <c r="AG33" s="1" t="str">
        <f t="shared" si="29"/>
        <v>EC</v>
      </c>
      <c r="AH33" s="125" t="str">
        <f>refinertdcruntimes&amp;" --tripid "&amp;A33&amp;" --locoid "&amp;B33&amp;" --swversion "&amp;C33&amp;" --startMP "&amp;D33&amp;" --initTime "&amp;TEXT(E33,"yyyy-mm-ddTHH:MM:SS")&amp;" --startdatetime "&amp;TEXT(F33,"yyyy-mm-ddTHH:MM:SS")&amp;" --delay "&amp;G33&amp;" --endMP "&amp;H33&amp;" --enddatetime "&amp;TEXT(I33,"yyyy-mm-ddTHH:MM:SS")&amp;" --enforcementcount "&amp;J33&amp;" &gt;&gt; "&amp;TEXT(Variables!$A$2,"yyyy-mm-dd")&amp;"-refined-runtimes.txt"</f>
        <v>"%USERPROFILE%\Documents\GitHub\eaglep3\Utilities\RefineRTDCRunTimes.py" --tripid 121-04 --locoid 4007 --swversion DE.1.0.7.0 --startMP 204:416 --initTime 2016-08-04T06:11:28 --startdatetime 2016-08-04T06:13:31 --delay 2 --endMP 204:233213 --enddatetime 2016-08-04T06:58:44 --enforcementcount 5 &gt;&gt; 2016-08-04-refined-runtimes.txt</v>
      </c>
    </row>
    <row r="34" spans="1:34" s="1" customFormat="1" x14ac:dyDescent="0.25">
      <c r="A34" s="42" t="s">
        <v>452</v>
      </c>
      <c r="B34" s="7">
        <v>4008</v>
      </c>
      <c r="C34" s="25" t="s">
        <v>163</v>
      </c>
      <c r="D34" s="25" t="s">
        <v>525</v>
      </c>
      <c r="E34" s="16">
        <v>42586.295648148145</v>
      </c>
      <c r="F34" s="16">
        <v>42586.296585648146</v>
      </c>
      <c r="G34" s="7">
        <v>1</v>
      </c>
      <c r="H34" s="16" t="s">
        <v>58</v>
      </c>
      <c r="I34" s="16">
        <v>42586.327280092592</v>
      </c>
      <c r="J34" s="7">
        <v>0</v>
      </c>
      <c r="K34" s="114" t="str">
        <f t="shared" si="15"/>
        <v>4007/4008</v>
      </c>
      <c r="L34" s="25" t="str">
        <f>VLOOKUP(A34,'Trips&amp;Operators'!$C$1:$E$10000,3,FALSE)</f>
        <v>STRICKLAND</v>
      </c>
      <c r="M34" s="6">
        <f t="shared" si="16"/>
        <v>3.0694444445543922E-2</v>
      </c>
      <c r="N34" s="7">
        <f t="shared" si="2"/>
        <v>44.200000001583248</v>
      </c>
      <c r="O34" s="7"/>
      <c r="P34" s="7"/>
      <c r="Q34" s="26"/>
      <c r="R34" s="26"/>
      <c r="S34" s="38">
        <f t="shared" si="17"/>
        <v>1</v>
      </c>
      <c r="T34" s="55" t="str">
        <f t="shared" si="18"/>
        <v>Southbound</v>
      </c>
      <c r="U34" s="77">
        <f>IF(AG34="EC",COUNTIFS(Variables!$M$2:$M$19,IF(T34="NorthBound","&gt;=","&lt;=")&amp;Y34,Variables!$M$2:$M$19,IF(T34="NorthBound","&lt;=","&gt;=")&amp;Z34),COUNTIFS(Variables!$P$2:$P$19,IF(T34="NorthBound","&gt;=","&lt;=")&amp;Y34,Variables!$P$2:$P$19,IF(T34="NorthBound","&lt;=","&gt;=")&amp;Z34))</f>
        <v>12</v>
      </c>
      <c r="V34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06:05:44-0600',mode:absolute,to:'2016-08-04 08:51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34" s="57" t="str">
        <f t="shared" si="20"/>
        <v>N</v>
      </c>
      <c r="X34" s="117">
        <f t="shared" si="28"/>
        <v>1</v>
      </c>
      <c r="Y34" s="72">
        <f t="shared" si="21"/>
        <v>23.290600000000001</v>
      </c>
      <c r="Z34" s="72">
        <f t="shared" si="22"/>
        <v>1.4500000000000001E-2</v>
      </c>
      <c r="AA34" s="72">
        <f t="shared" si="23"/>
        <v>23.2761</v>
      </c>
      <c r="AB34" s="69" t="e">
        <f>VLOOKUP(A34,Enforcements!$C$7:$J$24,8,0)</f>
        <v>#N/A</v>
      </c>
      <c r="AC34" s="65" t="e">
        <f>VLOOKUP(A34,Enforcements!$C$7:$E$24,3,0)</f>
        <v>#N/A</v>
      </c>
      <c r="AD34" s="66" t="str">
        <f t="shared" si="24"/>
        <v>0122-04</v>
      </c>
      <c r="AE34" s="124" t="str">
        <f t="shared" si="25"/>
        <v>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 &amp; aws s3 cp s3://rtdc.mdm.uploadarchive/RTDC4008/2016-08-05/ "%USERPROFILE%\AppData\Local\Temp\OnboardLogs"\RTDC4008\2016-08-05 --recursive &amp; "%USERPROFILE%\Documents\GitHub\mrs-test-scripts\Headless Mode &amp; Sideloading\WalkAndUnGZ.bat" "%USERPROFILE%\AppData\Local\Temp\OnboardLogs"\RTDC4008\2016-08-05</v>
      </c>
      <c r="AF34" s="121" t="str">
        <f t="shared" si="26"/>
        <v>"C:\Program Files (x86)\AstroGrep\AstroGrep.exe" /spath="%USERPROFILE%\AppData\Local\Temp\OnboardLogs" /stypes="*4008*20160804*" /stext=" 13:.+((SYSTEM_STATE.+slice.+state.+changed )|(ment ac)|(system.+state.+changed )|(\|lc)|(penalty)|(\[timeout)|(PRM\|1\|D)|(kpr)|(kdp))" /e /r /s</v>
      </c>
      <c r="AG34" s="1" t="str">
        <f t="shared" si="29"/>
        <v>EC</v>
      </c>
      <c r="AH34" s="125" t="str">
        <f>refinertdcruntimes&amp;" --tripid "&amp;A34&amp;" --locoid "&amp;B34&amp;" --swversion "&amp;C34&amp;" --startMP "&amp;D34&amp;" --initTime "&amp;TEXT(E34,"yyyy-mm-ddTHH:MM:SS")&amp;" --startdatetime "&amp;TEXT(F34,"yyyy-mm-ddTHH:MM:SS")&amp;" --delay "&amp;G34&amp;" --endMP "&amp;H34&amp;" --enddatetime "&amp;TEXT(I34,"yyyy-mm-ddTHH:MM:SS")&amp;" --enforcementcount "&amp;J34&amp;" &gt;&gt; "&amp;TEXT(Variables!$A$2,"yyyy-mm-dd")&amp;"-refined-runtimes.txt"</f>
        <v>"%USERPROFILE%\Documents\GitHub\eaglep3\Utilities\RefineRTDCRunTimes.py" --tripid 122-04 --locoid 4008 --swversion DE.1.0.7.0 --startMP 204:232906 --initTime 2016-08-04T07:05:44 --startdatetime 2016-08-04T07:07:05 --delay 1 --endMP 204:145 --enddatetime 2016-08-04T07:51:17 --enforcementcount 0 &gt;&gt; 2016-08-04-refined-runtimes.txt</v>
      </c>
    </row>
    <row r="35" spans="1:34" s="1" customFormat="1" x14ac:dyDescent="0.25">
      <c r="A35" s="42" t="s">
        <v>439</v>
      </c>
      <c r="B35" s="7">
        <v>4025</v>
      </c>
      <c r="C35" s="25" t="s">
        <v>163</v>
      </c>
      <c r="D35" s="25" t="s">
        <v>138</v>
      </c>
      <c r="E35" s="16">
        <v>42586.267141203702</v>
      </c>
      <c r="F35" s="16">
        <v>42586.268194444441</v>
      </c>
      <c r="G35" s="7">
        <v>1</v>
      </c>
      <c r="H35" s="16" t="s">
        <v>317</v>
      </c>
      <c r="I35" s="16">
        <v>42586.298009259262</v>
      </c>
      <c r="J35" s="7">
        <v>0</v>
      </c>
      <c r="K35" s="114" t="str">
        <f t="shared" si="15"/>
        <v>4025/4026</v>
      </c>
      <c r="L35" s="25" t="str">
        <f>VLOOKUP(A35,'Trips&amp;Operators'!$C$1:$E$10000,3,FALSE)</f>
        <v>SANTIZO</v>
      </c>
      <c r="M35" s="6">
        <f t="shared" si="16"/>
        <v>2.9814814821293112E-2</v>
      </c>
      <c r="N35" s="7">
        <f t="shared" si="2"/>
        <v>42.933333342662081</v>
      </c>
      <c r="O35" s="7"/>
      <c r="P35" s="7"/>
      <c r="Q35" s="26"/>
      <c r="R35" s="26"/>
      <c r="S35" s="38">
        <f t="shared" si="17"/>
        <v>1</v>
      </c>
      <c r="T35" s="55" t="str">
        <f t="shared" si="18"/>
        <v>NorthBound</v>
      </c>
      <c r="U35" s="77">
        <f>IF(AG35="EC",COUNTIFS(Variables!$M$2:$M$19,IF(T35="NorthBound","&gt;=","&lt;=")&amp;Y35,Variables!$M$2:$M$19,IF(T35="NorthBound","&lt;=","&gt;=")&amp;Z35),COUNTIFS(Variables!$P$2:$P$19,IF(T35="NorthBound","&gt;=","&lt;=")&amp;Y35,Variables!$P$2:$P$19,IF(T35="NorthBound","&lt;=","&gt;=")&amp;Z35))</f>
        <v>12</v>
      </c>
      <c r="V35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05:24:41-0600',mode:absolute,to:'2016-08-04 08:09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35" s="57" t="str">
        <f t="shared" si="20"/>
        <v>N</v>
      </c>
      <c r="X35" s="117">
        <f t="shared" si="28"/>
        <v>1</v>
      </c>
      <c r="Y35" s="72">
        <f t="shared" si="21"/>
        <v>4.6399999999999997E-2</v>
      </c>
      <c r="Z35" s="72">
        <f t="shared" si="22"/>
        <v>23.3309</v>
      </c>
      <c r="AA35" s="72">
        <f t="shared" si="23"/>
        <v>23.284500000000001</v>
      </c>
      <c r="AB35" s="69" t="e">
        <f>VLOOKUP(A35,Enforcements!$C$7:$J$24,8,0)</f>
        <v>#N/A</v>
      </c>
      <c r="AC35" s="65" t="e">
        <f>VLOOKUP(A35,Enforcements!$C$7:$E$24,3,0)</f>
        <v>#N/A</v>
      </c>
      <c r="AD35" s="66" t="str">
        <f t="shared" si="24"/>
        <v>0123-04</v>
      </c>
      <c r="AE35" s="124" t="str">
        <f t="shared" si="25"/>
        <v>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 &amp; aws s3 cp s3://rtdc.mdm.uploadarchive/RTDC4025/2016-08-05/ "%USERPROFILE%\AppData\Local\Temp\OnboardLogs"\RTDC4025\2016-08-05 --recursive &amp; "%USERPROFILE%\Documents\GitHub\mrs-test-scripts\Headless Mode &amp; Sideloading\WalkAndUnGZ.bat" "%USERPROFILE%\AppData\Local\Temp\OnboardLogs"\RTDC4025\2016-08-05</v>
      </c>
      <c r="AF35" s="121" t="str">
        <f t="shared" si="26"/>
        <v>"C:\Program Files (x86)\AstroGrep\AstroGrep.exe" /spath="%USERPROFILE%\AppData\Local\Temp\OnboardLogs" /stypes="*4025*20160804*" /stext=" 13:.+((SYSTEM_STATE.+slice.+state.+changed )|(ment ac)|(system.+state.+changed )|(\|lc)|(penalty)|(\[timeout)|(PRM\|1\|D)|(kpr)|(kdp))" /e /r /s</v>
      </c>
      <c r="AG35" s="1" t="str">
        <f t="shared" si="29"/>
        <v>EC</v>
      </c>
      <c r="AH35" s="125" t="str">
        <f>refinertdcruntimes&amp;" --tripid "&amp;A35&amp;" --locoid "&amp;B35&amp;" --swversion "&amp;C35&amp;" --startMP "&amp;D35&amp;" --initTime "&amp;TEXT(E35,"yyyy-mm-ddTHH:MM:SS")&amp;" --startdatetime "&amp;TEXT(F35,"yyyy-mm-ddTHH:MM:SS")&amp;" --delay "&amp;G35&amp;" --endMP "&amp;H35&amp;" --enddatetime "&amp;TEXT(I35,"yyyy-mm-ddTHH:MM:SS")&amp;" --enforcementcount "&amp;J35&amp;" &gt;&gt; "&amp;TEXT(Variables!$A$2,"yyyy-mm-dd")&amp;"-refined-runtimes.txt"</f>
        <v>"%USERPROFILE%\Documents\GitHub\eaglep3\Utilities\RefineRTDCRunTimes.py" --tripid 123-04 --locoid 4025 --swversion DE.1.0.7.0 --startMP 204:464 --initTime 2016-08-04T06:24:41 --startdatetime 2016-08-04T06:26:12 --delay 1 --endMP 204:233309 --enddatetime 2016-08-04T07:09:08 --enforcementcount 0 &gt;&gt; 2016-08-04-refined-runtimes.txt</v>
      </c>
    </row>
    <row r="36" spans="1:34" s="1" customFormat="1" x14ac:dyDescent="0.25">
      <c r="A36" s="42" t="s">
        <v>475</v>
      </c>
      <c r="B36" s="7">
        <v>4026</v>
      </c>
      <c r="C36" s="25" t="s">
        <v>163</v>
      </c>
      <c r="D36" s="25" t="s">
        <v>392</v>
      </c>
      <c r="E36" s="16">
        <v>42586.307372685187</v>
      </c>
      <c r="F36" s="16">
        <v>42586.310231481482</v>
      </c>
      <c r="G36" s="7">
        <v>4</v>
      </c>
      <c r="H36" s="16" t="s">
        <v>136</v>
      </c>
      <c r="I36" s="16">
        <v>42586.337870370371</v>
      </c>
      <c r="J36" s="7">
        <v>1</v>
      </c>
      <c r="K36" s="114" t="str">
        <f t="shared" si="15"/>
        <v>4025/4026</v>
      </c>
      <c r="L36" s="25" t="str">
        <f>VLOOKUP(A36,'Trips&amp;Operators'!$C$1:$E$10000,3,FALSE)</f>
        <v>SANTIZO</v>
      </c>
      <c r="M36" s="6">
        <f t="shared" si="16"/>
        <v>2.7638888888759539E-2</v>
      </c>
      <c r="N36" s="7">
        <f t="shared" si="2"/>
        <v>39.799999999813735</v>
      </c>
      <c r="O36" s="7"/>
      <c r="P36" s="7"/>
      <c r="Q36" s="26"/>
      <c r="R36" s="26"/>
      <c r="S36" s="38">
        <f t="shared" si="17"/>
        <v>1</v>
      </c>
      <c r="T36" s="55" t="str">
        <f t="shared" si="18"/>
        <v>Southbound</v>
      </c>
      <c r="U36" s="77">
        <f>IF(AG36="EC",COUNTIFS(Variables!$M$2:$M$19,IF(T36="NorthBound","&gt;=","&lt;=")&amp;Y36,Variables!$M$2:$M$19,IF(T36="NorthBound","&lt;=","&gt;=")&amp;Z36),COUNTIFS(Variables!$P$2:$P$19,IF(T36="NorthBound","&gt;=","&lt;=")&amp;Y36,Variables!$P$2:$P$19,IF(T36="NorthBound","&lt;=","&gt;=")&amp;Z36))</f>
        <v>12</v>
      </c>
      <c r="V36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06:22:37-0600',mode:absolute,to:'2016-08-04 09:06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36" s="57" t="str">
        <f t="shared" si="20"/>
        <v>N</v>
      </c>
      <c r="X36" s="117">
        <f t="shared" si="28"/>
        <v>1</v>
      </c>
      <c r="Y36" s="72">
        <f t="shared" si="21"/>
        <v>23.296700000000001</v>
      </c>
      <c r="Z36" s="72">
        <f t="shared" si="22"/>
        <v>1.54E-2</v>
      </c>
      <c r="AA36" s="72">
        <f t="shared" si="23"/>
        <v>23.281300000000002</v>
      </c>
      <c r="AB36" s="69">
        <f>VLOOKUP(A36,Enforcements!$C$7:$J$24,8,0)</f>
        <v>127587</v>
      </c>
      <c r="AC36" s="65" t="str">
        <f>VLOOKUP(A36,Enforcements!$C$7:$E$24,3,0)</f>
        <v>SIGNAL</v>
      </c>
      <c r="AD36" s="66" t="str">
        <f t="shared" si="24"/>
        <v>0124-04</v>
      </c>
      <c r="AE36" s="124" t="str">
        <f t="shared" si="25"/>
        <v>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 &amp; aws s3 cp s3://rtdc.mdm.uploadarchive/RTDC4026/2016-08-05/ "%USERPROFILE%\AppData\Local\Temp\OnboardLogs"\RTDC4026\2016-08-05 --recursive &amp; "%USERPROFILE%\Documents\GitHub\mrs-test-scripts\Headless Mode &amp; Sideloading\WalkAndUnGZ.bat" "%USERPROFILE%\AppData\Local\Temp\OnboardLogs"\RTDC4026\2016-08-05</v>
      </c>
      <c r="AF36" s="121" t="str">
        <f t="shared" si="26"/>
        <v>"C:\Program Files (x86)\AstroGrep\AstroGrep.exe" /spath="%USERPROFILE%\AppData\Local\Temp\OnboardLogs" /stypes="*4026*20160804*" /stext=" 14:.+((SYSTEM_STATE.+slice.+state.+changed )|(ment ac)|(system.+state.+changed )|(\|lc)|(penalty)|(\[timeout)|(PRM\|1\|D)|(kpr)|(kdp))" /e /r /s</v>
      </c>
      <c r="AG36" s="1" t="str">
        <f t="shared" si="29"/>
        <v>EC</v>
      </c>
      <c r="AH36" s="125" t="str">
        <f>refinertdcruntimes&amp;" --tripid "&amp;A36&amp;" --locoid "&amp;B36&amp;" --swversion "&amp;C36&amp;" --startMP "&amp;D36&amp;" --initTime "&amp;TEXT(E36,"yyyy-mm-ddTHH:MM:SS")&amp;" --startdatetime "&amp;TEXT(F36,"yyyy-mm-ddTHH:MM:SS")&amp;" --delay "&amp;G36&amp;" --endMP "&amp;H36&amp;" --enddatetime "&amp;TEXT(I36,"yyyy-mm-ddTHH:MM:SS")&amp;" --enforcementcount "&amp;J36&amp;" &gt;&gt; "&amp;TEXT(Variables!$A$2,"yyyy-mm-dd")&amp;"-refined-runtimes.txt"</f>
        <v>"%USERPROFILE%\Documents\GitHub\eaglep3\Utilities\RefineRTDCRunTimes.py" --tripid 124-04 --locoid 4026 --swversion DE.1.0.7.0 --startMP 204:232967 --initTime 2016-08-04T07:22:37 --startdatetime 2016-08-04T07:26:44 --delay 4 --endMP 204:154 --enddatetime 2016-08-04T08:06:32 --enforcementcount 1 &gt;&gt; 2016-08-04-refined-runtimes.txt</v>
      </c>
    </row>
    <row r="37" spans="1:34" s="1" customFormat="1" x14ac:dyDescent="0.25">
      <c r="A37" s="42" t="s">
        <v>470</v>
      </c>
      <c r="B37" s="7">
        <v>4020</v>
      </c>
      <c r="C37" s="25" t="s">
        <v>163</v>
      </c>
      <c r="D37" s="25" t="s">
        <v>526</v>
      </c>
      <c r="E37" s="16">
        <v>42586.278414351851</v>
      </c>
      <c r="F37" s="16">
        <v>42586.279537037037</v>
      </c>
      <c r="G37" s="7">
        <v>1</v>
      </c>
      <c r="H37" s="16" t="s">
        <v>527</v>
      </c>
      <c r="I37" s="16">
        <v>42586.307210648149</v>
      </c>
      <c r="J37" s="7">
        <v>1</v>
      </c>
      <c r="K37" s="114" t="str">
        <f t="shared" si="15"/>
        <v>4019/4020</v>
      </c>
      <c r="L37" s="25" t="str">
        <f>VLOOKUP(A37,'Trips&amp;Operators'!$C$1:$E$10000,3,FALSE)</f>
        <v>STARKS</v>
      </c>
      <c r="M37" s="6">
        <f t="shared" si="16"/>
        <v>2.7673611111822538E-2</v>
      </c>
      <c r="N37" s="7">
        <f t="shared" si="2"/>
        <v>39.850000001024455</v>
      </c>
      <c r="O37" s="7"/>
      <c r="P37" s="7"/>
      <c r="Q37" s="26"/>
      <c r="R37" s="26"/>
      <c r="S37" s="38">
        <f t="shared" si="17"/>
        <v>1</v>
      </c>
      <c r="T37" s="55" t="str">
        <f t="shared" si="18"/>
        <v>NorthBound</v>
      </c>
      <c r="U37" s="77">
        <f>IF(AG37="EC",COUNTIFS(Variables!$M$2:$M$19,IF(T37="NorthBound","&gt;=","&lt;=")&amp;Y37,Variables!$M$2:$M$19,IF(T37="NorthBound","&lt;=","&gt;=")&amp;Z37),COUNTIFS(Variables!$P$2:$P$19,IF(T37="NorthBound","&gt;=","&lt;=")&amp;Y37,Variables!$P$2:$P$19,IF(T37="NorthBound","&lt;=","&gt;=")&amp;Z37))</f>
        <v>12</v>
      </c>
      <c r="V37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05:40:55-0600',mode:absolute,to:'2016-08-04 08:22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37" s="57" t="str">
        <f t="shared" si="20"/>
        <v>N</v>
      </c>
      <c r="X37" s="117">
        <f t="shared" si="28"/>
        <v>1</v>
      </c>
      <c r="Y37" s="72">
        <f t="shared" si="21"/>
        <v>4.3799999999999999E-2</v>
      </c>
      <c r="Z37" s="72">
        <f t="shared" si="22"/>
        <v>23.336099999999998</v>
      </c>
      <c r="AA37" s="72">
        <f t="shared" si="23"/>
        <v>23.292299999999997</v>
      </c>
      <c r="AB37" s="69" t="e">
        <f>VLOOKUP(A37,Enforcements!$C$7:$J$24,8,0)</f>
        <v>#N/A</v>
      </c>
      <c r="AC37" s="65" t="e">
        <f>VLOOKUP(A37,Enforcements!$C$7:$E$24,3,0)</f>
        <v>#N/A</v>
      </c>
      <c r="AD37" s="66" t="str">
        <f t="shared" si="24"/>
        <v>0125-04</v>
      </c>
      <c r="AE37" s="124" t="str">
        <f t="shared" si="25"/>
        <v>aws s3 cp s3://rtdc.mdm.uploadarchive/RTDC4020/2016-08-04/ "%USERPROFILE%\AppData\Local\Temp\OnboardLogs"\RTDC4020\2016-08-04 --recursive &amp; "%USERPROFILE%\Documents\GitHub\mrs-test-scripts\Headless Mode &amp; Sideloading\WalkAndUnGZ.bat" "%USERPROFILE%\AppData\Local\Temp\OnboardLogs"\RTDC4020\2016-08-04 &amp; aws s3 cp s3://rtdc.mdm.uploadarchive/RTDC4020/2016-08-05/ "%USERPROFILE%\AppData\Local\Temp\OnboardLogs"\RTDC4020\2016-08-05 --recursive &amp; "%USERPROFILE%\Documents\GitHub\mrs-test-scripts\Headless Mode &amp; Sideloading\WalkAndUnGZ.bat" "%USERPROFILE%\AppData\Local\Temp\OnboardLogs"\RTDC4020\2016-08-05</v>
      </c>
      <c r="AF37" s="121" t="str">
        <f t="shared" si="26"/>
        <v>"C:\Program Files (x86)\AstroGrep\AstroGrep.exe" /spath="%USERPROFILE%\AppData\Local\Temp\OnboardLogs" /stypes="*4020*20160804*" /stext=" 13:.+((SYSTEM_STATE.+slice.+state.+changed )|(ment ac)|(system.+state.+changed )|(\|lc)|(penalty)|(\[timeout)|(PRM\|1\|D)|(kpr)|(kdp))" /e /r /s</v>
      </c>
      <c r="AG37" s="1" t="str">
        <f t="shared" si="29"/>
        <v>EC</v>
      </c>
      <c r="AH37" s="125" t="str">
        <f>refinertdcruntimes&amp;" --tripid "&amp;A37&amp;" --locoid "&amp;B37&amp;" --swversion "&amp;C37&amp;" --startMP "&amp;D37&amp;" --initTime "&amp;TEXT(E37,"yyyy-mm-ddTHH:MM:SS")&amp;" --startdatetime "&amp;TEXT(F37,"yyyy-mm-ddTHH:MM:SS")&amp;" --delay "&amp;G37&amp;" --endMP "&amp;H37&amp;" --enddatetime "&amp;TEXT(I37,"yyyy-mm-ddTHH:MM:SS")&amp;" --enforcementcount "&amp;J37&amp;" &gt;&gt; "&amp;TEXT(Variables!$A$2,"yyyy-mm-dd")&amp;"-refined-runtimes.txt"</f>
        <v>"%USERPROFILE%\Documents\GitHub\eaglep3\Utilities\RefineRTDCRunTimes.py" --tripid 125-04 --locoid 4020 --swversion DE.1.0.7.0 --startMP 204:438 --initTime 2016-08-04T06:40:55 --startdatetime 2016-08-04T06:42:32 --delay 1 --endMP 204:233361 --enddatetime 2016-08-04T07:22:23 --enforcementcount 1 &gt;&gt; 2016-08-04-refined-runtimes.txt</v>
      </c>
    </row>
    <row r="38" spans="1:34" s="1" customFormat="1" x14ac:dyDescent="0.25">
      <c r="A38" s="42" t="s">
        <v>476</v>
      </c>
      <c r="B38" s="7">
        <v>4019</v>
      </c>
      <c r="C38" s="25" t="s">
        <v>163</v>
      </c>
      <c r="D38" s="25" t="s">
        <v>528</v>
      </c>
      <c r="E38" s="16">
        <v>42586.316979166666</v>
      </c>
      <c r="F38" s="16">
        <v>42586.31795138889</v>
      </c>
      <c r="G38" s="7">
        <v>1</v>
      </c>
      <c r="H38" s="16" t="s">
        <v>529</v>
      </c>
      <c r="I38" s="16">
        <v>42586.347916666666</v>
      </c>
      <c r="J38" s="7">
        <v>1</v>
      </c>
      <c r="K38" s="114" t="str">
        <f t="shared" si="15"/>
        <v>4019/4020</v>
      </c>
      <c r="L38" s="25" t="str">
        <f>VLOOKUP(A38,'Trips&amp;Operators'!$C$1:$E$10000,3,FALSE)</f>
        <v>STARKS</v>
      </c>
      <c r="M38" s="6">
        <f t="shared" si="16"/>
        <v>2.9965277775772847E-2</v>
      </c>
      <c r="N38" s="7">
        <f t="shared" si="2"/>
        <v>43.1499999971129</v>
      </c>
      <c r="O38" s="7"/>
      <c r="P38" s="7"/>
      <c r="Q38" s="26"/>
      <c r="R38" s="26"/>
      <c r="S38" s="38">
        <f t="shared" si="17"/>
        <v>1</v>
      </c>
      <c r="T38" s="55" t="str">
        <f t="shared" si="18"/>
        <v>Southbound</v>
      </c>
      <c r="U38" s="77">
        <f>IF(AG38="EC",COUNTIFS(Variables!$M$2:$M$19,IF(T38="NorthBound","&gt;=","&lt;=")&amp;Y38,Variables!$M$2:$M$19,IF(T38="NorthBound","&lt;=","&gt;=")&amp;Z38),COUNTIFS(Variables!$P$2:$P$19,IF(T38="NorthBound","&gt;=","&lt;=")&amp;Y38,Variables!$P$2:$P$19,IF(T38="NorthBound","&lt;=","&gt;=")&amp;Z38))</f>
        <v>12</v>
      </c>
      <c r="V38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06:36:27-0600',mode:absolute,to:'2016-08-04 09:21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38" s="57" t="str">
        <f t="shared" si="20"/>
        <v>N</v>
      </c>
      <c r="X38" s="117">
        <f t="shared" si="28"/>
        <v>1</v>
      </c>
      <c r="Y38" s="72">
        <f t="shared" si="21"/>
        <v>23.305099999999999</v>
      </c>
      <c r="Z38" s="72">
        <f t="shared" si="22"/>
        <v>0.26190000000000002</v>
      </c>
      <c r="AA38" s="72">
        <f t="shared" si="23"/>
        <v>23.043199999999999</v>
      </c>
      <c r="AB38" s="69">
        <f>VLOOKUP(A38,Enforcements!$C$7:$J$24,8,0)</f>
        <v>5457</v>
      </c>
      <c r="AC38" s="65" t="str">
        <f>VLOOKUP(A38,Enforcements!$C$7:$E$24,3,0)</f>
        <v>PERMANENT SPEED RESTRICTION</v>
      </c>
      <c r="AD38" s="66" t="str">
        <f t="shared" si="24"/>
        <v>0126-04</v>
      </c>
      <c r="AE38" s="124" t="str">
        <f t="shared" si="25"/>
        <v>aws s3 cp s3://rtdc.mdm.uploadarchive/RTDC4019/2016-08-04/ "%USERPROFILE%\AppData\Local\Temp\OnboardLogs"\RTDC4019\2016-08-04 --recursive &amp; "%USERPROFILE%\Documents\GitHub\mrs-test-scripts\Headless Mode &amp; Sideloading\WalkAndUnGZ.bat" "%USERPROFILE%\AppData\Local\Temp\OnboardLogs"\RTDC4019\2016-08-04 &amp; aws s3 cp s3://rtdc.mdm.uploadarchive/RTDC4019/2016-08-05/ "%USERPROFILE%\AppData\Local\Temp\OnboardLogs"\RTDC4019\2016-08-05 --recursive &amp; "%USERPROFILE%\Documents\GitHub\mrs-test-scripts\Headless Mode &amp; Sideloading\WalkAndUnGZ.bat" "%USERPROFILE%\AppData\Local\Temp\OnboardLogs"\RTDC4019\2016-08-05</v>
      </c>
      <c r="AF38" s="121" t="str">
        <f t="shared" si="26"/>
        <v>"C:\Program Files (x86)\AstroGrep\AstroGrep.exe" /spath="%USERPROFILE%\AppData\Local\Temp\OnboardLogs" /stypes="*4019*20160804*" /stext=" 14:.+((SYSTEM_STATE.+slice.+state.+changed )|(ment ac)|(system.+state.+changed )|(\|lc)|(penalty)|(\[timeout)|(PRM\|1\|D)|(kpr)|(kdp))" /e /r /s</v>
      </c>
      <c r="AG38" s="1" t="str">
        <f t="shared" si="29"/>
        <v>EC</v>
      </c>
      <c r="AH38" s="125" t="str">
        <f>refinertdcruntimes&amp;" --tripid "&amp;A38&amp;" --locoid "&amp;B38&amp;" --swversion "&amp;C38&amp;" --startMP "&amp;D38&amp;" --initTime "&amp;TEXT(E38,"yyyy-mm-ddTHH:MM:SS")&amp;" --startdatetime "&amp;TEXT(F38,"yyyy-mm-ddTHH:MM:SS")&amp;" --delay "&amp;G38&amp;" --endMP "&amp;H38&amp;" --enddatetime "&amp;TEXT(I38,"yyyy-mm-ddTHH:MM:SS")&amp;" --enforcementcount "&amp;J38&amp;" &gt;&gt; "&amp;TEXT(Variables!$A$2,"yyyy-mm-dd")&amp;"-refined-runtimes.txt"</f>
        <v>"%USERPROFILE%\Documents\GitHub\eaglep3\Utilities\RefineRTDCRunTimes.py" --tripid 126-04 --locoid 4019 --swversion DE.1.0.7.0 --startMP 204:233051 --initTime 2016-08-04T07:36:27 --startdatetime 2016-08-04T07:37:51 --delay 1 --endMP 204:2619 --enddatetime 2016-08-04T08:21:00 --enforcementcount 1 &gt;&gt; 2016-08-04-refined-runtimes.txt</v>
      </c>
    </row>
    <row r="39" spans="1:34" s="1" customFormat="1" x14ac:dyDescent="0.25">
      <c r="A39" s="42" t="s">
        <v>471</v>
      </c>
      <c r="B39" s="7">
        <v>4031</v>
      </c>
      <c r="C39" s="25" t="s">
        <v>163</v>
      </c>
      <c r="D39" s="25" t="s">
        <v>526</v>
      </c>
      <c r="E39" s="16">
        <v>42586.289467592593</v>
      </c>
      <c r="F39" s="16">
        <v>42586.290393518517</v>
      </c>
      <c r="G39" s="7">
        <v>1</v>
      </c>
      <c r="H39" s="16" t="s">
        <v>317</v>
      </c>
      <c r="I39" s="16">
        <v>42586.316759259258</v>
      </c>
      <c r="J39" s="7">
        <v>0</v>
      </c>
      <c r="K39" s="114" t="str">
        <f t="shared" si="15"/>
        <v>4031/4032</v>
      </c>
      <c r="L39" s="25" t="str">
        <f>VLOOKUP(A39,'Trips&amp;Operators'!$C$1:$E$10000,3,FALSE)</f>
        <v>MAELZER</v>
      </c>
      <c r="M39" s="6">
        <f t="shared" si="16"/>
        <v>2.6365740741312038E-2</v>
      </c>
      <c r="N39" s="7">
        <f t="shared" si="2"/>
        <v>37.966666667489335</v>
      </c>
      <c r="O39" s="7"/>
      <c r="P39" s="7"/>
      <c r="Q39" s="26"/>
      <c r="R39" s="26"/>
      <c r="S39" s="38">
        <f t="shared" si="17"/>
        <v>1</v>
      </c>
      <c r="T39" s="55" t="str">
        <f t="shared" si="18"/>
        <v>NorthBound</v>
      </c>
      <c r="U39" s="77">
        <f>IF(AG39="EC",COUNTIFS(Variables!$M$2:$M$19,IF(T39="NorthBound","&gt;=","&lt;=")&amp;Y39,Variables!$M$2:$M$19,IF(T39="NorthBound","&lt;=","&gt;=")&amp;Z39),COUNTIFS(Variables!$P$2:$P$19,IF(T39="NorthBound","&gt;=","&lt;=")&amp;Y39,Variables!$P$2:$P$19,IF(T39="NorthBound","&lt;=","&gt;=")&amp;Z39))</f>
        <v>12</v>
      </c>
      <c r="V39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05:56:50-0600',mode:absolute,to:'2016-08-04 08:36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39" s="57" t="str">
        <f t="shared" si="20"/>
        <v>N</v>
      </c>
      <c r="X39" s="117">
        <f t="shared" si="28"/>
        <v>1</v>
      </c>
      <c r="Y39" s="72">
        <f t="shared" si="21"/>
        <v>4.3799999999999999E-2</v>
      </c>
      <c r="Z39" s="72">
        <f t="shared" si="22"/>
        <v>23.3309</v>
      </c>
      <c r="AA39" s="72">
        <f t="shared" si="23"/>
        <v>23.287099999999999</v>
      </c>
      <c r="AB39" s="69" t="e">
        <f>VLOOKUP(A39,Enforcements!$C$7:$J$24,8,0)</f>
        <v>#N/A</v>
      </c>
      <c r="AC39" s="65" t="e">
        <f>VLOOKUP(A39,Enforcements!$C$7:$E$24,3,0)</f>
        <v>#N/A</v>
      </c>
      <c r="AD39" s="66" t="str">
        <f t="shared" si="24"/>
        <v>0127-04</v>
      </c>
      <c r="AE39" s="124" t="str">
        <f t="shared" si="25"/>
        <v>aws s3 cp s3://rtdc.mdm.uploadarchive/RTDC4031/2016-08-04/ "%USERPROFILE%\AppData\Local\Temp\OnboardLogs"\RTDC4031\2016-08-04 --recursive &amp; "%USERPROFILE%\Documents\GitHub\mrs-test-scripts\Headless Mode &amp; Sideloading\WalkAndUnGZ.bat" "%USERPROFILE%\AppData\Local\Temp\OnboardLogs"\RTDC4031\2016-08-04 &amp; aws s3 cp s3://rtdc.mdm.uploadarchive/RTDC4031/2016-08-05/ "%USERPROFILE%\AppData\Local\Temp\OnboardLogs"\RTDC4031\2016-08-05 --recursive &amp; "%USERPROFILE%\Documents\GitHub\mrs-test-scripts\Headless Mode &amp; Sideloading\WalkAndUnGZ.bat" "%USERPROFILE%\AppData\Local\Temp\OnboardLogs"\RTDC4031\2016-08-05</v>
      </c>
      <c r="AF39" s="121" t="str">
        <f t="shared" si="26"/>
        <v>"C:\Program Files (x86)\AstroGrep\AstroGrep.exe" /spath="%USERPROFILE%\AppData\Local\Temp\OnboardLogs" /stypes="*4031*20160804*" /stext=" 13:.+((SYSTEM_STATE.+slice.+state.+changed )|(ment ac)|(system.+state.+changed )|(\|lc)|(penalty)|(\[timeout)|(PRM\|1\|D)|(kpr)|(kdp))" /e /r /s</v>
      </c>
      <c r="AG39" s="1" t="str">
        <f t="shared" si="29"/>
        <v>EC</v>
      </c>
      <c r="AH39" s="125" t="str">
        <f>refinertdcruntimes&amp;" --tripid "&amp;A39&amp;" --locoid "&amp;B39&amp;" --swversion "&amp;C39&amp;" --startMP "&amp;D39&amp;" --initTime "&amp;TEXT(E39,"yyyy-mm-ddTHH:MM:SS")&amp;" --startdatetime "&amp;TEXT(F39,"yyyy-mm-ddTHH:MM:SS")&amp;" --delay "&amp;G39&amp;" --endMP "&amp;H39&amp;" --enddatetime "&amp;TEXT(I39,"yyyy-mm-ddTHH:MM:SS")&amp;" --enforcementcount "&amp;J39&amp;" &gt;&gt; "&amp;TEXT(Variables!$A$2,"yyyy-mm-dd")&amp;"-refined-runtimes.txt"</f>
        <v>"%USERPROFILE%\Documents\GitHub\eaglep3\Utilities\RefineRTDCRunTimes.py" --tripid 127-04 --locoid 4031 --swversion DE.1.0.7.0 --startMP 204:438 --initTime 2016-08-04T06:56:50 --startdatetime 2016-08-04T06:58:10 --delay 1 --endMP 204:233309 --enddatetime 2016-08-04T07:36:08 --enforcementcount 0 &gt;&gt; 2016-08-04-refined-runtimes.txt</v>
      </c>
    </row>
    <row r="40" spans="1:34" s="1" customFormat="1" x14ac:dyDescent="0.25">
      <c r="A40" s="42" t="s">
        <v>530</v>
      </c>
      <c r="B40" s="7">
        <v>4032</v>
      </c>
      <c r="C40" s="25" t="s">
        <v>163</v>
      </c>
      <c r="D40" s="25" t="s">
        <v>531</v>
      </c>
      <c r="E40" s="16">
        <v>42586.323067129626</v>
      </c>
      <c r="F40" s="16">
        <v>42586.323784722219</v>
      </c>
      <c r="G40" s="7">
        <v>1</v>
      </c>
      <c r="H40" s="16" t="s">
        <v>59</v>
      </c>
      <c r="I40" s="16">
        <v>42586.361562500002</v>
      </c>
      <c r="J40" s="7">
        <v>0</v>
      </c>
      <c r="K40" s="114" t="str">
        <f t="shared" si="15"/>
        <v>4031/4032</v>
      </c>
      <c r="L40" s="25" t="str">
        <f>VLOOKUP(A40,'Trips&amp;Operators'!$C$1:$E$10000,3,FALSE)</f>
        <v>MAELZER</v>
      </c>
      <c r="M40" s="6">
        <f t="shared" si="16"/>
        <v>3.7777777783048805E-2</v>
      </c>
      <c r="N40" s="7">
        <f t="shared" si="2"/>
        <v>54.400000007590279</v>
      </c>
      <c r="O40" s="7"/>
      <c r="P40" s="7"/>
      <c r="Q40" s="26"/>
      <c r="R40" s="26"/>
      <c r="S40" s="38">
        <f t="shared" si="17"/>
        <v>1</v>
      </c>
      <c r="T40" s="55" t="str">
        <f t="shared" si="18"/>
        <v>Southbound</v>
      </c>
      <c r="U40" s="77">
        <f>IF(AG40="EC",COUNTIFS(Variables!$M$2:$M$19,IF(T40="NorthBound","&gt;=","&lt;=")&amp;Y40,Variables!$M$2:$M$19,IF(T40="NorthBound","&lt;=","&gt;=")&amp;Z40),COUNTIFS(Variables!$P$2:$P$19,IF(T40="NorthBound","&gt;=","&lt;=")&amp;Y40,Variables!$P$2:$P$19,IF(T40="NorthBound","&lt;=","&gt;=")&amp;Z40))</f>
        <v>12</v>
      </c>
      <c r="V40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06:45:13-0600',mode:absolute,to:'2016-08-04 09:40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40" s="57" t="str">
        <f t="shared" si="20"/>
        <v>N</v>
      </c>
      <c r="X40" s="117">
        <f t="shared" si="28"/>
        <v>1</v>
      </c>
      <c r="Y40" s="72">
        <f t="shared" si="21"/>
        <v>23.299199999999999</v>
      </c>
      <c r="Z40" s="72">
        <f t="shared" si="22"/>
        <v>1.52E-2</v>
      </c>
      <c r="AA40" s="72">
        <f t="shared" si="23"/>
        <v>23.283999999999999</v>
      </c>
      <c r="AB40" s="69" t="e">
        <f>VLOOKUP(A40,Enforcements!$C$7:$J$24,8,0)</f>
        <v>#N/A</v>
      </c>
      <c r="AC40" s="65" t="e">
        <f>VLOOKUP(A40,Enforcements!$C$7:$E$24,3,0)</f>
        <v>#N/A</v>
      </c>
      <c r="AD40" s="66" t="str">
        <f t="shared" si="24"/>
        <v>0128-04</v>
      </c>
      <c r="AE40" s="124" t="str">
        <f t="shared" si="25"/>
        <v>aws s3 cp s3://rtdc.mdm.uploadarchive/RTDC4032/2016-08-04/ "%USERPROFILE%\AppData\Local\Temp\OnboardLogs"\RTDC4032\2016-08-04 --recursive &amp; "%USERPROFILE%\Documents\GitHub\mrs-test-scripts\Headless Mode &amp; Sideloading\WalkAndUnGZ.bat" "%USERPROFILE%\AppData\Local\Temp\OnboardLogs"\RTDC4032\2016-08-04 &amp; aws s3 cp s3://rtdc.mdm.uploadarchive/RTDC4032/2016-08-05/ "%USERPROFILE%\AppData\Local\Temp\OnboardLogs"\RTDC4032\2016-08-05 --recursive &amp; "%USERPROFILE%\Documents\GitHub\mrs-test-scripts\Headless Mode &amp; Sideloading\WalkAndUnGZ.bat" "%USERPROFILE%\AppData\Local\Temp\OnboardLogs"\RTDC4032\2016-08-05</v>
      </c>
      <c r="AF40" s="121" t="str">
        <f t="shared" si="26"/>
        <v>"C:\Program Files (x86)\AstroGrep\AstroGrep.exe" /spath="%USERPROFILE%\AppData\Local\Temp\OnboardLogs" /stypes="*4032*20160804*" /stext=" 14:.+((SYSTEM_STATE.+slice.+state.+changed )|(ment ac)|(system.+state.+changed )|(\|lc)|(penalty)|(\[timeout)|(PRM\|1\|D)|(kpr)|(kdp))" /e /r /s</v>
      </c>
      <c r="AG40" s="1" t="str">
        <f t="shared" si="29"/>
        <v>EC</v>
      </c>
      <c r="AH40" s="125" t="str">
        <f>refinertdcruntimes&amp;" --tripid "&amp;A40&amp;" --locoid "&amp;B40&amp;" --swversion "&amp;C40&amp;" --startMP "&amp;D40&amp;" --initTime "&amp;TEXT(E40,"yyyy-mm-ddTHH:MM:SS")&amp;" --startdatetime "&amp;TEXT(F40,"yyyy-mm-ddTHH:MM:SS")&amp;" --delay "&amp;G40&amp;" --endMP "&amp;H40&amp;" --enddatetime "&amp;TEXT(I40,"yyyy-mm-ddTHH:MM:SS")&amp;" --enforcementcount "&amp;J40&amp;" &gt;&gt; "&amp;TEXT(Variables!$A$2,"yyyy-mm-dd")&amp;"-refined-runtimes.txt"</f>
        <v>"%USERPROFILE%\Documents\GitHub\eaglep3\Utilities\RefineRTDCRunTimes.py" --tripid 128-04 --locoid 4032 --swversion DE.1.0.7.0 --startMP 204:232992 --initTime 2016-08-04T07:45:13 --startdatetime 2016-08-04T07:46:15 --delay 1 --endMP 204:152 --enddatetime 2016-08-04T08:40:39 --enforcementcount 0 &gt;&gt; 2016-08-04-refined-runtimes.txt</v>
      </c>
    </row>
    <row r="41" spans="1:34" s="1" customFormat="1" x14ac:dyDescent="0.25">
      <c r="A41" s="42" t="s">
        <v>443</v>
      </c>
      <c r="B41" s="7">
        <v>4027</v>
      </c>
      <c r="C41" s="25" t="s">
        <v>163</v>
      </c>
      <c r="D41" s="25" t="s">
        <v>116</v>
      </c>
      <c r="E41" s="16">
        <v>42586.301111111112</v>
      </c>
      <c r="F41" s="16">
        <v>42586.303020833337</v>
      </c>
      <c r="G41" s="7">
        <v>2</v>
      </c>
      <c r="H41" s="16" t="s">
        <v>383</v>
      </c>
      <c r="I41" s="16">
        <v>42586.329675925925</v>
      </c>
      <c r="J41" s="7">
        <v>0</v>
      </c>
      <c r="K41" s="114" t="str">
        <f t="shared" si="15"/>
        <v>4027/4028</v>
      </c>
      <c r="L41" s="25" t="str">
        <f>VLOOKUP(A41,'Trips&amp;Operators'!$C$1:$E$10000,3,FALSE)</f>
        <v>CLARK</v>
      </c>
      <c r="M41" s="6">
        <f t="shared" si="16"/>
        <v>2.6655092588043772E-2</v>
      </c>
      <c r="N41" s="7">
        <f t="shared" si="2"/>
        <v>38.383333326783031</v>
      </c>
      <c r="O41" s="7"/>
      <c r="P41" s="7"/>
      <c r="Q41" s="26"/>
      <c r="R41" s="26"/>
      <c r="S41" s="38">
        <f t="shared" si="17"/>
        <v>1</v>
      </c>
      <c r="T41" s="55" t="str">
        <f t="shared" si="18"/>
        <v>NorthBound</v>
      </c>
      <c r="U41" s="77">
        <f>IF(AG41="EC",COUNTIFS(Variables!$M$2:$M$19,IF(T41="NorthBound","&gt;=","&lt;=")&amp;Y41,Variables!$M$2:$M$19,IF(T41="NorthBound","&lt;=","&gt;=")&amp;Z41),COUNTIFS(Variables!$P$2:$P$19,IF(T41="NorthBound","&gt;=","&lt;=")&amp;Y41,Variables!$P$2:$P$19,IF(T41="NorthBound","&lt;=","&gt;=")&amp;Z41))</f>
        <v>12</v>
      </c>
      <c r="V41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06:13:36-0600',mode:absolute,to:'2016-08-04 08:54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41" s="57" t="str">
        <f t="shared" si="20"/>
        <v>N</v>
      </c>
      <c r="X41" s="117">
        <f t="shared" si="28"/>
        <v>1</v>
      </c>
      <c r="Y41" s="72">
        <f t="shared" si="21"/>
        <v>4.58E-2</v>
      </c>
      <c r="Z41" s="72">
        <f t="shared" si="22"/>
        <v>23.329799999999999</v>
      </c>
      <c r="AA41" s="72">
        <f t="shared" si="23"/>
        <v>23.283999999999999</v>
      </c>
      <c r="AB41" s="69" t="e">
        <f>VLOOKUP(A41,Enforcements!$C$7:$J$24,8,0)</f>
        <v>#N/A</v>
      </c>
      <c r="AC41" s="65" t="e">
        <f>VLOOKUP(A41,Enforcements!$C$7:$E$24,3,0)</f>
        <v>#N/A</v>
      </c>
      <c r="AD41" s="66" t="str">
        <f t="shared" si="24"/>
        <v>0129-04</v>
      </c>
      <c r="AE41" s="124" t="str">
        <f t="shared" si="25"/>
        <v>aws s3 cp s3://rtdc.mdm.uploadarchive/RTDC4027/2016-08-04/ "%USERPROFILE%\AppData\Local\Temp\OnboardLogs"\RTDC4027\2016-08-04 --recursive &amp; "%USERPROFILE%\Documents\GitHub\mrs-test-scripts\Headless Mode &amp; Sideloading\WalkAndUnGZ.bat" "%USERPROFILE%\AppData\Local\Temp\OnboardLogs"\RTDC4027\2016-08-04 &amp; aws s3 cp s3://rtdc.mdm.uploadarchive/RTDC4027/2016-08-05/ "%USERPROFILE%\AppData\Local\Temp\OnboardLogs"\RTDC4027\2016-08-05 --recursive &amp; "%USERPROFILE%\Documents\GitHub\mrs-test-scripts\Headless Mode &amp; Sideloading\WalkAndUnGZ.bat" "%USERPROFILE%\AppData\Local\Temp\OnboardLogs"\RTDC4027\2016-08-05</v>
      </c>
      <c r="AF41" s="121" t="str">
        <f t="shared" si="26"/>
        <v>"C:\Program Files (x86)\AstroGrep\AstroGrep.exe" /spath="%USERPROFILE%\AppData\Local\Temp\OnboardLogs" /stypes="*4027*20160804*" /stext=" 13:.+((SYSTEM_STATE.+slice.+state.+changed )|(ment ac)|(system.+state.+changed )|(\|lc)|(penalty)|(\[timeout)|(PRM\|1\|D)|(kpr)|(kdp))" /e /r /s</v>
      </c>
      <c r="AG41" s="1" t="str">
        <f t="shared" si="29"/>
        <v>EC</v>
      </c>
      <c r="AH41" s="125" t="str">
        <f>refinertdcruntimes&amp;" --tripid "&amp;A41&amp;" --locoid "&amp;B41&amp;" --swversion "&amp;C41&amp;" --startMP "&amp;D41&amp;" --initTime "&amp;TEXT(E41,"yyyy-mm-ddTHH:MM:SS")&amp;" --startdatetime "&amp;TEXT(F41,"yyyy-mm-ddTHH:MM:SS")&amp;" --delay "&amp;G41&amp;" --endMP "&amp;H41&amp;" --enddatetime "&amp;TEXT(I41,"yyyy-mm-ddTHH:MM:SS")&amp;" --enforcementcount "&amp;J41&amp;" &gt;&gt; "&amp;TEXT(Variables!$A$2,"yyyy-mm-dd")&amp;"-refined-runtimes.txt"</f>
        <v>"%USERPROFILE%\Documents\GitHub\eaglep3\Utilities\RefineRTDCRunTimes.py" --tripid 129-04 --locoid 4027 --swversion DE.1.0.7.0 --startMP 204:458 --initTime 2016-08-04T07:13:36 --startdatetime 2016-08-04T07:16:21 --delay 2 --endMP 204:233298 --enddatetime 2016-08-04T07:54:44 --enforcementcount 0 &gt;&gt; 2016-08-04-refined-runtimes.txt</v>
      </c>
    </row>
    <row r="42" spans="1:34" s="1" customFormat="1" x14ac:dyDescent="0.25">
      <c r="A42" s="42" t="s">
        <v>532</v>
      </c>
      <c r="B42" s="7">
        <v>4028</v>
      </c>
      <c r="C42" s="25" t="s">
        <v>163</v>
      </c>
      <c r="D42" s="25" t="s">
        <v>235</v>
      </c>
      <c r="E42" s="16">
        <v>42586.336053240739</v>
      </c>
      <c r="F42" s="16">
        <v>42586.338148148148</v>
      </c>
      <c r="G42" s="7">
        <v>3</v>
      </c>
      <c r="H42" s="16" t="s">
        <v>368</v>
      </c>
      <c r="I42" s="16">
        <v>42586.368020833332</v>
      </c>
      <c r="J42" s="7">
        <v>0</v>
      </c>
      <c r="K42" s="114" t="str">
        <f t="shared" si="15"/>
        <v>4027/4028</v>
      </c>
      <c r="L42" s="25" t="str">
        <f>VLOOKUP(A42,'Trips&amp;Operators'!$C$1:$E$10000,3,FALSE)</f>
        <v>CLARK</v>
      </c>
      <c r="M42" s="6">
        <f t="shared" si="16"/>
        <v>2.9872685183363501E-2</v>
      </c>
      <c r="N42" s="7">
        <f t="shared" si="2"/>
        <v>43.016666664043441</v>
      </c>
      <c r="O42" s="7"/>
      <c r="P42" s="7"/>
      <c r="Q42" s="26"/>
      <c r="R42" s="26"/>
      <c r="S42" s="38">
        <f t="shared" si="17"/>
        <v>1</v>
      </c>
      <c r="T42" s="55" t="str">
        <f t="shared" si="18"/>
        <v>Southbound</v>
      </c>
      <c r="U42" s="77">
        <f>IF(AG42="EC",COUNTIFS(Variables!$M$2:$M$19,IF(T42="NorthBound","&gt;=","&lt;=")&amp;Y42,Variables!$M$2:$M$19,IF(T42="NorthBound","&lt;=","&gt;=")&amp;Z42),COUNTIFS(Variables!$P$2:$P$19,IF(T42="NorthBound","&gt;=","&lt;=")&amp;Y42,Variables!$P$2:$P$19,IF(T42="NorthBound","&lt;=","&gt;=")&amp;Z42))</f>
        <v>12</v>
      </c>
      <c r="V42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07:03:55-0600',mode:absolute,to:'2016-08-04 09:49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42" s="57" t="str">
        <f t="shared" si="20"/>
        <v>N</v>
      </c>
      <c r="X42" s="117">
        <f t="shared" si="28"/>
        <v>1</v>
      </c>
      <c r="Y42" s="72">
        <f t="shared" si="21"/>
        <v>23.299299999999999</v>
      </c>
      <c r="Z42" s="72">
        <f t="shared" si="22"/>
        <v>1.32E-2</v>
      </c>
      <c r="AA42" s="72">
        <f t="shared" si="23"/>
        <v>23.286099999999998</v>
      </c>
      <c r="AB42" s="69" t="e">
        <f>VLOOKUP(A42,Enforcements!$C$7:$J$24,8,0)</f>
        <v>#N/A</v>
      </c>
      <c r="AC42" s="65" t="e">
        <f>VLOOKUP(A42,Enforcements!$C$7:$E$24,3,0)</f>
        <v>#N/A</v>
      </c>
      <c r="AD42" s="66" t="str">
        <f t="shared" si="24"/>
        <v>0130-04</v>
      </c>
      <c r="AE42" s="124" t="str">
        <f t="shared" si="25"/>
        <v>aws s3 cp s3://rtdc.mdm.uploadarchive/RTDC4028/2016-08-04/ "%USERPROFILE%\AppData\Local\Temp\OnboardLogs"\RTDC4028\2016-08-04 --recursive &amp; "%USERPROFILE%\Documents\GitHub\mrs-test-scripts\Headless Mode &amp; Sideloading\WalkAndUnGZ.bat" "%USERPROFILE%\AppData\Local\Temp\OnboardLogs"\RTDC4028\2016-08-04 &amp; aws s3 cp s3://rtdc.mdm.uploadarchive/RTDC4028/2016-08-05/ "%USERPROFILE%\AppData\Local\Temp\OnboardLogs"\RTDC4028\2016-08-05 --recursive &amp; "%USERPROFILE%\Documents\GitHub\mrs-test-scripts\Headless Mode &amp; Sideloading\WalkAndUnGZ.bat" "%USERPROFILE%\AppData\Local\Temp\OnboardLogs"\RTDC4028\2016-08-05</v>
      </c>
      <c r="AF42" s="121" t="str">
        <f t="shared" si="26"/>
        <v>"C:\Program Files (x86)\AstroGrep\AstroGrep.exe" /spath="%USERPROFILE%\AppData\Local\Temp\OnboardLogs" /stypes="*4028*20160804*" /stext=" 14:.+((SYSTEM_STATE.+slice.+state.+changed )|(ment ac)|(system.+state.+changed )|(\|lc)|(penalty)|(\[timeout)|(PRM\|1\|D)|(kpr)|(kdp))" /e /r /s</v>
      </c>
      <c r="AG42" s="1" t="str">
        <f t="shared" si="29"/>
        <v>EC</v>
      </c>
      <c r="AH42" s="125" t="str">
        <f>refinertdcruntimes&amp;" --tripid "&amp;A42&amp;" --locoid "&amp;B42&amp;" --swversion "&amp;C42&amp;" --startMP "&amp;D42&amp;" --initTime "&amp;TEXT(E42,"yyyy-mm-ddTHH:MM:SS")&amp;" --startdatetime "&amp;TEXT(F42,"yyyy-mm-ddTHH:MM:SS")&amp;" --delay "&amp;G42&amp;" --endMP "&amp;H42&amp;" --enddatetime "&amp;TEXT(I42,"yyyy-mm-ddTHH:MM:SS")&amp;" --enforcementcount "&amp;J42&amp;" &gt;&gt; "&amp;TEXT(Variables!$A$2,"yyyy-mm-dd")&amp;"-refined-runtimes.txt"</f>
        <v>"%USERPROFILE%\Documents\GitHub\eaglep3\Utilities\RefineRTDCRunTimes.py" --tripid 130-04 --locoid 4028 --swversion DE.1.0.7.0 --startMP 204:232993 --initTime 2016-08-04T08:03:55 --startdatetime 2016-08-04T08:06:56 --delay 3 --endMP 204:132 --enddatetime 2016-08-04T08:49:57 --enforcementcount 0 &gt;&gt; 2016-08-04-refined-runtimes.txt</v>
      </c>
    </row>
    <row r="43" spans="1:34" s="1" customFormat="1" x14ac:dyDescent="0.25">
      <c r="A43" s="42" t="s">
        <v>533</v>
      </c>
      <c r="B43" s="7">
        <v>4029</v>
      </c>
      <c r="C43" s="25" t="s">
        <v>163</v>
      </c>
      <c r="D43" s="25" t="s">
        <v>330</v>
      </c>
      <c r="E43" s="16">
        <v>42586.309502314813</v>
      </c>
      <c r="F43" s="16">
        <v>42586.310416666667</v>
      </c>
      <c r="G43" s="7">
        <v>1</v>
      </c>
      <c r="H43" s="16" t="s">
        <v>359</v>
      </c>
      <c r="I43" s="16">
        <v>42586.338506944441</v>
      </c>
      <c r="J43" s="7">
        <v>0</v>
      </c>
      <c r="K43" s="114" t="str">
        <f t="shared" si="15"/>
        <v>4029/4030</v>
      </c>
      <c r="L43" s="25" t="str">
        <f>VLOOKUP(A43,'Trips&amp;Operators'!$C$1:$E$10000,3,FALSE)</f>
        <v>SPECTOR</v>
      </c>
      <c r="M43" s="6">
        <f t="shared" si="16"/>
        <v>2.8090277774026617E-2</v>
      </c>
      <c r="N43" s="7">
        <f t="shared" si="2"/>
        <v>40.449999994598329</v>
      </c>
      <c r="O43" s="7"/>
      <c r="P43" s="7"/>
      <c r="Q43" s="26"/>
      <c r="R43" s="26"/>
      <c r="S43" s="38">
        <f t="shared" si="17"/>
        <v>1</v>
      </c>
      <c r="T43" s="55" t="str">
        <f t="shared" si="18"/>
        <v>NorthBound</v>
      </c>
      <c r="U43" s="77">
        <f>IF(AG43="EC",COUNTIFS(Variables!$M$2:$M$19,IF(T43="NorthBound","&gt;=","&lt;=")&amp;Y43,Variables!$M$2:$M$19,IF(T43="NorthBound","&lt;=","&gt;=")&amp;Z43),COUNTIFS(Variables!$P$2:$P$19,IF(T43="NorthBound","&gt;=","&lt;=")&amp;Y43,Variables!$P$2:$P$19,IF(T43="NorthBound","&lt;=","&gt;=")&amp;Z43))</f>
        <v>12</v>
      </c>
      <c r="V43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06:25:41-0600',mode:absolute,to:'2016-08-04 09:07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43" s="57" t="str">
        <f t="shared" si="20"/>
        <v>N</v>
      </c>
      <c r="X43" s="117">
        <f t="shared" si="28"/>
        <v>1</v>
      </c>
      <c r="Y43" s="72">
        <f t="shared" si="21"/>
        <v>4.4900000000000002E-2</v>
      </c>
      <c r="Z43" s="72">
        <f t="shared" si="22"/>
        <v>23.3324</v>
      </c>
      <c r="AA43" s="72">
        <f t="shared" si="23"/>
        <v>23.287500000000001</v>
      </c>
      <c r="AB43" s="69" t="e">
        <f>VLOOKUP(A43,Enforcements!$C$7:$J$24,8,0)</f>
        <v>#N/A</v>
      </c>
      <c r="AC43" s="65" t="e">
        <f>VLOOKUP(A43,Enforcements!$C$7:$E$24,3,0)</f>
        <v>#N/A</v>
      </c>
      <c r="AD43" s="66" t="str">
        <f t="shared" si="24"/>
        <v>0131-04</v>
      </c>
      <c r="AE43" s="124" t="str">
        <f t="shared" si="25"/>
        <v>aws s3 cp s3://rtdc.mdm.uploadarchive/RTDC4029/2016-08-04/ "%USERPROFILE%\AppData\Local\Temp\OnboardLogs"\RTDC4029\2016-08-04 --recursive &amp; "%USERPROFILE%\Documents\GitHub\mrs-test-scripts\Headless Mode &amp; Sideloading\WalkAndUnGZ.bat" "%USERPROFILE%\AppData\Local\Temp\OnboardLogs"\RTDC4029\2016-08-04 &amp; aws s3 cp s3://rtdc.mdm.uploadarchive/RTDC4029/2016-08-05/ "%USERPROFILE%\AppData\Local\Temp\OnboardLogs"\RTDC4029\2016-08-05 --recursive &amp; "%USERPROFILE%\Documents\GitHub\mrs-test-scripts\Headless Mode &amp; Sideloading\WalkAndUnGZ.bat" "%USERPROFILE%\AppData\Local\Temp\OnboardLogs"\RTDC4029\2016-08-05</v>
      </c>
      <c r="AF43" s="121" t="str">
        <f t="shared" si="26"/>
        <v>"C:\Program Files (x86)\AstroGrep\AstroGrep.exe" /spath="%USERPROFILE%\AppData\Local\Temp\OnboardLogs" /stypes="*4029*20160804*" /stext=" 14:.+((SYSTEM_STATE.+slice.+state.+changed )|(ment ac)|(system.+state.+changed )|(\|lc)|(penalty)|(\[timeout)|(PRM\|1\|D)|(kpr)|(kdp))" /e /r /s</v>
      </c>
      <c r="AG43" s="1" t="str">
        <f t="shared" si="29"/>
        <v>EC</v>
      </c>
      <c r="AH43" s="125" t="str">
        <f>refinertdcruntimes&amp;" --tripid "&amp;A43&amp;" --locoid "&amp;B43&amp;" --swversion "&amp;C43&amp;" --startMP "&amp;D43&amp;" --initTime "&amp;TEXT(E43,"yyyy-mm-ddTHH:MM:SS")&amp;" --startdatetime "&amp;TEXT(F43,"yyyy-mm-ddTHH:MM:SS")&amp;" --delay "&amp;G43&amp;" --endMP "&amp;H43&amp;" --enddatetime "&amp;TEXT(I43,"yyyy-mm-ddTHH:MM:SS")&amp;" --enforcementcount "&amp;J43&amp;" &gt;&gt; "&amp;TEXT(Variables!$A$2,"yyyy-mm-dd")&amp;"-refined-runtimes.txt"</f>
        <v>"%USERPROFILE%\Documents\GitHub\eaglep3\Utilities\RefineRTDCRunTimes.py" --tripid 131-04 --locoid 4029 --swversion DE.1.0.7.0 --startMP 204:449 --initTime 2016-08-04T07:25:41 --startdatetime 2016-08-04T07:27:00 --delay 1 --endMP 204:233324 --enddatetime 2016-08-04T08:07:27 --enforcementcount 0 &gt;&gt; 2016-08-04-refined-runtimes.txt</v>
      </c>
    </row>
    <row r="44" spans="1:34" s="1" customFormat="1" x14ac:dyDescent="0.25">
      <c r="A44" s="42" t="s">
        <v>534</v>
      </c>
      <c r="B44" s="7">
        <v>4030</v>
      </c>
      <c r="C44" s="25" t="s">
        <v>163</v>
      </c>
      <c r="D44" s="25" t="s">
        <v>535</v>
      </c>
      <c r="E44" s="16">
        <v>42586.346018518518</v>
      </c>
      <c r="F44" s="16">
        <v>42586.347175925926</v>
      </c>
      <c r="G44" s="7">
        <v>1</v>
      </c>
      <c r="H44" s="16" t="s">
        <v>110</v>
      </c>
      <c r="I44" s="16">
        <v>42586.37903935185</v>
      </c>
      <c r="J44" s="7">
        <v>0</v>
      </c>
      <c r="K44" s="114" t="str">
        <f t="shared" si="15"/>
        <v>4029/4030</v>
      </c>
      <c r="L44" s="25" t="str">
        <f>VLOOKUP(A44,'Trips&amp;Operators'!$C$1:$E$10000,3,FALSE)</f>
        <v>SPECTOR</v>
      </c>
      <c r="M44" s="6">
        <f t="shared" si="16"/>
        <v>3.1863425923802424E-2</v>
      </c>
      <c r="N44" s="7">
        <f t="shared" si="2"/>
        <v>45.883333330275491</v>
      </c>
      <c r="O44" s="7"/>
      <c r="P44" s="7"/>
      <c r="Q44" s="26"/>
      <c r="R44" s="26"/>
      <c r="S44" s="38">
        <f t="shared" si="17"/>
        <v>1</v>
      </c>
      <c r="T44" s="55" t="str">
        <f t="shared" si="18"/>
        <v>Southbound</v>
      </c>
      <c r="U44" s="77">
        <f>IF(AG44="EC",COUNTIFS(Variables!$M$2:$M$19,IF(T44="NorthBound","&gt;=","&lt;=")&amp;Y44,Variables!$M$2:$M$19,IF(T44="NorthBound","&lt;=","&gt;=")&amp;Z44),COUNTIFS(Variables!$P$2:$P$19,IF(T44="NorthBound","&gt;=","&lt;=")&amp;Y44,Variables!$P$2:$P$19,IF(T44="NorthBound","&lt;=","&gt;=")&amp;Z44))</f>
        <v>12</v>
      </c>
      <c r="V44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07:18:16-0600',mode:absolute,to:'2016-08-04 10:05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44" s="57" t="str">
        <f t="shared" si="20"/>
        <v>N</v>
      </c>
      <c r="X44" s="117">
        <f t="shared" si="28"/>
        <v>1</v>
      </c>
      <c r="Y44" s="72">
        <f t="shared" si="21"/>
        <v>23.301300000000001</v>
      </c>
      <c r="Z44" s="72">
        <f t="shared" si="22"/>
        <v>1.5599999999999999E-2</v>
      </c>
      <c r="AA44" s="72">
        <f t="shared" si="23"/>
        <v>23.285700000000002</v>
      </c>
      <c r="AB44" s="69" t="e">
        <f>VLOOKUP(A44,Enforcements!$C$7:$J$24,8,0)</f>
        <v>#N/A</v>
      </c>
      <c r="AC44" s="65" t="e">
        <f>VLOOKUP(A44,Enforcements!$C$7:$E$24,3,0)</f>
        <v>#N/A</v>
      </c>
      <c r="AD44" s="66" t="str">
        <f t="shared" si="24"/>
        <v>0132-04</v>
      </c>
      <c r="AE44" s="124" t="str">
        <f t="shared" si="25"/>
        <v>aws s3 cp s3://rtdc.mdm.uploadarchive/RTDC4030/2016-08-04/ "%USERPROFILE%\AppData\Local\Temp\OnboardLogs"\RTDC4030\2016-08-04 --recursive &amp; "%USERPROFILE%\Documents\GitHub\mrs-test-scripts\Headless Mode &amp; Sideloading\WalkAndUnGZ.bat" "%USERPROFILE%\AppData\Local\Temp\OnboardLogs"\RTDC4030\2016-08-04 &amp; aws s3 cp s3://rtdc.mdm.uploadarchive/RTDC4030/2016-08-05/ "%USERPROFILE%\AppData\Local\Temp\OnboardLogs"\RTDC4030\2016-08-05 --recursive &amp; "%USERPROFILE%\Documents\GitHub\mrs-test-scripts\Headless Mode &amp; Sideloading\WalkAndUnGZ.bat" "%USERPROFILE%\AppData\Local\Temp\OnboardLogs"\RTDC4030\2016-08-05</v>
      </c>
      <c r="AF44" s="121" t="str">
        <f t="shared" si="26"/>
        <v>"C:\Program Files (x86)\AstroGrep\AstroGrep.exe" /spath="%USERPROFILE%\AppData\Local\Temp\OnboardLogs" /stypes="*4030*20160804*" /stext=" 15:.+((SYSTEM_STATE.+slice.+state.+changed )|(ment ac)|(system.+state.+changed )|(\|lc)|(penalty)|(\[timeout)|(PRM\|1\|D)|(kpr)|(kdp))" /e /r /s</v>
      </c>
      <c r="AG44" s="1" t="str">
        <f t="shared" si="29"/>
        <v>EC</v>
      </c>
      <c r="AH44" s="125" t="str">
        <f>refinertdcruntimes&amp;" --tripid "&amp;A44&amp;" --locoid "&amp;B44&amp;" --swversion "&amp;C44&amp;" --startMP "&amp;D44&amp;" --initTime "&amp;TEXT(E44,"yyyy-mm-ddTHH:MM:SS")&amp;" --startdatetime "&amp;TEXT(F44,"yyyy-mm-ddTHH:MM:SS")&amp;" --delay "&amp;G44&amp;" --endMP "&amp;H44&amp;" --enddatetime "&amp;TEXT(I44,"yyyy-mm-ddTHH:MM:SS")&amp;" --enforcementcount "&amp;J44&amp;" &gt;&gt; "&amp;TEXT(Variables!$A$2,"yyyy-mm-dd")&amp;"-refined-runtimes.txt"</f>
        <v>"%USERPROFILE%\Documents\GitHub\eaglep3\Utilities\RefineRTDCRunTimes.py" --tripid 132-04 --locoid 4030 --swversion DE.1.0.7.0 --startMP 204:233013 --initTime 2016-08-04T08:18:16 --startdatetime 2016-08-04T08:19:56 --delay 1 --endMP 204:156 --enddatetime 2016-08-04T09:05:49 --enforcementcount 0 &gt;&gt; 2016-08-04-refined-runtimes.txt</v>
      </c>
    </row>
    <row r="45" spans="1:34" s="1" customFormat="1" x14ac:dyDescent="0.25">
      <c r="A45" s="42" t="s">
        <v>536</v>
      </c>
      <c r="B45" s="7">
        <v>4011</v>
      </c>
      <c r="C45" s="25" t="s">
        <v>163</v>
      </c>
      <c r="D45" s="25" t="s">
        <v>140</v>
      </c>
      <c r="E45" s="16">
        <v>42586.321805555555</v>
      </c>
      <c r="F45" s="16">
        <v>42586.322650462964</v>
      </c>
      <c r="G45" s="7">
        <v>1</v>
      </c>
      <c r="H45" s="16" t="s">
        <v>157</v>
      </c>
      <c r="I45" s="16">
        <v>42586.348483796297</v>
      </c>
      <c r="J45" s="7">
        <v>0</v>
      </c>
      <c r="K45" s="114" t="str">
        <f t="shared" si="15"/>
        <v>4011/4012</v>
      </c>
      <c r="L45" s="25" t="str">
        <f>VLOOKUP(A45,'Trips&amp;Operators'!$C$1:$E$10000,3,FALSE)</f>
        <v>MALAVE</v>
      </c>
      <c r="M45" s="6">
        <f t="shared" si="16"/>
        <v>2.5833333333139308E-2</v>
      </c>
      <c r="N45" s="7">
        <f t="shared" si="2"/>
        <v>37.199999999720603</v>
      </c>
      <c r="O45" s="7"/>
      <c r="P45" s="7"/>
      <c r="Q45" s="26"/>
      <c r="R45" s="26"/>
      <c r="S45" s="38">
        <f t="shared" si="17"/>
        <v>1</v>
      </c>
      <c r="T45" s="55" t="str">
        <f t="shared" si="18"/>
        <v>NorthBound</v>
      </c>
      <c r="U45" s="77">
        <f>IF(AG45="EC",COUNTIFS(Variables!$M$2:$M$19,IF(T45="NorthBound","&gt;=","&lt;=")&amp;Y45,Variables!$M$2:$M$19,IF(T45="NorthBound","&lt;=","&gt;=")&amp;Z45),COUNTIFS(Variables!$P$2:$P$19,IF(T45="NorthBound","&gt;=","&lt;=")&amp;Y45,Variables!$P$2:$P$19,IF(T45="NorthBound","&lt;=","&gt;=")&amp;Z45))</f>
        <v>12</v>
      </c>
      <c r="V45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06:43:24-0600',mode:absolute,to:'2016-08-04 09:21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45" s="57" t="str">
        <f t="shared" si="20"/>
        <v>N</v>
      </c>
      <c r="X45" s="117">
        <f t="shared" si="28"/>
        <v>1</v>
      </c>
      <c r="Y45" s="72">
        <f t="shared" si="21"/>
        <v>4.6199999999999998E-2</v>
      </c>
      <c r="Z45" s="72">
        <f t="shared" si="22"/>
        <v>23.3308</v>
      </c>
      <c r="AA45" s="72">
        <f t="shared" si="23"/>
        <v>23.284600000000001</v>
      </c>
      <c r="AB45" s="69" t="e">
        <f>VLOOKUP(A45,Enforcements!$C$7:$J$24,8,0)</f>
        <v>#N/A</v>
      </c>
      <c r="AC45" s="65" t="e">
        <f>VLOOKUP(A45,Enforcements!$C$7:$E$24,3,0)</f>
        <v>#N/A</v>
      </c>
      <c r="AD45" s="66" t="str">
        <f t="shared" si="24"/>
        <v>0133-04</v>
      </c>
      <c r="AE45" s="124" t="str">
        <f t="shared" si="25"/>
        <v>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 &amp; aws s3 cp s3://rtdc.mdm.uploadarchive/RTDC4011/2016-08-05/ "%USERPROFILE%\AppData\Local\Temp\OnboardLogs"\RTDC4011\2016-08-05 --recursive &amp; "%USERPROFILE%\Documents\GitHub\mrs-test-scripts\Headless Mode &amp; Sideloading\WalkAndUnGZ.bat" "%USERPROFILE%\AppData\Local\Temp\OnboardLogs"\RTDC4011\2016-08-05</v>
      </c>
      <c r="AF45" s="121" t="str">
        <f t="shared" si="26"/>
        <v>"C:\Program Files (x86)\AstroGrep\AstroGrep.exe" /spath="%USERPROFILE%\AppData\Local\Temp\OnboardLogs" /stypes="*4011*20160804*" /stext=" 14:.+((SYSTEM_STATE.+slice.+state.+changed )|(ment ac)|(system.+state.+changed )|(\|lc)|(penalty)|(\[timeout)|(PRM\|1\|D)|(kpr)|(kdp))" /e /r /s</v>
      </c>
      <c r="AG45" s="1" t="str">
        <f t="shared" si="29"/>
        <v>EC</v>
      </c>
      <c r="AH45" s="125" t="str">
        <f>refinertdcruntimes&amp;" --tripid "&amp;A45&amp;" --locoid "&amp;B45&amp;" --swversion "&amp;C45&amp;" --startMP "&amp;D45&amp;" --initTime "&amp;TEXT(E45,"yyyy-mm-ddTHH:MM:SS")&amp;" --startdatetime "&amp;TEXT(F45,"yyyy-mm-ddTHH:MM:SS")&amp;" --delay "&amp;G45&amp;" --endMP "&amp;H45&amp;" --enddatetime "&amp;TEXT(I45,"yyyy-mm-ddTHH:MM:SS")&amp;" --enforcementcount "&amp;J45&amp;" &gt;&gt; "&amp;TEXT(Variables!$A$2,"yyyy-mm-dd")&amp;"-refined-runtimes.txt"</f>
        <v>"%USERPROFILE%\Documents\GitHub\eaglep3\Utilities\RefineRTDCRunTimes.py" --tripid 133-04 --locoid 4011 --swversion DE.1.0.7.0 --startMP 204:462 --initTime 2016-08-04T07:43:24 --startdatetime 2016-08-04T07:44:37 --delay 1 --endMP 204:233308 --enddatetime 2016-08-04T08:21:49 --enforcementcount 0 &gt;&gt; 2016-08-04-refined-runtimes.txt</v>
      </c>
    </row>
    <row r="46" spans="1:34" s="1" customFormat="1" x14ac:dyDescent="0.25">
      <c r="A46" s="42" t="s">
        <v>479</v>
      </c>
      <c r="B46" s="7">
        <v>4012</v>
      </c>
      <c r="C46" s="25" t="s">
        <v>163</v>
      </c>
      <c r="D46" s="25" t="s">
        <v>387</v>
      </c>
      <c r="E46" s="16">
        <v>42586.359837962962</v>
      </c>
      <c r="F46" s="16">
        <v>42586.362002314818</v>
      </c>
      <c r="G46" s="7">
        <v>3</v>
      </c>
      <c r="H46" s="16" t="s">
        <v>160</v>
      </c>
      <c r="I46" s="16">
        <v>42586.390324074076</v>
      </c>
      <c r="J46" s="7">
        <v>1</v>
      </c>
      <c r="K46" s="114" t="str">
        <f t="shared" si="15"/>
        <v>4011/4012</v>
      </c>
      <c r="L46" s="25" t="str">
        <f>VLOOKUP(A46,'Trips&amp;Operators'!$C$1:$E$10000,3,FALSE)</f>
        <v>MALAVE</v>
      </c>
      <c r="M46" s="6">
        <f t="shared" si="16"/>
        <v>2.8321759258687962E-2</v>
      </c>
      <c r="N46" s="7">
        <f t="shared" si="2"/>
        <v>40.783333332510665</v>
      </c>
      <c r="O46" s="7"/>
      <c r="P46" s="7"/>
      <c r="Q46" s="26"/>
      <c r="R46" s="26"/>
      <c r="S46" s="38">
        <f t="shared" si="17"/>
        <v>1</v>
      </c>
      <c r="T46" s="55" t="str">
        <f t="shared" si="18"/>
        <v>Southbound</v>
      </c>
      <c r="U46" s="77">
        <f>IF(AG46="EC",COUNTIFS(Variables!$M$2:$M$19,IF(T46="NorthBound","&gt;=","&lt;=")&amp;Y46,Variables!$M$2:$M$19,IF(T46="NorthBound","&lt;=","&gt;=")&amp;Z46),COUNTIFS(Variables!$P$2:$P$19,IF(T46="NorthBound","&gt;=","&lt;=")&amp;Y46,Variables!$P$2:$P$19,IF(T46="NorthBound","&lt;=","&gt;=")&amp;Z46))</f>
        <v>12</v>
      </c>
      <c r="V46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07:38:10-0600',mode:absolute,to:'2016-08-04 10:22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46" s="57" t="str">
        <f t="shared" si="20"/>
        <v>N</v>
      </c>
      <c r="X46" s="117">
        <f t="shared" si="28"/>
        <v>1</v>
      </c>
      <c r="Y46" s="72">
        <f t="shared" si="21"/>
        <v>23.3</v>
      </c>
      <c r="Z46" s="72">
        <f t="shared" si="22"/>
        <v>1.49E-2</v>
      </c>
      <c r="AA46" s="72">
        <f t="shared" si="23"/>
        <v>23.2851</v>
      </c>
      <c r="AB46" s="69">
        <f>VLOOKUP(A46,Enforcements!$C$7:$J$24,8,0)</f>
        <v>37462</v>
      </c>
      <c r="AC46" s="65" t="str">
        <f>VLOOKUP(A46,Enforcements!$C$7:$E$24,3,0)</f>
        <v>GRADE CROSSING</v>
      </c>
      <c r="AD46" s="66" t="str">
        <f t="shared" si="24"/>
        <v>0134-04</v>
      </c>
      <c r="AE46" s="124" t="str">
        <f t="shared" si="25"/>
        <v>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 &amp; aws s3 cp s3://rtdc.mdm.uploadarchive/RTDC4012/2016-08-05/ "%USERPROFILE%\AppData\Local\Temp\OnboardLogs"\RTDC4012\2016-08-05 --recursive &amp; "%USERPROFILE%\Documents\GitHub\mrs-test-scripts\Headless Mode &amp; Sideloading\WalkAndUnGZ.bat" "%USERPROFILE%\AppData\Local\Temp\OnboardLogs"\RTDC4012\2016-08-05</v>
      </c>
      <c r="AF46" s="121" t="str">
        <f t="shared" si="26"/>
        <v>"C:\Program Files (x86)\AstroGrep\AstroGrep.exe" /spath="%USERPROFILE%\AppData\Local\Temp\OnboardLogs" /stypes="*4012*20160804*" /stext=" 15:.+((SYSTEM_STATE.+slice.+state.+changed )|(ment ac)|(system.+state.+changed )|(\|lc)|(penalty)|(\[timeout)|(PRM\|1\|D)|(kpr)|(kdp))" /e /r /s</v>
      </c>
      <c r="AG46" s="1" t="str">
        <f t="shared" si="29"/>
        <v>EC</v>
      </c>
      <c r="AH46" s="125" t="str">
        <f>refinertdcruntimes&amp;" --tripid "&amp;A46&amp;" --locoid "&amp;B46&amp;" --swversion "&amp;C46&amp;" --startMP "&amp;D46&amp;" --initTime "&amp;TEXT(E46,"yyyy-mm-ddTHH:MM:SS")&amp;" --startdatetime "&amp;TEXT(F46,"yyyy-mm-ddTHH:MM:SS")&amp;" --delay "&amp;G46&amp;" --endMP "&amp;H46&amp;" --enddatetime "&amp;TEXT(I46,"yyyy-mm-ddTHH:MM:SS")&amp;" --enforcementcount "&amp;J46&amp;" &gt;&gt; "&amp;TEXT(Variables!$A$2,"yyyy-mm-dd")&amp;"-refined-runtimes.txt"</f>
        <v>"%USERPROFILE%\Documents\GitHub\eaglep3\Utilities\RefineRTDCRunTimes.py" --tripid 134-04 --locoid 4012 --swversion DE.1.0.7.0 --startMP 204:233000 --initTime 2016-08-04T08:38:10 --startdatetime 2016-08-04T08:41:17 --delay 3 --endMP 204:149 --enddatetime 2016-08-04T09:22:04 --enforcementcount 1 &gt;&gt; 2016-08-04-refined-runtimes.txt</v>
      </c>
    </row>
    <row r="47" spans="1:34" s="1" customFormat="1" x14ac:dyDescent="0.25">
      <c r="A47" s="42" t="s">
        <v>537</v>
      </c>
      <c r="B47" s="7">
        <v>4007</v>
      </c>
      <c r="C47" s="25" t="s">
        <v>163</v>
      </c>
      <c r="D47" s="25" t="s">
        <v>116</v>
      </c>
      <c r="E47" s="16">
        <v>42586.329282407409</v>
      </c>
      <c r="F47" s="16">
        <v>42586.33048611111</v>
      </c>
      <c r="G47" s="7">
        <v>1</v>
      </c>
      <c r="H47" s="16" t="s">
        <v>164</v>
      </c>
      <c r="I47" s="16">
        <v>42586.360219907408</v>
      </c>
      <c r="J47" s="7">
        <v>0</v>
      </c>
      <c r="K47" s="114" t="str">
        <f t="shared" si="15"/>
        <v>4007/4008</v>
      </c>
      <c r="L47" s="25" t="str">
        <f>VLOOKUP(A47,'Trips&amp;Operators'!$C$1:$E$10000,3,FALSE)</f>
        <v>STRICKLAND</v>
      </c>
      <c r="M47" s="6">
        <f t="shared" si="16"/>
        <v>2.973379629838746E-2</v>
      </c>
      <c r="N47" s="7">
        <f t="shared" si="2"/>
        <v>42.816666669677943</v>
      </c>
      <c r="O47" s="7"/>
      <c r="P47" s="7"/>
      <c r="Q47" s="26"/>
      <c r="R47" s="26"/>
      <c r="S47" s="38">
        <f t="shared" si="17"/>
        <v>1</v>
      </c>
      <c r="T47" s="55" t="str">
        <f t="shared" si="18"/>
        <v>NorthBound</v>
      </c>
      <c r="U47" s="77">
        <f>IF(AG47="EC",COUNTIFS(Variables!$M$2:$M$19,IF(T47="NorthBound","&gt;=","&lt;=")&amp;Y47,Variables!$M$2:$M$19,IF(T47="NorthBound","&lt;=","&gt;=")&amp;Z47),COUNTIFS(Variables!$P$2:$P$19,IF(T47="NorthBound","&gt;=","&lt;=")&amp;Y47,Variables!$P$2:$P$19,IF(T47="NorthBound","&lt;=","&gt;=")&amp;Z47))</f>
        <v>12</v>
      </c>
      <c r="V47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06:54:10-0600',mode:absolute,to:'2016-08-04 09:38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47" s="57" t="str">
        <f t="shared" si="20"/>
        <v>N</v>
      </c>
      <c r="X47" s="117">
        <f t="shared" si="28"/>
        <v>1</v>
      </c>
      <c r="Y47" s="72">
        <f t="shared" si="21"/>
        <v>4.58E-2</v>
      </c>
      <c r="Z47" s="72">
        <f t="shared" si="22"/>
        <v>23.3291</v>
      </c>
      <c r="AA47" s="72">
        <f t="shared" si="23"/>
        <v>23.283300000000001</v>
      </c>
      <c r="AB47" s="69" t="e">
        <f>VLOOKUP(A47,Enforcements!$C$7:$J$24,8,0)</f>
        <v>#N/A</v>
      </c>
      <c r="AC47" s="65" t="e">
        <f>VLOOKUP(A47,Enforcements!$C$7:$E$24,3,0)</f>
        <v>#N/A</v>
      </c>
      <c r="AD47" s="66" t="str">
        <f t="shared" si="24"/>
        <v>0135-04</v>
      </c>
      <c r="AE47" s="124" t="str">
        <f t="shared" si="25"/>
        <v>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 &amp; aws s3 cp s3://rtdc.mdm.uploadarchive/RTDC4007/2016-08-05/ "%USERPROFILE%\AppData\Local\Temp\OnboardLogs"\RTDC4007\2016-08-05 --recursive &amp; "%USERPROFILE%\Documents\GitHub\mrs-test-scripts\Headless Mode &amp; Sideloading\WalkAndUnGZ.bat" "%USERPROFILE%\AppData\Local\Temp\OnboardLogs"\RTDC4007\2016-08-05</v>
      </c>
      <c r="AF47" s="121" t="str">
        <f t="shared" si="26"/>
        <v>"C:\Program Files (x86)\AstroGrep\AstroGrep.exe" /spath="%USERPROFILE%\AppData\Local\Temp\OnboardLogs" /stypes="*4007*20160804*" /stext=" 14:.+((SYSTEM_STATE.+slice.+state.+changed )|(ment ac)|(system.+state.+changed )|(\|lc)|(penalty)|(\[timeout)|(PRM\|1\|D)|(kpr)|(kdp))" /e /r /s</v>
      </c>
      <c r="AG47" s="1" t="str">
        <f t="shared" si="29"/>
        <v>EC</v>
      </c>
      <c r="AH47" s="125" t="str">
        <f>refinertdcruntimes&amp;" --tripid "&amp;A47&amp;" --locoid "&amp;B47&amp;" --swversion "&amp;C47&amp;" --startMP "&amp;D47&amp;" --initTime "&amp;TEXT(E47,"yyyy-mm-ddTHH:MM:SS")&amp;" --startdatetime "&amp;TEXT(F47,"yyyy-mm-ddTHH:MM:SS")&amp;" --delay "&amp;G47&amp;" --endMP "&amp;H47&amp;" --enddatetime "&amp;TEXT(I47,"yyyy-mm-ddTHH:MM:SS")&amp;" --enforcementcount "&amp;J47&amp;" &gt;&gt; "&amp;TEXT(Variables!$A$2,"yyyy-mm-dd")&amp;"-refined-runtimes.txt"</f>
        <v>"%USERPROFILE%\Documents\GitHub\eaglep3\Utilities\RefineRTDCRunTimes.py" --tripid 135-04 --locoid 4007 --swversion DE.1.0.7.0 --startMP 204:458 --initTime 2016-08-04T07:54:10 --startdatetime 2016-08-04T07:55:54 --delay 1 --endMP 204:233291 --enddatetime 2016-08-04T08:38:43 --enforcementcount 0 &gt;&gt; 2016-08-04-refined-runtimes.txt</v>
      </c>
    </row>
    <row r="48" spans="1:34" s="1" customFormat="1" x14ac:dyDescent="0.25">
      <c r="A48" s="42" t="s">
        <v>481</v>
      </c>
      <c r="B48" s="7">
        <v>4008</v>
      </c>
      <c r="C48" s="25" t="s">
        <v>163</v>
      </c>
      <c r="D48" s="25" t="s">
        <v>314</v>
      </c>
      <c r="E48" s="16">
        <v>42586.365543981483</v>
      </c>
      <c r="F48" s="16">
        <v>42586.36645833333</v>
      </c>
      <c r="G48" s="7">
        <v>1</v>
      </c>
      <c r="H48" s="16" t="s">
        <v>320</v>
      </c>
      <c r="I48" s="16">
        <v>42586.402256944442</v>
      </c>
      <c r="J48" s="7">
        <v>1</v>
      </c>
      <c r="K48" s="114" t="str">
        <f t="shared" si="15"/>
        <v>4007/4008</v>
      </c>
      <c r="L48" s="25" t="str">
        <f>VLOOKUP(A48,'Trips&amp;Operators'!$C$1:$E$10000,3,FALSE)</f>
        <v>STRICKLAND</v>
      </c>
      <c r="M48" s="6">
        <f t="shared" si="16"/>
        <v>3.5798611112113576E-2</v>
      </c>
      <c r="N48" s="7">
        <f t="shared" si="2"/>
        <v>51.55000000144355</v>
      </c>
      <c r="O48" s="7"/>
      <c r="P48" s="7"/>
      <c r="Q48" s="26"/>
      <c r="R48" s="26"/>
      <c r="S48" s="38">
        <f t="shared" si="17"/>
        <v>1</v>
      </c>
      <c r="T48" s="55" t="str">
        <f t="shared" si="18"/>
        <v>Southbound</v>
      </c>
      <c r="U48" s="77">
        <f>IF(AG48="EC",COUNTIFS(Variables!$M$2:$M$19,IF(T48="NorthBound","&gt;=","&lt;=")&amp;Y48,Variables!$M$2:$M$19,IF(T48="NorthBound","&lt;=","&gt;=")&amp;Z48),COUNTIFS(Variables!$P$2:$P$19,IF(T48="NorthBound","&gt;=","&lt;=")&amp;Y48,Variables!$P$2:$P$19,IF(T48="NorthBound","&lt;=","&gt;=")&amp;Z48))</f>
        <v>12</v>
      </c>
      <c r="V48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07:46:23-0600',mode:absolute,to:'2016-08-04 10:39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48" s="57" t="str">
        <f t="shared" si="20"/>
        <v>N</v>
      </c>
      <c r="X48" s="117">
        <f t="shared" si="28"/>
        <v>1</v>
      </c>
      <c r="Y48" s="72">
        <f t="shared" si="21"/>
        <v>23.297499999999999</v>
      </c>
      <c r="Z48" s="72">
        <f t="shared" si="22"/>
        <v>1.6E-2</v>
      </c>
      <c r="AA48" s="72">
        <f t="shared" si="23"/>
        <v>23.281500000000001</v>
      </c>
      <c r="AB48" s="69">
        <f>VLOOKUP(A48,Enforcements!$C$7:$J$24,8,0)</f>
        <v>33257</v>
      </c>
      <c r="AC48" s="65" t="str">
        <f>VLOOKUP(A48,Enforcements!$C$7:$E$24,3,0)</f>
        <v>GRADE CROSSING</v>
      </c>
      <c r="AD48" s="66" t="str">
        <f t="shared" si="24"/>
        <v>0136-04</v>
      </c>
      <c r="AE48" s="124" t="str">
        <f t="shared" si="25"/>
        <v>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 &amp; aws s3 cp s3://rtdc.mdm.uploadarchive/RTDC4008/2016-08-05/ "%USERPROFILE%\AppData\Local\Temp\OnboardLogs"\RTDC4008\2016-08-05 --recursive &amp; "%USERPROFILE%\Documents\GitHub\mrs-test-scripts\Headless Mode &amp; Sideloading\WalkAndUnGZ.bat" "%USERPROFILE%\AppData\Local\Temp\OnboardLogs"\RTDC4008\2016-08-05</v>
      </c>
      <c r="AF48" s="121" t="str">
        <f t="shared" si="26"/>
        <v>"C:\Program Files (x86)\AstroGrep\AstroGrep.exe" /spath="%USERPROFILE%\AppData\Local\Temp\OnboardLogs" /stypes="*4008*20160804*" /stext=" 15:.+((SYSTEM_STATE.+slice.+state.+changed )|(ment ac)|(system.+state.+changed )|(\|lc)|(penalty)|(\[timeout)|(PRM\|1\|D)|(kpr)|(kdp))" /e /r /s</v>
      </c>
      <c r="AG48" s="1" t="str">
        <f t="shared" si="29"/>
        <v>EC</v>
      </c>
      <c r="AH48" s="125" t="str">
        <f>refinertdcruntimes&amp;" --tripid "&amp;A48&amp;" --locoid "&amp;B48&amp;" --swversion "&amp;C48&amp;" --startMP "&amp;D48&amp;" --initTime "&amp;TEXT(E48,"yyyy-mm-ddTHH:MM:SS")&amp;" --startdatetime "&amp;TEXT(F48,"yyyy-mm-ddTHH:MM:SS")&amp;" --delay "&amp;G48&amp;" --endMP "&amp;H48&amp;" --enddatetime "&amp;TEXT(I48,"yyyy-mm-ddTHH:MM:SS")&amp;" --enforcementcount "&amp;J48&amp;" &gt;&gt; "&amp;TEXT(Variables!$A$2,"yyyy-mm-dd")&amp;"-refined-runtimes.txt"</f>
        <v>"%USERPROFILE%\Documents\GitHub\eaglep3\Utilities\RefineRTDCRunTimes.py" --tripid 136-04 --locoid 4008 --swversion DE.1.0.7.0 --startMP 204:232975 --initTime 2016-08-04T08:46:23 --startdatetime 2016-08-04T08:47:42 --delay 1 --endMP 204:160 --enddatetime 2016-08-04T09:39:15 --enforcementcount 1 &gt;&gt; 2016-08-04-refined-runtimes.txt</v>
      </c>
    </row>
    <row r="49" spans="1:34" s="1" customFormat="1" x14ac:dyDescent="0.25">
      <c r="A49" s="42" t="s">
        <v>538</v>
      </c>
      <c r="B49" s="7">
        <v>4025</v>
      </c>
      <c r="C49" s="25" t="s">
        <v>163</v>
      </c>
      <c r="D49" s="25" t="s">
        <v>116</v>
      </c>
      <c r="E49" s="16">
        <v>42586.340844907405</v>
      </c>
      <c r="F49" s="16">
        <v>42586.342199074075</v>
      </c>
      <c r="G49" s="7">
        <v>1</v>
      </c>
      <c r="H49" s="16" t="s">
        <v>158</v>
      </c>
      <c r="I49" s="16">
        <v>42586.368854166663</v>
      </c>
      <c r="J49" s="7">
        <v>0</v>
      </c>
      <c r="K49" s="114" t="str">
        <f t="shared" si="15"/>
        <v>4025/4026</v>
      </c>
      <c r="L49" s="25" t="str">
        <f>VLOOKUP(A49,'Trips&amp;Operators'!$C$1:$E$10000,3,FALSE)</f>
        <v>SANTIZO</v>
      </c>
      <c r="M49" s="6">
        <f t="shared" si="16"/>
        <v>2.6655092588043772E-2</v>
      </c>
      <c r="N49" s="7">
        <f t="shared" si="2"/>
        <v>38.383333326783031</v>
      </c>
      <c r="O49" s="7"/>
      <c r="P49" s="7"/>
      <c r="Q49" s="26"/>
      <c r="R49" s="26"/>
      <c r="S49" s="38">
        <f t="shared" si="17"/>
        <v>1</v>
      </c>
      <c r="T49" s="55" t="str">
        <f t="shared" si="18"/>
        <v>NorthBound</v>
      </c>
      <c r="U49" s="77">
        <f>IF(AG49="EC",COUNTIFS(Variables!$M$2:$M$19,IF(T49="NorthBound","&gt;=","&lt;=")&amp;Y49,Variables!$M$2:$M$19,IF(T49="NorthBound","&lt;=","&gt;=")&amp;Z49),COUNTIFS(Variables!$P$2:$P$19,IF(T49="NorthBound","&gt;=","&lt;=")&amp;Y49,Variables!$P$2:$P$19,IF(T49="NorthBound","&lt;=","&gt;=")&amp;Z49))</f>
        <v>12</v>
      </c>
      <c r="V49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07:10:49-0600',mode:absolute,to:'2016-08-04 09:51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49" s="57" t="str">
        <f t="shared" si="20"/>
        <v>N</v>
      </c>
      <c r="X49" s="117">
        <f t="shared" si="28"/>
        <v>1</v>
      </c>
      <c r="Y49" s="72">
        <f t="shared" si="21"/>
        <v>4.58E-2</v>
      </c>
      <c r="Z49" s="72">
        <f t="shared" si="22"/>
        <v>23.330200000000001</v>
      </c>
      <c r="AA49" s="72">
        <f t="shared" si="23"/>
        <v>23.284400000000002</v>
      </c>
      <c r="AB49" s="69" t="e">
        <f>VLOOKUP(A49,Enforcements!$C$7:$J$24,8,0)</f>
        <v>#N/A</v>
      </c>
      <c r="AC49" s="65" t="e">
        <f>VLOOKUP(A49,Enforcements!$C$7:$E$24,3,0)</f>
        <v>#N/A</v>
      </c>
      <c r="AD49" s="66" t="str">
        <f t="shared" si="24"/>
        <v>0137-04</v>
      </c>
      <c r="AE49" s="124" t="str">
        <f t="shared" si="25"/>
        <v>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 &amp; aws s3 cp s3://rtdc.mdm.uploadarchive/RTDC4025/2016-08-05/ "%USERPROFILE%\AppData\Local\Temp\OnboardLogs"\RTDC4025\2016-08-05 --recursive &amp; "%USERPROFILE%\Documents\GitHub\mrs-test-scripts\Headless Mode &amp; Sideloading\WalkAndUnGZ.bat" "%USERPROFILE%\AppData\Local\Temp\OnboardLogs"\RTDC4025\2016-08-05</v>
      </c>
      <c r="AF49" s="121" t="str">
        <f t="shared" si="26"/>
        <v>"C:\Program Files (x86)\AstroGrep\AstroGrep.exe" /spath="%USERPROFILE%\AppData\Local\Temp\OnboardLogs" /stypes="*4025*20160804*" /stext=" 14:.+((SYSTEM_STATE.+slice.+state.+changed )|(ment ac)|(system.+state.+changed )|(\|lc)|(penalty)|(\[timeout)|(PRM\|1\|D)|(kpr)|(kdp))" /e /r /s</v>
      </c>
      <c r="AG49" s="1" t="str">
        <f t="shared" si="29"/>
        <v>EC</v>
      </c>
      <c r="AH49" s="125" t="str">
        <f>refinertdcruntimes&amp;" --tripid "&amp;A49&amp;" --locoid "&amp;B49&amp;" --swversion "&amp;C49&amp;" --startMP "&amp;D49&amp;" --initTime "&amp;TEXT(E49,"yyyy-mm-ddTHH:MM:SS")&amp;" --startdatetime "&amp;TEXT(F49,"yyyy-mm-ddTHH:MM:SS")&amp;" --delay "&amp;G49&amp;" --endMP "&amp;H49&amp;" --enddatetime "&amp;TEXT(I49,"yyyy-mm-ddTHH:MM:SS")&amp;" --enforcementcount "&amp;J49&amp;" &gt;&gt; "&amp;TEXT(Variables!$A$2,"yyyy-mm-dd")&amp;"-refined-runtimes.txt"</f>
        <v>"%USERPROFILE%\Documents\GitHub\eaglep3\Utilities\RefineRTDCRunTimes.py" --tripid 137-04 --locoid 4025 --swversion DE.1.0.7.0 --startMP 204:458 --initTime 2016-08-04T08:10:49 --startdatetime 2016-08-04T08:12:46 --delay 1 --endMP 204:233302 --enddatetime 2016-08-04T08:51:09 --enforcementcount 0 &gt;&gt; 2016-08-04-refined-runtimes.txt</v>
      </c>
    </row>
    <row r="50" spans="1:34" s="1" customFormat="1" x14ac:dyDescent="0.25">
      <c r="A50" s="42" t="s">
        <v>539</v>
      </c>
      <c r="B50" s="7">
        <v>4026</v>
      </c>
      <c r="C50" s="25" t="s">
        <v>163</v>
      </c>
      <c r="D50" s="25" t="s">
        <v>325</v>
      </c>
      <c r="E50" s="16">
        <v>42586.370451388888</v>
      </c>
      <c r="F50" s="16">
        <v>42586.371215277781</v>
      </c>
      <c r="G50" s="7">
        <v>1</v>
      </c>
      <c r="H50" s="16" t="s">
        <v>58</v>
      </c>
      <c r="I50" s="16">
        <v>42586.408900462964</v>
      </c>
      <c r="J50" s="7">
        <v>0</v>
      </c>
      <c r="K50" s="114" t="str">
        <f t="shared" si="15"/>
        <v>4025/4026</v>
      </c>
      <c r="L50" s="25" t="str">
        <f>VLOOKUP(A50,'Trips&amp;Operators'!$C$1:$E$10000,3,FALSE)</f>
        <v>SANTIZO</v>
      </c>
      <c r="M50" s="6">
        <f t="shared" si="16"/>
        <v>3.7685185183363501E-2</v>
      </c>
      <c r="N50" s="7">
        <f t="shared" si="2"/>
        <v>54.266666664043441</v>
      </c>
      <c r="O50" s="7"/>
      <c r="P50" s="7"/>
      <c r="Q50" s="26"/>
      <c r="R50" s="26"/>
      <c r="S50" s="38">
        <f t="shared" si="17"/>
        <v>1</v>
      </c>
      <c r="T50" s="55" t="str">
        <f t="shared" si="18"/>
        <v>Southbound</v>
      </c>
      <c r="U50" s="77">
        <f>IF(AG50="EC",COUNTIFS(Variables!$M$2:$M$19,IF(T50="NorthBound","&gt;=","&lt;=")&amp;Y50,Variables!$M$2:$M$19,IF(T50="NorthBound","&lt;=","&gt;=")&amp;Z50),COUNTIFS(Variables!$P$2:$P$19,IF(T50="NorthBound","&gt;=","&lt;=")&amp;Y50,Variables!$P$2:$P$19,IF(T50="NorthBound","&lt;=","&gt;=")&amp;Z50))</f>
        <v>12</v>
      </c>
      <c r="V50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07:53:27-0600',mode:absolute,to:'2016-08-04 10:48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50" s="57" t="str">
        <f t="shared" si="20"/>
        <v>N</v>
      </c>
      <c r="X50" s="117">
        <f t="shared" si="28"/>
        <v>1</v>
      </c>
      <c r="Y50" s="72">
        <f t="shared" si="21"/>
        <v>23.299399999999999</v>
      </c>
      <c r="Z50" s="72">
        <f t="shared" si="22"/>
        <v>1.4500000000000001E-2</v>
      </c>
      <c r="AA50" s="72">
        <f t="shared" si="23"/>
        <v>23.284899999999997</v>
      </c>
      <c r="AB50" s="69" t="e">
        <f>VLOOKUP(A50,Enforcements!$C$7:$J$24,8,0)</f>
        <v>#N/A</v>
      </c>
      <c r="AC50" s="65" t="e">
        <f>VLOOKUP(A50,Enforcements!$C$7:$E$24,3,0)</f>
        <v>#N/A</v>
      </c>
      <c r="AD50" s="66" t="str">
        <f t="shared" si="24"/>
        <v>0138-04</v>
      </c>
      <c r="AE50" s="124" t="str">
        <f t="shared" si="25"/>
        <v>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 &amp; aws s3 cp s3://rtdc.mdm.uploadarchive/RTDC4026/2016-08-05/ "%USERPROFILE%\AppData\Local\Temp\OnboardLogs"\RTDC4026\2016-08-05 --recursive &amp; "%USERPROFILE%\Documents\GitHub\mrs-test-scripts\Headless Mode &amp; Sideloading\WalkAndUnGZ.bat" "%USERPROFILE%\AppData\Local\Temp\OnboardLogs"\RTDC4026\2016-08-05</v>
      </c>
      <c r="AF50" s="121" t="str">
        <f t="shared" si="26"/>
        <v>"C:\Program Files (x86)\AstroGrep\AstroGrep.exe" /spath="%USERPROFILE%\AppData\Local\Temp\OnboardLogs" /stypes="*4026*20160804*" /stext=" 15:.+((SYSTEM_STATE.+slice.+state.+changed )|(ment ac)|(system.+state.+changed )|(\|lc)|(penalty)|(\[timeout)|(PRM\|1\|D)|(kpr)|(kdp))" /e /r /s</v>
      </c>
      <c r="AG50" s="1" t="str">
        <f t="shared" si="29"/>
        <v>EC</v>
      </c>
      <c r="AH50" s="125" t="str">
        <f>refinertdcruntimes&amp;" --tripid "&amp;A50&amp;" --locoid "&amp;B50&amp;" --swversion "&amp;C50&amp;" --startMP "&amp;D50&amp;" --initTime "&amp;TEXT(E50,"yyyy-mm-ddTHH:MM:SS")&amp;" --startdatetime "&amp;TEXT(F50,"yyyy-mm-ddTHH:MM:SS")&amp;" --delay "&amp;G50&amp;" --endMP "&amp;H50&amp;" --enddatetime "&amp;TEXT(I50,"yyyy-mm-ddTHH:MM:SS")&amp;" --enforcementcount "&amp;J50&amp;" &gt;&gt; "&amp;TEXT(Variables!$A$2,"yyyy-mm-dd")&amp;"-refined-runtimes.txt"</f>
        <v>"%USERPROFILE%\Documents\GitHub\eaglep3\Utilities\RefineRTDCRunTimes.py" --tripid 138-04 --locoid 4026 --swversion DE.1.0.7.0 --startMP 204:232994 --initTime 2016-08-04T08:53:27 --startdatetime 2016-08-04T08:54:33 --delay 1 --endMP 204:145 --enddatetime 2016-08-04T09:48:49 --enforcementcount 0 &gt;&gt; 2016-08-04-refined-runtimes.txt</v>
      </c>
    </row>
    <row r="51" spans="1:34" s="1" customFormat="1" x14ac:dyDescent="0.25">
      <c r="A51" s="42" t="s">
        <v>478</v>
      </c>
      <c r="B51" s="7">
        <v>4038</v>
      </c>
      <c r="C51" s="25" t="s">
        <v>163</v>
      </c>
      <c r="D51" s="25" t="s">
        <v>302</v>
      </c>
      <c r="E51" s="16">
        <v>42586.354097222225</v>
      </c>
      <c r="F51" s="16">
        <v>42586.355416666665</v>
      </c>
      <c r="G51" s="7">
        <v>1</v>
      </c>
      <c r="H51" s="16" t="s">
        <v>329</v>
      </c>
      <c r="I51" s="16">
        <v>42586.38208333333</v>
      </c>
      <c r="J51" s="7">
        <v>1</v>
      </c>
      <c r="K51" s="114" t="str">
        <f t="shared" si="15"/>
        <v>4037/4038</v>
      </c>
      <c r="L51" s="25" t="str">
        <f>VLOOKUP(A51,'Trips&amp;Operators'!$C$1:$E$10000,3,FALSE)</f>
        <v>STARKS</v>
      </c>
      <c r="M51" s="6">
        <f t="shared" si="16"/>
        <v>2.6666666664823424E-2</v>
      </c>
      <c r="N51" s="7">
        <f t="shared" si="2"/>
        <v>38.399999997345731</v>
      </c>
      <c r="O51" s="7"/>
      <c r="P51" s="7"/>
      <c r="Q51" s="26"/>
      <c r="R51" s="26"/>
      <c r="S51" s="38">
        <f t="shared" si="17"/>
        <v>1</v>
      </c>
      <c r="T51" s="55" t="str">
        <f t="shared" si="18"/>
        <v>NorthBound</v>
      </c>
      <c r="U51" s="77">
        <f>IF(AG51="EC",COUNTIFS(Variables!$M$2:$M$19,IF(T51="NorthBound","&gt;=","&lt;=")&amp;Y51,Variables!$M$2:$M$19,IF(T51="NorthBound","&lt;=","&gt;=")&amp;Z51),COUNTIFS(Variables!$P$2:$P$19,IF(T51="NorthBound","&gt;=","&lt;=")&amp;Y51,Variables!$P$2:$P$19,IF(T51="NorthBound","&lt;=","&gt;=")&amp;Z51))</f>
        <v>12</v>
      </c>
      <c r="V51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07:29:54-0600',mode:absolute,to:'2016-08-04 10:10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51" s="57" t="str">
        <f t="shared" si="20"/>
        <v>N</v>
      </c>
      <c r="X51" s="117">
        <f t="shared" si="28"/>
        <v>1</v>
      </c>
      <c r="Y51" s="72">
        <f t="shared" si="21"/>
        <v>4.5100000000000001E-2</v>
      </c>
      <c r="Z51" s="72">
        <f t="shared" si="22"/>
        <v>23.329699999999999</v>
      </c>
      <c r="AA51" s="72">
        <f t="shared" si="23"/>
        <v>23.284599999999998</v>
      </c>
      <c r="AB51" s="69">
        <f>VLOOKUP(A51,Enforcements!$C$7:$J$24,8,0)</f>
        <v>224231</v>
      </c>
      <c r="AC51" s="65" t="str">
        <f>VLOOKUP(A51,Enforcements!$C$7:$E$24,3,0)</f>
        <v>SIGNAL</v>
      </c>
      <c r="AD51" s="66" t="str">
        <f t="shared" si="24"/>
        <v>0139-04</v>
      </c>
      <c r="AE51" s="124" t="str">
        <f t="shared" si="25"/>
        <v>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 &amp; aws s3 cp s3://rtdc.mdm.uploadarchive/RTDC4038/2016-08-05/ "%USERPROFILE%\AppData\Local\Temp\OnboardLogs"\RTDC4038\2016-08-05 --recursive &amp; "%USERPROFILE%\Documents\GitHub\mrs-test-scripts\Headless Mode &amp; Sideloading\WalkAndUnGZ.bat" "%USERPROFILE%\AppData\Local\Temp\OnboardLogs"\RTDC4038\2016-08-05</v>
      </c>
      <c r="AF51" s="121" t="str">
        <f t="shared" si="26"/>
        <v>"C:\Program Files (x86)\AstroGrep\AstroGrep.exe" /spath="%USERPROFILE%\AppData\Local\Temp\OnboardLogs" /stypes="*4038*20160804*" /stext=" 15:.+((SYSTEM_STATE.+slice.+state.+changed )|(ment ac)|(system.+state.+changed )|(\|lc)|(penalty)|(\[timeout)|(PRM\|1\|D)|(kpr)|(kdp))" /e /r /s</v>
      </c>
      <c r="AG51" s="1" t="str">
        <f t="shared" si="29"/>
        <v>EC</v>
      </c>
      <c r="AH51" s="125" t="str">
        <f>refinertdcruntimes&amp;" --tripid "&amp;A51&amp;" --locoid "&amp;B51&amp;" --swversion "&amp;C51&amp;" --startMP "&amp;D51&amp;" --initTime "&amp;TEXT(E51,"yyyy-mm-ddTHH:MM:SS")&amp;" --startdatetime "&amp;TEXT(F51,"yyyy-mm-ddTHH:MM:SS")&amp;" --delay "&amp;G51&amp;" --endMP "&amp;H51&amp;" --enddatetime "&amp;TEXT(I51,"yyyy-mm-ddTHH:MM:SS")&amp;" --enforcementcount "&amp;J51&amp;" &gt;&gt; "&amp;TEXT(Variables!$A$2,"yyyy-mm-dd")&amp;"-refined-runtimes.txt"</f>
        <v>"%USERPROFILE%\Documents\GitHub\eaglep3\Utilities\RefineRTDCRunTimes.py" --tripid 139-04 --locoid 4038 --swversion DE.1.0.7.0 --startMP 204:451 --initTime 2016-08-04T08:29:54 --startdatetime 2016-08-04T08:31:48 --delay 1 --endMP 204:233297 --enddatetime 2016-08-04T09:10:12 --enforcementcount 1 &gt;&gt; 2016-08-04-refined-runtimes.txt</v>
      </c>
    </row>
    <row r="52" spans="1:34" s="1" customFormat="1" x14ac:dyDescent="0.25">
      <c r="A52" s="42" t="s">
        <v>483</v>
      </c>
      <c r="B52" s="7">
        <v>4037</v>
      </c>
      <c r="C52" s="25" t="s">
        <v>163</v>
      </c>
      <c r="D52" s="25" t="s">
        <v>343</v>
      </c>
      <c r="E52" s="16">
        <v>42586.39162037037</v>
      </c>
      <c r="F52" s="16">
        <v>42586.392824074072</v>
      </c>
      <c r="G52" s="7">
        <v>1</v>
      </c>
      <c r="H52" s="16" t="s">
        <v>160</v>
      </c>
      <c r="I52" s="16">
        <v>42586.421226851853</v>
      </c>
      <c r="J52" s="7">
        <v>1</v>
      </c>
      <c r="K52" s="114" t="str">
        <f t="shared" si="15"/>
        <v>4037/4038</v>
      </c>
      <c r="L52" s="25" t="str">
        <f>VLOOKUP(A52,'Trips&amp;Operators'!$C$1:$E$10000,3,FALSE)</f>
        <v>STARKS</v>
      </c>
      <c r="M52" s="6">
        <f t="shared" si="16"/>
        <v>2.8402777781593613E-2</v>
      </c>
      <c r="N52" s="7">
        <f t="shared" si="2"/>
        <v>40.900000005494803</v>
      </c>
      <c r="O52" s="7"/>
      <c r="P52" s="7"/>
      <c r="Q52" s="26"/>
      <c r="R52" s="26"/>
      <c r="S52" s="38">
        <f t="shared" si="17"/>
        <v>1</v>
      </c>
      <c r="T52" s="55" t="str">
        <f t="shared" si="18"/>
        <v>Southbound</v>
      </c>
      <c r="U52" s="77">
        <f>IF(AG52="EC",COUNTIFS(Variables!$M$2:$M$19,IF(T52="NorthBound","&gt;=","&lt;=")&amp;Y52,Variables!$M$2:$M$19,IF(T52="NorthBound","&lt;=","&gt;=")&amp;Z52),COUNTIFS(Variables!$P$2:$P$19,IF(T52="NorthBound","&gt;=","&lt;=")&amp;Y52,Variables!$P$2:$P$19,IF(T52="NorthBound","&lt;=","&gt;=")&amp;Z52))</f>
        <v>12</v>
      </c>
      <c r="V52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08:23:56-0600',mode:absolute,to:'2016-08-04 11:06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52" s="57" t="str">
        <f t="shared" si="20"/>
        <v>N</v>
      </c>
      <c r="X52" s="117">
        <f t="shared" si="28"/>
        <v>1</v>
      </c>
      <c r="Y52" s="72">
        <f t="shared" si="21"/>
        <v>23.297999999999998</v>
      </c>
      <c r="Z52" s="72">
        <f t="shared" si="22"/>
        <v>1.49E-2</v>
      </c>
      <c r="AA52" s="72">
        <f t="shared" si="23"/>
        <v>23.283099999999997</v>
      </c>
      <c r="AB52" s="69">
        <f>VLOOKUP(A52,Enforcements!$C$7:$J$24,8,0)</f>
        <v>30562</v>
      </c>
      <c r="AC52" s="65" t="str">
        <f>VLOOKUP(A52,Enforcements!$C$7:$E$24,3,0)</f>
        <v>PERMANENT SPEED RESTRICTION</v>
      </c>
      <c r="AD52" s="66" t="str">
        <f t="shared" si="24"/>
        <v>0140-04</v>
      </c>
      <c r="AE52" s="124" t="str">
        <f t="shared" si="25"/>
        <v>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 &amp; aws s3 cp s3://rtdc.mdm.uploadarchive/RTDC4037/2016-08-05/ "%USERPROFILE%\AppData\Local\Temp\OnboardLogs"\RTDC4037\2016-08-05 --recursive &amp; "%USERPROFILE%\Documents\GitHub\mrs-test-scripts\Headless Mode &amp; Sideloading\WalkAndUnGZ.bat" "%USERPROFILE%\AppData\Local\Temp\OnboardLogs"\RTDC4037\2016-08-05</v>
      </c>
      <c r="AF52" s="121" t="str">
        <f t="shared" si="26"/>
        <v>"C:\Program Files (x86)\AstroGrep\AstroGrep.exe" /spath="%USERPROFILE%\AppData\Local\Temp\OnboardLogs" /stypes="*4037*20160804*" /stext=" 16:.+((SYSTEM_STATE.+slice.+state.+changed )|(ment ac)|(system.+state.+changed )|(\|lc)|(penalty)|(\[timeout)|(PRM\|1\|D)|(kpr)|(kdp))" /e /r /s</v>
      </c>
      <c r="AG52" s="1" t="str">
        <f t="shared" si="29"/>
        <v>EC</v>
      </c>
      <c r="AH52" s="125" t="str">
        <f>refinertdcruntimes&amp;" --tripid "&amp;A52&amp;" --locoid "&amp;B52&amp;" --swversion "&amp;C52&amp;" --startMP "&amp;D52&amp;" --initTime "&amp;TEXT(E52,"yyyy-mm-ddTHH:MM:SS")&amp;" --startdatetime "&amp;TEXT(F52,"yyyy-mm-ddTHH:MM:SS")&amp;" --delay "&amp;G52&amp;" --endMP "&amp;H52&amp;" --enddatetime "&amp;TEXT(I52,"yyyy-mm-ddTHH:MM:SS")&amp;" --enforcementcount "&amp;J52&amp;" &gt;&gt; "&amp;TEXT(Variables!$A$2,"yyyy-mm-dd")&amp;"-refined-runtimes.txt"</f>
        <v>"%USERPROFILE%\Documents\GitHub\eaglep3\Utilities\RefineRTDCRunTimes.py" --tripid 140-04 --locoid 4037 --swversion DE.1.0.7.0 --startMP 204:232980 --initTime 2016-08-04T09:23:56 --startdatetime 2016-08-04T09:25:40 --delay 1 --endMP 204:149 --enddatetime 2016-08-04T10:06:34 --enforcementcount 1 &gt;&gt; 2016-08-04-refined-runtimes.txt</v>
      </c>
    </row>
    <row r="53" spans="1:34" x14ac:dyDescent="0.25">
      <c r="A53" s="42" t="s">
        <v>480</v>
      </c>
      <c r="B53" s="7">
        <v>4031</v>
      </c>
      <c r="C53" s="25" t="s">
        <v>163</v>
      </c>
      <c r="D53" s="25" t="s">
        <v>332</v>
      </c>
      <c r="E53" s="16">
        <v>42586.363530092596</v>
      </c>
      <c r="F53" s="16">
        <v>42586.364479166667</v>
      </c>
      <c r="G53" s="7">
        <v>1</v>
      </c>
      <c r="H53" s="16" t="s">
        <v>540</v>
      </c>
      <c r="I53" s="16">
        <v>42586.388425925928</v>
      </c>
      <c r="J53" s="7">
        <v>1</v>
      </c>
      <c r="K53" s="114" t="str">
        <f t="shared" si="15"/>
        <v>4031/4032</v>
      </c>
      <c r="L53" s="25" t="str">
        <f>VLOOKUP(A53,'Trips&amp;Operators'!$C$1:$E$10000,3,FALSE)</f>
        <v>MAELZER</v>
      </c>
      <c r="M53" s="6">
        <f t="shared" si="16"/>
        <v>2.3946759261889383E-2</v>
      </c>
      <c r="N53" s="7"/>
      <c r="O53" s="7"/>
      <c r="P53" s="7">
        <f t="shared" si="2"/>
        <v>34.483333337120712</v>
      </c>
      <c r="Q53" s="26"/>
      <c r="R53" s="26" t="s">
        <v>374</v>
      </c>
      <c r="S53" s="38">
        <f t="shared" si="17"/>
        <v>1</v>
      </c>
      <c r="T53" s="55" t="str">
        <f t="shared" si="18"/>
        <v>NorthBound</v>
      </c>
      <c r="U53" s="77">
        <f>IF(AG53="EC",COUNTIFS(Variables!$M$2:$M$19,IF(T53="NorthBound","&gt;=","&lt;=")&amp;Y53,Variables!$M$2:$M$19,IF(T53="NorthBound","&lt;=","&gt;=")&amp;Z53),COUNTIFS(Variables!$P$2:$P$19,IF(T53="NorthBound","&gt;=","&lt;=")&amp;Y53,Variables!$P$2:$P$19,IF(T53="NorthBound","&lt;=","&gt;=")&amp;Z53))</f>
        <v>12</v>
      </c>
      <c r="V53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07:43:29-0600',mode:absolute,to:'2016-08-04 10:19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53" s="57" t="str">
        <f t="shared" si="20"/>
        <v>Y</v>
      </c>
      <c r="X53" s="117">
        <f t="shared" si="28"/>
        <v>1</v>
      </c>
      <c r="Y53" s="72">
        <f t="shared" si="21"/>
        <v>4.5499999999999999E-2</v>
      </c>
      <c r="Z53" s="72">
        <f t="shared" si="22"/>
        <v>22.398499999999999</v>
      </c>
      <c r="AA53" s="72">
        <f t="shared" si="23"/>
        <v>22.352999999999998</v>
      </c>
      <c r="AB53" s="69">
        <f>VLOOKUP(A53,Enforcements!$C$7:$J$24,8,0)</f>
        <v>224231</v>
      </c>
      <c r="AC53" s="65" t="str">
        <f>VLOOKUP(A53,Enforcements!$C$7:$E$24,3,0)</f>
        <v>SIGNAL</v>
      </c>
      <c r="AD53" s="66" t="str">
        <f t="shared" si="24"/>
        <v>0141-04</v>
      </c>
      <c r="AE53" s="124" t="str">
        <f t="shared" si="25"/>
        <v>aws s3 cp s3://rtdc.mdm.uploadarchive/RTDC4031/2016-08-04/ "%USERPROFILE%\AppData\Local\Temp\OnboardLogs"\RTDC4031\2016-08-04 --recursive &amp; "%USERPROFILE%\Documents\GitHub\mrs-test-scripts\Headless Mode &amp; Sideloading\WalkAndUnGZ.bat" "%USERPROFILE%\AppData\Local\Temp\OnboardLogs"\RTDC4031\2016-08-04 &amp; aws s3 cp s3://rtdc.mdm.uploadarchive/RTDC4031/2016-08-05/ "%USERPROFILE%\AppData\Local\Temp\OnboardLogs"\RTDC4031\2016-08-05 --recursive &amp; "%USERPROFILE%\Documents\GitHub\mrs-test-scripts\Headless Mode &amp; Sideloading\WalkAndUnGZ.bat" "%USERPROFILE%\AppData\Local\Temp\OnboardLogs"\RTDC4031\2016-08-05</v>
      </c>
      <c r="AF53" s="121" t="str">
        <f t="shared" si="26"/>
        <v>"C:\Program Files (x86)\AstroGrep\AstroGrep.exe" /spath="%USERPROFILE%\AppData\Local\Temp\OnboardLogs" /stypes="*4031*20160804*" /stext=" 15:.+((SYSTEM_STATE.+slice.+state.+changed )|(ment ac)|(system.+state.+changed )|(\|lc)|(penalty)|(\[timeout)|(PRM\|1\|D)|(kpr)|(kdp))" /e /r /s</v>
      </c>
      <c r="AG53" s="1" t="str">
        <f t="shared" si="29"/>
        <v>EC</v>
      </c>
      <c r="AH53" s="125" t="str">
        <f>refinertdcruntimes&amp;" --tripid "&amp;A53&amp;" --locoid "&amp;B53&amp;" --swversion "&amp;C53&amp;" --startMP "&amp;D53&amp;" --initTime "&amp;TEXT(E53,"yyyy-mm-ddTHH:MM:SS")&amp;" --startdatetime "&amp;TEXT(F53,"yyyy-mm-ddTHH:MM:SS")&amp;" --delay "&amp;G53&amp;" --endMP "&amp;H53&amp;" --enddatetime "&amp;TEXT(I53,"yyyy-mm-ddTHH:MM:SS")&amp;" --enforcementcount "&amp;J53&amp;" &gt;&gt; "&amp;TEXT(Variables!$A$2,"yyyy-mm-dd")&amp;"-refined-runtimes.txt"</f>
        <v>"%USERPROFILE%\Documents\GitHub\eaglep3\Utilities\RefineRTDCRunTimes.py" --tripid 141-04 --locoid 4031 --swversion DE.1.0.7.0 --startMP 204:455 --initTime 2016-08-04T08:43:29 --startdatetime 2016-08-04T08:44:51 --delay 1 --endMP 204:223985 --enddatetime 2016-08-04T09:19:20 --enforcementcount 1 &gt;&gt; 2016-08-04-refined-runtimes.txt</v>
      </c>
    </row>
    <row r="54" spans="1:34" x14ac:dyDescent="0.25">
      <c r="A54" s="42" t="s">
        <v>541</v>
      </c>
      <c r="B54" s="7">
        <v>4032</v>
      </c>
      <c r="C54" s="25" t="s">
        <v>163</v>
      </c>
      <c r="D54" s="25" t="s">
        <v>542</v>
      </c>
      <c r="E54" s="16">
        <v>42586.399606481478</v>
      </c>
      <c r="F54" s="16">
        <v>42586.400312500002</v>
      </c>
      <c r="G54" s="7">
        <v>1</v>
      </c>
      <c r="H54" s="16" t="s">
        <v>361</v>
      </c>
      <c r="I54" s="16">
        <v>42586.429837962962</v>
      </c>
      <c r="J54" s="7">
        <v>0</v>
      </c>
      <c r="K54" s="114" t="str">
        <f t="shared" si="15"/>
        <v>4031/4032</v>
      </c>
      <c r="L54" s="25" t="str">
        <f>VLOOKUP(A54,'Trips&amp;Operators'!$C$1:$E$10000,3,FALSE)</f>
        <v>MAELZER</v>
      </c>
      <c r="M54" s="6">
        <f t="shared" si="16"/>
        <v>2.9525462960009463E-2</v>
      </c>
      <c r="N54" s="7">
        <f t="shared" si="2"/>
        <v>42.516666662413627</v>
      </c>
      <c r="O54" s="7"/>
      <c r="P54" s="7"/>
      <c r="Q54" s="26"/>
      <c r="R54" s="26"/>
      <c r="S54" s="38">
        <f t="shared" si="17"/>
        <v>1</v>
      </c>
      <c r="T54" s="55" t="str">
        <f t="shared" si="18"/>
        <v>Southbound</v>
      </c>
      <c r="U54" s="77">
        <f>IF(AG54="EC",COUNTIFS(Variables!$M$2:$M$19,IF(T54="NorthBound","&gt;=","&lt;=")&amp;Y54,Variables!$M$2:$M$19,IF(T54="NorthBound","&lt;=","&gt;=")&amp;Z54),COUNTIFS(Variables!$P$2:$P$19,IF(T54="NorthBound","&gt;=","&lt;=")&amp;Y54,Variables!$P$2:$P$19,IF(T54="NorthBound","&lt;=","&gt;=")&amp;Z54))</f>
        <v>12</v>
      </c>
      <c r="V54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08:35:26-0600',mode:absolute,to:'2016-08-04 11:18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54" s="57" t="str">
        <f t="shared" si="20"/>
        <v>N</v>
      </c>
      <c r="X54" s="117">
        <f t="shared" si="28"/>
        <v>1</v>
      </c>
      <c r="Y54" s="72">
        <f t="shared" si="21"/>
        <v>23.298100000000002</v>
      </c>
      <c r="Z54" s="72">
        <f t="shared" si="22"/>
        <v>1.38E-2</v>
      </c>
      <c r="AA54" s="72">
        <f t="shared" si="23"/>
        <v>23.284300000000002</v>
      </c>
      <c r="AB54" s="69" t="e">
        <f>VLOOKUP(A54,Enforcements!$C$7:$J$24,8,0)</f>
        <v>#N/A</v>
      </c>
      <c r="AC54" s="65" t="e">
        <f>VLOOKUP(A54,Enforcements!$C$7:$E$24,3,0)</f>
        <v>#N/A</v>
      </c>
      <c r="AD54" s="66" t="str">
        <f t="shared" si="24"/>
        <v>0142-04</v>
      </c>
      <c r="AE54" s="124" t="str">
        <f t="shared" si="25"/>
        <v>aws s3 cp s3://rtdc.mdm.uploadarchive/RTDC4032/2016-08-04/ "%USERPROFILE%\AppData\Local\Temp\OnboardLogs"\RTDC4032\2016-08-04 --recursive &amp; "%USERPROFILE%\Documents\GitHub\mrs-test-scripts\Headless Mode &amp; Sideloading\WalkAndUnGZ.bat" "%USERPROFILE%\AppData\Local\Temp\OnboardLogs"\RTDC4032\2016-08-04 &amp; aws s3 cp s3://rtdc.mdm.uploadarchive/RTDC4032/2016-08-05/ "%USERPROFILE%\AppData\Local\Temp\OnboardLogs"\RTDC4032\2016-08-05 --recursive &amp; "%USERPROFILE%\Documents\GitHub\mrs-test-scripts\Headless Mode &amp; Sideloading\WalkAndUnGZ.bat" "%USERPROFILE%\AppData\Local\Temp\OnboardLogs"\RTDC4032\2016-08-05</v>
      </c>
      <c r="AF54" s="121" t="str">
        <f t="shared" si="26"/>
        <v>"C:\Program Files (x86)\AstroGrep\AstroGrep.exe" /spath="%USERPROFILE%\AppData\Local\Temp\OnboardLogs" /stypes="*4032*20160804*" /stext=" 16:.+((SYSTEM_STATE.+slice.+state.+changed )|(ment ac)|(system.+state.+changed )|(\|lc)|(penalty)|(\[timeout)|(PRM\|1\|D)|(kpr)|(kdp))" /e /r /s</v>
      </c>
      <c r="AG54" s="1" t="str">
        <f t="shared" si="29"/>
        <v>EC</v>
      </c>
      <c r="AH54" s="125" t="str">
        <f>refinertdcruntimes&amp;" --tripid "&amp;A54&amp;" --locoid "&amp;B54&amp;" --swversion "&amp;C54&amp;" --startMP "&amp;D54&amp;" --initTime "&amp;TEXT(E54,"yyyy-mm-ddTHH:MM:SS")&amp;" --startdatetime "&amp;TEXT(F54,"yyyy-mm-ddTHH:MM:SS")&amp;" --delay "&amp;G54&amp;" --endMP "&amp;H54&amp;" --enddatetime "&amp;TEXT(I54,"yyyy-mm-ddTHH:MM:SS")&amp;" --enforcementcount "&amp;J54&amp;" &gt;&gt; "&amp;TEXT(Variables!$A$2,"yyyy-mm-dd")&amp;"-refined-runtimes.txt"</f>
        <v>"%USERPROFILE%\Documents\GitHub\eaglep3\Utilities\RefineRTDCRunTimes.py" --tripid 142-04 --locoid 4032 --swversion DE.1.0.7.0 --startMP 204:232981 --initTime 2016-08-04T09:35:26 --startdatetime 2016-08-04T09:36:27 --delay 1 --endMP 204:138 --enddatetime 2016-08-04T10:18:58 --enforcementcount 0 &gt;&gt; 2016-08-04-refined-runtimes.txt</v>
      </c>
    </row>
    <row r="55" spans="1:34" s="1" customFormat="1" x14ac:dyDescent="0.25">
      <c r="A55" s="25" t="s">
        <v>543</v>
      </c>
      <c r="B55" s="87">
        <v>4027</v>
      </c>
      <c r="C55" s="88" t="s">
        <v>163</v>
      </c>
      <c r="D55" s="88" t="s">
        <v>330</v>
      </c>
      <c r="E55" s="89">
        <v>42586.370787037034</v>
      </c>
      <c r="F55" s="89">
        <v>42586.372210648151</v>
      </c>
      <c r="G55" s="87">
        <v>2</v>
      </c>
      <c r="H55" s="89" t="s">
        <v>323</v>
      </c>
      <c r="I55" s="89">
        <v>42586.400324074071</v>
      </c>
      <c r="J55" s="87">
        <v>0</v>
      </c>
      <c r="K55" s="114" t="str">
        <f t="shared" si="15"/>
        <v>4027/4028</v>
      </c>
      <c r="L55" s="25" t="str">
        <f>VLOOKUP(A55,'Trips&amp;Operators'!$C$1:$E$10000,3,FALSE)</f>
        <v>CLARK</v>
      </c>
      <c r="M55" s="6">
        <f t="shared" si="16"/>
        <v>2.8113425920309965E-2</v>
      </c>
      <c r="N55" s="7">
        <f t="shared" si="2"/>
        <v>40.483333325246349</v>
      </c>
      <c r="O55" s="7"/>
      <c r="P55" s="7"/>
      <c r="Q55" s="26"/>
      <c r="R55" s="26"/>
      <c r="S55" s="38">
        <f t="shared" si="17"/>
        <v>1</v>
      </c>
      <c r="T55" s="55" t="str">
        <f t="shared" si="18"/>
        <v>NorthBound</v>
      </c>
      <c r="U55" s="77">
        <f>IF(AG55="EC",COUNTIFS(Variables!$M$2:$M$19,IF(T55="NorthBound","&gt;=","&lt;=")&amp;Y55,Variables!$M$2:$M$19,IF(T55="NorthBound","&lt;=","&gt;=")&amp;Z55),COUNTIFS(Variables!$P$2:$P$19,IF(T55="NorthBound","&gt;=","&lt;=")&amp;Y55,Variables!$P$2:$P$19,IF(T55="NorthBound","&lt;=","&gt;=")&amp;Z55))</f>
        <v>12</v>
      </c>
      <c r="V55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07:53:56-0600',mode:absolute,to:'2016-08-04 10:36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55" s="57" t="str">
        <f t="shared" si="20"/>
        <v>N</v>
      </c>
      <c r="X55" s="117">
        <f t="shared" si="28"/>
        <v>1</v>
      </c>
      <c r="Y55" s="72">
        <f t="shared" si="21"/>
        <v>4.4900000000000002E-2</v>
      </c>
      <c r="Z55" s="72">
        <f t="shared" si="22"/>
        <v>23.330100000000002</v>
      </c>
      <c r="AA55" s="72">
        <f t="shared" si="23"/>
        <v>23.285200000000003</v>
      </c>
      <c r="AB55" s="69" t="e">
        <f>VLOOKUP(A55,Enforcements!$C$7:$J$24,8,0)</f>
        <v>#N/A</v>
      </c>
      <c r="AC55" s="65" t="e">
        <f>VLOOKUP(A55,Enforcements!$C$7:$E$24,3,0)</f>
        <v>#N/A</v>
      </c>
      <c r="AD55" s="66" t="str">
        <f t="shared" si="24"/>
        <v>0143-04</v>
      </c>
      <c r="AE55" s="124" t="str">
        <f t="shared" si="25"/>
        <v>aws s3 cp s3://rtdc.mdm.uploadarchive/RTDC4027/2016-08-04/ "%USERPROFILE%\AppData\Local\Temp\OnboardLogs"\RTDC4027\2016-08-04 --recursive &amp; "%USERPROFILE%\Documents\GitHub\mrs-test-scripts\Headless Mode &amp; Sideloading\WalkAndUnGZ.bat" "%USERPROFILE%\AppData\Local\Temp\OnboardLogs"\RTDC4027\2016-08-04 &amp; aws s3 cp s3://rtdc.mdm.uploadarchive/RTDC4027/2016-08-05/ "%USERPROFILE%\AppData\Local\Temp\OnboardLogs"\RTDC4027\2016-08-05 --recursive &amp; "%USERPROFILE%\Documents\GitHub\mrs-test-scripts\Headless Mode &amp; Sideloading\WalkAndUnGZ.bat" "%USERPROFILE%\AppData\Local\Temp\OnboardLogs"\RTDC4027\2016-08-05</v>
      </c>
      <c r="AF55" s="121" t="str">
        <f t="shared" si="26"/>
        <v>"C:\Program Files (x86)\AstroGrep\AstroGrep.exe" /spath="%USERPROFILE%\AppData\Local\Temp\OnboardLogs" /stypes="*4027*20160804*" /stext=" 15:.+((SYSTEM_STATE.+slice.+state.+changed )|(ment ac)|(system.+state.+changed )|(\|lc)|(penalty)|(\[timeout)|(PRM\|1\|D)|(kpr)|(kdp))" /e /r /s</v>
      </c>
      <c r="AG55" s="1" t="str">
        <f t="shared" si="29"/>
        <v>EC</v>
      </c>
      <c r="AH55" s="125" t="str">
        <f>refinertdcruntimes&amp;" --tripid "&amp;A55&amp;" --locoid "&amp;B55&amp;" --swversion "&amp;C55&amp;" --startMP "&amp;D55&amp;" --initTime "&amp;TEXT(E55,"yyyy-mm-ddTHH:MM:SS")&amp;" --startdatetime "&amp;TEXT(F55,"yyyy-mm-ddTHH:MM:SS")&amp;" --delay "&amp;G55&amp;" --endMP "&amp;H55&amp;" --enddatetime "&amp;TEXT(I55,"yyyy-mm-ddTHH:MM:SS")&amp;" --enforcementcount "&amp;J55&amp;" &gt;&gt; "&amp;TEXT(Variables!$A$2,"yyyy-mm-dd")&amp;"-refined-runtimes.txt"</f>
        <v>"%USERPROFILE%\Documents\GitHub\eaglep3\Utilities\RefineRTDCRunTimes.py" --tripid 143-04 --locoid 4027 --swversion DE.1.0.7.0 --startMP 204:449 --initTime 2016-08-04T08:53:56 --startdatetime 2016-08-04T08:55:59 --delay 2 --endMP 204:233301 --enddatetime 2016-08-04T09:36:28 --enforcementcount 0 &gt;&gt; 2016-08-04-refined-runtimes.txt</v>
      </c>
    </row>
    <row r="56" spans="1:34" s="1" customFormat="1" x14ac:dyDescent="0.25">
      <c r="A56" s="25" t="s">
        <v>544</v>
      </c>
      <c r="B56" s="87">
        <v>4028</v>
      </c>
      <c r="C56" s="88" t="s">
        <v>163</v>
      </c>
      <c r="D56" s="88" t="s">
        <v>325</v>
      </c>
      <c r="E56" s="89">
        <v>42586.410474537035</v>
      </c>
      <c r="F56" s="89">
        <v>42586.411574074074</v>
      </c>
      <c r="G56" s="87">
        <v>1</v>
      </c>
      <c r="H56" s="89" t="s">
        <v>58</v>
      </c>
      <c r="I56" s="89">
        <v>42586.440370370372</v>
      </c>
      <c r="J56" s="118">
        <v>0</v>
      </c>
      <c r="K56" s="114" t="str">
        <f t="shared" si="15"/>
        <v>4027/4028</v>
      </c>
      <c r="L56" s="25" t="str">
        <f>VLOOKUP(A56,'Trips&amp;Operators'!$C$1:$E$10000,3,FALSE)</f>
        <v>CLARK</v>
      </c>
      <c r="M56" s="6">
        <f t="shared" si="16"/>
        <v>2.8796296297514345E-2</v>
      </c>
      <c r="N56" s="7">
        <f t="shared" si="2"/>
        <v>41.466666668420658</v>
      </c>
      <c r="O56" s="7"/>
      <c r="P56" s="7"/>
      <c r="Q56" s="26"/>
      <c r="R56" s="26"/>
      <c r="S56" s="38">
        <f t="shared" si="17"/>
        <v>1</v>
      </c>
      <c r="T56" s="55" t="str">
        <f t="shared" si="18"/>
        <v>Southbound</v>
      </c>
      <c r="U56" s="77">
        <f>IF(AG56="EC",COUNTIFS(Variables!$M$2:$M$19,IF(T56="NorthBound","&gt;=","&lt;=")&amp;Y56,Variables!$M$2:$M$19,IF(T56="NorthBound","&lt;=","&gt;=")&amp;Z56),COUNTIFS(Variables!$P$2:$P$19,IF(T56="NorthBound","&gt;=","&lt;=")&amp;Y56,Variables!$P$2:$P$19,IF(T56="NorthBound","&lt;=","&gt;=")&amp;Z56))</f>
        <v>12</v>
      </c>
      <c r="V56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08:51:05-0600',mode:absolute,to:'2016-08-04 11:34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56" s="57" t="str">
        <f t="shared" si="20"/>
        <v>N</v>
      </c>
      <c r="X56" s="117">
        <f t="shared" si="28"/>
        <v>1</v>
      </c>
      <c r="Y56" s="72">
        <f t="shared" si="21"/>
        <v>23.299399999999999</v>
      </c>
      <c r="Z56" s="72">
        <f t="shared" si="22"/>
        <v>1.4500000000000001E-2</v>
      </c>
      <c r="AA56" s="72">
        <f t="shared" si="23"/>
        <v>23.284899999999997</v>
      </c>
      <c r="AB56" s="69" t="e">
        <f>VLOOKUP(A56,Enforcements!$C$7:$J$24,8,0)</f>
        <v>#N/A</v>
      </c>
      <c r="AC56" s="65" t="e">
        <f>VLOOKUP(A56,Enforcements!$C$7:$E$24,3,0)</f>
        <v>#N/A</v>
      </c>
      <c r="AD56" s="66" t="str">
        <f t="shared" si="24"/>
        <v>0144-04</v>
      </c>
      <c r="AE56" s="124" t="str">
        <f t="shared" si="25"/>
        <v>aws s3 cp s3://rtdc.mdm.uploadarchive/RTDC4028/2016-08-04/ "%USERPROFILE%\AppData\Local\Temp\OnboardLogs"\RTDC4028\2016-08-04 --recursive &amp; "%USERPROFILE%\Documents\GitHub\mrs-test-scripts\Headless Mode &amp; Sideloading\WalkAndUnGZ.bat" "%USERPROFILE%\AppData\Local\Temp\OnboardLogs"\RTDC4028\2016-08-04 &amp; aws s3 cp s3://rtdc.mdm.uploadarchive/RTDC4028/2016-08-05/ "%USERPROFILE%\AppData\Local\Temp\OnboardLogs"\RTDC4028\2016-08-05 --recursive &amp; "%USERPROFILE%\Documents\GitHub\mrs-test-scripts\Headless Mode &amp; Sideloading\WalkAndUnGZ.bat" "%USERPROFILE%\AppData\Local\Temp\OnboardLogs"\RTDC4028\2016-08-05</v>
      </c>
      <c r="AF56" s="121" t="str">
        <f t="shared" si="26"/>
        <v>"C:\Program Files (x86)\AstroGrep\AstroGrep.exe" /spath="%USERPROFILE%\AppData\Local\Temp\OnboardLogs" /stypes="*4028*20160804*" /stext=" 16:.+((SYSTEM_STATE.+slice.+state.+changed )|(ment ac)|(system.+state.+changed )|(\|lc)|(penalty)|(\[timeout)|(PRM\|1\|D)|(kpr)|(kdp))" /e /r /s</v>
      </c>
      <c r="AG56" s="1" t="str">
        <f t="shared" si="29"/>
        <v>EC</v>
      </c>
      <c r="AH56" s="125" t="str">
        <f>refinertdcruntimes&amp;" --tripid "&amp;A56&amp;" --locoid "&amp;B56&amp;" --swversion "&amp;C56&amp;" --startMP "&amp;D56&amp;" --initTime "&amp;TEXT(E56,"yyyy-mm-ddTHH:MM:SS")&amp;" --startdatetime "&amp;TEXT(F56,"yyyy-mm-ddTHH:MM:SS")&amp;" --delay "&amp;G56&amp;" --endMP "&amp;H56&amp;" --enddatetime "&amp;TEXT(I56,"yyyy-mm-ddTHH:MM:SS")&amp;" --enforcementcount "&amp;J56&amp;" &gt;&gt; "&amp;TEXT(Variables!$A$2,"yyyy-mm-dd")&amp;"-refined-runtimes.txt"</f>
        <v>"%USERPROFILE%\Documents\GitHub\eaglep3\Utilities\RefineRTDCRunTimes.py" --tripid 144-04 --locoid 4028 --swversion DE.1.0.7.0 --startMP 204:232994 --initTime 2016-08-04T09:51:05 --startdatetime 2016-08-04T09:52:40 --delay 1 --endMP 204:145 --enddatetime 2016-08-04T10:34:08 --enforcementcount 0 &gt;&gt; 2016-08-04-refined-runtimes.txt</v>
      </c>
    </row>
    <row r="57" spans="1:34" x14ac:dyDescent="0.25">
      <c r="A57" s="25" t="s">
        <v>545</v>
      </c>
      <c r="B57" s="87">
        <v>4029</v>
      </c>
      <c r="C57" s="88" t="s">
        <v>163</v>
      </c>
      <c r="D57" s="88" t="s">
        <v>190</v>
      </c>
      <c r="E57" s="89">
        <v>42586.381643518522</v>
      </c>
      <c r="F57" s="89">
        <v>42586.382372685184</v>
      </c>
      <c r="G57" s="87">
        <v>1</v>
      </c>
      <c r="H57" s="89" t="s">
        <v>546</v>
      </c>
      <c r="I57" s="89">
        <v>42586.411805555559</v>
      </c>
      <c r="J57" s="87">
        <v>0</v>
      </c>
      <c r="K57" s="114" t="str">
        <f t="shared" si="15"/>
        <v>4029/4030</v>
      </c>
      <c r="L57" s="25" t="str">
        <f>VLOOKUP(A57,'Trips&amp;Operators'!$C$1:$E$10000,3,FALSE)</f>
        <v>SPECTOR</v>
      </c>
      <c r="M57" s="6">
        <f t="shared" si="16"/>
        <v>2.9432870374876074E-2</v>
      </c>
      <c r="N57" s="7">
        <f t="shared" si="2"/>
        <v>42.383333339821547</v>
      </c>
      <c r="O57" s="7"/>
      <c r="P57" s="7"/>
      <c r="Q57" s="26"/>
      <c r="R57" s="26"/>
      <c r="S57" s="38">
        <f t="shared" si="17"/>
        <v>1</v>
      </c>
      <c r="T57" s="55" t="str">
        <f t="shared" si="18"/>
        <v>NorthBound</v>
      </c>
      <c r="U57" s="77">
        <f>IF(AG57="EC",COUNTIFS(Variables!$M$2:$M$19,IF(T57="NorthBound","&gt;=","&lt;=")&amp;Y57,Variables!$M$2:$M$19,IF(T57="NorthBound","&lt;=","&gt;=")&amp;Z57),COUNTIFS(Variables!$P$2:$P$19,IF(T57="NorthBound","&gt;=","&lt;=")&amp;Y57,Variables!$P$2:$P$19,IF(T57="NorthBound","&lt;=","&gt;=")&amp;Z57))</f>
        <v>12</v>
      </c>
      <c r="V57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08:09:34-0600',mode:absolute,to:'2016-08-04 10:53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57" s="57" t="str">
        <f t="shared" si="20"/>
        <v>N</v>
      </c>
      <c r="X57" s="117">
        <f t="shared" si="28"/>
        <v>1</v>
      </c>
      <c r="Y57" s="72">
        <f t="shared" si="21"/>
        <v>4.4200000000000003E-2</v>
      </c>
      <c r="Z57" s="72">
        <f t="shared" si="22"/>
        <v>23.331499999999998</v>
      </c>
      <c r="AA57" s="72">
        <f t="shared" si="23"/>
        <v>23.287299999999998</v>
      </c>
      <c r="AB57" s="69" t="e">
        <f>VLOOKUP(A57,Enforcements!$C$7:$J$24,8,0)</f>
        <v>#N/A</v>
      </c>
      <c r="AC57" s="65" t="e">
        <f>VLOOKUP(A57,Enforcements!$C$7:$E$24,3,0)</f>
        <v>#N/A</v>
      </c>
      <c r="AD57" s="66" t="str">
        <f t="shared" si="24"/>
        <v>0145-04</v>
      </c>
      <c r="AE57" s="124" t="str">
        <f t="shared" si="25"/>
        <v>aws s3 cp s3://rtdc.mdm.uploadarchive/RTDC4029/2016-08-04/ "%USERPROFILE%\AppData\Local\Temp\OnboardLogs"\RTDC4029\2016-08-04 --recursive &amp; "%USERPROFILE%\Documents\GitHub\mrs-test-scripts\Headless Mode &amp; Sideloading\WalkAndUnGZ.bat" "%USERPROFILE%\AppData\Local\Temp\OnboardLogs"\RTDC4029\2016-08-04 &amp; aws s3 cp s3://rtdc.mdm.uploadarchive/RTDC4029/2016-08-05/ "%USERPROFILE%\AppData\Local\Temp\OnboardLogs"\RTDC4029\2016-08-05 --recursive &amp; "%USERPROFILE%\Documents\GitHub\mrs-test-scripts\Headless Mode &amp; Sideloading\WalkAndUnGZ.bat" "%USERPROFILE%\AppData\Local\Temp\OnboardLogs"\RTDC4029\2016-08-05</v>
      </c>
      <c r="AF57" s="121" t="str">
        <f t="shared" si="26"/>
        <v>"C:\Program Files (x86)\AstroGrep\AstroGrep.exe" /spath="%USERPROFILE%\AppData\Local\Temp\OnboardLogs" /stypes="*4029*20160804*" /stext=" 15:.+((SYSTEM_STATE.+slice.+state.+changed )|(ment ac)|(system.+state.+changed )|(\|lc)|(penalty)|(\[timeout)|(PRM\|1\|D)|(kpr)|(kdp))" /e /r /s</v>
      </c>
      <c r="AG57" s="1" t="str">
        <f t="shared" si="29"/>
        <v>EC</v>
      </c>
      <c r="AH57" s="125" t="str">
        <f>refinertdcruntimes&amp;" --tripid "&amp;A57&amp;" --locoid "&amp;B57&amp;" --swversion "&amp;C57&amp;" --startMP "&amp;D57&amp;" --initTime "&amp;TEXT(E57,"yyyy-mm-ddTHH:MM:SS")&amp;" --startdatetime "&amp;TEXT(F57,"yyyy-mm-ddTHH:MM:SS")&amp;" --delay "&amp;G57&amp;" --endMP "&amp;H57&amp;" --enddatetime "&amp;TEXT(I57,"yyyy-mm-ddTHH:MM:SS")&amp;" --enforcementcount "&amp;J57&amp;" &gt;&gt; "&amp;TEXT(Variables!$A$2,"yyyy-mm-dd")&amp;"-refined-runtimes.txt"</f>
        <v>"%USERPROFILE%\Documents\GitHub\eaglep3\Utilities\RefineRTDCRunTimes.py" --tripid 145-04 --locoid 4029 --swversion DE.1.0.7.0 --startMP 204:442 --initTime 2016-08-04T09:09:34 --startdatetime 2016-08-04T09:10:37 --delay 1 --endMP 204:233315 --enddatetime 2016-08-04T09:53:00 --enforcementcount 0 &gt;&gt; 2016-08-04-refined-runtimes.txt</v>
      </c>
    </row>
    <row r="58" spans="1:34" x14ac:dyDescent="0.25">
      <c r="A58" s="25" t="s">
        <v>547</v>
      </c>
      <c r="B58" s="87">
        <v>4030</v>
      </c>
      <c r="C58" s="88" t="s">
        <v>163</v>
      </c>
      <c r="D58" s="88" t="s">
        <v>387</v>
      </c>
      <c r="E58" s="89">
        <v>42586.418032407404</v>
      </c>
      <c r="F58" s="89">
        <v>42586.4221875</v>
      </c>
      <c r="G58" s="87">
        <v>5</v>
      </c>
      <c r="H58" s="89" t="s">
        <v>137</v>
      </c>
      <c r="I58" s="89">
        <v>42586.451562499999</v>
      </c>
      <c r="J58" s="87">
        <v>0</v>
      </c>
      <c r="K58" s="114" t="str">
        <f t="shared" si="15"/>
        <v>4029/4030</v>
      </c>
      <c r="L58" s="25" t="str">
        <f>VLOOKUP(A58,'Trips&amp;Operators'!$C$1:$E$10000,3,FALSE)</f>
        <v>SPECTOR</v>
      </c>
      <c r="M58" s="6">
        <f t="shared" si="16"/>
        <v>2.937499999825377E-2</v>
      </c>
      <c r="N58" s="7">
        <f t="shared" si="2"/>
        <v>42.299999997485429</v>
      </c>
      <c r="O58" s="7"/>
      <c r="P58" s="7"/>
      <c r="Q58" s="26"/>
      <c r="R58" s="26"/>
      <c r="S58" s="38">
        <f t="shared" si="17"/>
        <v>1</v>
      </c>
      <c r="T58" s="55" t="str">
        <f t="shared" si="18"/>
        <v>Southbound</v>
      </c>
      <c r="U58" s="77">
        <f>IF(AG58="EC",COUNTIFS(Variables!$M$2:$M$19,IF(T58="NorthBound","&gt;=","&lt;=")&amp;Y58,Variables!$M$2:$M$19,IF(T58="NorthBound","&lt;=","&gt;=")&amp;Z58),COUNTIFS(Variables!$P$2:$P$19,IF(T58="NorthBound","&gt;=","&lt;=")&amp;Y58,Variables!$P$2:$P$19,IF(T58="NorthBound","&lt;=","&gt;=")&amp;Z58))</f>
        <v>12</v>
      </c>
      <c r="V58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09:01:58-0600',mode:absolute,to:'2016-08-04 11:50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58" s="57" t="str">
        <f t="shared" si="20"/>
        <v>N</v>
      </c>
      <c r="X58" s="117">
        <f t="shared" si="28"/>
        <v>1</v>
      </c>
      <c r="Y58" s="72">
        <f t="shared" si="21"/>
        <v>23.3</v>
      </c>
      <c r="Z58" s="72">
        <f t="shared" si="22"/>
        <v>1.4999999999999999E-2</v>
      </c>
      <c r="AA58" s="72">
        <f t="shared" si="23"/>
        <v>23.285</v>
      </c>
      <c r="AB58" s="69" t="e">
        <f>VLOOKUP(A58,Enforcements!$C$7:$J$24,8,0)</f>
        <v>#N/A</v>
      </c>
      <c r="AC58" s="65" t="e">
        <f>VLOOKUP(A58,Enforcements!$C$7:$E$24,3,0)</f>
        <v>#N/A</v>
      </c>
      <c r="AD58" s="66" t="str">
        <f t="shared" si="24"/>
        <v>0146-04</v>
      </c>
      <c r="AE58" s="124" t="str">
        <f t="shared" si="25"/>
        <v>aws s3 cp s3://rtdc.mdm.uploadarchive/RTDC4030/2016-08-04/ "%USERPROFILE%\AppData\Local\Temp\OnboardLogs"\RTDC4030\2016-08-04 --recursive &amp; "%USERPROFILE%\Documents\GitHub\mrs-test-scripts\Headless Mode &amp; Sideloading\WalkAndUnGZ.bat" "%USERPROFILE%\AppData\Local\Temp\OnboardLogs"\RTDC4030\2016-08-04 &amp; aws s3 cp s3://rtdc.mdm.uploadarchive/RTDC4030/2016-08-05/ "%USERPROFILE%\AppData\Local\Temp\OnboardLogs"\RTDC4030\2016-08-05 --recursive &amp; "%USERPROFILE%\Documents\GitHub\mrs-test-scripts\Headless Mode &amp; Sideloading\WalkAndUnGZ.bat" "%USERPROFILE%\AppData\Local\Temp\OnboardLogs"\RTDC4030\2016-08-05</v>
      </c>
      <c r="AF58" s="121" t="str">
        <f t="shared" si="26"/>
        <v>"C:\Program Files (x86)\AstroGrep\AstroGrep.exe" /spath="%USERPROFILE%\AppData\Local\Temp\OnboardLogs" /stypes="*4030*20160804*" /stext=" 16:.+((SYSTEM_STATE.+slice.+state.+changed )|(ment ac)|(system.+state.+changed )|(\|lc)|(penalty)|(\[timeout)|(PRM\|1\|D)|(kpr)|(kdp))" /e /r /s</v>
      </c>
      <c r="AG58" s="1" t="str">
        <f t="shared" si="29"/>
        <v>EC</v>
      </c>
      <c r="AH58" s="125" t="str">
        <f>refinertdcruntimes&amp;" --tripid "&amp;A58&amp;" --locoid "&amp;B58&amp;" --swversion "&amp;C58&amp;" --startMP "&amp;D58&amp;" --initTime "&amp;TEXT(E58,"yyyy-mm-ddTHH:MM:SS")&amp;" --startdatetime "&amp;TEXT(F58,"yyyy-mm-ddTHH:MM:SS")&amp;" --delay "&amp;G58&amp;" --endMP "&amp;H58&amp;" --enddatetime "&amp;TEXT(I58,"yyyy-mm-ddTHH:MM:SS")&amp;" --enforcementcount "&amp;J58&amp;" &gt;&gt; "&amp;TEXT(Variables!$A$2,"yyyy-mm-dd")&amp;"-refined-runtimes.txt"</f>
        <v>"%USERPROFILE%\Documents\GitHub\eaglep3\Utilities\RefineRTDCRunTimes.py" --tripid 146-04 --locoid 4030 --swversion DE.1.0.7.0 --startMP 204:233000 --initTime 2016-08-04T10:01:58 --startdatetime 2016-08-04T10:07:57 --delay 5 --endMP 204:150 --enddatetime 2016-08-04T10:50:15 --enforcementcount 0 &gt;&gt; 2016-08-04-refined-runtimes.txt</v>
      </c>
    </row>
    <row r="59" spans="1:34" x14ac:dyDescent="0.25">
      <c r="A59" s="25" t="s">
        <v>548</v>
      </c>
      <c r="B59" s="87">
        <v>4011</v>
      </c>
      <c r="C59" s="88" t="s">
        <v>163</v>
      </c>
      <c r="D59" s="88" t="s">
        <v>64</v>
      </c>
      <c r="E59" s="89">
        <v>42586.394432870373</v>
      </c>
      <c r="F59" s="89">
        <v>42586.395254629628</v>
      </c>
      <c r="G59" s="87">
        <v>1</v>
      </c>
      <c r="H59" s="89" t="s">
        <v>164</v>
      </c>
      <c r="I59" s="89">
        <v>42586.421724537038</v>
      </c>
      <c r="J59" s="87">
        <v>0</v>
      </c>
      <c r="K59" s="114" t="str">
        <f t="shared" si="15"/>
        <v>4011/4012</v>
      </c>
      <c r="L59" s="25" t="str">
        <f>VLOOKUP(A59,'Trips&amp;Operators'!$C$1:$E$10000,3,FALSE)</f>
        <v>MALAVE</v>
      </c>
      <c r="M59" s="6">
        <f t="shared" si="16"/>
        <v>2.6469907410501037E-2</v>
      </c>
      <c r="N59" s="7">
        <f t="shared" si="2"/>
        <v>38.116666671121493</v>
      </c>
      <c r="O59" s="7"/>
      <c r="P59" s="7"/>
      <c r="Q59" s="26"/>
      <c r="R59" s="26"/>
      <c r="S59" s="38">
        <f t="shared" si="17"/>
        <v>1</v>
      </c>
      <c r="T59" s="55" t="str">
        <f t="shared" si="18"/>
        <v>NorthBound</v>
      </c>
      <c r="U59" s="77">
        <f>IF(AG59="EC",COUNTIFS(Variables!$M$2:$M$19,IF(T59="NorthBound","&gt;=","&lt;=")&amp;Y59,Variables!$M$2:$M$19,IF(T59="NorthBound","&lt;=","&gt;=")&amp;Z59),COUNTIFS(Variables!$P$2:$P$19,IF(T59="NorthBound","&gt;=","&lt;=")&amp;Y59,Variables!$P$2:$P$19,IF(T59="NorthBound","&lt;=","&gt;=")&amp;Z59))</f>
        <v>12</v>
      </c>
      <c r="V59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08:27:59-0600',mode:absolute,to:'2016-08-04 11:07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59" s="57" t="str">
        <f t="shared" si="20"/>
        <v>N</v>
      </c>
      <c r="X59" s="117">
        <f t="shared" si="28"/>
        <v>1</v>
      </c>
      <c r="Y59" s="72">
        <f t="shared" si="21"/>
        <v>4.5999999999999999E-2</v>
      </c>
      <c r="Z59" s="72">
        <f t="shared" si="22"/>
        <v>23.3291</v>
      </c>
      <c r="AA59" s="72">
        <f t="shared" si="23"/>
        <v>23.283100000000001</v>
      </c>
      <c r="AB59" s="69" t="e">
        <f>VLOOKUP(A59,Enforcements!$C$7:$J$24,8,0)</f>
        <v>#N/A</v>
      </c>
      <c r="AC59" s="65" t="e">
        <f>VLOOKUP(A59,Enforcements!$C$7:$E$24,3,0)</f>
        <v>#N/A</v>
      </c>
      <c r="AD59" s="66" t="str">
        <f t="shared" si="24"/>
        <v>0147-04</v>
      </c>
      <c r="AE59" s="124" t="str">
        <f t="shared" si="25"/>
        <v>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 &amp; aws s3 cp s3://rtdc.mdm.uploadarchive/RTDC4011/2016-08-05/ "%USERPROFILE%\AppData\Local\Temp\OnboardLogs"\RTDC4011\2016-08-05 --recursive &amp; "%USERPROFILE%\Documents\GitHub\mrs-test-scripts\Headless Mode &amp; Sideloading\WalkAndUnGZ.bat" "%USERPROFILE%\AppData\Local\Temp\OnboardLogs"\RTDC4011\2016-08-05</v>
      </c>
      <c r="AF59" s="121" t="str">
        <f t="shared" si="26"/>
        <v>"C:\Program Files (x86)\AstroGrep\AstroGrep.exe" /spath="%USERPROFILE%\AppData\Local\Temp\OnboardLogs" /stypes="*4011*20160804*" /stext=" 16:.+((SYSTEM_STATE.+slice.+state.+changed )|(ment ac)|(system.+state.+changed )|(\|lc)|(penalty)|(\[timeout)|(PRM\|1\|D)|(kpr)|(kdp))" /e /r /s</v>
      </c>
      <c r="AG59" s="1" t="str">
        <f t="shared" si="29"/>
        <v>EC</v>
      </c>
      <c r="AH59" s="125" t="str">
        <f>refinertdcruntimes&amp;" --tripid "&amp;A59&amp;" --locoid "&amp;B59&amp;" --swversion "&amp;C59&amp;" --startMP "&amp;D59&amp;" --initTime "&amp;TEXT(E59,"yyyy-mm-ddTHH:MM:SS")&amp;" --startdatetime "&amp;TEXT(F59,"yyyy-mm-ddTHH:MM:SS")&amp;" --delay "&amp;G59&amp;" --endMP "&amp;H59&amp;" --enddatetime "&amp;TEXT(I59,"yyyy-mm-ddTHH:MM:SS")&amp;" --enforcementcount "&amp;J59&amp;" &gt;&gt; "&amp;TEXT(Variables!$A$2,"yyyy-mm-dd")&amp;"-refined-runtimes.txt"</f>
        <v>"%USERPROFILE%\Documents\GitHub\eaglep3\Utilities\RefineRTDCRunTimes.py" --tripid 147-04 --locoid 4011 --swversion DE.1.0.7.0 --startMP 204:460 --initTime 2016-08-04T09:27:59 --startdatetime 2016-08-04T09:29:10 --delay 1 --endMP 204:233291 --enddatetime 2016-08-04T10:07:17 --enforcementcount 0 &gt;&gt; 2016-08-04-refined-runtimes.txt</v>
      </c>
    </row>
    <row r="60" spans="1:34" x14ac:dyDescent="0.25">
      <c r="A60" s="25" t="s">
        <v>487</v>
      </c>
      <c r="B60" s="87">
        <v>4012</v>
      </c>
      <c r="C60" s="88" t="s">
        <v>163</v>
      </c>
      <c r="D60" s="88" t="s">
        <v>549</v>
      </c>
      <c r="E60" s="89">
        <v>42586.433344907404</v>
      </c>
      <c r="F60" s="89">
        <v>42586.434861111113</v>
      </c>
      <c r="G60" s="87">
        <v>2</v>
      </c>
      <c r="H60" s="89" t="s">
        <v>550</v>
      </c>
      <c r="I60" s="89">
        <v>42586.462696759256</v>
      </c>
      <c r="J60" s="87">
        <v>2</v>
      </c>
      <c r="K60" s="114" t="str">
        <f t="shared" si="15"/>
        <v>4011/4012</v>
      </c>
      <c r="L60" s="25" t="str">
        <f>VLOOKUP(A60,'Trips&amp;Operators'!$C$1:$E$10000,3,FALSE)</f>
        <v>MALAVE</v>
      </c>
      <c r="M60" s="6">
        <f t="shared" si="16"/>
        <v>2.7835648143081926E-2</v>
      </c>
      <c r="N60" s="7">
        <f t="shared" si="2"/>
        <v>40.083333326037973</v>
      </c>
      <c r="O60" s="7"/>
      <c r="P60" s="7"/>
      <c r="Q60" s="26"/>
      <c r="R60" s="26"/>
      <c r="S60" s="38">
        <f t="shared" si="17"/>
        <v>1</v>
      </c>
      <c r="T60" s="55" t="str">
        <f t="shared" si="18"/>
        <v>Southbound</v>
      </c>
      <c r="U60" s="77">
        <f>IF(AG60="EC",COUNTIFS(Variables!$M$2:$M$19,IF(T60="NorthBound","&gt;=","&lt;=")&amp;Y60,Variables!$M$2:$M$19,IF(T60="NorthBound","&lt;=","&gt;=")&amp;Z60),COUNTIFS(Variables!$P$2:$P$19,IF(T60="NorthBound","&gt;=","&lt;=")&amp;Y60,Variables!$P$2:$P$19,IF(T60="NorthBound","&lt;=","&gt;=")&amp;Z60))</f>
        <v>12</v>
      </c>
      <c r="V60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09:24:01-0600',mode:absolute,to:'2016-08-04 12:06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60" s="57" t="str">
        <f t="shared" si="20"/>
        <v>N</v>
      </c>
      <c r="X60" s="117">
        <f t="shared" si="28"/>
        <v>1</v>
      </c>
      <c r="Y60" s="72">
        <f t="shared" si="21"/>
        <v>23.296099999999999</v>
      </c>
      <c r="Z60" s="72">
        <f t="shared" si="22"/>
        <v>1.8100000000000002E-2</v>
      </c>
      <c r="AA60" s="72">
        <f t="shared" si="23"/>
        <v>23.277999999999999</v>
      </c>
      <c r="AB60" s="69" t="e">
        <f>VLOOKUP(A60,Enforcements!$C$7:$J$24,8,0)</f>
        <v>#N/A</v>
      </c>
      <c r="AC60" s="65" t="e">
        <f>VLOOKUP(A60,Enforcements!$C$7:$E$24,3,0)</f>
        <v>#N/A</v>
      </c>
      <c r="AD60" s="66" t="str">
        <f t="shared" si="24"/>
        <v>0148-04</v>
      </c>
      <c r="AE60" s="124" t="str">
        <f t="shared" si="25"/>
        <v>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 &amp; aws s3 cp s3://rtdc.mdm.uploadarchive/RTDC4012/2016-08-05/ "%USERPROFILE%\AppData\Local\Temp\OnboardLogs"\RTDC4012\2016-08-05 --recursive &amp; "%USERPROFILE%\Documents\GitHub\mrs-test-scripts\Headless Mode &amp; Sideloading\WalkAndUnGZ.bat" "%USERPROFILE%\AppData\Local\Temp\OnboardLogs"\RTDC4012\2016-08-05</v>
      </c>
      <c r="AF60" s="121" t="str">
        <f t="shared" si="26"/>
        <v>"C:\Program Files (x86)\AstroGrep\AstroGrep.exe" /spath="%USERPROFILE%\AppData\Local\Temp\OnboardLogs" /stypes="*4012*20160804*" /stext=" 17:.+((SYSTEM_STATE.+slice.+state.+changed )|(ment ac)|(system.+state.+changed )|(\|lc)|(penalty)|(\[timeout)|(PRM\|1\|D)|(kpr)|(kdp))" /e /r /s</v>
      </c>
      <c r="AG60" s="1" t="str">
        <f t="shared" si="29"/>
        <v>EC</v>
      </c>
      <c r="AH60" s="125" t="str">
        <f>refinertdcruntimes&amp;" --tripid "&amp;A60&amp;" --locoid "&amp;B60&amp;" --swversion "&amp;C60&amp;" --startMP "&amp;D60&amp;" --initTime "&amp;TEXT(E60,"yyyy-mm-ddTHH:MM:SS")&amp;" --startdatetime "&amp;TEXT(F60,"yyyy-mm-ddTHH:MM:SS")&amp;" --delay "&amp;G60&amp;" --endMP "&amp;H60&amp;" --enddatetime "&amp;TEXT(I60,"yyyy-mm-ddTHH:MM:SS")&amp;" --enforcementcount "&amp;J60&amp;" &gt;&gt; "&amp;TEXT(Variables!$A$2,"yyyy-mm-dd")&amp;"-refined-runtimes.txt"</f>
        <v>"%USERPROFILE%\Documents\GitHub\eaglep3\Utilities\RefineRTDCRunTimes.py" --tripid 148-04 --locoid 4012 --swversion DE.1.0.7.0 --startMP 204:232961 --initTime 2016-08-04T10:24:01 --startdatetime 2016-08-04T10:26:12 --delay 2 --endMP 204:181 --enddatetime 2016-08-04T11:06:17 --enforcementcount 2 &gt;&gt; 2016-08-04-refined-runtimes.txt</v>
      </c>
    </row>
    <row r="61" spans="1:34" x14ac:dyDescent="0.25">
      <c r="A61" s="25" t="s">
        <v>484</v>
      </c>
      <c r="B61" s="87">
        <v>4007</v>
      </c>
      <c r="C61" s="88" t="s">
        <v>163</v>
      </c>
      <c r="D61" s="88" t="s">
        <v>138</v>
      </c>
      <c r="E61" s="89">
        <v>42586.404097222221</v>
      </c>
      <c r="F61" s="89">
        <v>42586.405046296299</v>
      </c>
      <c r="G61" s="87">
        <v>1</v>
      </c>
      <c r="H61" s="89" t="s">
        <v>551</v>
      </c>
      <c r="I61" s="89">
        <v>42586.433541666665</v>
      </c>
      <c r="J61" s="87">
        <v>1</v>
      </c>
      <c r="K61" s="114" t="str">
        <f t="shared" si="15"/>
        <v>4007/4008</v>
      </c>
      <c r="L61" s="25" t="str">
        <f>VLOOKUP(A61,'Trips&amp;Operators'!$C$1:$E$10000,3,FALSE)</f>
        <v>STRICKLAND</v>
      </c>
      <c r="M61" s="6">
        <f t="shared" si="16"/>
        <v>2.8495370366727002E-2</v>
      </c>
      <c r="N61" s="7">
        <f t="shared" si="2"/>
        <v>41.033333328086883</v>
      </c>
      <c r="O61" s="7"/>
      <c r="P61" s="7"/>
      <c r="Q61" s="26"/>
      <c r="R61" s="26"/>
      <c r="S61" s="38">
        <f t="shared" si="17"/>
        <v>1</v>
      </c>
      <c r="T61" s="55" t="str">
        <f t="shared" si="18"/>
        <v>NorthBound</v>
      </c>
      <c r="U61" s="77">
        <f>IF(AG61="EC",COUNTIFS(Variables!$M$2:$M$19,IF(T61="NorthBound","&gt;=","&lt;=")&amp;Y61,Variables!$M$2:$M$19,IF(T61="NorthBound","&lt;=","&gt;=")&amp;Z61),COUNTIFS(Variables!$P$2:$P$19,IF(T61="NorthBound","&gt;=","&lt;=")&amp;Y61,Variables!$P$2:$P$19,IF(T61="NorthBound","&lt;=","&gt;=")&amp;Z61))</f>
        <v>12</v>
      </c>
      <c r="V61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08:41:54-0600',mode:absolute,to:'2016-08-04 11:24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61" s="57" t="str">
        <f t="shared" si="20"/>
        <v>N</v>
      </c>
      <c r="X61" s="117">
        <f t="shared" si="28"/>
        <v>1</v>
      </c>
      <c r="Y61" s="72">
        <f t="shared" si="21"/>
        <v>4.6399999999999997E-2</v>
      </c>
      <c r="Z61" s="72">
        <f t="shared" si="22"/>
        <v>23.3306</v>
      </c>
      <c r="AA61" s="72">
        <f t="shared" si="23"/>
        <v>23.284200000000002</v>
      </c>
      <c r="AB61" s="69">
        <f>VLOOKUP(A61,Enforcements!$C$7:$J$24,8,0)</f>
        <v>230436</v>
      </c>
      <c r="AC61" s="65" t="str">
        <f>VLOOKUP(A61,Enforcements!$C$7:$E$24,3,0)</f>
        <v>PERMANENT SPEED RESTRICTION</v>
      </c>
      <c r="AD61" s="66" t="str">
        <f t="shared" si="24"/>
        <v>0149-04</v>
      </c>
      <c r="AE61" s="124" t="str">
        <f t="shared" si="25"/>
        <v>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 &amp; aws s3 cp s3://rtdc.mdm.uploadarchive/RTDC4007/2016-08-05/ "%USERPROFILE%\AppData\Local\Temp\OnboardLogs"\RTDC4007\2016-08-05 --recursive &amp; "%USERPROFILE%\Documents\GitHub\mrs-test-scripts\Headless Mode &amp; Sideloading\WalkAndUnGZ.bat" "%USERPROFILE%\AppData\Local\Temp\OnboardLogs"\RTDC4007\2016-08-05</v>
      </c>
      <c r="AF61" s="121" t="str">
        <f t="shared" si="26"/>
        <v>"C:\Program Files (x86)\AstroGrep\AstroGrep.exe" /spath="%USERPROFILE%\AppData\Local\Temp\OnboardLogs" /stypes="*4007*20160804*" /stext=" 16:.+((SYSTEM_STATE.+slice.+state.+changed )|(ment ac)|(system.+state.+changed )|(\|lc)|(penalty)|(\[timeout)|(PRM\|1\|D)|(kpr)|(kdp))" /e /r /s</v>
      </c>
      <c r="AG61" s="1" t="str">
        <f t="shared" si="29"/>
        <v>EC</v>
      </c>
      <c r="AH61" s="125" t="str">
        <f>refinertdcruntimes&amp;" --tripid "&amp;A61&amp;" --locoid "&amp;B61&amp;" --swversion "&amp;C61&amp;" --startMP "&amp;D61&amp;" --initTime "&amp;TEXT(E61,"yyyy-mm-ddTHH:MM:SS")&amp;" --startdatetime "&amp;TEXT(F61,"yyyy-mm-ddTHH:MM:SS")&amp;" --delay "&amp;G61&amp;" --endMP "&amp;H61&amp;" --enddatetime "&amp;TEXT(I61,"yyyy-mm-ddTHH:MM:SS")&amp;" --enforcementcount "&amp;J61&amp;" &gt;&gt; "&amp;TEXT(Variables!$A$2,"yyyy-mm-dd")&amp;"-refined-runtimes.txt"</f>
        <v>"%USERPROFILE%\Documents\GitHub\eaglep3\Utilities\RefineRTDCRunTimes.py" --tripid 149-04 --locoid 4007 --swversion DE.1.0.7.0 --startMP 204:464 --initTime 2016-08-04T09:41:54 --startdatetime 2016-08-04T09:43:16 --delay 1 --endMP 204:233306 --enddatetime 2016-08-04T10:24:18 --enforcementcount 1 &gt;&gt; 2016-08-04-refined-runtimes.txt</v>
      </c>
    </row>
    <row r="62" spans="1:34" x14ac:dyDescent="0.25">
      <c r="A62" s="25" t="s">
        <v>486</v>
      </c>
      <c r="B62" s="87">
        <v>4008</v>
      </c>
      <c r="C62" s="88" t="s">
        <v>163</v>
      </c>
      <c r="D62" s="88" t="s">
        <v>303</v>
      </c>
      <c r="E62" s="89">
        <v>42586.440196759257</v>
      </c>
      <c r="F62" s="89">
        <v>42586.441145833334</v>
      </c>
      <c r="G62" s="87">
        <v>1</v>
      </c>
      <c r="H62" s="89" t="s">
        <v>100</v>
      </c>
      <c r="I62" s="89">
        <v>42586.472870370373</v>
      </c>
      <c r="J62" s="87">
        <v>2</v>
      </c>
      <c r="K62" s="114" t="str">
        <f t="shared" si="15"/>
        <v>4007/4008</v>
      </c>
      <c r="L62" s="25" t="str">
        <f>VLOOKUP(A62,'Trips&amp;Operators'!$C$1:$E$10000,3,FALSE)</f>
        <v>STRICKLAND</v>
      </c>
      <c r="M62" s="6">
        <f t="shared" si="16"/>
        <v>3.1724537038826384E-2</v>
      </c>
      <c r="N62" s="7">
        <f t="shared" si="2"/>
        <v>45.683333335909992</v>
      </c>
      <c r="O62" s="7"/>
      <c r="P62" s="7"/>
      <c r="Q62" s="26"/>
      <c r="R62" s="26"/>
      <c r="S62" s="38">
        <f t="shared" si="17"/>
        <v>1</v>
      </c>
      <c r="T62" s="55" t="str">
        <f t="shared" si="18"/>
        <v>Southbound</v>
      </c>
      <c r="U62" s="77">
        <f>IF(AG62="EC",COUNTIFS(Variables!$M$2:$M$19,IF(T62="NorthBound","&gt;=","&lt;=")&amp;Y62,Variables!$M$2:$M$19,IF(T62="NorthBound","&lt;=","&gt;=")&amp;Z62),COUNTIFS(Variables!$P$2:$P$19,IF(T62="NorthBound","&gt;=","&lt;=")&amp;Y62,Variables!$P$2:$P$19,IF(T62="NorthBound","&lt;=","&gt;=")&amp;Z62))</f>
        <v>12</v>
      </c>
      <c r="V62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09:33:53-0600',mode:absolute,to:'2016-08-04 12:20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62" s="57" t="str">
        <f t="shared" si="20"/>
        <v>N</v>
      </c>
      <c r="X62" s="117">
        <f t="shared" si="28"/>
        <v>1</v>
      </c>
      <c r="Y62" s="72">
        <f t="shared" si="21"/>
        <v>23.298500000000001</v>
      </c>
      <c r="Z62" s="72">
        <f t="shared" si="22"/>
        <v>1.43E-2</v>
      </c>
      <c r="AA62" s="72">
        <f t="shared" si="23"/>
        <v>23.284200000000002</v>
      </c>
      <c r="AB62" s="69">
        <f>VLOOKUP(A62,Enforcements!$C$7:$J$24,8,0)</f>
        <v>183829</v>
      </c>
      <c r="AC62" s="65" t="str">
        <f>VLOOKUP(A62,Enforcements!$C$7:$E$24,3,0)</f>
        <v>PERMANENT SPEED RESTRICTION</v>
      </c>
      <c r="AD62" s="66" t="str">
        <f t="shared" si="24"/>
        <v>0150-04</v>
      </c>
      <c r="AE62" s="124" t="str">
        <f t="shared" si="25"/>
        <v>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 &amp; aws s3 cp s3://rtdc.mdm.uploadarchive/RTDC4008/2016-08-05/ "%USERPROFILE%\AppData\Local\Temp\OnboardLogs"\RTDC4008\2016-08-05 --recursive &amp; "%USERPROFILE%\Documents\GitHub\mrs-test-scripts\Headless Mode &amp; Sideloading\WalkAndUnGZ.bat" "%USERPROFILE%\AppData\Local\Temp\OnboardLogs"\RTDC4008\2016-08-05</v>
      </c>
      <c r="AF62" s="121" t="str">
        <f t="shared" si="26"/>
        <v>"C:\Program Files (x86)\AstroGrep\AstroGrep.exe" /spath="%USERPROFILE%\AppData\Local\Temp\OnboardLogs" /stypes="*4008*20160804*" /stext=" 17:.+((SYSTEM_STATE.+slice.+state.+changed )|(ment ac)|(system.+state.+changed )|(\|lc)|(penalty)|(\[timeout)|(PRM\|1\|D)|(kpr)|(kdp))" /e /r /s</v>
      </c>
      <c r="AG62" s="1" t="str">
        <f t="shared" si="29"/>
        <v>EC</v>
      </c>
      <c r="AH62" s="125" t="str">
        <f>refinertdcruntimes&amp;" --tripid "&amp;A62&amp;" --locoid "&amp;B62&amp;" --swversion "&amp;C62&amp;" --startMP "&amp;D62&amp;" --initTime "&amp;TEXT(E62,"yyyy-mm-ddTHH:MM:SS")&amp;" --startdatetime "&amp;TEXT(F62,"yyyy-mm-ddTHH:MM:SS")&amp;" --delay "&amp;G62&amp;" --endMP "&amp;H62&amp;" --enddatetime "&amp;TEXT(I62,"yyyy-mm-ddTHH:MM:SS")&amp;" --enforcementcount "&amp;J62&amp;" &gt;&gt; "&amp;TEXT(Variables!$A$2,"yyyy-mm-dd")&amp;"-refined-runtimes.txt"</f>
        <v>"%USERPROFILE%\Documents\GitHub\eaglep3\Utilities\RefineRTDCRunTimes.py" --tripid 150-04 --locoid 4008 --swversion DE.1.0.7.0 --startMP 204:232985 --initTime 2016-08-04T10:33:53 --startdatetime 2016-08-04T10:35:15 --delay 1 --endMP 204:143 --enddatetime 2016-08-04T11:20:56 --enforcementcount 2 &gt;&gt; 2016-08-04-refined-runtimes.txt</v>
      </c>
    </row>
    <row r="63" spans="1:34" x14ac:dyDescent="0.25">
      <c r="A63" s="25" t="s">
        <v>552</v>
      </c>
      <c r="B63" s="87">
        <v>4025</v>
      </c>
      <c r="C63" s="88" t="s">
        <v>163</v>
      </c>
      <c r="D63" s="88" t="s">
        <v>315</v>
      </c>
      <c r="E63" s="89">
        <v>42586.413124999999</v>
      </c>
      <c r="F63" s="89">
        <v>42586.414074074077</v>
      </c>
      <c r="G63" s="87">
        <v>1</v>
      </c>
      <c r="H63" s="89" t="s">
        <v>149</v>
      </c>
      <c r="I63" s="89">
        <v>42586.441655092596</v>
      </c>
      <c r="J63" s="87">
        <v>0</v>
      </c>
      <c r="K63" s="114" t="str">
        <f t="shared" si="15"/>
        <v>4025/4026</v>
      </c>
      <c r="L63" s="25" t="str">
        <f>VLOOKUP(A63,'Trips&amp;Operators'!$C$1:$E$10000,3,FALSE)</f>
        <v>SANTIZO</v>
      </c>
      <c r="M63" s="6">
        <f t="shared" si="16"/>
        <v>2.7581018519413192E-2</v>
      </c>
      <c r="N63" s="7">
        <f t="shared" si="2"/>
        <v>39.716666667954996</v>
      </c>
      <c r="O63" s="7"/>
      <c r="P63" s="7"/>
      <c r="Q63" s="26"/>
      <c r="R63" s="26"/>
      <c r="S63" s="38">
        <f t="shared" si="17"/>
        <v>1</v>
      </c>
      <c r="T63" s="55" t="str">
        <f t="shared" si="18"/>
        <v>NorthBound</v>
      </c>
      <c r="U63" s="77">
        <f>IF(AG63="EC",COUNTIFS(Variables!$M$2:$M$19,IF(T63="NorthBound","&gt;=","&lt;=")&amp;Y63,Variables!$M$2:$M$19,IF(T63="NorthBound","&lt;=","&gt;=")&amp;Z63),COUNTIFS(Variables!$P$2:$P$19,IF(T63="NorthBound","&gt;=","&lt;=")&amp;Y63,Variables!$P$2:$P$19,IF(T63="NorthBound","&lt;=","&gt;=")&amp;Z63))</f>
        <v>12</v>
      </c>
      <c r="V63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08:54:54-0600',mode:absolute,to:'2016-08-04 11:35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63" s="57" t="str">
        <f t="shared" si="20"/>
        <v>N</v>
      </c>
      <c r="X63" s="117">
        <f t="shared" si="28"/>
        <v>1</v>
      </c>
      <c r="Y63" s="72">
        <f t="shared" si="21"/>
        <v>4.5699999999999998E-2</v>
      </c>
      <c r="Z63" s="72">
        <f t="shared" si="22"/>
        <v>23.3293</v>
      </c>
      <c r="AA63" s="72">
        <f t="shared" si="23"/>
        <v>23.2836</v>
      </c>
      <c r="AB63" s="69" t="e">
        <f>VLOOKUP(A63,Enforcements!$C$7:$J$24,8,0)</f>
        <v>#N/A</v>
      </c>
      <c r="AC63" s="65" t="e">
        <f>VLOOKUP(A63,Enforcements!$C$7:$E$24,3,0)</f>
        <v>#N/A</v>
      </c>
      <c r="AD63" s="66" t="str">
        <f t="shared" si="24"/>
        <v>0151-04</v>
      </c>
      <c r="AE63" s="124" t="str">
        <f t="shared" si="25"/>
        <v>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 &amp; aws s3 cp s3://rtdc.mdm.uploadarchive/RTDC4025/2016-08-05/ "%USERPROFILE%\AppData\Local\Temp\OnboardLogs"\RTDC4025\2016-08-05 --recursive &amp; "%USERPROFILE%\Documents\GitHub\mrs-test-scripts\Headless Mode &amp; Sideloading\WalkAndUnGZ.bat" "%USERPROFILE%\AppData\Local\Temp\OnboardLogs"\RTDC4025\2016-08-05</v>
      </c>
      <c r="AF63" s="121" t="str">
        <f t="shared" si="26"/>
        <v>"C:\Program Files (x86)\AstroGrep\AstroGrep.exe" /spath="%USERPROFILE%\AppData\Local\Temp\OnboardLogs" /stypes="*4025*20160804*" /stext=" 16:.+((SYSTEM_STATE.+slice.+state.+changed )|(ment ac)|(system.+state.+changed )|(\|lc)|(penalty)|(\[timeout)|(PRM\|1\|D)|(kpr)|(kdp))" /e /r /s</v>
      </c>
      <c r="AG63" s="1" t="str">
        <f t="shared" si="29"/>
        <v>EC</v>
      </c>
      <c r="AH63" s="125" t="str">
        <f>refinertdcruntimes&amp;" --tripid "&amp;A63&amp;" --locoid "&amp;B63&amp;" --swversion "&amp;C63&amp;" --startMP "&amp;D63&amp;" --initTime "&amp;TEXT(E63,"yyyy-mm-ddTHH:MM:SS")&amp;" --startdatetime "&amp;TEXT(F63,"yyyy-mm-ddTHH:MM:SS")&amp;" --delay "&amp;G63&amp;" --endMP "&amp;H63&amp;" --enddatetime "&amp;TEXT(I63,"yyyy-mm-ddTHH:MM:SS")&amp;" --enforcementcount "&amp;J63&amp;" &gt;&gt; "&amp;TEXT(Variables!$A$2,"yyyy-mm-dd")&amp;"-refined-runtimes.txt"</f>
        <v>"%USERPROFILE%\Documents\GitHub\eaglep3\Utilities\RefineRTDCRunTimes.py" --tripid 151-04 --locoid 4025 --swversion DE.1.0.7.0 --startMP 204:457 --initTime 2016-08-04T09:54:54 --startdatetime 2016-08-04T09:56:16 --delay 1 --endMP 204:233293 --enddatetime 2016-08-04T10:35:59 --enforcementcount 0 &gt;&gt; 2016-08-04-refined-runtimes.txt</v>
      </c>
    </row>
    <row r="64" spans="1:34" x14ac:dyDescent="0.25">
      <c r="A64" s="25" t="s">
        <v>553</v>
      </c>
      <c r="B64" s="87">
        <v>4026</v>
      </c>
      <c r="C64" s="88" t="s">
        <v>163</v>
      </c>
      <c r="D64" s="88" t="s">
        <v>333</v>
      </c>
      <c r="E64" s="89">
        <v>42586.443379629629</v>
      </c>
      <c r="F64" s="89">
        <v>42586.444050925929</v>
      </c>
      <c r="G64" s="87">
        <v>0</v>
      </c>
      <c r="H64" s="89" t="s">
        <v>160</v>
      </c>
      <c r="I64" s="89">
        <v>42586.484120370369</v>
      </c>
      <c r="J64" s="87">
        <v>0</v>
      </c>
      <c r="K64" s="114" t="str">
        <f t="shared" si="15"/>
        <v>4025/4026</v>
      </c>
      <c r="L64" s="25" t="str">
        <f>VLOOKUP(A64,'Trips&amp;Operators'!$C$1:$E$10000,3,FALSE)</f>
        <v>SANTIZO</v>
      </c>
      <c r="M64" s="6">
        <f t="shared" si="16"/>
        <v>4.0069444439723156E-2</v>
      </c>
      <c r="N64" s="7">
        <f t="shared" si="2"/>
        <v>57.699999993201345</v>
      </c>
      <c r="O64" s="7"/>
      <c r="P64" s="7"/>
      <c r="Q64" s="26"/>
      <c r="R64" s="26"/>
      <c r="S64" s="38">
        <f t="shared" si="17"/>
        <v>1</v>
      </c>
      <c r="T64" s="55" t="str">
        <f t="shared" si="18"/>
        <v>Southbound</v>
      </c>
      <c r="U64" s="77">
        <f>IF(AG64="EC",COUNTIFS(Variables!$M$2:$M$19,IF(T64="NorthBound","&gt;=","&lt;=")&amp;Y64,Variables!$M$2:$M$19,IF(T64="NorthBound","&lt;=","&gt;=")&amp;Z64),COUNTIFS(Variables!$P$2:$P$19,IF(T64="NorthBound","&gt;=","&lt;=")&amp;Y64,Variables!$P$2:$P$19,IF(T64="NorthBound","&lt;=","&gt;=")&amp;Z64))</f>
        <v>12</v>
      </c>
      <c r="V64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09:38:28-0600',mode:absolute,to:'2016-08-04 12:37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64" s="57" t="str">
        <f t="shared" si="20"/>
        <v>N</v>
      </c>
      <c r="X64" s="117">
        <f t="shared" si="28"/>
        <v>1</v>
      </c>
      <c r="Y64" s="72">
        <f t="shared" si="21"/>
        <v>23.2973</v>
      </c>
      <c r="Z64" s="72">
        <f t="shared" si="22"/>
        <v>1.49E-2</v>
      </c>
      <c r="AA64" s="72">
        <f t="shared" si="23"/>
        <v>23.282399999999999</v>
      </c>
      <c r="AB64" s="69" t="e">
        <f>VLOOKUP(A64,Enforcements!$C$7:$J$24,8,0)</f>
        <v>#N/A</v>
      </c>
      <c r="AC64" s="65" t="e">
        <f>VLOOKUP(A64,Enforcements!$C$7:$E$24,3,0)</f>
        <v>#N/A</v>
      </c>
      <c r="AD64" s="66" t="str">
        <f t="shared" si="24"/>
        <v>0152-04</v>
      </c>
      <c r="AE64" s="124" t="str">
        <f t="shared" si="25"/>
        <v>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 &amp; aws s3 cp s3://rtdc.mdm.uploadarchive/RTDC4026/2016-08-05/ "%USERPROFILE%\AppData\Local\Temp\OnboardLogs"\RTDC4026\2016-08-05 --recursive &amp; "%USERPROFILE%\Documents\GitHub\mrs-test-scripts\Headless Mode &amp; Sideloading\WalkAndUnGZ.bat" "%USERPROFILE%\AppData\Local\Temp\OnboardLogs"\RTDC4026\2016-08-05</v>
      </c>
      <c r="AF64" s="121" t="str">
        <f t="shared" si="26"/>
        <v>"C:\Program Files (x86)\AstroGrep\AstroGrep.exe" /spath="%USERPROFILE%\AppData\Local\Temp\OnboardLogs" /stypes="*4026*20160804*" /stext=" 17:.+((SYSTEM_STATE.+slice.+state.+changed )|(ment ac)|(system.+state.+changed )|(\|lc)|(penalty)|(\[timeout)|(PRM\|1\|D)|(kpr)|(kdp))" /e /r /s</v>
      </c>
      <c r="AG64" s="1" t="str">
        <f t="shared" si="29"/>
        <v>EC</v>
      </c>
      <c r="AH64" s="125" t="str">
        <f>refinertdcruntimes&amp;" --tripid "&amp;A64&amp;" --locoid "&amp;B64&amp;" --swversion "&amp;C64&amp;" --startMP "&amp;D64&amp;" --initTime "&amp;TEXT(E64,"yyyy-mm-ddTHH:MM:SS")&amp;" --startdatetime "&amp;TEXT(F64,"yyyy-mm-ddTHH:MM:SS")&amp;" --delay "&amp;G64&amp;" --endMP "&amp;H64&amp;" --enddatetime "&amp;TEXT(I64,"yyyy-mm-ddTHH:MM:SS")&amp;" --enforcementcount "&amp;J64&amp;" &gt;&gt; "&amp;TEXT(Variables!$A$2,"yyyy-mm-dd")&amp;"-refined-runtimes.txt"</f>
        <v>"%USERPROFILE%\Documents\GitHub\eaglep3\Utilities\RefineRTDCRunTimes.py" --tripid 152-04 --locoid 4026 --swversion DE.1.0.7.0 --startMP 204:232973 --initTime 2016-08-04T10:38:28 --startdatetime 2016-08-04T10:39:26 --delay 0 --endMP 204:149 --enddatetime 2016-08-04T11:37:08 --enforcementcount 0 &gt;&gt; 2016-08-04-refined-runtimes.txt</v>
      </c>
    </row>
    <row r="65" spans="1:34" x14ac:dyDescent="0.25">
      <c r="A65" s="25" t="s">
        <v>554</v>
      </c>
      <c r="B65" s="87">
        <v>4038</v>
      </c>
      <c r="C65" s="88" t="s">
        <v>163</v>
      </c>
      <c r="D65" s="88" t="s">
        <v>339</v>
      </c>
      <c r="E65" s="89">
        <v>42586.423784722225</v>
      </c>
      <c r="F65" s="89">
        <v>42586.424490740741</v>
      </c>
      <c r="G65" s="87">
        <v>1</v>
      </c>
      <c r="H65" s="89" t="s">
        <v>555</v>
      </c>
      <c r="I65" s="89">
        <v>42586.45239583333</v>
      </c>
      <c r="J65" s="87">
        <v>0</v>
      </c>
      <c r="K65" s="114" t="str">
        <f t="shared" si="15"/>
        <v>4037/4038</v>
      </c>
      <c r="L65" s="25" t="str">
        <f>VLOOKUP(A65,'Trips&amp;Operators'!$C$1:$E$10000,3,FALSE)</f>
        <v>STARKS</v>
      </c>
      <c r="M65" s="6">
        <f t="shared" si="16"/>
        <v>2.7905092589207925E-2</v>
      </c>
      <c r="N65" s="7">
        <f t="shared" si="2"/>
        <v>40.183333328459412</v>
      </c>
      <c r="O65" s="7"/>
      <c r="P65" s="7"/>
      <c r="Q65" s="26"/>
      <c r="R65" s="26"/>
      <c r="S65" s="38">
        <f t="shared" si="17"/>
        <v>1</v>
      </c>
      <c r="T65" s="55" t="str">
        <f t="shared" si="18"/>
        <v>NorthBound</v>
      </c>
      <c r="U65" s="77">
        <f>IF(AG65="EC",COUNTIFS(Variables!$M$2:$M$19,IF(T65="NorthBound","&gt;=","&lt;=")&amp;Y65,Variables!$M$2:$M$19,IF(T65="NorthBound","&lt;=","&gt;=")&amp;Z65),COUNTIFS(Variables!$P$2:$P$19,IF(T65="NorthBound","&gt;=","&lt;=")&amp;Y65,Variables!$P$2:$P$19,IF(T65="NorthBound","&lt;=","&gt;=")&amp;Z65))</f>
        <v>12</v>
      </c>
      <c r="V65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09:10:15-0600',mode:absolute,to:'2016-08-04 11:51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65" s="57" t="str">
        <f t="shared" si="20"/>
        <v>N</v>
      </c>
      <c r="X65" s="117">
        <f t="shared" si="28"/>
        <v>1</v>
      </c>
      <c r="Y65" s="72">
        <f t="shared" si="21"/>
        <v>4.7300000000000002E-2</v>
      </c>
      <c r="Z65" s="72">
        <f t="shared" si="22"/>
        <v>23.328700000000001</v>
      </c>
      <c r="AA65" s="72">
        <f t="shared" si="23"/>
        <v>23.281400000000001</v>
      </c>
      <c r="AB65" s="69" t="e">
        <f>VLOOKUP(A65,Enforcements!$C$7:$J$24,8,0)</f>
        <v>#N/A</v>
      </c>
      <c r="AC65" s="65" t="e">
        <f>VLOOKUP(A65,Enforcements!$C$7:$E$24,3,0)</f>
        <v>#N/A</v>
      </c>
      <c r="AD65" s="66" t="str">
        <f t="shared" si="24"/>
        <v>0153-04</v>
      </c>
      <c r="AE65" s="124" t="str">
        <f t="shared" si="25"/>
        <v>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 &amp; aws s3 cp s3://rtdc.mdm.uploadarchive/RTDC4038/2016-08-05/ "%USERPROFILE%\AppData\Local\Temp\OnboardLogs"\RTDC4038\2016-08-05 --recursive &amp; "%USERPROFILE%\Documents\GitHub\mrs-test-scripts\Headless Mode &amp; Sideloading\WalkAndUnGZ.bat" "%USERPROFILE%\AppData\Local\Temp\OnboardLogs"\RTDC4038\2016-08-05</v>
      </c>
      <c r="AF65" s="121" t="str">
        <f t="shared" si="26"/>
        <v>"C:\Program Files (x86)\AstroGrep\AstroGrep.exe" /spath="%USERPROFILE%\AppData\Local\Temp\OnboardLogs" /stypes="*4038*20160804*" /stext=" 16:.+((SYSTEM_STATE.+slice.+state.+changed )|(ment ac)|(system.+state.+changed )|(\|lc)|(penalty)|(\[timeout)|(PRM\|1\|D)|(kpr)|(kdp))" /e /r /s</v>
      </c>
      <c r="AG65" s="1" t="str">
        <f t="shared" si="29"/>
        <v>EC</v>
      </c>
      <c r="AH65" s="125" t="str">
        <f>refinertdcruntimes&amp;" --tripid "&amp;A65&amp;" --locoid "&amp;B65&amp;" --swversion "&amp;C65&amp;" --startMP "&amp;D65&amp;" --initTime "&amp;TEXT(E65,"yyyy-mm-ddTHH:MM:SS")&amp;" --startdatetime "&amp;TEXT(F65,"yyyy-mm-ddTHH:MM:SS")&amp;" --delay "&amp;G65&amp;" --endMP "&amp;H65&amp;" --enddatetime "&amp;TEXT(I65,"yyyy-mm-ddTHH:MM:SS")&amp;" --enforcementcount "&amp;J65&amp;" &gt;&gt; "&amp;TEXT(Variables!$A$2,"yyyy-mm-dd")&amp;"-refined-runtimes.txt"</f>
        <v>"%USERPROFILE%\Documents\GitHub\eaglep3\Utilities\RefineRTDCRunTimes.py" --tripid 153-04 --locoid 4038 --swversion DE.1.0.7.0 --startMP 204:473 --initTime 2016-08-04T10:10:15 --startdatetime 2016-08-04T10:11:16 --delay 1 --endMP 204:233287 --enddatetime 2016-08-04T10:51:27 --enforcementcount 0 &gt;&gt; 2016-08-04-refined-runtimes.txt</v>
      </c>
    </row>
    <row r="66" spans="1:34" x14ac:dyDescent="0.25">
      <c r="A66" s="25" t="s">
        <v>556</v>
      </c>
      <c r="B66" s="87">
        <v>4037</v>
      </c>
      <c r="C66" s="88" t="s">
        <v>163</v>
      </c>
      <c r="D66" s="88" t="s">
        <v>65</v>
      </c>
      <c r="E66" s="89">
        <v>42586.463831018518</v>
      </c>
      <c r="F66" s="89">
        <v>42586.464872685188</v>
      </c>
      <c r="G66" s="87">
        <v>1</v>
      </c>
      <c r="H66" s="89" t="s">
        <v>136</v>
      </c>
      <c r="I66" s="89">
        <v>42586.496030092596</v>
      </c>
      <c r="J66" s="87">
        <v>0</v>
      </c>
      <c r="K66" s="114" t="str">
        <f t="shared" si="15"/>
        <v>4037/4038</v>
      </c>
      <c r="L66" s="25" t="str">
        <f>VLOOKUP(A66,'Trips&amp;Operators'!$C$1:$E$10000,3,FALSE)</f>
        <v>STARKS</v>
      </c>
      <c r="M66" s="6">
        <f t="shared" si="16"/>
        <v>3.1157407407590654E-2</v>
      </c>
      <c r="N66" s="7">
        <f t="shared" si="2"/>
        <v>44.866666666930541</v>
      </c>
      <c r="O66" s="7"/>
      <c r="P66" s="7"/>
      <c r="Q66" s="26"/>
      <c r="R66" s="26"/>
      <c r="S66" s="38">
        <f t="shared" si="17"/>
        <v>1</v>
      </c>
      <c r="T66" s="55" t="str">
        <f t="shared" si="18"/>
        <v>Southbound</v>
      </c>
      <c r="U66" s="77">
        <f>IF(AG66="EC",COUNTIFS(Variables!$M$2:$M$19,IF(T66="NorthBound","&gt;=","&lt;=")&amp;Y66,Variables!$M$2:$M$19,IF(T66="NorthBound","&lt;=","&gt;=")&amp;Z66),COUNTIFS(Variables!$P$2:$P$19,IF(T66="NorthBound","&gt;=","&lt;=")&amp;Y66,Variables!$P$2:$P$19,IF(T66="NorthBound","&lt;=","&gt;=")&amp;Z66))</f>
        <v>12</v>
      </c>
      <c r="V66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10:07:55-0600',mode:absolute,to:'2016-08-04 12:54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66" s="57" t="str">
        <f t="shared" si="20"/>
        <v>N</v>
      </c>
      <c r="X66" s="117">
        <f t="shared" si="28"/>
        <v>1</v>
      </c>
      <c r="Y66" s="72">
        <f t="shared" si="21"/>
        <v>23.297699999999999</v>
      </c>
      <c r="Z66" s="72">
        <f t="shared" si="22"/>
        <v>1.54E-2</v>
      </c>
      <c r="AA66" s="72">
        <f t="shared" si="23"/>
        <v>23.282299999999999</v>
      </c>
      <c r="AB66" s="69" t="e">
        <f>VLOOKUP(A66,Enforcements!$C$7:$J$24,8,0)</f>
        <v>#N/A</v>
      </c>
      <c r="AC66" s="65" t="e">
        <f>VLOOKUP(A66,Enforcements!$C$7:$E$24,3,0)</f>
        <v>#N/A</v>
      </c>
      <c r="AD66" s="66" t="str">
        <f t="shared" si="24"/>
        <v>0154-04</v>
      </c>
      <c r="AE66" s="124" t="str">
        <f t="shared" si="25"/>
        <v>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 &amp; aws s3 cp s3://rtdc.mdm.uploadarchive/RTDC4037/2016-08-05/ "%USERPROFILE%\AppData\Local\Temp\OnboardLogs"\RTDC4037\2016-08-05 --recursive &amp; "%USERPROFILE%\Documents\GitHub\mrs-test-scripts\Headless Mode &amp; Sideloading\WalkAndUnGZ.bat" "%USERPROFILE%\AppData\Local\Temp\OnboardLogs"\RTDC4037\2016-08-05</v>
      </c>
      <c r="AF66" s="121" t="str">
        <f t="shared" si="26"/>
        <v>"C:\Program Files (x86)\AstroGrep\AstroGrep.exe" /spath="%USERPROFILE%\AppData\Local\Temp\OnboardLogs" /stypes="*4037*20160804*" /stext=" 17:.+((SYSTEM_STATE.+slice.+state.+changed )|(ment ac)|(system.+state.+changed )|(\|lc)|(penalty)|(\[timeout)|(PRM\|1\|D)|(kpr)|(kdp))" /e /r /s</v>
      </c>
      <c r="AG66" s="1" t="str">
        <f t="shared" si="29"/>
        <v>EC</v>
      </c>
      <c r="AH66" s="125" t="str">
        <f>refinertdcruntimes&amp;" --tripid "&amp;A66&amp;" --locoid "&amp;B66&amp;" --swversion "&amp;C66&amp;" --startMP "&amp;D66&amp;" --initTime "&amp;TEXT(E66,"yyyy-mm-ddTHH:MM:SS")&amp;" --startdatetime "&amp;TEXT(F66,"yyyy-mm-ddTHH:MM:SS")&amp;" --delay "&amp;G66&amp;" --endMP "&amp;H66&amp;" --enddatetime "&amp;TEXT(I66,"yyyy-mm-ddTHH:MM:SS")&amp;" --enforcementcount "&amp;J66&amp;" &gt;&gt; "&amp;TEXT(Variables!$A$2,"yyyy-mm-dd")&amp;"-refined-runtimes.txt"</f>
        <v>"%USERPROFILE%\Documents\GitHub\eaglep3\Utilities\RefineRTDCRunTimes.py" --tripid 154-04 --locoid 4037 --swversion DE.1.0.7.0 --startMP 204:232977 --initTime 2016-08-04T11:07:55 --startdatetime 2016-08-04T11:09:25 --delay 1 --endMP 204:154 --enddatetime 2016-08-04T11:54:17 --enforcementcount 0 &gt;&gt; 2016-08-04-refined-runtimes.txt</v>
      </c>
    </row>
    <row r="67" spans="1:34" x14ac:dyDescent="0.25">
      <c r="A67" s="25" t="s">
        <v>557</v>
      </c>
      <c r="B67" s="87">
        <v>4031</v>
      </c>
      <c r="C67" s="88" t="s">
        <v>163</v>
      </c>
      <c r="D67" s="88" t="s">
        <v>558</v>
      </c>
      <c r="E67" s="89">
        <v>42586.432928240742</v>
      </c>
      <c r="F67" s="89">
        <v>42586.434351851851</v>
      </c>
      <c r="G67" s="87">
        <v>2</v>
      </c>
      <c r="H67" s="89" t="s">
        <v>323</v>
      </c>
      <c r="I67" s="89">
        <v>42586.46197916667</v>
      </c>
      <c r="J67" s="87">
        <v>0</v>
      </c>
      <c r="K67" s="114" t="str">
        <f t="shared" si="15"/>
        <v>4031/4032</v>
      </c>
      <c r="L67" s="25" t="str">
        <f>VLOOKUP(A67,'Trips&amp;Operators'!$C$1:$E$10000,3,FALSE)</f>
        <v>YORK</v>
      </c>
      <c r="M67" s="6">
        <f t="shared" si="16"/>
        <v>2.7627314819255844E-2</v>
      </c>
      <c r="N67" s="7">
        <f t="shared" si="2"/>
        <v>39.783333339728415</v>
      </c>
      <c r="O67" s="7"/>
      <c r="P67" s="7"/>
      <c r="Q67" s="26"/>
      <c r="R67" s="26"/>
      <c r="S67" s="38">
        <f t="shared" si="17"/>
        <v>1</v>
      </c>
      <c r="T67" s="55" t="str">
        <f t="shared" si="18"/>
        <v>NorthBound</v>
      </c>
      <c r="U67" s="77">
        <f>IF(AG67="EC",COUNTIFS(Variables!$M$2:$M$19,IF(T67="NorthBound","&gt;=","&lt;=")&amp;Y67,Variables!$M$2:$M$19,IF(T67="NorthBound","&lt;=","&gt;=")&amp;Z67),COUNTIFS(Variables!$P$2:$P$19,IF(T67="NorthBound","&gt;=","&lt;=")&amp;Y67,Variables!$P$2:$P$19,IF(T67="NorthBound","&lt;=","&gt;=")&amp;Z67))</f>
        <v>12</v>
      </c>
      <c r="V67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09:23:25-0600',mode:absolute,to:'2016-08-04 12:05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67" s="57" t="str">
        <f t="shared" si="20"/>
        <v>N</v>
      </c>
      <c r="X67" s="117">
        <f t="shared" si="28"/>
        <v>1</v>
      </c>
      <c r="Y67" s="72">
        <f t="shared" si="21"/>
        <v>4.6899999999999997E-2</v>
      </c>
      <c r="Z67" s="72">
        <f t="shared" si="22"/>
        <v>23.330100000000002</v>
      </c>
      <c r="AA67" s="72">
        <f t="shared" si="23"/>
        <v>23.283200000000001</v>
      </c>
      <c r="AB67" s="69" t="e">
        <f>VLOOKUP(A67,Enforcements!$C$7:$J$24,8,0)</f>
        <v>#N/A</v>
      </c>
      <c r="AC67" s="65" t="e">
        <f>VLOOKUP(A67,Enforcements!$C$7:$E$24,3,0)</f>
        <v>#N/A</v>
      </c>
      <c r="AD67" s="66" t="str">
        <f t="shared" si="24"/>
        <v>0155-04</v>
      </c>
      <c r="AE67" s="124" t="str">
        <f t="shared" si="25"/>
        <v>aws s3 cp s3://rtdc.mdm.uploadarchive/RTDC4031/2016-08-04/ "%USERPROFILE%\AppData\Local\Temp\OnboardLogs"\RTDC4031\2016-08-04 --recursive &amp; "%USERPROFILE%\Documents\GitHub\mrs-test-scripts\Headless Mode &amp; Sideloading\WalkAndUnGZ.bat" "%USERPROFILE%\AppData\Local\Temp\OnboardLogs"\RTDC4031\2016-08-04 &amp; aws s3 cp s3://rtdc.mdm.uploadarchive/RTDC4031/2016-08-05/ "%USERPROFILE%\AppData\Local\Temp\OnboardLogs"\RTDC4031\2016-08-05 --recursive &amp; "%USERPROFILE%\Documents\GitHub\mrs-test-scripts\Headless Mode &amp; Sideloading\WalkAndUnGZ.bat" "%USERPROFILE%\AppData\Local\Temp\OnboardLogs"\RTDC4031\2016-08-05</v>
      </c>
      <c r="AF67" s="121" t="str">
        <f t="shared" si="26"/>
        <v>"C:\Program Files (x86)\AstroGrep\AstroGrep.exe" /spath="%USERPROFILE%\AppData\Local\Temp\OnboardLogs" /stypes="*4031*20160804*" /stext=" 17:.+((SYSTEM_STATE.+slice.+state.+changed )|(ment ac)|(system.+state.+changed )|(\|lc)|(penalty)|(\[timeout)|(PRM\|1\|D)|(kpr)|(kdp))" /e /r /s</v>
      </c>
      <c r="AG67" s="1" t="str">
        <f t="shared" si="29"/>
        <v>EC</v>
      </c>
      <c r="AH67" s="125" t="str">
        <f>refinertdcruntimes&amp;" --tripid "&amp;A67&amp;" --locoid "&amp;B67&amp;" --swversion "&amp;C67&amp;" --startMP "&amp;D67&amp;" --initTime "&amp;TEXT(E67,"yyyy-mm-ddTHH:MM:SS")&amp;" --startdatetime "&amp;TEXT(F67,"yyyy-mm-ddTHH:MM:SS")&amp;" --delay "&amp;G67&amp;" --endMP "&amp;H67&amp;" --enddatetime "&amp;TEXT(I67,"yyyy-mm-ddTHH:MM:SS")&amp;" --enforcementcount "&amp;J67&amp;" &gt;&gt; "&amp;TEXT(Variables!$A$2,"yyyy-mm-dd")&amp;"-refined-runtimes.txt"</f>
        <v>"%USERPROFILE%\Documents\GitHub\eaglep3\Utilities\RefineRTDCRunTimes.py" --tripid 155-04 --locoid 4031 --swversion DE.1.0.7.0 --startMP 204:469 --initTime 2016-08-04T10:23:25 --startdatetime 2016-08-04T10:25:28 --delay 2 --endMP 204:233301 --enddatetime 2016-08-04T11:05:15 --enforcementcount 0 &gt;&gt; 2016-08-04-refined-runtimes.txt</v>
      </c>
    </row>
    <row r="68" spans="1:34" s="24" customFormat="1" x14ac:dyDescent="0.25">
      <c r="A68" s="25" t="s">
        <v>559</v>
      </c>
      <c r="B68" s="87">
        <v>4032</v>
      </c>
      <c r="C68" s="88" t="s">
        <v>163</v>
      </c>
      <c r="D68" s="88" t="s">
        <v>343</v>
      </c>
      <c r="E68" s="89">
        <v>42586.466249999998</v>
      </c>
      <c r="F68" s="89">
        <v>42586.467002314814</v>
      </c>
      <c r="G68" s="87">
        <v>1</v>
      </c>
      <c r="H68" s="89" t="s">
        <v>301</v>
      </c>
      <c r="I68" s="89">
        <v>42586.503483796296</v>
      </c>
      <c r="J68" s="87">
        <v>0</v>
      </c>
      <c r="K68" s="114" t="str">
        <f t="shared" si="15"/>
        <v>4031/4032</v>
      </c>
      <c r="L68" s="25" t="str">
        <f>VLOOKUP(A68,'Trips&amp;Operators'!$C$1:$E$10000,3,FALSE)</f>
        <v>YORK</v>
      </c>
      <c r="M68" s="6">
        <f t="shared" si="16"/>
        <v>3.6481481482042E-2</v>
      </c>
      <c r="N68" s="7">
        <f t="shared" si="2"/>
        <v>52.53333333414048</v>
      </c>
      <c r="O68" s="7"/>
      <c r="P68" s="7"/>
      <c r="Q68" s="26"/>
      <c r="R68" s="26"/>
      <c r="S68" s="38">
        <f t="shared" si="17"/>
        <v>1</v>
      </c>
      <c r="T68" s="55" t="str">
        <f t="shared" si="18"/>
        <v>Southbound</v>
      </c>
      <c r="U68" s="77">
        <f>IF(AG68="EC",COUNTIFS(Variables!$M$2:$M$19,IF(T68="NorthBound","&gt;=","&lt;=")&amp;Y68,Variables!$M$2:$M$19,IF(T68="NorthBound","&lt;=","&gt;=")&amp;Z68),COUNTIFS(Variables!$P$2:$P$19,IF(T68="NorthBound","&gt;=","&lt;=")&amp;Y68,Variables!$P$2:$P$19,IF(T68="NorthBound","&lt;=","&gt;=")&amp;Z68))</f>
        <v>12</v>
      </c>
      <c r="V68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10:11:24-0600',mode:absolute,to:'2016-08-04 13:05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68" s="57" t="str">
        <f t="shared" si="20"/>
        <v>N</v>
      </c>
      <c r="X68" s="117">
        <f t="shared" si="28"/>
        <v>1</v>
      </c>
      <c r="Y68" s="72">
        <f t="shared" si="21"/>
        <v>23.297999999999998</v>
      </c>
      <c r="Z68" s="72">
        <f t="shared" si="22"/>
        <v>1.6500000000000001E-2</v>
      </c>
      <c r="AA68" s="72">
        <f t="shared" si="23"/>
        <v>23.281499999999998</v>
      </c>
      <c r="AB68" s="69" t="e">
        <f>VLOOKUP(A68,Enforcements!$C$7:$J$24,8,0)</f>
        <v>#N/A</v>
      </c>
      <c r="AC68" s="65" t="e">
        <f>VLOOKUP(A68,Enforcements!$C$7:$E$24,3,0)</f>
        <v>#N/A</v>
      </c>
      <c r="AD68" s="66" t="str">
        <f t="shared" si="24"/>
        <v>0156-04</v>
      </c>
      <c r="AE68" s="124" t="str">
        <f t="shared" si="25"/>
        <v>aws s3 cp s3://rtdc.mdm.uploadarchive/RTDC4032/2016-08-04/ "%USERPROFILE%\AppData\Local\Temp\OnboardLogs"\RTDC4032\2016-08-04 --recursive &amp; "%USERPROFILE%\Documents\GitHub\mrs-test-scripts\Headless Mode &amp; Sideloading\WalkAndUnGZ.bat" "%USERPROFILE%\AppData\Local\Temp\OnboardLogs"\RTDC4032\2016-08-04 &amp; aws s3 cp s3://rtdc.mdm.uploadarchive/RTDC4032/2016-08-05/ "%USERPROFILE%\AppData\Local\Temp\OnboardLogs"\RTDC4032\2016-08-05 --recursive &amp; "%USERPROFILE%\Documents\GitHub\mrs-test-scripts\Headless Mode &amp; Sideloading\WalkAndUnGZ.bat" "%USERPROFILE%\AppData\Local\Temp\OnboardLogs"\RTDC4032\2016-08-05</v>
      </c>
      <c r="AF68" s="121" t="str">
        <f t="shared" si="26"/>
        <v>"C:\Program Files (x86)\AstroGrep\AstroGrep.exe" /spath="%USERPROFILE%\AppData\Local\Temp\OnboardLogs" /stypes="*4032*20160804*" /stext=" 18:.+((SYSTEM_STATE.+slice.+state.+changed )|(ment ac)|(system.+state.+changed )|(\|lc)|(penalty)|(\[timeout)|(PRM\|1\|D)|(kpr)|(kdp))" /e /r /s</v>
      </c>
      <c r="AG68" s="1" t="str">
        <f t="shared" si="29"/>
        <v>EC</v>
      </c>
      <c r="AH68" s="125" t="str">
        <f>refinertdcruntimes&amp;" --tripid "&amp;A68&amp;" --locoid "&amp;B68&amp;" --swversion "&amp;C68&amp;" --startMP "&amp;D68&amp;" --initTime "&amp;TEXT(E68,"yyyy-mm-ddTHH:MM:SS")&amp;" --startdatetime "&amp;TEXT(F68,"yyyy-mm-ddTHH:MM:SS")&amp;" --delay "&amp;G68&amp;" --endMP "&amp;H68&amp;" --enddatetime "&amp;TEXT(I68,"yyyy-mm-ddTHH:MM:SS")&amp;" --enforcementcount "&amp;J68&amp;" &gt;&gt; "&amp;TEXT(Variables!$A$2,"yyyy-mm-dd")&amp;"-refined-runtimes.txt"</f>
        <v>"%USERPROFILE%\Documents\GitHub\eaglep3\Utilities\RefineRTDCRunTimes.py" --tripid 156-04 --locoid 4032 --swversion DE.1.0.7.0 --startMP 204:232980 --initTime 2016-08-04T11:11:24 --startdatetime 2016-08-04T11:12:29 --delay 1 --endMP 204:165 --enddatetime 2016-08-04T12:05:01 --enforcementcount 0 &gt;&gt; 2016-08-04-refined-runtimes.txt</v>
      </c>
    </row>
    <row r="69" spans="1:34" x14ac:dyDescent="0.25">
      <c r="A69" s="25" t="s">
        <v>560</v>
      </c>
      <c r="B69" s="87">
        <v>4027</v>
      </c>
      <c r="C69" s="88" t="s">
        <v>163</v>
      </c>
      <c r="D69" s="88" t="s">
        <v>138</v>
      </c>
      <c r="E69" s="89">
        <v>42586.44363425926</v>
      </c>
      <c r="F69" s="89">
        <v>42586.444861111115</v>
      </c>
      <c r="G69" s="87">
        <v>1</v>
      </c>
      <c r="H69" s="89" t="s">
        <v>561</v>
      </c>
      <c r="I69" s="89">
        <v>42586.476365740738</v>
      </c>
      <c r="J69" s="87">
        <v>0</v>
      </c>
      <c r="K69" s="114" t="str">
        <f t="shared" si="15"/>
        <v>4027/4028</v>
      </c>
      <c r="L69" s="25" t="str">
        <f>VLOOKUP(A69,'Trips&amp;Operators'!$C$1:$E$10000,3,FALSE)</f>
        <v>CLARK</v>
      </c>
      <c r="M69" s="6">
        <f t="shared" si="16"/>
        <v>3.1504629623668734E-2</v>
      </c>
      <c r="N69" s="7">
        <f t="shared" si="2"/>
        <v>45.366666658082977</v>
      </c>
      <c r="O69" s="7"/>
      <c r="P69" s="7"/>
      <c r="Q69" s="26"/>
      <c r="R69" s="26"/>
      <c r="S69" s="38">
        <f t="shared" si="17"/>
        <v>1</v>
      </c>
      <c r="T69" s="55" t="str">
        <f t="shared" si="18"/>
        <v>NorthBound</v>
      </c>
      <c r="U69" s="77">
        <f>IF(AG69="EC",COUNTIFS(Variables!$M$2:$M$19,IF(T69="NorthBound","&gt;=","&lt;=")&amp;Y69,Variables!$M$2:$M$19,IF(T69="NorthBound","&lt;=","&gt;=")&amp;Z69),COUNTIFS(Variables!$P$2:$P$19,IF(T69="NorthBound","&gt;=","&lt;=")&amp;Y69,Variables!$P$2:$P$19,IF(T69="NorthBound","&lt;=","&gt;=")&amp;Z69))</f>
        <v>12</v>
      </c>
      <c r="V69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09:38:50-0600',mode:absolute,to:'2016-08-04 12:25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69" s="57" t="str">
        <f t="shared" si="20"/>
        <v>N</v>
      </c>
      <c r="X69" s="117">
        <f t="shared" si="28"/>
        <v>1</v>
      </c>
      <c r="Y69" s="72">
        <f t="shared" si="21"/>
        <v>4.6399999999999997E-2</v>
      </c>
      <c r="Z69" s="72">
        <f t="shared" si="22"/>
        <v>23.334399999999999</v>
      </c>
      <c r="AA69" s="72">
        <f t="shared" si="23"/>
        <v>23.288</v>
      </c>
      <c r="AB69" s="69" t="e">
        <f>VLOOKUP(A69,Enforcements!$C$7:$J$24,8,0)</f>
        <v>#N/A</v>
      </c>
      <c r="AC69" s="65" t="e">
        <f>VLOOKUP(A69,Enforcements!$C$7:$E$24,3,0)</f>
        <v>#N/A</v>
      </c>
      <c r="AD69" s="66" t="str">
        <f t="shared" si="24"/>
        <v>0157-04</v>
      </c>
      <c r="AE69" s="124" t="str">
        <f t="shared" si="25"/>
        <v>aws s3 cp s3://rtdc.mdm.uploadarchive/RTDC4027/2016-08-04/ "%USERPROFILE%\AppData\Local\Temp\OnboardLogs"\RTDC4027\2016-08-04 --recursive &amp; "%USERPROFILE%\Documents\GitHub\mrs-test-scripts\Headless Mode &amp; Sideloading\WalkAndUnGZ.bat" "%USERPROFILE%\AppData\Local\Temp\OnboardLogs"\RTDC4027\2016-08-04 &amp; aws s3 cp s3://rtdc.mdm.uploadarchive/RTDC4027/2016-08-05/ "%USERPROFILE%\AppData\Local\Temp\OnboardLogs"\RTDC4027\2016-08-05 --recursive &amp; "%USERPROFILE%\Documents\GitHub\mrs-test-scripts\Headless Mode &amp; Sideloading\WalkAndUnGZ.bat" "%USERPROFILE%\AppData\Local\Temp\OnboardLogs"\RTDC4027\2016-08-05</v>
      </c>
      <c r="AF69" s="121" t="str">
        <f t="shared" si="26"/>
        <v>"C:\Program Files (x86)\AstroGrep\AstroGrep.exe" /spath="%USERPROFILE%\AppData\Local\Temp\OnboardLogs" /stypes="*4027*20160804*" /stext=" 17:.+((SYSTEM_STATE.+slice.+state.+changed )|(ment ac)|(system.+state.+changed )|(\|lc)|(penalty)|(\[timeout)|(PRM\|1\|D)|(kpr)|(kdp))" /e /r /s</v>
      </c>
      <c r="AG69" s="1" t="str">
        <f t="shared" si="29"/>
        <v>EC</v>
      </c>
      <c r="AH69" s="125" t="str">
        <f>refinertdcruntimes&amp;" --tripid "&amp;A69&amp;" --locoid "&amp;B69&amp;" --swversion "&amp;C69&amp;" --startMP "&amp;D69&amp;" --initTime "&amp;TEXT(E69,"yyyy-mm-ddTHH:MM:SS")&amp;" --startdatetime "&amp;TEXT(F69,"yyyy-mm-ddTHH:MM:SS")&amp;" --delay "&amp;G69&amp;" --endMP "&amp;H69&amp;" --enddatetime "&amp;TEXT(I69,"yyyy-mm-ddTHH:MM:SS")&amp;" --enforcementcount "&amp;J69&amp;" &gt;&gt; "&amp;TEXT(Variables!$A$2,"yyyy-mm-dd")&amp;"-refined-runtimes.txt"</f>
        <v>"%USERPROFILE%\Documents\GitHub\eaglep3\Utilities\RefineRTDCRunTimes.py" --tripid 157-04 --locoid 4027 --swversion DE.1.0.7.0 --startMP 204:464 --initTime 2016-08-04T10:38:50 --startdatetime 2016-08-04T10:40:36 --delay 1 --endMP 204:233344 --enddatetime 2016-08-04T11:25:58 --enforcementcount 0 &gt;&gt; 2016-08-04-refined-runtimes.txt</v>
      </c>
    </row>
    <row r="70" spans="1:34" s="24" customFormat="1" x14ac:dyDescent="0.25">
      <c r="A70" s="25" t="s">
        <v>489</v>
      </c>
      <c r="B70" s="87">
        <v>4028</v>
      </c>
      <c r="C70" s="88" t="s">
        <v>163</v>
      </c>
      <c r="D70" s="88" t="s">
        <v>562</v>
      </c>
      <c r="E70" s="89">
        <v>42586.484039351853</v>
      </c>
      <c r="F70" s="89">
        <v>42586.486238425925</v>
      </c>
      <c r="G70" s="87">
        <v>3</v>
      </c>
      <c r="H70" s="89" t="s">
        <v>388</v>
      </c>
      <c r="I70" s="89">
        <v>42586.516875000001</v>
      </c>
      <c r="J70" s="87">
        <v>1</v>
      </c>
      <c r="K70" s="114" t="str">
        <f t="shared" si="15"/>
        <v>4027/4028</v>
      </c>
      <c r="L70" s="25" t="str">
        <f>VLOOKUP(A70,'Trips&amp;Operators'!$C$1:$E$10000,3,FALSE)</f>
        <v>CLARK</v>
      </c>
      <c r="M70" s="6">
        <f t="shared" si="16"/>
        <v>3.0636574076197576E-2</v>
      </c>
      <c r="N70" s="7">
        <f t="shared" si="2"/>
        <v>44.116666669724509</v>
      </c>
      <c r="O70" s="7"/>
      <c r="P70" s="7"/>
      <c r="Q70" s="26"/>
      <c r="R70" s="26"/>
      <c r="S70" s="38">
        <f t="shared" si="17"/>
        <v>1</v>
      </c>
      <c r="T70" s="55" t="str">
        <f t="shared" si="18"/>
        <v>Southbound</v>
      </c>
      <c r="U70" s="77">
        <f>IF(AG70="EC",COUNTIFS(Variables!$M$2:$M$19,IF(T70="NorthBound","&gt;=","&lt;=")&amp;Y70,Variables!$M$2:$M$19,IF(T70="NorthBound","&lt;=","&gt;=")&amp;Z70),COUNTIFS(Variables!$P$2:$P$19,IF(T70="NorthBound","&gt;=","&lt;=")&amp;Y70,Variables!$P$2:$P$19,IF(T70="NorthBound","&lt;=","&gt;=")&amp;Z70))</f>
        <v>12</v>
      </c>
      <c r="V70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10:37:01-0600',mode:absolute,to:'2016-08-04 13:24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70" s="57" t="str">
        <f t="shared" si="20"/>
        <v>N</v>
      </c>
      <c r="X70" s="117">
        <f t="shared" si="28"/>
        <v>1</v>
      </c>
      <c r="Y70" s="72">
        <f t="shared" si="21"/>
        <v>23.300999999999998</v>
      </c>
      <c r="Z70" s="72">
        <f t="shared" si="22"/>
        <v>1.5800000000000002E-2</v>
      </c>
      <c r="AA70" s="72">
        <f t="shared" si="23"/>
        <v>23.2852</v>
      </c>
      <c r="AB70" s="69">
        <f>VLOOKUP(A70,Enforcements!$C$7:$J$24,8,0)</f>
        <v>5457</v>
      </c>
      <c r="AC70" s="65" t="str">
        <f>VLOOKUP(A70,Enforcements!$C$7:$E$24,3,0)</f>
        <v>PERMANENT SPEED RESTRICTION</v>
      </c>
      <c r="AD70" s="66" t="str">
        <f t="shared" si="24"/>
        <v>0158-04</v>
      </c>
      <c r="AE70" s="124" t="str">
        <f t="shared" si="25"/>
        <v>aws s3 cp s3://rtdc.mdm.uploadarchive/RTDC4028/2016-08-04/ "%USERPROFILE%\AppData\Local\Temp\OnboardLogs"\RTDC4028\2016-08-04 --recursive &amp; "%USERPROFILE%\Documents\GitHub\mrs-test-scripts\Headless Mode &amp; Sideloading\WalkAndUnGZ.bat" "%USERPROFILE%\AppData\Local\Temp\OnboardLogs"\RTDC4028\2016-08-04 &amp; aws s3 cp s3://rtdc.mdm.uploadarchive/RTDC4028/2016-08-05/ "%USERPROFILE%\AppData\Local\Temp\OnboardLogs"\RTDC4028\2016-08-05 --recursive &amp; "%USERPROFILE%\Documents\GitHub\mrs-test-scripts\Headless Mode &amp; Sideloading\WalkAndUnGZ.bat" "%USERPROFILE%\AppData\Local\Temp\OnboardLogs"\RTDC4028\2016-08-05</v>
      </c>
      <c r="AF70" s="121" t="str">
        <f t="shared" si="26"/>
        <v>"C:\Program Files (x86)\AstroGrep\AstroGrep.exe" /spath="%USERPROFILE%\AppData\Local\Temp\OnboardLogs" /stypes="*4028*20160804*" /stext=" 18:.+((SYSTEM_STATE.+slice.+state.+changed )|(ment ac)|(system.+state.+changed )|(\|lc)|(penalty)|(\[timeout)|(PRM\|1\|D)|(kpr)|(kdp))" /e /r /s</v>
      </c>
      <c r="AG70" s="1" t="str">
        <f t="shared" si="29"/>
        <v>EC</v>
      </c>
      <c r="AH70" s="125" t="str">
        <f>refinertdcruntimes&amp;" --tripid "&amp;A70&amp;" --locoid "&amp;B70&amp;" --swversion "&amp;C70&amp;" --startMP "&amp;D70&amp;" --initTime "&amp;TEXT(E70,"yyyy-mm-ddTHH:MM:SS")&amp;" --startdatetime "&amp;TEXT(F70,"yyyy-mm-ddTHH:MM:SS")&amp;" --delay "&amp;G70&amp;" --endMP "&amp;H70&amp;" --enddatetime "&amp;TEXT(I70,"yyyy-mm-ddTHH:MM:SS")&amp;" --enforcementcount "&amp;J70&amp;" &gt;&gt; "&amp;TEXT(Variables!$A$2,"yyyy-mm-dd")&amp;"-refined-runtimes.txt"</f>
        <v>"%USERPROFILE%\Documents\GitHub\eaglep3\Utilities\RefineRTDCRunTimes.py" --tripid 158-04 --locoid 4028 --swversion DE.1.0.7.0 --startMP 204:233010 --initTime 2016-08-04T11:37:01 --startdatetime 2016-08-04T11:40:11 --delay 3 --endMP 204:158 --enddatetime 2016-08-04T12:24:18 --enforcementcount 1 &gt;&gt; 2016-08-04-refined-runtimes.txt</v>
      </c>
    </row>
    <row r="71" spans="1:34" x14ac:dyDescent="0.25">
      <c r="A71" s="25" t="s">
        <v>488</v>
      </c>
      <c r="B71" s="87">
        <v>4029</v>
      </c>
      <c r="C71" s="88" t="s">
        <v>163</v>
      </c>
      <c r="D71" s="88" t="s">
        <v>138</v>
      </c>
      <c r="E71" s="89">
        <v>42586.453784722224</v>
      </c>
      <c r="F71" s="89">
        <v>42586.454780092594</v>
      </c>
      <c r="G71" s="87">
        <v>1</v>
      </c>
      <c r="H71" s="89" t="s">
        <v>156</v>
      </c>
      <c r="I71" s="89">
        <v>42586.486226851855</v>
      </c>
      <c r="J71" s="87">
        <v>1</v>
      </c>
      <c r="K71" s="114" t="str">
        <f t="shared" si="15"/>
        <v>4029/4030</v>
      </c>
      <c r="L71" s="25" t="str">
        <f>VLOOKUP(A71,'Trips&amp;Operators'!$C$1:$E$10000,3,FALSE)</f>
        <v>OUN</v>
      </c>
      <c r="M71" s="6">
        <f t="shared" si="16"/>
        <v>3.1446759261598345E-2</v>
      </c>
      <c r="N71" s="7">
        <f t="shared" si="2"/>
        <v>45.283333336701617</v>
      </c>
      <c r="O71" s="7"/>
      <c r="P71" s="7"/>
      <c r="Q71" s="26"/>
      <c r="R71" s="26"/>
      <c r="S71" s="38">
        <f t="shared" si="17"/>
        <v>1</v>
      </c>
      <c r="T71" s="55" t="str">
        <f t="shared" si="18"/>
        <v>NorthBound</v>
      </c>
      <c r="U71" s="77">
        <f>IF(AG71="EC",COUNTIFS(Variables!$M$2:$M$19,IF(T71="NorthBound","&gt;=","&lt;=")&amp;Y71,Variables!$M$2:$M$19,IF(T71="NorthBound","&lt;=","&gt;=")&amp;Z71),COUNTIFS(Variables!$P$2:$P$19,IF(T71="NorthBound","&gt;=","&lt;=")&amp;Y71,Variables!$P$2:$P$19,IF(T71="NorthBound","&lt;=","&gt;=")&amp;Z71))</f>
        <v>12</v>
      </c>
      <c r="V71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09:53:27-0600',mode:absolute,to:'2016-08-04 12:40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71" s="57" t="str">
        <f t="shared" si="20"/>
        <v>N</v>
      </c>
      <c r="X71" s="117">
        <f t="shared" si="28"/>
        <v>1</v>
      </c>
      <c r="Y71" s="72">
        <f t="shared" si="21"/>
        <v>4.6399999999999997E-2</v>
      </c>
      <c r="Z71" s="72">
        <f t="shared" si="22"/>
        <v>23.329499999999999</v>
      </c>
      <c r="AA71" s="72">
        <f t="shared" si="23"/>
        <v>23.283100000000001</v>
      </c>
      <c r="AB71" s="69">
        <f>VLOOKUP(A71,Enforcements!$C$7:$J$24,8,0)</f>
        <v>43651</v>
      </c>
      <c r="AC71" s="65" t="str">
        <f>VLOOKUP(A71,Enforcements!$C$7:$E$24,3,0)</f>
        <v>SIGNAL</v>
      </c>
      <c r="AD71" s="66" t="str">
        <f t="shared" si="24"/>
        <v>0159-04</v>
      </c>
      <c r="AE71" s="124" t="str">
        <f t="shared" si="25"/>
        <v>aws s3 cp s3://rtdc.mdm.uploadarchive/RTDC4029/2016-08-04/ "%USERPROFILE%\AppData\Local\Temp\OnboardLogs"\RTDC4029\2016-08-04 --recursive &amp; "%USERPROFILE%\Documents\GitHub\mrs-test-scripts\Headless Mode &amp; Sideloading\WalkAndUnGZ.bat" "%USERPROFILE%\AppData\Local\Temp\OnboardLogs"\RTDC4029\2016-08-04 &amp; aws s3 cp s3://rtdc.mdm.uploadarchive/RTDC4029/2016-08-05/ "%USERPROFILE%\AppData\Local\Temp\OnboardLogs"\RTDC4029\2016-08-05 --recursive &amp; "%USERPROFILE%\Documents\GitHub\mrs-test-scripts\Headless Mode &amp; Sideloading\WalkAndUnGZ.bat" "%USERPROFILE%\AppData\Local\Temp\OnboardLogs"\RTDC4029\2016-08-05</v>
      </c>
      <c r="AF71" s="121" t="str">
        <f t="shared" si="26"/>
        <v>"C:\Program Files (x86)\AstroGrep\AstroGrep.exe" /spath="%USERPROFILE%\AppData\Local\Temp\OnboardLogs" /stypes="*4029*20160804*" /stext=" 17:.+((SYSTEM_STATE.+slice.+state.+changed )|(ment ac)|(system.+state.+changed )|(\|lc)|(penalty)|(\[timeout)|(PRM\|1\|D)|(kpr)|(kdp))" /e /r /s</v>
      </c>
      <c r="AG71" s="1" t="str">
        <f t="shared" si="29"/>
        <v>EC</v>
      </c>
      <c r="AH71" s="125" t="str">
        <f>refinertdcruntimes&amp;" --tripid "&amp;A71&amp;" --locoid "&amp;B71&amp;" --swversion "&amp;C71&amp;" --startMP "&amp;D71&amp;" --initTime "&amp;TEXT(E71,"yyyy-mm-ddTHH:MM:SS")&amp;" --startdatetime "&amp;TEXT(F71,"yyyy-mm-ddTHH:MM:SS")&amp;" --delay "&amp;G71&amp;" --endMP "&amp;H71&amp;" --enddatetime "&amp;TEXT(I71,"yyyy-mm-ddTHH:MM:SS")&amp;" --enforcementcount "&amp;J71&amp;" &gt;&gt; "&amp;TEXT(Variables!$A$2,"yyyy-mm-dd")&amp;"-refined-runtimes.txt"</f>
        <v>"%USERPROFILE%\Documents\GitHub\eaglep3\Utilities\RefineRTDCRunTimes.py" --tripid 159-04 --locoid 4029 --swversion DE.1.0.7.0 --startMP 204:464 --initTime 2016-08-04T10:53:27 --startdatetime 2016-08-04T10:54:53 --delay 1 --endMP 204:233295 --enddatetime 2016-08-04T11:40:10 --enforcementcount 1 &gt;&gt; 2016-08-04-refined-runtimes.txt</v>
      </c>
    </row>
    <row r="72" spans="1:34" x14ac:dyDescent="0.25">
      <c r="A72" s="25" t="s">
        <v>563</v>
      </c>
      <c r="B72" s="87">
        <v>4030</v>
      </c>
      <c r="C72" s="88" t="s">
        <v>163</v>
      </c>
      <c r="D72" s="88" t="s">
        <v>325</v>
      </c>
      <c r="E72" s="89">
        <v>42586.490486111114</v>
      </c>
      <c r="F72" s="89">
        <v>42586.491412037038</v>
      </c>
      <c r="G72" s="87">
        <v>1</v>
      </c>
      <c r="H72" s="89" t="s">
        <v>160</v>
      </c>
      <c r="I72" s="89">
        <v>42586.523333333331</v>
      </c>
      <c r="J72" s="87">
        <v>0</v>
      </c>
      <c r="K72" s="114" t="str">
        <f t="shared" si="15"/>
        <v>4029/4030</v>
      </c>
      <c r="L72" s="25" t="str">
        <f>VLOOKUP(A72,'Trips&amp;Operators'!$C$1:$E$10000,3,FALSE)</f>
        <v>OUN</v>
      </c>
      <c r="M72" s="6">
        <f t="shared" si="16"/>
        <v>3.1921296293148771E-2</v>
      </c>
      <c r="N72" s="7">
        <f t="shared" si="2"/>
        <v>45.96666666213423</v>
      </c>
      <c r="O72" s="7"/>
      <c r="P72" s="7"/>
      <c r="Q72" s="26"/>
      <c r="R72" s="26"/>
      <c r="S72" s="38">
        <f t="shared" si="17"/>
        <v>1</v>
      </c>
      <c r="T72" s="55" t="str">
        <f t="shared" si="18"/>
        <v>Southbound</v>
      </c>
      <c r="U72" s="77">
        <f>IF(AG72="EC",COUNTIFS(Variables!$M$2:$M$19,IF(T72="NorthBound","&gt;=","&lt;=")&amp;Y72,Variables!$M$2:$M$19,IF(T72="NorthBound","&lt;=","&gt;=")&amp;Z72),COUNTIFS(Variables!$P$2:$P$19,IF(T72="NorthBound","&gt;=","&lt;=")&amp;Y72,Variables!$P$2:$P$19,IF(T72="NorthBound","&lt;=","&gt;=")&amp;Z72))</f>
        <v>12</v>
      </c>
      <c r="V72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10:46:18-0600',mode:absolute,to:'2016-08-04 13:33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72" s="57" t="str">
        <f t="shared" si="20"/>
        <v>N</v>
      </c>
      <c r="X72" s="117">
        <f t="shared" si="28"/>
        <v>1</v>
      </c>
      <c r="Y72" s="72">
        <f t="shared" si="21"/>
        <v>23.299399999999999</v>
      </c>
      <c r="Z72" s="72">
        <f t="shared" si="22"/>
        <v>1.49E-2</v>
      </c>
      <c r="AA72" s="72">
        <f t="shared" si="23"/>
        <v>23.284499999999998</v>
      </c>
      <c r="AB72" s="69" t="e">
        <f>VLOOKUP(A72,Enforcements!$C$7:$J$24,8,0)</f>
        <v>#N/A</v>
      </c>
      <c r="AC72" s="65" t="e">
        <f>VLOOKUP(A72,Enforcements!$C$7:$E$24,3,0)</f>
        <v>#N/A</v>
      </c>
      <c r="AD72" s="66" t="str">
        <f t="shared" si="24"/>
        <v>0160-04</v>
      </c>
      <c r="AE72" s="124" t="str">
        <f t="shared" si="25"/>
        <v>aws s3 cp s3://rtdc.mdm.uploadarchive/RTDC4030/2016-08-04/ "%USERPROFILE%\AppData\Local\Temp\OnboardLogs"\RTDC4030\2016-08-04 --recursive &amp; "%USERPROFILE%\Documents\GitHub\mrs-test-scripts\Headless Mode &amp; Sideloading\WalkAndUnGZ.bat" "%USERPROFILE%\AppData\Local\Temp\OnboardLogs"\RTDC4030\2016-08-04 &amp; aws s3 cp s3://rtdc.mdm.uploadarchive/RTDC4030/2016-08-05/ "%USERPROFILE%\AppData\Local\Temp\OnboardLogs"\RTDC4030\2016-08-05 --recursive &amp; "%USERPROFILE%\Documents\GitHub\mrs-test-scripts\Headless Mode &amp; Sideloading\WalkAndUnGZ.bat" "%USERPROFILE%\AppData\Local\Temp\OnboardLogs"\RTDC4030\2016-08-05</v>
      </c>
      <c r="AF72" s="121" t="str">
        <f t="shared" si="26"/>
        <v>"C:\Program Files (x86)\AstroGrep\AstroGrep.exe" /spath="%USERPROFILE%\AppData\Local\Temp\OnboardLogs" /stypes="*4030*20160804*" /stext=" 18:.+((SYSTEM_STATE.+slice.+state.+changed )|(ment ac)|(system.+state.+changed )|(\|lc)|(penalty)|(\[timeout)|(PRM\|1\|D)|(kpr)|(kdp))" /e /r /s</v>
      </c>
      <c r="AG72" s="1" t="str">
        <f t="shared" si="29"/>
        <v>EC</v>
      </c>
      <c r="AH72" s="125" t="str">
        <f>refinertdcruntimes&amp;" --tripid "&amp;A72&amp;" --locoid "&amp;B72&amp;" --swversion "&amp;C72&amp;" --startMP "&amp;D72&amp;" --initTime "&amp;TEXT(E72,"yyyy-mm-ddTHH:MM:SS")&amp;" --startdatetime "&amp;TEXT(F72,"yyyy-mm-ddTHH:MM:SS")&amp;" --delay "&amp;G72&amp;" --endMP "&amp;H72&amp;" --enddatetime "&amp;TEXT(I72,"yyyy-mm-ddTHH:MM:SS")&amp;" --enforcementcount "&amp;J72&amp;" &gt;&gt; "&amp;TEXT(Variables!$A$2,"yyyy-mm-dd")&amp;"-refined-runtimes.txt"</f>
        <v>"%USERPROFILE%\Documents\GitHub\eaglep3\Utilities\RefineRTDCRunTimes.py" --tripid 160-04 --locoid 4030 --swversion DE.1.0.7.0 --startMP 204:232994 --initTime 2016-08-04T11:46:18 --startdatetime 2016-08-04T11:47:38 --delay 1 --endMP 204:149 --enddatetime 2016-08-04T12:33:36 --enforcementcount 0 &gt;&gt; 2016-08-04-refined-runtimes.txt</v>
      </c>
    </row>
    <row r="73" spans="1:34" x14ac:dyDescent="0.25">
      <c r="A73" s="25" t="s">
        <v>564</v>
      </c>
      <c r="B73" s="87">
        <v>4011</v>
      </c>
      <c r="C73" s="88" t="s">
        <v>163</v>
      </c>
      <c r="D73" s="88" t="s">
        <v>565</v>
      </c>
      <c r="E73" s="89">
        <v>42586.465937499997</v>
      </c>
      <c r="F73" s="89">
        <v>42586.467291666668</v>
      </c>
      <c r="G73" s="87">
        <v>1</v>
      </c>
      <c r="H73" s="89" t="s">
        <v>566</v>
      </c>
      <c r="I73" s="89">
        <v>42586.495173611111</v>
      </c>
      <c r="J73" s="87">
        <v>0</v>
      </c>
      <c r="K73" s="114" t="str">
        <f t="shared" si="15"/>
        <v>4011/4012</v>
      </c>
      <c r="L73" s="25" t="str">
        <f>VLOOKUP(A73,'Trips&amp;Operators'!$C$1:$E$10000,3,FALSE)</f>
        <v>SHOOK</v>
      </c>
      <c r="M73" s="6">
        <f t="shared" si="16"/>
        <v>2.7881944442924578E-2</v>
      </c>
      <c r="N73" s="7">
        <f t="shared" si="2"/>
        <v>40.149999997811392</v>
      </c>
      <c r="O73" s="7"/>
      <c r="P73" s="7"/>
      <c r="Q73" s="26"/>
      <c r="R73" s="26"/>
      <c r="S73" s="38">
        <f t="shared" si="17"/>
        <v>1</v>
      </c>
      <c r="T73" s="55" t="str">
        <f t="shared" si="18"/>
        <v>NorthBound</v>
      </c>
      <c r="U73" s="77">
        <f>IF(AG73="EC",COUNTIFS(Variables!$M$2:$M$19,IF(T73="NorthBound","&gt;=","&lt;=")&amp;Y73,Variables!$M$2:$M$19,IF(T73="NorthBound","&lt;=","&gt;=")&amp;Z73),COUNTIFS(Variables!$P$2:$P$19,IF(T73="NorthBound","&gt;=","&lt;=")&amp;Y73,Variables!$P$2:$P$19,IF(T73="NorthBound","&lt;=","&gt;=")&amp;Z73))</f>
        <v>12</v>
      </c>
      <c r="V73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10:10:57-0600',mode:absolute,to:'2016-08-04 12:53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73" s="57" t="str">
        <f t="shared" si="20"/>
        <v>N</v>
      </c>
      <c r="X73" s="117">
        <f t="shared" si="28"/>
        <v>1</v>
      </c>
      <c r="Y73" s="72">
        <f t="shared" si="21"/>
        <v>5.0799999999999998E-2</v>
      </c>
      <c r="Z73" s="72">
        <f t="shared" si="22"/>
        <v>23.335899999999999</v>
      </c>
      <c r="AA73" s="72">
        <f t="shared" si="23"/>
        <v>23.2851</v>
      </c>
      <c r="AB73" s="69" t="e">
        <f>VLOOKUP(A73,Enforcements!$C$7:$J$24,8,0)</f>
        <v>#N/A</v>
      </c>
      <c r="AC73" s="65" t="e">
        <f>VLOOKUP(A73,Enforcements!$C$7:$E$24,3,0)</f>
        <v>#N/A</v>
      </c>
      <c r="AD73" s="66" t="str">
        <f t="shared" si="24"/>
        <v>0161-04</v>
      </c>
      <c r="AE73" s="124" t="str">
        <f t="shared" si="25"/>
        <v>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 &amp; aws s3 cp s3://rtdc.mdm.uploadarchive/RTDC4011/2016-08-05/ "%USERPROFILE%\AppData\Local\Temp\OnboardLogs"\RTDC4011\2016-08-05 --recursive &amp; "%USERPROFILE%\Documents\GitHub\mrs-test-scripts\Headless Mode &amp; Sideloading\WalkAndUnGZ.bat" "%USERPROFILE%\AppData\Local\Temp\OnboardLogs"\RTDC4011\2016-08-05</v>
      </c>
      <c r="AF73" s="121" t="str">
        <f t="shared" si="26"/>
        <v>"C:\Program Files (x86)\AstroGrep\AstroGrep.exe" /spath="%USERPROFILE%\AppData\Local\Temp\OnboardLogs" /stypes="*4011*20160804*" /stext=" 17:.+((SYSTEM_STATE.+slice.+state.+changed )|(ment ac)|(system.+state.+changed )|(\|lc)|(penalty)|(\[timeout)|(PRM\|1\|D)|(kpr)|(kdp))" /e /r /s</v>
      </c>
      <c r="AG73" s="1" t="str">
        <f t="shared" si="29"/>
        <v>EC</v>
      </c>
      <c r="AH73" s="125" t="str">
        <f>refinertdcruntimes&amp;" --tripid "&amp;A73&amp;" --locoid "&amp;B73&amp;" --swversion "&amp;C73&amp;" --startMP "&amp;D73&amp;" --initTime "&amp;TEXT(E73,"yyyy-mm-ddTHH:MM:SS")&amp;" --startdatetime "&amp;TEXT(F73,"yyyy-mm-ddTHH:MM:SS")&amp;" --delay "&amp;G73&amp;" --endMP "&amp;H73&amp;" --enddatetime "&amp;TEXT(I73,"yyyy-mm-ddTHH:MM:SS")&amp;" --enforcementcount "&amp;J73&amp;" &gt;&gt; "&amp;TEXT(Variables!$A$2,"yyyy-mm-dd")&amp;"-refined-runtimes.txt"</f>
        <v>"%USERPROFILE%\Documents\GitHub\eaglep3\Utilities\RefineRTDCRunTimes.py" --tripid 161-04 --locoid 4011 --swversion DE.1.0.7.0 --startMP 204:508 --initTime 2016-08-04T11:10:57 --startdatetime 2016-08-04T11:12:54 --delay 1 --endMP 204:233359 --enddatetime 2016-08-04T11:53:03 --enforcementcount 0 &gt;&gt; 2016-08-04-refined-runtimes.txt</v>
      </c>
    </row>
    <row r="74" spans="1:34" x14ac:dyDescent="0.25">
      <c r="A74" s="25" t="s">
        <v>567</v>
      </c>
      <c r="B74" s="87">
        <v>4012</v>
      </c>
      <c r="C74" s="88" t="s">
        <v>163</v>
      </c>
      <c r="D74" s="88" t="s">
        <v>568</v>
      </c>
      <c r="E74" s="89">
        <v>42586.502291666664</v>
      </c>
      <c r="F74" s="89">
        <v>42586.50335648148</v>
      </c>
      <c r="G74" s="87">
        <v>1</v>
      </c>
      <c r="H74" s="89" t="s">
        <v>137</v>
      </c>
      <c r="I74" s="89">
        <v>42586.534803240742</v>
      </c>
      <c r="J74" s="87">
        <v>0</v>
      </c>
      <c r="K74" s="114" t="str">
        <f t="shared" si="15"/>
        <v>4011/4012</v>
      </c>
      <c r="L74" s="25" t="str">
        <f>VLOOKUP(A74,'Trips&amp;Operators'!$C$1:$E$10000,3,FALSE)</f>
        <v>SHOOK</v>
      </c>
      <c r="M74" s="6">
        <f t="shared" si="16"/>
        <v>3.1446759261598345E-2</v>
      </c>
      <c r="N74" s="7">
        <f t="shared" si="2"/>
        <v>45.283333336701617</v>
      </c>
      <c r="O74" s="7"/>
      <c r="P74" s="7"/>
      <c r="Q74" s="26"/>
      <c r="R74" s="26"/>
      <c r="S74" s="38">
        <f t="shared" si="17"/>
        <v>1</v>
      </c>
      <c r="T74" s="55" t="str">
        <f t="shared" si="18"/>
        <v>Southbound</v>
      </c>
      <c r="U74" s="77">
        <f>IF(AG74="EC",COUNTIFS(Variables!$M$2:$M$19,IF(T74="NorthBound","&gt;=","&lt;=")&amp;Y74,Variables!$M$2:$M$19,IF(T74="NorthBound","&lt;=","&gt;=")&amp;Z74),COUNTIFS(Variables!$P$2:$P$19,IF(T74="NorthBound","&gt;=","&lt;=")&amp;Y74,Variables!$P$2:$P$19,IF(T74="NorthBound","&lt;=","&gt;=")&amp;Z74))</f>
        <v>12</v>
      </c>
      <c r="V74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11:03:18-0600',mode:absolute,to:'2016-08-04 13:50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74" s="57" t="str">
        <f t="shared" si="20"/>
        <v>N</v>
      </c>
      <c r="X74" s="117">
        <f t="shared" si="28"/>
        <v>1</v>
      </c>
      <c r="Y74" s="72">
        <f t="shared" si="21"/>
        <v>23.306000000000001</v>
      </c>
      <c r="Z74" s="72">
        <f t="shared" si="22"/>
        <v>1.4999999999999999E-2</v>
      </c>
      <c r="AA74" s="72">
        <f t="shared" si="23"/>
        <v>23.291</v>
      </c>
      <c r="AB74" s="69" t="e">
        <f>VLOOKUP(A74,Enforcements!$C$7:$J$24,8,0)</f>
        <v>#N/A</v>
      </c>
      <c r="AC74" s="65" t="e">
        <f>VLOOKUP(A74,Enforcements!$C$7:$E$24,3,0)</f>
        <v>#N/A</v>
      </c>
      <c r="AD74" s="66" t="str">
        <f t="shared" si="24"/>
        <v>0162-04</v>
      </c>
      <c r="AE74" s="124" t="str">
        <f t="shared" si="25"/>
        <v>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 &amp; aws s3 cp s3://rtdc.mdm.uploadarchive/RTDC4012/2016-08-05/ "%USERPROFILE%\AppData\Local\Temp\OnboardLogs"\RTDC4012\2016-08-05 --recursive &amp; "%USERPROFILE%\Documents\GitHub\mrs-test-scripts\Headless Mode &amp; Sideloading\WalkAndUnGZ.bat" "%USERPROFILE%\AppData\Local\Temp\OnboardLogs"\RTDC4012\2016-08-05</v>
      </c>
      <c r="AF74" s="121" t="str">
        <f t="shared" si="26"/>
        <v>"C:\Program Files (x86)\AstroGrep\AstroGrep.exe" /spath="%USERPROFILE%\AppData\Local\Temp\OnboardLogs" /stypes="*4012*20160804*" /stext=" 18:.+((SYSTEM_STATE.+slice.+state.+changed )|(ment ac)|(system.+state.+changed )|(\|lc)|(penalty)|(\[timeout)|(PRM\|1\|D)|(kpr)|(kdp))" /e /r /s</v>
      </c>
      <c r="AG74" s="1" t="str">
        <f t="shared" si="29"/>
        <v>EC</v>
      </c>
      <c r="AH74" s="125" t="str">
        <f>refinertdcruntimes&amp;" --tripid "&amp;A74&amp;" --locoid "&amp;B74&amp;" --swversion "&amp;C74&amp;" --startMP "&amp;D74&amp;" --initTime "&amp;TEXT(E74,"yyyy-mm-ddTHH:MM:SS")&amp;" --startdatetime "&amp;TEXT(F74,"yyyy-mm-ddTHH:MM:SS")&amp;" --delay "&amp;G74&amp;" --endMP "&amp;H74&amp;" --enddatetime "&amp;TEXT(I74,"yyyy-mm-ddTHH:MM:SS")&amp;" --enforcementcount "&amp;J74&amp;" &gt;&gt; "&amp;TEXT(Variables!$A$2,"yyyy-mm-dd")&amp;"-refined-runtimes.txt"</f>
        <v>"%USERPROFILE%\Documents\GitHub\eaglep3\Utilities\RefineRTDCRunTimes.py" --tripid 162-04 --locoid 4012 --swversion DE.1.0.7.0 --startMP 204:233060 --initTime 2016-08-04T12:03:18 --startdatetime 2016-08-04T12:04:50 --delay 1 --endMP 204:150 --enddatetime 2016-08-04T12:50:07 --enforcementcount 0 &gt;&gt; 2016-08-04-refined-runtimes.txt</v>
      </c>
    </row>
    <row r="75" spans="1:34" x14ac:dyDescent="0.25">
      <c r="A75" s="25" t="s">
        <v>569</v>
      </c>
      <c r="B75" s="87">
        <v>4007</v>
      </c>
      <c r="C75" s="88" t="s">
        <v>163</v>
      </c>
      <c r="D75" s="88" t="s">
        <v>138</v>
      </c>
      <c r="E75" s="89">
        <v>42586.47625</v>
      </c>
      <c r="F75" s="89">
        <v>42586.477476851855</v>
      </c>
      <c r="G75" s="87">
        <v>1</v>
      </c>
      <c r="H75" s="89" t="s">
        <v>156</v>
      </c>
      <c r="I75" s="89">
        <v>42586.504606481481</v>
      </c>
      <c r="J75" s="87">
        <v>0</v>
      </c>
      <c r="K75" s="114" t="str">
        <f t="shared" si="15"/>
        <v>4007/4008</v>
      </c>
      <c r="L75" s="25" t="str">
        <f>VLOOKUP(A75,'Trips&amp;Operators'!$C$1:$E$10000,3,FALSE)</f>
        <v>MOSES</v>
      </c>
      <c r="M75" s="6">
        <f t="shared" si="16"/>
        <v>2.7129629626870155E-2</v>
      </c>
      <c r="N75" s="7">
        <f t="shared" si="2"/>
        <v>39.066666662693024</v>
      </c>
      <c r="O75" s="7"/>
      <c r="P75" s="7"/>
      <c r="Q75" s="26"/>
      <c r="R75" s="26"/>
      <c r="S75" s="38">
        <f t="shared" si="17"/>
        <v>1</v>
      </c>
      <c r="T75" s="55" t="str">
        <f t="shared" si="18"/>
        <v>NorthBound</v>
      </c>
      <c r="U75" s="77">
        <f>IF(AG75="EC",COUNTIFS(Variables!$M$2:$M$19,IF(T75="NorthBound","&gt;=","&lt;=")&amp;Y75,Variables!$M$2:$M$19,IF(T75="NorthBound","&lt;=","&gt;=")&amp;Z75),COUNTIFS(Variables!$P$2:$P$19,IF(T75="NorthBound","&gt;=","&lt;=")&amp;Y75,Variables!$P$2:$P$19,IF(T75="NorthBound","&lt;=","&gt;=")&amp;Z75))</f>
        <v>12</v>
      </c>
      <c r="V75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10:25:48-0600',mode:absolute,to:'2016-08-04 13:06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75" s="57" t="str">
        <f t="shared" si="20"/>
        <v>N</v>
      </c>
      <c r="X75" s="117">
        <f t="shared" si="28"/>
        <v>1</v>
      </c>
      <c r="Y75" s="72">
        <f t="shared" si="21"/>
        <v>4.6399999999999997E-2</v>
      </c>
      <c r="Z75" s="72">
        <f t="shared" si="22"/>
        <v>23.329499999999999</v>
      </c>
      <c r="AA75" s="72">
        <f t="shared" si="23"/>
        <v>23.283100000000001</v>
      </c>
      <c r="AB75" s="69" t="e">
        <f>VLOOKUP(A75,Enforcements!$C$7:$J$24,8,0)</f>
        <v>#N/A</v>
      </c>
      <c r="AC75" s="65" t="e">
        <f>VLOOKUP(A75,Enforcements!$C$7:$E$24,3,0)</f>
        <v>#N/A</v>
      </c>
      <c r="AD75" s="66" t="str">
        <f t="shared" si="24"/>
        <v>0163-04</v>
      </c>
      <c r="AE75" s="124" t="str">
        <f t="shared" si="25"/>
        <v>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 &amp; aws s3 cp s3://rtdc.mdm.uploadarchive/RTDC4007/2016-08-05/ "%USERPROFILE%\AppData\Local\Temp\OnboardLogs"\RTDC4007\2016-08-05 --recursive &amp; "%USERPROFILE%\Documents\GitHub\mrs-test-scripts\Headless Mode &amp; Sideloading\WalkAndUnGZ.bat" "%USERPROFILE%\AppData\Local\Temp\OnboardLogs"\RTDC4007\2016-08-05</v>
      </c>
      <c r="AF75" s="121" t="str">
        <f t="shared" si="26"/>
        <v>"C:\Program Files (x86)\AstroGrep\AstroGrep.exe" /spath="%USERPROFILE%\AppData\Local\Temp\OnboardLogs" /stypes="*4007*20160804*" /stext=" 18:.+((SYSTEM_STATE.+slice.+state.+changed )|(ment ac)|(system.+state.+changed )|(\|lc)|(penalty)|(\[timeout)|(PRM\|1\|D)|(kpr)|(kdp))" /e /r /s</v>
      </c>
      <c r="AG75" s="1" t="str">
        <f t="shared" si="29"/>
        <v>EC</v>
      </c>
      <c r="AH75" s="125" t="str">
        <f>refinertdcruntimes&amp;" --tripid "&amp;A75&amp;" --locoid "&amp;B75&amp;" --swversion "&amp;C75&amp;" --startMP "&amp;D75&amp;" --initTime "&amp;TEXT(E75,"yyyy-mm-ddTHH:MM:SS")&amp;" --startdatetime "&amp;TEXT(F75,"yyyy-mm-ddTHH:MM:SS")&amp;" --delay "&amp;G75&amp;" --endMP "&amp;H75&amp;" --enddatetime "&amp;TEXT(I75,"yyyy-mm-ddTHH:MM:SS")&amp;" --enforcementcount "&amp;J75&amp;" &gt;&gt; "&amp;TEXT(Variables!$A$2,"yyyy-mm-dd")&amp;"-refined-runtimes.txt"</f>
        <v>"%USERPROFILE%\Documents\GitHub\eaglep3\Utilities\RefineRTDCRunTimes.py" --tripid 163-04 --locoid 4007 --swversion DE.1.0.7.0 --startMP 204:464 --initTime 2016-08-04T11:25:48 --startdatetime 2016-08-04T11:27:34 --delay 1 --endMP 204:233295 --enddatetime 2016-08-04T12:06:38 --enforcementcount 0 &gt;&gt; 2016-08-04-refined-runtimes.txt</v>
      </c>
    </row>
    <row r="76" spans="1:34" x14ac:dyDescent="0.25">
      <c r="A76" s="25" t="s">
        <v>570</v>
      </c>
      <c r="B76" s="87">
        <v>4008</v>
      </c>
      <c r="C76" s="88" t="s">
        <v>163</v>
      </c>
      <c r="D76" s="88" t="s">
        <v>392</v>
      </c>
      <c r="E76" s="89">
        <v>42586.514884259261</v>
      </c>
      <c r="F76" s="89">
        <v>42586.516006944446</v>
      </c>
      <c r="G76" s="87">
        <v>1</v>
      </c>
      <c r="H76" s="89" t="s">
        <v>301</v>
      </c>
      <c r="I76" s="89">
        <v>42586.545740740738</v>
      </c>
      <c r="J76" s="87">
        <v>0</v>
      </c>
      <c r="K76" s="114" t="str">
        <f t="shared" si="15"/>
        <v>4007/4008</v>
      </c>
      <c r="L76" s="25" t="str">
        <f>VLOOKUP(A76,'Trips&amp;Operators'!$C$1:$E$10000,3,FALSE)</f>
        <v>MOSES</v>
      </c>
      <c r="M76" s="6">
        <f t="shared" si="16"/>
        <v>2.9733796291111503E-2</v>
      </c>
      <c r="N76" s="7">
        <f t="shared" si="2"/>
        <v>42.816666659200564</v>
      </c>
      <c r="O76" s="7"/>
      <c r="P76" s="7"/>
      <c r="Q76" s="26"/>
      <c r="R76" s="26"/>
      <c r="S76" s="38">
        <f t="shared" si="17"/>
        <v>1</v>
      </c>
      <c r="T76" s="55" t="str">
        <f t="shared" si="18"/>
        <v>Southbound</v>
      </c>
      <c r="U76" s="77">
        <f>IF(AG76="EC",COUNTIFS(Variables!$M$2:$M$19,IF(T76="NorthBound","&gt;=","&lt;=")&amp;Y76,Variables!$M$2:$M$19,IF(T76="NorthBound","&lt;=","&gt;=")&amp;Z76),COUNTIFS(Variables!$P$2:$P$19,IF(T76="NorthBound","&gt;=","&lt;=")&amp;Y76,Variables!$P$2:$P$19,IF(T76="NorthBound","&lt;=","&gt;=")&amp;Z76))</f>
        <v>12</v>
      </c>
      <c r="V76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11:21:26-0600',mode:absolute,to:'2016-08-04 14:05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76" s="57" t="str">
        <f t="shared" si="20"/>
        <v>N</v>
      </c>
      <c r="X76" s="117">
        <f t="shared" si="28"/>
        <v>1</v>
      </c>
      <c r="Y76" s="72">
        <f t="shared" si="21"/>
        <v>23.296700000000001</v>
      </c>
      <c r="Z76" s="72">
        <f t="shared" si="22"/>
        <v>1.6500000000000001E-2</v>
      </c>
      <c r="AA76" s="72">
        <f t="shared" si="23"/>
        <v>23.280200000000001</v>
      </c>
      <c r="AB76" s="69" t="e">
        <f>VLOOKUP(A76,Enforcements!$C$7:$J$24,8,0)</f>
        <v>#N/A</v>
      </c>
      <c r="AC76" s="65" t="e">
        <f>VLOOKUP(A76,Enforcements!$C$7:$E$24,3,0)</f>
        <v>#N/A</v>
      </c>
      <c r="AD76" s="66" t="str">
        <f t="shared" si="24"/>
        <v>0164-04</v>
      </c>
      <c r="AE76" s="124" t="str">
        <f t="shared" si="25"/>
        <v>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 &amp; aws s3 cp s3://rtdc.mdm.uploadarchive/RTDC4008/2016-08-05/ "%USERPROFILE%\AppData\Local\Temp\OnboardLogs"\RTDC4008\2016-08-05 --recursive &amp; "%USERPROFILE%\Documents\GitHub\mrs-test-scripts\Headless Mode &amp; Sideloading\WalkAndUnGZ.bat" "%USERPROFILE%\AppData\Local\Temp\OnboardLogs"\RTDC4008\2016-08-05</v>
      </c>
      <c r="AF76" s="121" t="str">
        <f t="shared" si="26"/>
        <v>"C:\Program Files (x86)\AstroGrep\AstroGrep.exe" /spath="%USERPROFILE%\AppData\Local\Temp\OnboardLogs" /stypes="*4008*20160804*" /stext=" 19:.+((SYSTEM_STATE.+slice.+state.+changed )|(ment ac)|(system.+state.+changed )|(\|lc)|(penalty)|(\[timeout)|(PRM\|1\|D)|(kpr)|(kdp))" /e /r /s</v>
      </c>
      <c r="AG76" s="1" t="str">
        <f t="shared" si="29"/>
        <v>EC</v>
      </c>
      <c r="AH76" s="125" t="str">
        <f>refinertdcruntimes&amp;" --tripid "&amp;A76&amp;" --locoid "&amp;B76&amp;" --swversion "&amp;C76&amp;" --startMP "&amp;D76&amp;" --initTime "&amp;TEXT(E76,"yyyy-mm-ddTHH:MM:SS")&amp;" --startdatetime "&amp;TEXT(F76,"yyyy-mm-ddTHH:MM:SS")&amp;" --delay "&amp;G76&amp;" --endMP "&amp;H76&amp;" --enddatetime "&amp;TEXT(I76,"yyyy-mm-ddTHH:MM:SS")&amp;" --enforcementcount "&amp;J76&amp;" &gt;&gt; "&amp;TEXT(Variables!$A$2,"yyyy-mm-dd")&amp;"-refined-runtimes.txt"</f>
        <v>"%USERPROFILE%\Documents\GitHub\eaglep3\Utilities\RefineRTDCRunTimes.py" --tripid 164-04 --locoid 4008 --swversion DE.1.0.7.0 --startMP 204:232967 --initTime 2016-08-04T12:21:26 --startdatetime 2016-08-04T12:23:03 --delay 1 --endMP 204:165 --enddatetime 2016-08-04T13:05:52 --enforcementcount 0 &gt;&gt; 2016-08-04-refined-runtimes.txt</v>
      </c>
    </row>
    <row r="77" spans="1:34" x14ac:dyDescent="0.25">
      <c r="A77" s="25" t="s">
        <v>571</v>
      </c>
      <c r="B77" s="87">
        <v>4025</v>
      </c>
      <c r="C77" s="88" t="s">
        <v>163</v>
      </c>
      <c r="D77" s="88" t="s">
        <v>138</v>
      </c>
      <c r="E77" s="89">
        <v>42586.486898148149</v>
      </c>
      <c r="F77" s="89">
        <v>42586.488263888888</v>
      </c>
      <c r="G77" s="87">
        <v>1</v>
      </c>
      <c r="H77" s="89" t="s">
        <v>382</v>
      </c>
      <c r="I77" s="89">
        <v>42586.514305555553</v>
      </c>
      <c r="J77" s="87">
        <v>0</v>
      </c>
      <c r="K77" s="114" t="str">
        <f t="shared" si="15"/>
        <v>4025/4026</v>
      </c>
      <c r="L77" s="25" t="str">
        <f>VLOOKUP(A77,'Trips&amp;Operators'!$C$1:$E$10000,3,FALSE)</f>
        <v>NEWELL</v>
      </c>
      <c r="M77" s="6">
        <f t="shared" si="16"/>
        <v>2.6041666664241347E-2</v>
      </c>
      <c r="N77" s="7">
        <f t="shared" si="2"/>
        <v>37.49999999650754</v>
      </c>
      <c r="O77" s="7"/>
      <c r="P77" s="7"/>
      <c r="Q77" s="26"/>
      <c r="R77" s="26"/>
      <c r="S77" s="38">
        <f t="shared" si="17"/>
        <v>1</v>
      </c>
      <c r="T77" s="55" t="str">
        <f t="shared" si="18"/>
        <v>NorthBound</v>
      </c>
      <c r="U77" s="77">
        <f>IF(AG77="EC",COUNTIFS(Variables!$M$2:$M$19,IF(T77="NorthBound","&gt;=","&lt;=")&amp;Y77,Variables!$M$2:$M$19,IF(T77="NorthBound","&lt;=","&gt;=")&amp;Z77),COUNTIFS(Variables!$P$2:$P$19,IF(T77="NorthBound","&gt;=","&lt;=")&amp;Y77,Variables!$P$2:$P$19,IF(T77="NorthBound","&lt;=","&gt;=")&amp;Z77))</f>
        <v>12</v>
      </c>
      <c r="V77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10:41:08-0600',mode:absolute,to:'2016-08-04 13:20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77" s="57" t="str">
        <f t="shared" si="20"/>
        <v>N</v>
      </c>
      <c r="X77" s="117">
        <f t="shared" si="28"/>
        <v>1</v>
      </c>
      <c r="Y77" s="72">
        <f t="shared" si="21"/>
        <v>4.6399999999999997E-2</v>
      </c>
      <c r="Z77" s="72">
        <f t="shared" si="22"/>
        <v>23.331199999999999</v>
      </c>
      <c r="AA77" s="72">
        <f t="shared" si="23"/>
        <v>23.284800000000001</v>
      </c>
      <c r="AB77" s="69" t="e">
        <f>VLOOKUP(A77,Enforcements!$C$7:$J$24,8,0)</f>
        <v>#N/A</v>
      </c>
      <c r="AC77" s="65" t="e">
        <f>VLOOKUP(A77,Enforcements!$C$7:$E$24,3,0)</f>
        <v>#N/A</v>
      </c>
      <c r="AD77" s="66" t="str">
        <f t="shared" si="24"/>
        <v>0165-04</v>
      </c>
      <c r="AE77" s="124" t="str">
        <f t="shared" si="25"/>
        <v>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 &amp; aws s3 cp s3://rtdc.mdm.uploadarchive/RTDC4025/2016-08-05/ "%USERPROFILE%\AppData\Local\Temp\OnboardLogs"\RTDC4025\2016-08-05 --recursive &amp; "%USERPROFILE%\Documents\GitHub\mrs-test-scripts\Headless Mode &amp; Sideloading\WalkAndUnGZ.bat" "%USERPROFILE%\AppData\Local\Temp\OnboardLogs"\RTDC4025\2016-08-05</v>
      </c>
      <c r="AF77" s="121" t="str">
        <f t="shared" si="26"/>
        <v>"C:\Program Files (x86)\AstroGrep\AstroGrep.exe" /spath="%USERPROFILE%\AppData\Local\Temp\OnboardLogs" /stypes="*4025*20160804*" /stext=" 18:.+((SYSTEM_STATE.+slice.+state.+changed )|(ment ac)|(system.+state.+changed )|(\|lc)|(penalty)|(\[timeout)|(PRM\|1\|D)|(kpr)|(kdp))" /e /r /s</v>
      </c>
      <c r="AG77" s="1" t="str">
        <f t="shared" si="29"/>
        <v>EC</v>
      </c>
      <c r="AH77" s="125" t="str">
        <f>refinertdcruntimes&amp;" --tripid "&amp;A77&amp;" --locoid "&amp;B77&amp;" --swversion "&amp;C77&amp;" --startMP "&amp;D77&amp;" --initTime "&amp;TEXT(E77,"yyyy-mm-ddTHH:MM:SS")&amp;" --startdatetime "&amp;TEXT(F77,"yyyy-mm-ddTHH:MM:SS")&amp;" --delay "&amp;G77&amp;" --endMP "&amp;H77&amp;" --enddatetime "&amp;TEXT(I77,"yyyy-mm-ddTHH:MM:SS")&amp;" --enforcementcount "&amp;J77&amp;" &gt;&gt; "&amp;TEXT(Variables!$A$2,"yyyy-mm-dd")&amp;"-refined-runtimes.txt"</f>
        <v>"%USERPROFILE%\Documents\GitHub\eaglep3\Utilities\RefineRTDCRunTimes.py" --tripid 165-04 --locoid 4025 --swversion DE.1.0.7.0 --startMP 204:464 --initTime 2016-08-04T11:41:08 --startdatetime 2016-08-04T11:43:06 --delay 1 --endMP 204:233312 --enddatetime 2016-08-04T12:20:36 --enforcementcount 0 &gt;&gt; 2016-08-04-refined-runtimes.txt</v>
      </c>
    </row>
    <row r="78" spans="1:34" x14ac:dyDescent="0.25">
      <c r="A78" s="25" t="s">
        <v>572</v>
      </c>
      <c r="B78" s="87">
        <v>4026</v>
      </c>
      <c r="C78" s="88" t="s">
        <v>163</v>
      </c>
      <c r="D78" s="88" t="s">
        <v>573</v>
      </c>
      <c r="E78" s="89">
        <v>42586.515949074077</v>
      </c>
      <c r="F78" s="89">
        <v>42586.516932870371</v>
      </c>
      <c r="G78" s="87">
        <v>1</v>
      </c>
      <c r="H78" s="89" t="s">
        <v>385</v>
      </c>
      <c r="I78" s="89">
        <v>42586.555081018516</v>
      </c>
      <c r="J78" s="87">
        <v>0</v>
      </c>
      <c r="K78" s="114" t="str">
        <f t="shared" si="15"/>
        <v>4025/4026</v>
      </c>
      <c r="L78" s="25" t="str">
        <f>VLOOKUP(A78,'Trips&amp;Operators'!$C$1:$E$10000,3,FALSE)</f>
        <v>NEWELL</v>
      </c>
      <c r="M78" s="6">
        <f t="shared" si="16"/>
        <v>3.8148148145410232E-2</v>
      </c>
      <c r="N78" s="7">
        <f t="shared" si="2"/>
        <v>54.933333329390734</v>
      </c>
      <c r="O78" s="7"/>
      <c r="P78" s="7"/>
      <c r="Q78" s="26"/>
      <c r="R78" s="26"/>
      <c r="S78" s="38">
        <f t="shared" si="17"/>
        <v>1</v>
      </c>
      <c r="T78" s="55" t="str">
        <f t="shared" si="18"/>
        <v>Southbound</v>
      </c>
      <c r="U78" s="77">
        <f>IF(AG78="EC",COUNTIFS(Variables!$M$2:$M$19,IF(T78="NorthBound","&gt;=","&lt;=")&amp;Y78,Variables!$M$2:$M$19,IF(T78="NorthBound","&lt;=","&gt;=")&amp;Z78),COUNTIFS(Variables!$P$2:$P$19,IF(T78="NorthBound","&gt;=","&lt;=")&amp;Y78,Variables!$P$2:$P$19,IF(T78="NorthBound","&lt;=","&gt;=")&amp;Z78))</f>
        <v>12</v>
      </c>
      <c r="V78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11:22:58-0600',mode:absolute,to:'2016-08-04 14:19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78" s="57" t="str">
        <f t="shared" si="20"/>
        <v>N</v>
      </c>
      <c r="X78" s="117">
        <f t="shared" si="28"/>
        <v>1</v>
      </c>
      <c r="Y78" s="72">
        <f t="shared" si="21"/>
        <v>23.301100000000002</v>
      </c>
      <c r="Z78" s="72">
        <f t="shared" si="22"/>
        <v>1.2999999999999999E-2</v>
      </c>
      <c r="AA78" s="72">
        <f t="shared" si="23"/>
        <v>23.2881</v>
      </c>
      <c r="AB78" s="69" t="e">
        <f>VLOOKUP(A78,Enforcements!$C$7:$J$24,8,0)</f>
        <v>#N/A</v>
      </c>
      <c r="AC78" s="65" t="e">
        <f>VLOOKUP(A78,Enforcements!$C$7:$E$24,3,0)</f>
        <v>#N/A</v>
      </c>
      <c r="AD78" s="66" t="str">
        <f t="shared" si="24"/>
        <v>0166-04</v>
      </c>
      <c r="AE78" s="124" t="str">
        <f t="shared" si="25"/>
        <v>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 &amp; aws s3 cp s3://rtdc.mdm.uploadarchive/RTDC4026/2016-08-05/ "%USERPROFILE%\AppData\Local\Temp\OnboardLogs"\RTDC4026\2016-08-05 --recursive &amp; "%USERPROFILE%\Documents\GitHub\mrs-test-scripts\Headless Mode &amp; Sideloading\WalkAndUnGZ.bat" "%USERPROFILE%\AppData\Local\Temp\OnboardLogs"\RTDC4026\2016-08-05</v>
      </c>
      <c r="AF78" s="121" t="str">
        <f t="shared" si="26"/>
        <v>"C:\Program Files (x86)\AstroGrep\AstroGrep.exe" /spath="%USERPROFILE%\AppData\Local\Temp\OnboardLogs" /stypes="*4026*20160804*" /stext=" 19:.+((SYSTEM_STATE.+slice.+state.+changed )|(ment ac)|(system.+state.+changed )|(\|lc)|(penalty)|(\[timeout)|(PRM\|1\|D)|(kpr)|(kdp))" /e /r /s</v>
      </c>
      <c r="AG78" s="1" t="str">
        <f t="shared" si="29"/>
        <v>EC</v>
      </c>
      <c r="AH78" s="125" t="str">
        <f>refinertdcruntimes&amp;" --tripid "&amp;A78&amp;" --locoid "&amp;B78&amp;" --swversion "&amp;C78&amp;" --startMP "&amp;D78&amp;" --initTime "&amp;TEXT(E78,"yyyy-mm-ddTHH:MM:SS")&amp;" --startdatetime "&amp;TEXT(F78,"yyyy-mm-ddTHH:MM:SS")&amp;" --delay "&amp;G78&amp;" --endMP "&amp;H78&amp;" --enddatetime "&amp;TEXT(I78,"yyyy-mm-ddTHH:MM:SS")&amp;" --enforcementcount "&amp;J78&amp;" &gt;&gt; "&amp;TEXT(Variables!$A$2,"yyyy-mm-dd")&amp;"-refined-runtimes.txt"</f>
        <v>"%USERPROFILE%\Documents\GitHub\eaglep3\Utilities\RefineRTDCRunTimes.py" --tripid 166-04 --locoid 4026 --swversion DE.1.0.7.0 --startMP 204:233011 --initTime 2016-08-04T12:22:58 --startdatetime 2016-08-04T12:24:23 --delay 1 --endMP 204:130 --enddatetime 2016-08-04T13:19:19 --enforcementcount 0 &gt;&gt; 2016-08-04-refined-runtimes.txt</v>
      </c>
    </row>
    <row r="79" spans="1:34" x14ac:dyDescent="0.25">
      <c r="A79" s="25" t="s">
        <v>574</v>
      </c>
      <c r="B79" s="87">
        <v>4038</v>
      </c>
      <c r="C79" s="88" t="s">
        <v>163</v>
      </c>
      <c r="D79" s="88" t="s">
        <v>302</v>
      </c>
      <c r="E79" s="89">
        <v>42586.499791666669</v>
      </c>
      <c r="F79" s="89">
        <v>42586.500810185185</v>
      </c>
      <c r="G79" s="87">
        <v>1</v>
      </c>
      <c r="H79" s="89" t="s">
        <v>575</v>
      </c>
      <c r="I79" s="89">
        <v>42586.525393518517</v>
      </c>
      <c r="J79" s="87">
        <v>0</v>
      </c>
      <c r="K79" s="114" t="str">
        <f t="shared" si="15"/>
        <v>4037/4038</v>
      </c>
      <c r="L79" s="25" t="str">
        <f>VLOOKUP(A79,'Trips&amp;Operators'!$C$1:$E$10000,3,FALSE)</f>
        <v>HELVIE</v>
      </c>
      <c r="M79" s="6">
        <f t="shared" si="16"/>
        <v>2.4583333331975155E-2</v>
      </c>
      <c r="N79" s="7">
        <f t="shared" ref="N79:N141" si="41">24*60*SUM($M79:$M79)</f>
        <v>35.399999998044223</v>
      </c>
      <c r="O79" s="7"/>
      <c r="P79" s="7"/>
      <c r="Q79" s="26"/>
      <c r="R79" s="26"/>
      <c r="S79" s="38">
        <f t="shared" si="17"/>
        <v>1</v>
      </c>
      <c r="T79" s="55" t="str">
        <f t="shared" si="18"/>
        <v>NorthBound</v>
      </c>
      <c r="U79" s="77">
        <f>IF(AG79="EC",COUNTIFS(Variables!$M$2:$M$19,IF(T79="NorthBound","&gt;=","&lt;=")&amp;Y79,Variables!$M$2:$M$19,IF(T79="NorthBound","&lt;=","&gt;=")&amp;Z79),COUNTIFS(Variables!$P$2:$P$19,IF(T79="NorthBound","&gt;=","&lt;=")&amp;Y79,Variables!$P$2:$P$19,IF(T79="NorthBound","&lt;=","&gt;=")&amp;Z79))</f>
        <v>12</v>
      </c>
      <c r="V79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10:59:42-0600',mode:absolute,to:'2016-08-04 13:36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79" s="57" t="str">
        <f t="shared" si="20"/>
        <v>N</v>
      </c>
      <c r="X79" s="117">
        <f t="shared" si="28"/>
        <v>1</v>
      </c>
      <c r="Y79" s="72">
        <f t="shared" si="21"/>
        <v>4.5100000000000001E-2</v>
      </c>
      <c r="Z79" s="72">
        <f t="shared" si="22"/>
        <v>23.331800000000001</v>
      </c>
      <c r="AA79" s="72">
        <f t="shared" si="23"/>
        <v>23.2867</v>
      </c>
      <c r="AB79" s="69" t="e">
        <f>VLOOKUP(A79,Enforcements!$C$7:$J$24,8,0)</f>
        <v>#N/A</v>
      </c>
      <c r="AC79" s="65" t="e">
        <f>VLOOKUP(A79,Enforcements!$C$7:$E$24,3,0)</f>
        <v>#N/A</v>
      </c>
      <c r="AD79" s="66" t="str">
        <f t="shared" si="24"/>
        <v>0167-04</v>
      </c>
      <c r="AE79" s="124" t="str">
        <f t="shared" si="25"/>
        <v>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 &amp; aws s3 cp s3://rtdc.mdm.uploadarchive/RTDC4038/2016-08-05/ "%USERPROFILE%\AppData\Local\Temp\OnboardLogs"\RTDC4038\2016-08-05 --recursive &amp; "%USERPROFILE%\Documents\GitHub\mrs-test-scripts\Headless Mode &amp; Sideloading\WalkAndUnGZ.bat" "%USERPROFILE%\AppData\Local\Temp\OnboardLogs"\RTDC4038\2016-08-05</v>
      </c>
      <c r="AF79" s="121" t="str">
        <f t="shared" si="26"/>
        <v>"C:\Program Files (x86)\AstroGrep\AstroGrep.exe" /spath="%USERPROFILE%\AppData\Local\Temp\OnboardLogs" /stypes="*4038*20160804*" /stext=" 18:.+((SYSTEM_STATE.+slice.+state.+changed )|(ment ac)|(system.+state.+changed )|(\|lc)|(penalty)|(\[timeout)|(PRM\|1\|D)|(kpr)|(kdp))" /e /r /s</v>
      </c>
      <c r="AG79" s="1" t="str">
        <f t="shared" si="29"/>
        <v>EC</v>
      </c>
      <c r="AH79" s="125" t="str">
        <f>refinertdcruntimes&amp;" --tripid "&amp;A79&amp;" --locoid "&amp;B79&amp;" --swversion "&amp;C79&amp;" --startMP "&amp;D79&amp;" --initTime "&amp;TEXT(E79,"yyyy-mm-ddTHH:MM:SS")&amp;" --startdatetime "&amp;TEXT(F79,"yyyy-mm-ddTHH:MM:SS")&amp;" --delay "&amp;G79&amp;" --endMP "&amp;H79&amp;" --enddatetime "&amp;TEXT(I79,"yyyy-mm-ddTHH:MM:SS")&amp;" --enforcementcount "&amp;J79&amp;" &gt;&gt; "&amp;TEXT(Variables!$A$2,"yyyy-mm-dd")&amp;"-refined-runtimes.txt"</f>
        <v>"%USERPROFILE%\Documents\GitHub\eaglep3\Utilities\RefineRTDCRunTimes.py" --tripid 167-04 --locoid 4038 --swversion DE.1.0.7.0 --startMP 204:451 --initTime 2016-08-04T11:59:42 --startdatetime 2016-08-04T12:01:10 --delay 1 --endMP 204:233318 --enddatetime 2016-08-04T12:36:34 --enforcementcount 0 &gt;&gt; 2016-08-04-refined-runtimes.txt</v>
      </c>
    </row>
    <row r="80" spans="1:34" x14ac:dyDescent="0.25">
      <c r="A80" s="25" t="s">
        <v>576</v>
      </c>
      <c r="B80" s="87">
        <v>4037</v>
      </c>
      <c r="C80" s="88" t="s">
        <v>163</v>
      </c>
      <c r="D80" s="88" t="s">
        <v>325</v>
      </c>
      <c r="E80" s="89">
        <v>42586.533275462964</v>
      </c>
      <c r="F80" s="89">
        <v>42586.53528935185</v>
      </c>
      <c r="G80" s="87">
        <v>2</v>
      </c>
      <c r="H80" s="89" t="s">
        <v>390</v>
      </c>
      <c r="I80" s="89">
        <v>42586.566793981481</v>
      </c>
      <c r="J80" s="87">
        <v>0</v>
      </c>
      <c r="K80" s="114" t="str">
        <f t="shared" si="15"/>
        <v>4037/4038</v>
      </c>
      <c r="L80" s="25" t="str">
        <f>VLOOKUP(A80,'Trips&amp;Operators'!$C$1:$E$10000,3,FALSE)</f>
        <v>HELVIE</v>
      </c>
      <c r="M80" s="6">
        <f t="shared" si="16"/>
        <v>3.1504629630944692E-2</v>
      </c>
      <c r="N80" s="7">
        <f t="shared" si="41"/>
        <v>45.366666668560356</v>
      </c>
      <c r="O80" s="7"/>
      <c r="P80" s="7"/>
      <c r="Q80" s="26"/>
      <c r="R80" s="26"/>
      <c r="S80" s="38">
        <f t="shared" si="17"/>
        <v>1</v>
      </c>
      <c r="T80" s="55" t="str">
        <f t="shared" si="18"/>
        <v>Southbound</v>
      </c>
      <c r="U80" s="77">
        <f>IF(AG80="EC",COUNTIFS(Variables!$M$2:$M$19,IF(T80="NorthBound","&gt;=","&lt;=")&amp;Y80,Variables!$M$2:$M$19,IF(T80="NorthBound","&lt;=","&gt;=")&amp;Z80),COUNTIFS(Variables!$P$2:$P$19,IF(T80="NorthBound","&gt;=","&lt;=")&amp;Y80,Variables!$P$2:$P$19,IF(T80="NorthBound","&lt;=","&gt;=")&amp;Z80))</f>
        <v>12</v>
      </c>
      <c r="V80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11:47:55-0600',mode:absolute,to:'2016-08-04 14:36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80" s="57" t="str">
        <f t="shared" si="20"/>
        <v>N</v>
      </c>
      <c r="X80" s="117">
        <f t="shared" si="28"/>
        <v>1</v>
      </c>
      <c r="Y80" s="72">
        <f t="shared" si="21"/>
        <v>23.299399999999999</v>
      </c>
      <c r="Z80" s="72">
        <f t="shared" si="22"/>
        <v>1.6299999999999999E-2</v>
      </c>
      <c r="AA80" s="72">
        <f t="shared" si="23"/>
        <v>23.283099999999997</v>
      </c>
      <c r="AB80" s="69" t="e">
        <f>VLOOKUP(A80,Enforcements!$C$7:$J$24,8,0)</f>
        <v>#N/A</v>
      </c>
      <c r="AC80" s="65" t="e">
        <f>VLOOKUP(A80,Enforcements!$C$7:$E$24,3,0)</f>
        <v>#N/A</v>
      </c>
      <c r="AD80" s="66" t="str">
        <f t="shared" si="24"/>
        <v>0168-04</v>
      </c>
      <c r="AE80" s="124" t="str">
        <f t="shared" si="25"/>
        <v>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 &amp; aws s3 cp s3://rtdc.mdm.uploadarchive/RTDC4037/2016-08-05/ "%USERPROFILE%\AppData\Local\Temp\OnboardLogs"\RTDC4037\2016-08-05 --recursive &amp; "%USERPROFILE%\Documents\GitHub\mrs-test-scripts\Headless Mode &amp; Sideloading\WalkAndUnGZ.bat" "%USERPROFILE%\AppData\Local\Temp\OnboardLogs"\RTDC4037\2016-08-05</v>
      </c>
      <c r="AF80" s="121" t="str">
        <f t="shared" si="26"/>
        <v>"C:\Program Files (x86)\AstroGrep\AstroGrep.exe" /spath="%USERPROFILE%\AppData\Local\Temp\OnboardLogs" /stypes="*4037*20160804*" /stext=" 19:.+((SYSTEM_STATE.+slice.+state.+changed )|(ment ac)|(system.+state.+changed )|(\|lc)|(penalty)|(\[timeout)|(PRM\|1\|D)|(kpr)|(kdp))" /e /r /s</v>
      </c>
      <c r="AG80" s="1" t="str">
        <f t="shared" si="29"/>
        <v>EC</v>
      </c>
      <c r="AH80" s="125" t="str">
        <f>refinertdcruntimes&amp;" --tripid "&amp;A80&amp;" --locoid "&amp;B80&amp;" --swversion "&amp;C80&amp;" --startMP "&amp;D80&amp;" --initTime "&amp;TEXT(E80,"yyyy-mm-ddTHH:MM:SS")&amp;" --startdatetime "&amp;TEXT(F80,"yyyy-mm-ddTHH:MM:SS")&amp;" --delay "&amp;G80&amp;" --endMP "&amp;H80&amp;" --enddatetime "&amp;TEXT(I80,"yyyy-mm-ddTHH:MM:SS")&amp;" --enforcementcount "&amp;J80&amp;" &gt;&gt; "&amp;TEXT(Variables!$A$2,"yyyy-mm-dd")&amp;"-refined-runtimes.txt"</f>
        <v>"%USERPROFILE%\Documents\GitHub\eaglep3\Utilities\RefineRTDCRunTimes.py" --tripid 168-04 --locoid 4037 --swversion DE.1.0.7.0 --startMP 204:232994 --initTime 2016-08-04T12:47:55 --startdatetime 2016-08-04T12:50:49 --delay 2 --endMP 204:163 --enddatetime 2016-08-04T13:36:11 --enforcementcount 0 &gt;&gt; 2016-08-04-refined-runtimes.txt</v>
      </c>
    </row>
    <row r="81" spans="1:34" x14ac:dyDescent="0.25">
      <c r="A81" s="25" t="s">
        <v>577</v>
      </c>
      <c r="B81" s="87">
        <v>4031</v>
      </c>
      <c r="C81" s="88" t="s">
        <v>163</v>
      </c>
      <c r="D81" s="88" t="s">
        <v>389</v>
      </c>
      <c r="E81" s="89">
        <v>42586.506840277776</v>
      </c>
      <c r="F81" s="89">
        <v>42586.507870370369</v>
      </c>
      <c r="G81" s="87">
        <v>1</v>
      </c>
      <c r="H81" s="89" t="s">
        <v>156</v>
      </c>
      <c r="I81" s="89">
        <v>42586.536145833335</v>
      </c>
      <c r="J81" s="87">
        <v>0</v>
      </c>
      <c r="K81" s="114" t="str">
        <f t="shared" si="15"/>
        <v>4031/4032</v>
      </c>
      <c r="L81" s="25" t="str">
        <f>VLOOKUP(A81,'Trips&amp;Operators'!$C$1:$E$10000,3,FALSE)</f>
        <v>SUR</v>
      </c>
      <c r="M81" s="6">
        <f t="shared" si="16"/>
        <v>2.8275462966121268E-2</v>
      </c>
      <c r="N81" s="7">
        <f t="shared" si="41"/>
        <v>40.716666671214625</v>
      </c>
      <c r="O81" s="7"/>
      <c r="P81" s="7"/>
      <c r="Q81" s="26"/>
      <c r="R81" s="26"/>
      <c r="S81" s="38">
        <f t="shared" si="17"/>
        <v>1</v>
      </c>
      <c r="T81" s="55" t="str">
        <f t="shared" si="18"/>
        <v>NorthBound</v>
      </c>
      <c r="U81" s="77">
        <f>IF(AG81="EC",COUNTIFS(Variables!$M$2:$M$19,IF(T81="NorthBound","&gt;=","&lt;=")&amp;Y81,Variables!$M$2:$M$19,IF(T81="NorthBound","&lt;=","&gt;=")&amp;Z81),COUNTIFS(Variables!$P$2:$P$19,IF(T81="NorthBound","&gt;=","&lt;=")&amp;Y81,Variables!$P$2:$P$19,IF(T81="NorthBound","&lt;=","&gt;=")&amp;Z81))</f>
        <v>12</v>
      </c>
      <c r="V81" s="131" t="str">
        <f t="shared" si="19"/>
        <v>https://search-rtdc-monitor-bjffxe2xuh6vdkpspy63sjmuny.us-east-1.es.amazonaws.com/_plugin/kibana/#/discover/Steve-Slow-Train-Analysis-(2080s-and-2083s)?_g=(refreshInterval:(display:Off,section:0,value:0),time:(from:'2016-08-04 11:09:51-0600',mode:absolute,to:'2016-08-04 13:52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81" s="57" t="str">
        <f t="shared" si="20"/>
        <v>N</v>
      </c>
      <c r="X81" s="117">
        <f t="shared" si="28"/>
        <v>1</v>
      </c>
      <c r="Y81" s="72">
        <f t="shared" si="21"/>
        <v>4.7699999999999999E-2</v>
      </c>
      <c r="Z81" s="72">
        <f t="shared" si="22"/>
        <v>23.329499999999999</v>
      </c>
      <c r="AA81" s="72">
        <f t="shared" si="23"/>
        <v>23.2818</v>
      </c>
      <c r="AB81" s="69" t="e">
        <f>VLOOKUP(A81,Enforcements!$C$7:$J$24,8,0)</f>
        <v>#N/A</v>
      </c>
      <c r="AC81" s="65" t="e">
        <f>VLOOKUP(A81,Enforcements!$C$7:$E$24,3,0)</f>
        <v>#N/A</v>
      </c>
      <c r="AD81" s="66" t="str">
        <f t="shared" si="24"/>
        <v>0169-04</v>
      </c>
      <c r="AE81" s="124" t="str">
        <f t="shared" si="25"/>
        <v>aws s3 cp s3://rtdc.mdm.uploadarchive/RTDC4031/2016-08-04/ "%USERPROFILE%\AppData\Local\Temp\OnboardLogs"\RTDC4031\2016-08-04 --recursive &amp; "%USERPROFILE%\Documents\GitHub\mrs-test-scripts\Headless Mode &amp; Sideloading\WalkAndUnGZ.bat" "%USERPROFILE%\AppData\Local\Temp\OnboardLogs"\RTDC4031\2016-08-04 &amp; aws s3 cp s3://rtdc.mdm.uploadarchive/RTDC4031/2016-08-05/ "%USERPROFILE%\AppData\Local\Temp\OnboardLogs"\RTDC4031\2016-08-05 --recursive &amp; "%USERPROFILE%\Documents\GitHub\mrs-test-scripts\Headless Mode &amp; Sideloading\WalkAndUnGZ.bat" "%USERPROFILE%\AppData\Local\Temp\OnboardLogs"\RTDC4031\2016-08-05</v>
      </c>
      <c r="AF81" s="121" t="str">
        <f t="shared" si="26"/>
        <v>"C:\Program Files (x86)\AstroGrep\AstroGrep.exe" /spath="%USERPROFILE%\AppData\Local\Temp\OnboardLogs" /stypes="*4031*20160804*" /stext=" 18:.+((SYSTEM_STATE.+slice.+state.+changed )|(ment ac)|(system.+state.+changed )|(\|lc)|(penalty)|(\[timeout)|(PRM\|1\|D)|(kpr)|(kdp))" /e /r /s</v>
      </c>
      <c r="AG81" s="1" t="str">
        <f t="shared" si="29"/>
        <v>EC</v>
      </c>
      <c r="AH81" s="125" t="str">
        <f>refinertdcruntimes&amp;" --tripid "&amp;A81&amp;" --locoid "&amp;B81&amp;" --swversion "&amp;C81&amp;" --startMP "&amp;D81&amp;" --initTime "&amp;TEXT(E81,"yyyy-mm-ddTHH:MM:SS")&amp;" --startdatetime "&amp;TEXT(F81,"yyyy-mm-ddTHH:MM:SS")&amp;" --delay "&amp;G81&amp;" --endMP "&amp;H81&amp;" --enddatetime "&amp;TEXT(I81,"yyyy-mm-ddTHH:MM:SS")&amp;" --enforcementcount "&amp;J81&amp;" &gt;&gt; "&amp;TEXT(Variables!$A$2,"yyyy-mm-dd")&amp;"-refined-runtimes.txt"</f>
        <v>"%USERPROFILE%\Documents\GitHub\eaglep3\Utilities\RefineRTDCRunTimes.py" --tripid 169-04 --locoid 4031 --swversion DE.1.0.7.0 --startMP 204:477 --initTime 2016-08-04T12:09:51 --startdatetime 2016-08-04T12:11:20 --delay 1 --endMP 204:233295 --enddatetime 2016-08-04T12:52:03 --enforcementcount 0 &gt;&gt; 2016-08-04-refined-runtimes.txt</v>
      </c>
    </row>
    <row r="82" spans="1:34" x14ac:dyDescent="0.25">
      <c r="A82" s="25" t="s">
        <v>490</v>
      </c>
      <c r="B82" s="87">
        <v>4032</v>
      </c>
      <c r="C82" s="88" t="s">
        <v>163</v>
      </c>
      <c r="D82" s="88" t="s">
        <v>578</v>
      </c>
      <c r="E82" s="89">
        <v>42586.540983796294</v>
      </c>
      <c r="F82" s="89">
        <v>42586.542118055557</v>
      </c>
      <c r="G82" s="87">
        <v>1</v>
      </c>
      <c r="H82" s="89" t="s">
        <v>579</v>
      </c>
      <c r="I82" s="89">
        <v>42586.576909722222</v>
      </c>
      <c r="J82" s="87">
        <v>1</v>
      </c>
      <c r="K82" s="114" t="str">
        <f t="shared" ref="K82:K144" si="42">IF(ISEVEN(B82),(B82-1)&amp;"/"&amp;B82,B82&amp;"/"&amp;(B82+1))</f>
        <v>4031/4032</v>
      </c>
      <c r="L82" s="25" t="str">
        <f>VLOOKUP(A82,'Trips&amp;Operators'!$C$1:$E$10000,3,FALSE)</f>
        <v>SUR</v>
      </c>
      <c r="M82" s="6">
        <f t="shared" ref="M82:M144" si="43">I82-F82</f>
        <v>3.4791666665114462E-2</v>
      </c>
      <c r="N82" s="7">
        <f t="shared" si="41"/>
        <v>50.099999997764826</v>
      </c>
      <c r="O82" s="7"/>
      <c r="P82" s="7"/>
      <c r="Q82" s="26"/>
      <c r="R82" s="26"/>
      <c r="S82" s="38">
        <f t="shared" ref="S82:S144" si="44">SUM(U82:U82)/IF(AG82="EC",12,1)</f>
        <v>1</v>
      </c>
      <c r="T82" s="55" t="str">
        <f t="shared" ref="T82:T144" si="45">IF(ISEVEN(LEFT(AD82,4)),"Southbound","NorthBound")</f>
        <v>Southbound</v>
      </c>
      <c r="U82" s="77">
        <f>IF(AG82="EC",COUNTIFS(Variables!$M$2:$M$19,IF(T82="NorthBound","&gt;=","&lt;=")&amp;Y82,Variables!$M$2:$M$19,IF(T82="NorthBound","&lt;=","&gt;=")&amp;Z82),COUNTIFS(Variables!$P$2:$P$19,IF(T82="NorthBound","&gt;=","&lt;=")&amp;Y82,Variables!$P$2:$P$19,IF(T82="NorthBound","&lt;=","&gt;=")&amp;Z82))</f>
        <v>12</v>
      </c>
      <c r="V82" s="131" t="str">
        <f t="shared" ref="V82:V144" si="46">"https://search-rtdc-monitor-bjffxe2xuh6vdkpspy63sjmuny.us-east-1.es.amazonaws.com/_plugin/kibana/#/discover/Steve-Slow-Train-Analysis-(2080s-and-2083s)?_g=(refreshInterval:(display:Off,section:0,value:0),time:(from:'"&amp;TEXT(E82-1/24,"yyyy-MM-DD hh:mm:ss")&amp;"-0600',mode:absolute,to:'"&amp;TEXT(I82+1/24,"yyyy-MM-DD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82&amp;"%22')),sort:!(Time,asc))"</f>
        <v>https://search-rtdc-monitor-bjffxe2xuh6vdkpspy63sjmuny.us-east-1.es.amazonaws.com/_plugin/kibana/#/discover/Steve-Slow-Train-Analysis-(2080s-and-2083s)?_g=(refreshInterval:(display:Off,section:0,value:0),time:(from:'2016-08-04 11:59:01-0600',mode:absolute,to:'2016-08-04 14:50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82" s="57" t="str">
        <f t="shared" ref="W82:W144" si="47">IF(AA82&lt;IF(AG82="EC",23,5.65),"Y","N")</f>
        <v>N</v>
      </c>
      <c r="X82" s="117">
        <f t="shared" ref="X82:X144" si="48">VALUE(LEFT(AD82,4))-VALUE(LEFT(AD81,4))</f>
        <v>1</v>
      </c>
      <c r="Y82" s="72">
        <f t="shared" ref="Y82:Y144" si="49">RIGHT(D82,LEN(D82)-4)/10000</f>
        <v>23.297599999999999</v>
      </c>
      <c r="Z82" s="72">
        <f t="shared" ref="Z82:Z144" si="50">RIGHT(H82,LEN(H82)-4)/10000</f>
        <v>2.3400000000000001E-2</v>
      </c>
      <c r="AA82" s="72">
        <f t="shared" ref="AA82:AA144" si="51">ABS(Z82-Y82)</f>
        <v>23.2742</v>
      </c>
      <c r="AB82" s="69" t="e">
        <f>VLOOKUP(A82,Enforcements!$C$7:$J$24,8,0)</f>
        <v>#N/A</v>
      </c>
      <c r="AC82" s="65" t="e">
        <f>VLOOKUP(A82,Enforcements!$C$7:$E$24,3,0)</f>
        <v>#N/A</v>
      </c>
      <c r="AD82" s="66" t="str">
        <f t="shared" ref="AD82:AD144" si="52">IF(LEN(A82)=6,"0"&amp;A82,A82)</f>
        <v>0170-04</v>
      </c>
      <c r="AE82" s="124" t="str">
        <f t="shared" ref="AE82:AE144" si="53">"aws s3 cp "&amp;s3_bucket&amp;"/RTDC"&amp;B82&amp;"/"&amp;TEXT(F82,"YYYY-MM-DD")&amp;"/ "&amp;search_path&amp;"\RTDC"&amp;B82&amp;"\"&amp;TEXT(F82,"YYYY-MM-DD")&amp;" --recursive &amp; """&amp;walkandungz&amp;""" "&amp;search_path&amp;"\RTDC"&amp;B82&amp;"\"&amp;TEXT(F82,"YYYY-MM-DD")
&amp;" &amp; "&amp;"aws s3 cp "&amp;s3_bucket&amp;"/RTDC"&amp;B82&amp;"/"&amp;TEXT(F82+1,"YYYY-MM-DD")&amp;"/ "&amp;search_path&amp;"\RTDC"&amp;B82&amp;"\"&amp;TEXT(F82+1,"YYYY-MM-DD")&amp;" --recursive &amp; """&amp;walkandungz&amp;""" "&amp;search_path&amp;"\RTDC"&amp;B82&amp;"\"&amp;TEXT(F82+1,"YYYY-MM-DD")</f>
        <v>aws s3 cp s3://rtdc.mdm.uploadarchive/RTDC4032/2016-08-04/ "%USERPROFILE%\AppData\Local\Temp\OnboardLogs"\RTDC4032\2016-08-04 --recursive &amp; "%USERPROFILE%\Documents\GitHub\mrs-test-scripts\Headless Mode &amp; Sideloading\WalkAndUnGZ.bat" "%USERPROFILE%\AppData\Local\Temp\OnboardLogs"\RTDC4032\2016-08-04 &amp; aws s3 cp s3://rtdc.mdm.uploadarchive/RTDC4032/2016-08-05/ "%USERPROFILE%\AppData\Local\Temp\OnboardLogs"\RTDC4032\2016-08-05 --recursive &amp; "%USERPROFILE%\Documents\GitHub\mrs-test-scripts\Headless Mode &amp; Sideloading\WalkAndUnGZ.bat" "%USERPROFILE%\AppData\Local\Temp\OnboardLogs"\RTDC4032\2016-08-05</v>
      </c>
      <c r="AF82" s="121" t="str">
        <f t="shared" ref="AF82:AF144" si="54">astrogrep_path&amp;" /spath="&amp;search_path&amp;" /stypes=""*"&amp;B82&amp;"*"&amp;TEXT(I82-utc_offset/24,"YYYYMMDD")&amp;"*"" /stext="" "&amp;TEXT(I82-utc_offset/24,"HH")&amp;search_regexp&amp;""" /e /r /s"</f>
        <v>"C:\Program Files (x86)\AstroGrep\AstroGrep.exe" /spath="%USERPROFILE%\AppData\Local\Temp\OnboardLogs" /stypes="*4032*20160804*" /stext=" 19:.+((SYSTEM_STATE.+slice.+state.+changed )|(ment ac)|(system.+state.+changed )|(\|lc)|(penalty)|(\[timeout)|(PRM\|1\|D)|(kpr)|(kdp))" /e /r /s</v>
      </c>
      <c r="AG82" s="1" t="str">
        <f t="shared" ref="AG82:AG144" si="55">IF(VALUE(LEFT(AD82,2))&lt;=2,"EC",IF(OR(VALUE(LEFT(AD82,2))=8,VALUE(LEFT(AD82,2))=18),"NW","GL"))</f>
        <v>EC</v>
      </c>
      <c r="AH82" s="125" t="str">
        <f>refinertdcruntimes&amp;" --tripid "&amp;A82&amp;" --locoid "&amp;B82&amp;" --swversion "&amp;C82&amp;" --startMP "&amp;D82&amp;" --initTime "&amp;TEXT(E82,"yyyy-mm-ddTHH:MM:SS")&amp;" --startdatetime "&amp;TEXT(F82,"yyyy-mm-ddTHH:MM:SS")&amp;" --delay "&amp;G82&amp;" --endMP "&amp;H82&amp;" --enddatetime "&amp;TEXT(I82,"yyyy-mm-ddTHH:MM:SS")&amp;" --enforcementcount "&amp;J82&amp;" &gt;&gt; "&amp;TEXT(Variables!$A$2,"yyyy-mm-dd")&amp;"-refined-runtimes.txt"</f>
        <v>"%USERPROFILE%\Documents\GitHub\eaglep3\Utilities\RefineRTDCRunTimes.py" --tripid 170-04 --locoid 4032 --swversion DE.1.0.7.0 --startMP 204:232976 --initTime 2016-08-04T12:59:01 --startdatetime 2016-08-04T13:00:39 --delay 1 --endMP 204:234 --enddatetime 2016-08-04T13:50:45 --enforcementcount 1 &gt;&gt; 2016-08-04-refined-runtimes.txt</v>
      </c>
    </row>
    <row r="83" spans="1:34" x14ac:dyDescent="0.25">
      <c r="A83" s="25" t="s">
        <v>580</v>
      </c>
      <c r="B83" s="87">
        <v>4027</v>
      </c>
      <c r="C83" s="88" t="s">
        <v>163</v>
      </c>
      <c r="D83" s="88" t="s">
        <v>315</v>
      </c>
      <c r="E83" s="89">
        <v>42586.520879629628</v>
      </c>
      <c r="F83" s="89">
        <v>42586.522245370368</v>
      </c>
      <c r="G83" s="87">
        <v>1</v>
      </c>
      <c r="H83" s="89" t="s">
        <v>399</v>
      </c>
      <c r="I83" s="89">
        <v>42586.548379629632</v>
      </c>
      <c r="J83" s="87">
        <v>0</v>
      </c>
      <c r="K83" s="114" t="str">
        <f t="shared" si="42"/>
        <v>4027/4028</v>
      </c>
      <c r="L83" s="25" t="str">
        <f>VLOOKUP(A83,'Trips&amp;Operators'!$C$1:$E$10000,3,FALSE)</f>
        <v>SWANSON</v>
      </c>
      <c r="M83" s="6">
        <f t="shared" si="43"/>
        <v>2.6134259263926651E-2</v>
      </c>
      <c r="N83" s="7">
        <f t="shared" si="41"/>
        <v>37.633333340054378</v>
      </c>
      <c r="O83" s="7"/>
      <c r="P83" s="7"/>
      <c r="Q83" s="26"/>
      <c r="R83" s="26"/>
      <c r="S83" s="38">
        <f t="shared" si="44"/>
        <v>1</v>
      </c>
      <c r="T83" s="55" t="str">
        <f t="shared" si="45"/>
        <v>NorthBound</v>
      </c>
      <c r="U83" s="77">
        <f>IF(AG83="EC",COUNTIFS(Variables!$M$2:$M$19,IF(T83="NorthBound","&gt;=","&lt;=")&amp;Y83,Variables!$M$2:$M$19,IF(T83="NorthBound","&lt;=","&gt;=")&amp;Z83),COUNTIFS(Variables!$P$2:$P$19,IF(T83="NorthBound","&gt;=","&lt;=")&amp;Y83,Variables!$P$2:$P$19,IF(T83="NorthBound","&lt;=","&gt;=")&amp;Z83))</f>
        <v>12</v>
      </c>
      <c r="V83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11:30:04-0600',mode:absolute,to:'2016-08-04 14:09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83" s="57" t="str">
        <f t="shared" si="47"/>
        <v>N</v>
      </c>
      <c r="X83" s="117">
        <f t="shared" si="48"/>
        <v>1</v>
      </c>
      <c r="Y83" s="72">
        <f t="shared" si="49"/>
        <v>4.5699999999999998E-2</v>
      </c>
      <c r="Z83" s="72">
        <f t="shared" si="50"/>
        <v>23.326799999999999</v>
      </c>
      <c r="AA83" s="72">
        <f t="shared" si="51"/>
        <v>23.281099999999999</v>
      </c>
      <c r="AB83" s="69" t="e">
        <f>VLOOKUP(A83,Enforcements!$C$7:$J$24,8,0)</f>
        <v>#N/A</v>
      </c>
      <c r="AC83" s="65" t="e">
        <f>VLOOKUP(A83,Enforcements!$C$7:$E$24,3,0)</f>
        <v>#N/A</v>
      </c>
      <c r="AD83" s="66" t="str">
        <f t="shared" si="52"/>
        <v>0171-04</v>
      </c>
      <c r="AE83" s="124" t="str">
        <f t="shared" si="53"/>
        <v>aws s3 cp s3://rtdc.mdm.uploadarchive/RTDC4027/2016-08-04/ "%USERPROFILE%\AppData\Local\Temp\OnboardLogs"\RTDC4027\2016-08-04 --recursive &amp; "%USERPROFILE%\Documents\GitHub\mrs-test-scripts\Headless Mode &amp; Sideloading\WalkAndUnGZ.bat" "%USERPROFILE%\AppData\Local\Temp\OnboardLogs"\RTDC4027\2016-08-04 &amp; aws s3 cp s3://rtdc.mdm.uploadarchive/RTDC4027/2016-08-05/ "%USERPROFILE%\AppData\Local\Temp\OnboardLogs"\RTDC4027\2016-08-05 --recursive &amp; "%USERPROFILE%\Documents\GitHub\mrs-test-scripts\Headless Mode &amp; Sideloading\WalkAndUnGZ.bat" "%USERPROFILE%\AppData\Local\Temp\OnboardLogs"\RTDC4027\2016-08-05</v>
      </c>
      <c r="AF83" s="121" t="str">
        <f t="shared" si="54"/>
        <v>"C:\Program Files (x86)\AstroGrep\AstroGrep.exe" /spath="%USERPROFILE%\AppData\Local\Temp\OnboardLogs" /stypes="*4027*20160804*" /stext=" 19:.+((SYSTEM_STATE.+slice.+state.+changed )|(ment ac)|(system.+state.+changed )|(\|lc)|(penalty)|(\[timeout)|(PRM\|1\|D)|(kpr)|(kdp))" /e /r /s</v>
      </c>
      <c r="AG83" s="1" t="str">
        <f t="shared" si="55"/>
        <v>EC</v>
      </c>
      <c r="AH83" s="125" t="str">
        <f>refinertdcruntimes&amp;" --tripid "&amp;A83&amp;" --locoid "&amp;B83&amp;" --swversion "&amp;C83&amp;" --startMP "&amp;D83&amp;" --initTime "&amp;TEXT(E83,"yyyy-mm-ddTHH:MM:SS")&amp;" --startdatetime "&amp;TEXT(F83,"yyyy-mm-ddTHH:MM:SS")&amp;" --delay "&amp;G83&amp;" --endMP "&amp;H83&amp;" --enddatetime "&amp;TEXT(I83,"yyyy-mm-ddTHH:MM:SS")&amp;" --enforcementcount "&amp;J83&amp;" &gt;&gt; "&amp;TEXT(Variables!$A$2,"yyyy-mm-dd")&amp;"-refined-runtimes.txt"</f>
        <v>"%USERPROFILE%\Documents\GitHub\eaglep3\Utilities\RefineRTDCRunTimes.py" --tripid 171-04 --locoid 4027 --swversion DE.1.0.7.0 --startMP 204:457 --initTime 2016-08-04T12:30:04 --startdatetime 2016-08-04T12:32:02 --delay 1 --endMP 204:233268 --enddatetime 2016-08-04T13:09:40 --enforcementcount 0 &gt;&gt; 2016-08-04-refined-runtimes.txt</v>
      </c>
    </row>
    <row r="84" spans="1:34" x14ac:dyDescent="0.25">
      <c r="A84" s="25" t="s">
        <v>581</v>
      </c>
      <c r="B84" s="87">
        <v>4028</v>
      </c>
      <c r="C84" s="88" t="s">
        <v>163</v>
      </c>
      <c r="D84" s="88" t="s">
        <v>549</v>
      </c>
      <c r="E84" s="89">
        <v>42586.550578703704</v>
      </c>
      <c r="F84" s="89">
        <v>42586.554351851853</v>
      </c>
      <c r="G84" s="87">
        <v>5</v>
      </c>
      <c r="H84" s="89" t="s">
        <v>59</v>
      </c>
      <c r="I84" s="89">
        <v>42586.58866898148</v>
      </c>
      <c r="J84" s="87">
        <v>0</v>
      </c>
      <c r="K84" s="114" t="str">
        <f t="shared" si="42"/>
        <v>4027/4028</v>
      </c>
      <c r="L84" s="25" t="str">
        <f>VLOOKUP(A84,'Trips&amp;Operators'!$C$1:$E$10000,3,FALSE)</f>
        <v>SWANSON</v>
      </c>
      <c r="M84" s="6">
        <f t="shared" si="43"/>
        <v>3.4317129626288079E-2</v>
      </c>
      <c r="N84" s="7">
        <f t="shared" si="41"/>
        <v>49.416666661854833</v>
      </c>
      <c r="O84" s="7"/>
      <c r="P84" s="7"/>
      <c r="Q84" s="26"/>
      <c r="R84" s="26"/>
      <c r="S84" s="38">
        <f t="shared" si="44"/>
        <v>1</v>
      </c>
      <c r="T84" s="55" t="str">
        <f t="shared" si="45"/>
        <v>Southbound</v>
      </c>
      <c r="U84" s="77">
        <f>IF(AG84="EC",COUNTIFS(Variables!$M$2:$M$19,IF(T84="NorthBound","&gt;=","&lt;=")&amp;Y84,Variables!$M$2:$M$19,IF(T84="NorthBound","&lt;=","&gt;=")&amp;Z84),COUNTIFS(Variables!$P$2:$P$19,IF(T84="NorthBound","&gt;=","&lt;=")&amp;Y84,Variables!$P$2:$P$19,IF(T84="NorthBound","&lt;=","&gt;=")&amp;Z84))</f>
        <v>12</v>
      </c>
      <c r="V84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12:12:50-0600',mode:absolute,to:'2016-08-04 15:07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84" s="57" t="str">
        <f t="shared" si="47"/>
        <v>N</v>
      </c>
      <c r="X84" s="117">
        <f t="shared" si="48"/>
        <v>1</v>
      </c>
      <c r="Y84" s="72">
        <f t="shared" si="49"/>
        <v>23.296099999999999</v>
      </c>
      <c r="Z84" s="72">
        <f t="shared" si="50"/>
        <v>1.52E-2</v>
      </c>
      <c r="AA84" s="72">
        <f t="shared" si="51"/>
        <v>23.280899999999999</v>
      </c>
      <c r="AB84" s="69" t="e">
        <f>VLOOKUP(A84,Enforcements!$C$7:$J$24,8,0)</f>
        <v>#N/A</v>
      </c>
      <c r="AC84" s="65" t="e">
        <f>VLOOKUP(A84,Enforcements!$C$7:$E$24,3,0)</f>
        <v>#N/A</v>
      </c>
      <c r="AD84" s="66" t="str">
        <f t="shared" si="52"/>
        <v>0172-04</v>
      </c>
      <c r="AE84" s="124" t="str">
        <f t="shared" si="53"/>
        <v>aws s3 cp s3://rtdc.mdm.uploadarchive/RTDC4028/2016-08-04/ "%USERPROFILE%\AppData\Local\Temp\OnboardLogs"\RTDC4028\2016-08-04 --recursive &amp; "%USERPROFILE%\Documents\GitHub\mrs-test-scripts\Headless Mode &amp; Sideloading\WalkAndUnGZ.bat" "%USERPROFILE%\AppData\Local\Temp\OnboardLogs"\RTDC4028\2016-08-04 &amp; aws s3 cp s3://rtdc.mdm.uploadarchive/RTDC4028/2016-08-05/ "%USERPROFILE%\AppData\Local\Temp\OnboardLogs"\RTDC4028\2016-08-05 --recursive &amp; "%USERPROFILE%\Documents\GitHub\mrs-test-scripts\Headless Mode &amp; Sideloading\WalkAndUnGZ.bat" "%USERPROFILE%\AppData\Local\Temp\OnboardLogs"\RTDC4028\2016-08-05</v>
      </c>
      <c r="AF84" s="121" t="str">
        <f t="shared" si="54"/>
        <v>"C:\Program Files (x86)\AstroGrep\AstroGrep.exe" /spath="%USERPROFILE%\AppData\Local\Temp\OnboardLogs" /stypes="*4028*20160804*" /stext=" 20:.+((SYSTEM_STATE.+slice.+state.+changed )|(ment ac)|(system.+state.+changed )|(\|lc)|(penalty)|(\[timeout)|(PRM\|1\|D)|(kpr)|(kdp))" /e /r /s</v>
      </c>
      <c r="AG84" s="1" t="str">
        <f t="shared" si="55"/>
        <v>EC</v>
      </c>
      <c r="AH84" s="125" t="str">
        <f>refinertdcruntimes&amp;" --tripid "&amp;A84&amp;" --locoid "&amp;B84&amp;" --swversion "&amp;C84&amp;" --startMP "&amp;D84&amp;" --initTime "&amp;TEXT(E84,"yyyy-mm-ddTHH:MM:SS")&amp;" --startdatetime "&amp;TEXT(F84,"yyyy-mm-ddTHH:MM:SS")&amp;" --delay "&amp;G84&amp;" --endMP "&amp;H84&amp;" --enddatetime "&amp;TEXT(I84,"yyyy-mm-ddTHH:MM:SS")&amp;" --enforcementcount "&amp;J84&amp;" &gt;&gt; "&amp;TEXT(Variables!$A$2,"yyyy-mm-dd")&amp;"-refined-runtimes.txt"</f>
        <v>"%USERPROFILE%\Documents\GitHub\eaglep3\Utilities\RefineRTDCRunTimes.py" --tripid 172-04 --locoid 4028 --swversion DE.1.0.7.0 --startMP 204:232961 --initTime 2016-08-04T13:12:50 --startdatetime 2016-08-04T13:18:16 --delay 5 --endMP 204:152 --enddatetime 2016-08-04T14:07:41 --enforcementcount 0 &gt;&gt; 2016-08-04-refined-runtimes.txt</v>
      </c>
    </row>
    <row r="85" spans="1:34" x14ac:dyDescent="0.25">
      <c r="A85" s="25" t="s">
        <v>582</v>
      </c>
      <c r="B85" s="87">
        <v>4029</v>
      </c>
      <c r="C85" s="88" t="s">
        <v>163</v>
      </c>
      <c r="D85" s="88" t="s">
        <v>344</v>
      </c>
      <c r="E85" s="89">
        <v>42586.525370370371</v>
      </c>
      <c r="F85" s="89">
        <v>42586.526250000003</v>
      </c>
      <c r="G85" s="87">
        <v>1</v>
      </c>
      <c r="H85" s="89" t="s">
        <v>583</v>
      </c>
      <c r="I85" s="89">
        <v>42586.557905092595</v>
      </c>
      <c r="J85" s="87">
        <v>0</v>
      </c>
      <c r="K85" s="114" t="str">
        <f t="shared" si="42"/>
        <v>4029/4030</v>
      </c>
      <c r="L85" s="25" t="str">
        <f>VLOOKUP(A85,'Trips&amp;Operators'!$C$1:$E$10000,3,FALSE)</f>
        <v>OUN</v>
      </c>
      <c r="M85" s="6">
        <f t="shared" si="43"/>
        <v>3.1655092592700385E-2</v>
      </c>
      <c r="N85" s="7">
        <f t="shared" si="41"/>
        <v>45.583333333488554</v>
      </c>
      <c r="O85" s="7"/>
      <c r="P85" s="7"/>
      <c r="Q85" s="26"/>
      <c r="R85" s="26"/>
      <c r="S85" s="38">
        <f t="shared" si="44"/>
        <v>1</v>
      </c>
      <c r="T85" s="55" t="str">
        <f t="shared" si="45"/>
        <v>NorthBound</v>
      </c>
      <c r="U85" s="77">
        <f>IF(AG85="EC",COUNTIFS(Variables!$M$2:$M$19,IF(T85="NorthBound","&gt;=","&lt;=")&amp;Y85,Variables!$M$2:$M$19,IF(T85="NorthBound","&lt;=","&gt;=")&amp;Z85),COUNTIFS(Variables!$P$2:$P$19,IF(T85="NorthBound","&gt;=","&lt;=")&amp;Y85,Variables!$P$2:$P$19,IF(T85="NorthBound","&lt;=","&gt;=")&amp;Z85))</f>
        <v>12</v>
      </c>
      <c r="V85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11:36:32-0600',mode:absolute,to:'2016-08-04 14:23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85" s="57" t="str">
        <f t="shared" si="47"/>
        <v>N</v>
      </c>
      <c r="X85" s="117">
        <f t="shared" si="48"/>
        <v>1</v>
      </c>
      <c r="Y85" s="72">
        <f t="shared" si="49"/>
        <v>4.4400000000000002E-2</v>
      </c>
      <c r="Z85" s="72">
        <f t="shared" si="50"/>
        <v>23.328099999999999</v>
      </c>
      <c r="AA85" s="72">
        <f t="shared" si="51"/>
        <v>23.2837</v>
      </c>
      <c r="AB85" s="69" t="e">
        <f>VLOOKUP(A85,Enforcements!$C$7:$J$24,8,0)</f>
        <v>#N/A</v>
      </c>
      <c r="AC85" s="65" t="e">
        <f>VLOOKUP(A85,Enforcements!$C$7:$E$24,3,0)</f>
        <v>#N/A</v>
      </c>
      <c r="AD85" s="66" t="str">
        <f t="shared" si="52"/>
        <v>0173-04</v>
      </c>
      <c r="AE85" s="124" t="str">
        <f t="shared" si="53"/>
        <v>aws s3 cp s3://rtdc.mdm.uploadarchive/RTDC4029/2016-08-04/ "%USERPROFILE%\AppData\Local\Temp\OnboardLogs"\RTDC4029\2016-08-04 --recursive &amp; "%USERPROFILE%\Documents\GitHub\mrs-test-scripts\Headless Mode &amp; Sideloading\WalkAndUnGZ.bat" "%USERPROFILE%\AppData\Local\Temp\OnboardLogs"\RTDC4029\2016-08-04 &amp; aws s3 cp s3://rtdc.mdm.uploadarchive/RTDC4029/2016-08-05/ "%USERPROFILE%\AppData\Local\Temp\OnboardLogs"\RTDC4029\2016-08-05 --recursive &amp; "%USERPROFILE%\Documents\GitHub\mrs-test-scripts\Headless Mode &amp; Sideloading\WalkAndUnGZ.bat" "%USERPROFILE%\AppData\Local\Temp\OnboardLogs"\RTDC4029\2016-08-05</v>
      </c>
      <c r="AF85" s="121" t="str">
        <f t="shared" si="54"/>
        <v>"C:\Program Files (x86)\AstroGrep\AstroGrep.exe" /spath="%USERPROFILE%\AppData\Local\Temp\OnboardLogs" /stypes="*4029*20160804*" /stext=" 19:.+((SYSTEM_STATE.+slice.+state.+changed )|(ment ac)|(system.+state.+changed )|(\|lc)|(penalty)|(\[timeout)|(PRM\|1\|D)|(kpr)|(kdp))" /e /r /s</v>
      </c>
      <c r="AG85" s="1" t="str">
        <f t="shared" si="55"/>
        <v>EC</v>
      </c>
      <c r="AH85" s="125" t="str">
        <f>refinertdcruntimes&amp;" --tripid "&amp;A85&amp;" --locoid "&amp;B85&amp;" --swversion "&amp;C85&amp;" --startMP "&amp;D85&amp;" --initTime "&amp;TEXT(E85,"yyyy-mm-ddTHH:MM:SS")&amp;" --startdatetime "&amp;TEXT(F85,"yyyy-mm-ddTHH:MM:SS")&amp;" --delay "&amp;G85&amp;" --endMP "&amp;H85&amp;" --enddatetime "&amp;TEXT(I85,"yyyy-mm-ddTHH:MM:SS")&amp;" --enforcementcount "&amp;J85&amp;" &gt;&gt; "&amp;TEXT(Variables!$A$2,"yyyy-mm-dd")&amp;"-refined-runtimes.txt"</f>
        <v>"%USERPROFILE%\Documents\GitHub\eaglep3\Utilities\RefineRTDCRunTimes.py" --tripid 173-04 --locoid 4029 --swversion DE.1.0.7.0 --startMP 204:444 --initTime 2016-08-04T12:36:32 --startdatetime 2016-08-04T12:37:48 --delay 1 --endMP 204:233281 --enddatetime 2016-08-04T13:23:23 --enforcementcount 0 &gt;&gt; 2016-08-04-refined-runtimes.txt</v>
      </c>
    </row>
    <row r="86" spans="1:34" x14ac:dyDescent="0.25">
      <c r="A86" s="25" t="s">
        <v>584</v>
      </c>
      <c r="B86" s="87">
        <v>4030</v>
      </c>
      <c r="C86" s="88" t="s">
        <v>163</v>
      </c>
      <c r="D86" s="88" t="s">
        <v>578</v>
      </c>
      <c r="E86" s="89">
        <v>42586.565324074072</v>
      </c>
      <c r="F86" s="89">
        <v>42586.566307870373</v>
      </c>
      <c r="G86" s="87">
        <v>1</v>
      </c>
      <c r="H86" s="89" t="s">
        <v>390</v>
      </c>
      <c r="I86" s="89">
        <v>42586.598032407404</v>
      </c>
      <c r="J86" s="87">
        <v>0</v>
      </c>
      <c r="K86" s="114" t="str">
        <f t="shared" si="42"/>
        <v>4029/4030</v>
      </c>
      <c r="L86" s="25" t="str">
        <f>VLOOKUP(A86,'Trips&amp;Operators'!$C$1:$E$10000,3,FALSE)</f>
        <v>OUN</v>
      </c>
      <c r="M86" s="6">
        <f t="shared" si="43"/>
        <v>3.1724537031550426E-2</v>
      </c>
      <c r="N86" s="7">
        <f t="shared" si="41"/>
        <v>45.683333325432613</v>
      </c>
      <c r="O86" s="7"/>
      <c r="P86" s="7"/>
      <c r="Q86" s="26"/>
      <c r="R86" s="26"/>
      <c r="S86" s="38">
        <f t="shared" si="44"/>
        <v>1</v>
      </c>
      <c r="T86" s="55" t="str">
        <f t="shared" si="45"/>
        <v>Southbound</v>
      </c>
      <c r="U86" s="77">
        <f>IF(AG86="EC",COUNTIFS(Variables!$M$2:$M$19,IF(T86="NorthBound","&gt;=","&lt;=")&amp;Y86,Variables!$M$2:$M$19,IF(T86="NorthBound","&lt;=","&gt;=")&amp;Z86),COUNTIFS(Variables!$P$2:$P$19,IF(T86="NorthBound","&gt;=","&lt;=")&amp;Y86,Variables!$P$2:$P$19,IF(T86="NorthBound","&lt;=","&gt;=")&amp;Z86))</f>
        <v>12</v>
      </c>
      <c r="V86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12:34:04-0600',mode:absolute,to:'2016-08-04 15:21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86" s="57" t="str">
        <f t="shared" si="47"/>
        <v>N</v>
      </c>
      <c r="X86" s="117">
        <f t="shared" si="48"/>
        <v>1</v>
      </c>
      <c r="Y86" s="72">
        <f t="shared" si="49"/>
        <v>23.297599999999999</v>
      </c>
      <c r="Z86" s="72">
        <f t="shared" si="50"/>
        <v>1.6299999999999999E-2</v>
      </c>
      <c r="AA86" s="72">
        <f t="shared" si="51"/>
        <v>23.281299999999998</v>
      </c>
      <c r="AB86" s="69" t="e">
        <f>VLOOKUP(A86,Enforcements!$C$7:$J$24,8,0)</f>
        <v>#N/A</v>
      </c>
      <c r="AC86" s="65" t="e">
        <f>VLOOKUP(A86,Enforcements!$C$7:$E$24,3,0)</f>
        <v>#N/A</v>
      </c>
      <c r="AD86" s="66" t="str">
        <f t="shared" si="52"/>
        <v>0174-04</v>
      </c>
      <c r="AE86" s="124" t="str">
        <f t="shared" si="53"/>
        <v>aws s3 cp s3://rtdc.mdm.uploadarchive/RTDC4030/2016-08-04/ "%USERPROFILE%\AppData\Local\Temp\OnboardLogs"\RTDC4030\2016-08-04 --recursive &amp; "%USERPROFILE%\Documents\GitHub\mrs-test-scripts\Headless Mode &amp; Sideloading\WalkAndUnGZ.bat" "%USERPROFILE%\AppData\Local\Temp\OnboardLogs"\RTDC4030\2016-08-04 &amp; aws s3 cp s3://rtdc.mdm.uploadarchive/RTDC4030/2016-08-05/ "%USERPROFILE%\AppData\Local\Temp\OnboardLogs"\RTDC4030\2016-08-05 --recursive &amp; "%USERPROFILE%\Documents\GitHub\mrs-test-scripts\Headless Mode &amp; Sideloading\WalkAndUnGZ.bat" "%USERPROFILE%\AppData\Local\Temp\OnboardLogs"\RTDC4030\2016-08-05</v>
      </c>
      <c r="AF86" s="121" t="str">
        <f t="shared" si="54"/>
        <v>"C:\Program Files (x86)\AstroGrep\AstroGrep.exe" /spath="%USERPROFILE%\AppData\Local\Temp\OnboardLogs" /stypes="*4030*20160804*" /stext=" 20:.+((SYSTEM_STATE.+slice.+state.+changed )|(ment ac)|(system.+state.+changed )|(\|lc)|(penalty)|(\[timeout)|(PRM\|1\|D)|(kpr)|(kdp))" /e /r /s</v>
      </c>
      <c r="AG86" s="1" t="str">
        <f t="shared" si="55"/>
        <v>EC</v>
      </c>
      <c r="AH86" s="125" t="str">
        <f>refinertdcruntimes&amp;" --tripid "&amp;A86&amp;" --locoid "&amp;B86&amp;" --swversion "&amp;C86&amp;" --startMP "&amp;D86&amp;" --initTime "&amp;TEXT(E86,"yyyy-mm-ddTHH:MM:SS")&amp;" --startdatetime "&amp;TEXT(F86,"yyyy-mm-ddTHH:MM:SS")&amp;" --delay "&amp;G86&amp;" --endMP "&amp;H86&amp;" --enddatetime "&amp;TEXT(I86,"yyyy-mm-ddTHH:MM:SS")&amp;" --enforcementcount "&amp;J86&amp;" &gt;&gt; "&amp;TEXT(Variables!$A$2,"yyyy-mm-dd")&amp;"-refined-runtimes.txt"</f>
        <v>"%USERPROFILE%\Documents\GitHub\eaglep3\Utilities\RefineRTDCRunTimes.py" --tripid 174-04 --locoid 4030 --swversion DE.1.0.7.0 --startMP 204:232976 --initTime 2016-08-04T13:34:04 --startdatetime 2016-08-04T13:35:29 --delay 1 --endMP 204:163 --enddatetime 2016-08-04T14:21:10 --enforcementcount 0 &gt;&gt; 2016-08-04-refined-runtimes.txt</v>
      </c>
    </row>
    <row r="87" spans="1:34" x14ac:dyDescent="0.25">
      <c r="A87" s="25" t="s">
        <v>585</v>
      </c>
      <c r="B87" s="87">
        <v>4011</v>
      </c>
      <c r="C87" s="88" t="s">
        <v>163</v>
      </c>
      <c r="D87" s="88" t="s">
        <v>190</v>
      </c>
      <c r="E87" s="89">
        <v>42586.537638888891</v>
      </c>
      <c r="F87" s="89">
        <v>42586.538668981484</v>
      </c>
      <c r="G87" s="87">
        <v>1</v>
      </c>
      <c r="H87" s="89" t="s">
        <v>586</v>
      </c>
      <c r="I87" s="89">
        <v>42586.569814814815</v>
      </c>
      <c r="J87" s="87">
        <v>0</v>
      </c>
      <c r="K87" s="114" t="str">
        <f t="shared" si="42"/>
        <v>4011/4012</v>
      </c>
      <c r="L87" s="25" t="str">
        <f>VLOOKUP(A87,'Trips&amp;Operators'!$C$1:$E$10000,3,FALSE)</f>
        <v>SHOOK</v>
      </c>
      <c r="M87" s="6">
        <f t="shared" si="43"/>
        <v>3.1145833330811001E-2</v>
      </c>
      <c r="N87" s="7">
        <f t="shared" si="41"/>
        <v>44.849999996367842</v>
      </c>
      <c r="O87" s="7"/>
      <c r="P87" s="7"/>
      <c r="Q87" s="26"/>
      <c r="R87" s="26"/>
      <c r="S87" s="38">
        <f t="shared" si="44"/>
        <v>1</v>
      </c>
      <c r="T87" s="55" t="str">
        <f t="shared" si="45"/>
        <v>NorthBound</v>
      </c>
      <c r="U87" s="77">
        <f>IF(AG87="EC",COUNTIFS(Variables!$M$2:$M$19,IF(T87="NorthBound","&gt;=","&lt;=")&amp;Y87,Variables!$M$2:$M$19,IF(T87="NorthBound","&lt;=","&gt;=")&amp;Z87),COUNTIFS(Variables!$P$2:$P$19,IF(T87="NorthBound","&gt;=","&lt;=")&amp;Y87,Variables!$P$2:$P$19,IF(T87="NorthBound","&lt;=","&gt;=")&amp;Z87))</f>
        <v>12</v>
      </c>
      <c r="V87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11:54:12-0600',mode:absolute,to:'2016-08-04 14:40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87" s="57" t="str">
        <f t="shared" si="47"/>
        <v>N</v>
      </c>
      <c r="X87" s="117">
        <f t="shared" si="48"/>
        <v>1</v>
      </c>
      <c r="Y87" s="72">
        <f t="shared" si="49"/>
        <v>4.4200000000000003E-2</v>
      </c>
      <c r="Z87" s="72">
        <f t="shared" si="50"/>
        <v>23.3385</v>
      </c>
      <c r="AA87" s="72">
        <f t="shared" si="51"/>
        <v>23.2943</v>
      </c>
      <c r="AB87" s="69" t="e">
        <f>VLOOKUP(A87,Enforcements!$C$7:$J$24,8,0)</f>
        <v>#N/A</v>
      </c>
      <c r="AC87" s="65" t="e">
        <f>VLOOKUP(A87,Enforcements!$C$7:$E$24,3,0)</f>
        <v>#N/A</v>
      </c>
      <c r="AD87" s="66" t="str">
        <f t="shared" si="52"/>
        <v>0175-04</v>
      </c>
      <c r="AE87" s="124" t="str">
        <f t="shared" si="53"/>
        <v>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 &amp; aws s3 cp s3://rtdc.mdm.uploadarchive/RTDC4011/2016-08-05/ "%USERPROFILE%\AppData\Local\Temp\OnboardLogs"\RTDC4011\2016-08-05 --recursive &amp; "%USERPROFILE%\Documents\GitHub\mrs-test-scripts\Headless Mode &amp; Sideloading\WalkAndUnGZ.bat" "%USERPROFILE%\AppData\Local\Temp\OnboardLogs"\RTDC4011\2016-08-05</v>
      </c>
      <c r="AF87" s="121" t="str">
        <f t="shared" si="54"/>
        <v>"C:\Program Files (x86)\AstroGrep\AstroGrep.exe" /spath="%USERPROFILE%\AppData\Local\Temp\OnboardLogs" /stypes="*4011*20160804*" /stext=" 19:.+((SYSTEM_STATE.+slice.+state.+changed )|(ment ac)|(system.+state.+changed )|(\|lc)|(penalty)|(\[timeout)|(PRM\|1\|D)|(kpr)|(kdp))" /e /r /s</v>
      </c>
      <c r="AG87" s="1" t="str">
        <f t="shared" si="55"/>
        <v>EC</v>
      </c>
      <c r="AH87" s="125" t="str">
        <f>refinertdcruntimes&amp;" --tripid "&amp;A87&amp;" --locoid "&amp;B87&amp;" --swversion "&amp;C87&amp;" --startMP "&amp;D87&amp;" --initTime "&amp;TEXT(E87,"yyyy-mm-ddTHH:MM:SS")&amp;" --startdatetime "&amp;TEXT(F87,"yyyy-mm-ddTHH:MM:SS")&amp;" --delay "&amp;G87&amp;" --endMP "&amp;H87&amp;" --enddatetime "&amp;TEXT(I87,"yyyy-mm-ddTHH:MM:SS")&amp;" --enforcementcount "&amp;J87&amp;" &gt;&gt; "&amp;TEXT(Variables!$A$2,"yyyy-mm-dd")&amp;"-refined-runtimes.txt"</f>
        <v>"%USERPROFILE%\Documents\GitHub\eaglep3\Utilities\RefineRTDCRunTimes.py" --tripid 175-04 --locoid 4011 --swversion DE.1.0.7.0 --startMP 204:442 --initTime 2016-08-04T12:54:12 --startdatetime 2016-08-04T12:55:41 --delay 1 --endMP 204:233385 --enddatetime 2016-08-04T13:40:32 --enforcementcount 0 &gt;&gt; 2016-08-04-refined-runtimes.txt</v>
      </c>
    </row>
    <row r="88" spans="1:34" x14ac:dyDescent="0.25">
      <c r="A88" s="25" t="s">
        <v>492</v>
      </c>
      <c r="B88" s="87">
        <v>4012</v>
      </c>
      <c r="C88" s="88" t="s">
        <v>163</v>
      </c>
      <c r="D88" s="88" t="s">
        <v>587</v>
      </c>
      <c r="E88" s="89">
        <v>42586.57576388889</v>
      </c>
      <c r="F88" s="89">
        <v>42586.576493055552</v>
      </c>
      <c r="G88" s="87">
        <v>1</v>
      </c>
      <c r="H88" s="89" t="s">
        <v>137</v>
      </c>
      <c r="I88" s="89">
        <v>42586.608344907407</v>
      </c>
      <c r="J88" s="87">
        <v>1</v>
      </c>
      <c r="K88" s="114" t="str">
        <f t="shared" si="42"/>
        <v>4011/4012</v>
      </c>
      <c r="L88" s="25" t="str">
        <f>VLOOKUP(A88,'Trips&amp;Operators'!$C$1:$E$10000,3,FALSE)</f>
        <v>SHOOK</v>
      </c>
      <c r="M88" s="6">
        <f t="shared" si="43"/>
        <v>3.1851851854298729E-2</v>
      </c>
      <c r="N88" s="7">
        <f t="shared" si="41"/>
        <v>45.86666667019017</v>
      </c>
      <c r="O88" s="7"/>
      <c r="P88" s="7"/>
      <c r="Q88" s="26"/>
      <c r="R88" s="26"/>
      <c r="S88" s="38">
        <f t="shared" si="44"/>
        <v>1</v>
      </c>
      <c r="T88" s="55" t="str">
        <f t="shared" si="45"/>
        <v>Southbound</v>
      </c>
      <c r="U88" s="77">
        <f>IF(AG88="EC",COUNTIFS(Variables!$M$2:$M$19,IF(T88="NorthBound","&gt;=","&lt;=")&amp;Y88,Variables!$M$2:$M$19,IF(T88="NorthBound","&lt;=","&gt;=")&amp;Z88),COUNTIFS(Variables!$P$2:$P$19,IF(T88="NorthBound","&gt;=","&lt;=")&amp;Y88,Variables!$P$2:$P$19,IF(T88="NorthBound","&lt;=","&gt;=")&amp;Z88))</f>
        <v>12</v>
      </c>
      <c r="V88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12:49:06-0600',mode:absolute,to:'2016-08-04 15:36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88" s="57" t="str">
        <f t="shared" si="47"/>
        <v>N</v>
      </c>
      <c r="X88" s="117">
        <f t="shared" si="48"/>
        <v>1</v>
      </c>
      <c r="Y88" s="72">
        <f t="shared" si="49"/>
        <v>23.305700000000002</v>
      </c>
      <c r="Z88" s="72">
        <f t="shared" si="50"/>
        <v>1.4999999999999999E-2</v>
      </c>
      <c r="AA88" s="72">
        <f t="shared" si="51"/>
        <v>23.290700000000001</v>
      </c>
      <c r="AB88" s="69">
        <f>VLOOKUP(A88,Enforcements!$C$7:$J$24,8,0)</f>
        <v>33257</v>
      </c>
      <c r="AC88" s="65" t="str">
        <f>VLOOKUP(A88,Enforcements!$C$7:$E$24,3,0)</f>
        <v>GRADE CROSSING</v>
      </c>
      <c r="AD88" s="66" t="str">
        <f t="shared" si="52"/>
        <v>0176-04</v>
      </c>
      <c r="AE88" s="124" t="str">
        <f t="shared" si="53"/>
        <v>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 &amp; aws s3 cp s3://rtdc.mdm.uploadarchive/RTDC4012/2016-08-05/ "%USERPROFILE%\AppData\Local\Temp\OnboardLogs"\RTDC4012\2016-08-05 --recursive &amp; "%USERPROFILE%\Documents\GitHub\mrs-test-scripts\Headless Mode &amp; Sideloading\WalkAndUnGZ.bat" "%USERPROFILE%\AppData\Local\Temp\OnboardLogs"\RTDC4012\2016-08-05</v>
      </c>
      <c r="AF88" s="121" t="str">
        <f t="shared" si="54"/>
        <v>"C:\Program Files (x86)\AstroGrep\AstroGrep.exe" /spath="%USERPROFILE%\AppData\Local\Temp\OnboardLogs" /stypes="*4012*20160804*" /stext=" 20:.+((SYSTEM_STATE.+slice.+state.+changed )|(ment ac)|(system.+state.+changed )|(\|lc)|(penalty)|(\[timeout)|(PRM\|1\|D)|(kpr)|(kdp))" /e /r /s</v>
      </c>
      <c r="AG88" s="1" t="str">
        <f t="shared" si="55"/>
        <v>EC</v>
      </c>
      <c r="AH88" s="125" t="str">
        <f>refinertdcruntimes&amp;" --tripid "&amp;A88&amp;" --locoid "&amp;B88&amp;" --swversion "&amp;C88&amp;" --startMP "&amp;D88&amp;" --initTime "&amp;TEXT(E88,"yyyy-mm-ddTHH:MM:SS")&amp;" --startdatetime "&amp;TEXT(F88,"yyyy-mm-ddTHH:MM:SS")&amp;" --delay "&amp;G88&amp;" --endMP "&amp;H88&amp;" --enddatetime "&amp;TEXT(I88,"yyyy-mm-ddTHH:MM:SS")&amp;" --enforcementcount "&amp;J88&amp;" &gt;&gt; "&amp;TEXT(Variables!$A$2,"yyyy-mm-dd")&amp;"-refined-runtimes.txt"</f>
        <v>"%USERPROFILE%\Documents\GitHub\eaglep3\Utilities\RefineRTDCRunTimes.py" --tripid 176-04 --locoid 4012 --swversion DE.1.0.7.0 --startMP 204:233057 --initTime 2016-08-04T13:49:06 --startdatetime 2016-08-04T13:50:09 --delay 1 --endMP 204:150 --enddatetime 2016-08-04T14:36:01 --enforcementcount 1 &gt;&gt; 2016-08-04-refined-runtimes.txt</v>
      </c>
    </row>
    <row r="89" spans="1:34" x14ac:dyDescent="0.25">
      <c r="A89" s="25" t="s">
        <v>588</v>
      </c>
      <c r="B89" s="87">
        <v>4007</v>
      </c>
      <c r="C89" s="88" t="s">
        <v>163</v>
      </c>
      <c r="D89" s="88" t="s">
        <v>344</v>
      </c>
      <c r="E89" s="89">
        <v>42586.550104166665</v>
      </c>
      <c r="F89" s="89">
        <v>42586.55133101852</v>
      </c>
      <c r="G89" s="87">
        <v>1</v>
      </c>
      <c r="H89" s="89" t="s">
        <v>383</v>
      </c>
      <c r="I89" s="89">
        <v>42586.577789351853</v>
      </c>
      <c r="J89" s="87">
        <v>0</v>
      </c>
      <c r="K89" s="114" t="str">
        <f t="shared" si="42"/>
        <v>4007/4008</v>
      </c>
      <c r="L89" s="25" t="str">
        <f>VLOOKUP(A89,'Trips&amp;Operators'!$C$1:$E$10000,3,FALSE)</f>
        <v>MOSES</v>
      </c>
      <c r="M89" s="6">
        <f t="shared" si="43"/>
        <v>2.6458333333721384E-2</v>
      </c>
      <c r="N89" s="7">
        <f t="shared" si="41"/>
        <v>38.100000000558794</v>
      </c>
      <c r="O89" s="7"/>
      <c r="P89" s="7"/>
      <c r="Q89" s="26"/>
      <c r="R89" s="26"/>
      <c r="S89" s="38">
        <f t="shared" si="44"/>
        <v>1</v>
      </c>
      <c r="T89" s="55" t="str">
        <f t="shared" si="45"/>
        <v>NorthBound</v>
      </c>
      <c r="U89" s="77">
        <f>IF(AG89="EC",COUNTIFS(Variables!$M$2:$M$19,IF(T89="NorthBound","&gt;=","&lt;=")&amp;Y89,Variables!$M$2:$M$19,IF(T89="NorthBound","&lt;=","&gt;=")&amp;Z89),COUNTIFS(Variables!$P$2:$P$19,IF(T89="NorthBound","&gt;=","&lt;=")&amp;Y89,Variables!$P$2:$P$19,IF(T89="NorthBound","&lt;=","&gt;=")&amp;Z89))</f>
        <v>12</v>
      </c>
      <c r="V89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12:12:09-0600',mode:absolute,to:'2016-08-04 14:52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89" s="57" t="str">
        <f t="shared" si="47"/>
        <v>N</v>
      </c>
      <c r="X89" s="117">
        <f t="shared" si="48"/>
        <v>1</v>
      </c>
      <c r="Y89" s="72">
        <f t="shared" si="49"/>
        <v>4.4400000000000002E-2</v>
      </c>
      <c r="Z89" s="72">
        <f t="shared" si="50"/>
        <v>23.329799999999999</v>
      </c>
      <c r="AA89" s="72">
        <f t="shared" si="51"/>
        <v>23.285399999999999</v>
      </c>
      <c r="AB89" s="69" t="e">
        <f>VLOOKUP(A89,Enforcements!$C$7:$J$24,8,0)</f>
        <v>#N/A</v>
      </c>
      <c r="AC89" s="65" t="e">
        <f>VLOOKUP(A89,Enforcements!$C$7:$E$24,3,0)</f>
        <v>#N/A</v>
      </c>
      <c r="AD89" s="66" t="str">
        <f t="shared" si="52"/>
        <v>0177-04</v>
      </c>
      <c r="AE89" s="124" t="str">
        <f t="shared" si="53"/>
        <v>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 &amp; aws s3 cp s3://rtdc.mdm.uploadarchive/RTDC4007/2016-08-05/ "%USERPROFILE%\AppData\Local\Temp\OnboardLogs"\RTDC4007\2016-08-05 --recursive &amp; "%USERPROFILE%\Documents\GitHub\mrs-test-scripts\Headless Mode &amp; Sideloading\WalkAndUnGZ.bat" "%USERPROFILE%\AppData\Local\Temp\OnboardLogs"\RTDC4007\2016-08-05</v>
      </c>
      <c r="AF89" s="121" t="str">
        <f t="shared" si="54"/>
        <v>"C:\Program Files (x86)\AstroGrep\AstroGrep.exe" /spath="%USERPROFILE%\AppData\Local\Temp\OnboardLogs" /stypes="*4007*20160804*" /stext=" 19:.+((SYSTEM_STATE.+slice.+state.+changed )|(ment ac)|(system.+state.+changed )|(\|lc)|(penalty)|(\[timeout)|(PRM\|1\|D)|(kpr)|(kdp))" /e /r /s</v>
      </c>
      <c r="AG89" s="1" t="str">
        <f t="shared" si="55"/>
        <v>EC</v>
      </c>
      <c r="AH89" s="125" t="str">
        <f>refinertdcruntimes&amp;" --tripid "&amp;A89&amp;" --locoid "&amp;B89&amp;" --swversion "&amp;C89&amp;" --startMP "&amp;D89&amp;" --initTime "&amp;TEXT(E89,"yyyy-mm-ddTHH:MM:SS")&amp;" --startdatetime "&amp;TEXT(F89,"yyyy-mm-ddTHH:MM:SS")&amp;" --delay "&amp;G89&amp;" --endMP "&amp;H89&amp;" --enddatetime "&amp;TEXT(I89,"yyyy-mm-ddTHH:MM:SS")&amp;" --enforcementcount "&amp;J89&amp;" &gt;&gt; "&amp;TEXT(Variables!$A$2,"yyyy-mm-dd")&amp;"-refined-runtimes.txt"</f>
        <v>"%USERPROFILE%\Documents\GitHub\eaglep3\Utilities\RefineRTDCRunTimes.py" --tripid 177-04 --locoid 4007 --swversion DE.1.0.7.0 --startMP 204:444 --initTime 2016-08-04T13:12:09 --startdatetime 2016-08-04T13:13:55 --delay 1 --endMP 204:233298 --enddatetime 2016-08-04T13:52:01 --enforcementcount 0 &gt;&gt; 2016-08-04-refined-runtimes.txt</v>
      </c>
    </row>
    <row r="90" spans="1:34" x14ac:dyDescent="0.25">
      <c r="A90" s="25" t="s">
        <v>589</v>
      </c>
      <c r="B90" s="87">
        <v>4008</v>
      </c>
      <c r="C90" s="88" t="s">
        <v>163</v>
      </c>
      <c r="D90" s="88" t="s">
        <v>65</v>
      </c>
      <c r="E90" s="89">
        <v>42586.588287037041</v>
      </c>
      <c r="F90" s="89">
        <v>42586.589756944442</v>
      </c>
      <c r="G90" s="87">
        <v>2</v>
      </c>
      <c r="H90" s="89" t="s">
        <v>147</v>
      </c>
      <c r="I90" s="89">
        <v>42586.617372685185</v>
      </c>
      <c r="J90" s="87">
        <v>0</v>
      </c>
      <c r="K90" s="114" t="str">
        <f t="shared" si="42"/>
        <v>4007/4008</v>
      </c>
      <c r="L90" s="25" t="str">
        <f>VLOOKUP(A90,'Trips&amp;Operators'!$C$1:$E$10000,3,FALSE)</f>
        <v>MOSES</v>
      </c>
      <c r="M90" s="6">
        <f t="shared" si="43"/>
        <v>2.7615740742476191E-2</v>
      </c>
      <c r="N90" s="7">
        <f t="shared" si="41"/>
        <v>39.766666669165716</v>
      </c>
      <c r="O90" s="7"/>
      <c r="P90" s="7"/>
      <c r="Q90" s="26"/>
      <c r="R90" s="26"/>
      <c r="S90" s="38">
        <f t="shared" si="44"/>
        <v>1</v>
      </c>
      <c r="T90" s="55" t="str">
        <f t="shared" si="45"/>
        <v>Southbound</v>
      </c>
      <c r="U90" s="77">
        <f>IF(AG90="EC",COUNTIFS(Variables!$M$2:$M$19,IF(T90="NorthBound","&gt;=","&lt;=")&amp;Y90,Variables!$M$2:$M$19,IF(T90="NorthBound","&lt;=","&gt;=")&amp;Z90),COUNTIFS(Variables!$P$2:$P$19,IF(T90="NorthBound","&gt;=","&lt;=")&amp;Y90,Variables!$P$2:$P$19,IF(T90="NorthBound","&lt;=","&gt;=")&amp;Z90))</f>
        <v>12</v>
      </c>
      <c r="V90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13:07:08-0600',mode:absolute,to:'2016-08-04 15:49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90" s="57" t="str">
        <f t="shared" si="47"/>
        <v>N</v>
      </c>
      <c r="X90" s="117">
        <f t="shared" si="48"/>
        <v>1</v>
      </c>
      <c r="Y90" s="72">
        <f t="shared" si="49"/>
        <v>23.297699999999999</v>
      </c>
      <c r="Z90" s="72">
        <f t="shared" si="50"/>
        <v>1.41E-2</v>
      </c>
      <c r="AA90" s="72">
        <f t="shared" si="51"/>
        <v>23.2836</v>
      </c>
      <c r="AB90" s="69" t="e">
        <f>VLOOKUP(A90,Enforcements!$C$7:$J$24,8,0)</f>
        <v>#N/A</v>
      </c>
      <c r="AC90" s="65" t="e">
        <f>VLOOKUP(A90,Enforcements!$C$7:$E$24,3,0)</f>
        <v>#N/A</v>
      </c>
      <c r="AD90" s="66" t="str">
        <f t="shared" si="52"/>
        <v>0178-04</v>
      </c>
      <c r="AE90" s="124" t="str">
        <f t="shared" si="53"/>
        <v>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 &amp; aws s3 cp s3://rtdc.mdm.uploadarchive/RTDC4008/2016-08-05/ "%USERPROFILE%\AppData\Local\Temp\OnboardLogs"\RTDC4008\2016-08-05 --recursive &amp; "%USERPROFILE%\Documents\GitHub\mrs-test-scripts\Headless Mode &amp; Sideloading\WalkAndUnGZ.bat" "%USERPROFILE%\AppData\Local\Temp\OnboardLogs"\RTDC4008\2016-08-05</v>
      </c>
      <c r="AF90" s="121" t="str">
        <f t="shared" si="54"/>
        <v>"C:\Program Files (x86)\AstroGrep\AstroGrep.exe" /spath="%USERPROFILE%\AppData\Local\Temp\OnboardLogs" /stypes="*4008*20160804*" /stext=" 20:.+((SYSTEM_STATE.+slice.+state.+changed )|(ment ac)|(system.+state.+changed )|(\|lc)|(penalty)|(\[timeout)|(PRM\|1\|D)|(kpr)|(kdp))" /e /r /s</v>
      </c>
      <c r="AG90" s="1" t="str">
        <f t="shared" si="55"/>
        <v>EC</v>
      </c>
      <c r="AH90" s="125" t="str">
        <f>refinertdcruntimes&amp;" --tripid "&amp;A90&amp;" --locoid "&amp;B90&amp;" --swversion "&amp;C90&amp;" --startMP "&amp;D90&amp;" --initTime "&amp;TEXT(E90,"yyyy-mm-ddTHH:MM:SS")&amp;" --startdatetime "&amp;TEXT(F90,"yyyy-mm-ddTHH:MM:SS")&amp;" --delay "&amp;G90&amp;" --endMP "&amp;H90&amp;" --enddatetime "&amp;TEXT(I90,"yyyy-mm-ddTHH:MM:SS")&amp;" --enforcementcount "&amp;J90&amp;" &gt;&gt; "&amp;TEXT(Variables!$A$2,"yyyy-mm-dd")&amp;"-refined-runtimes.txt"</f>
        <v>"%USERPROFILE%\Documents\GitHub\eaglep3\Utilities\RefineRTDCRunTimes.py" --tripid 178-04 --locoid 4008 --swversion DE.1.0.7.0 --startMP 204:232977 --initTime 2016-08-04T14:07:08 --startdatetime 2016-08-04T14:09:15 --delay 2 --endMP 204:141 --enddatetime 2016-08-04T14:49:01 --enforcementcount 0 &gt;&gt; 2016-08-04-refined-runtimes.txt</v>
      </c>
    </row>
    <row r="91" spans="1:34" x14ac:dyDescent="0.25">
      <c r="A91" s="25" t="s">
        <v>590</v>
      </c>
      <c r="B91" s="87">
        <v>4025</v>
      </c>
      <c r="C91" s="88" t="s">
        <v>163</v>
      </c>
      <c r="D91" s="88" t="s">
        <v>64</v>
      </c>
      <c r="E91" s="89">
        <v>42586.558067129627</v>
      </c>
      <c r="F91" s="89">
        <v>42586.559050925927</v>
      </c>
      <c r="G91" s="87">
        <v>1</v>
      </c>
      <c r="H91" s="89" t="s">
        <v>591</v>
      </c>
      <c r="I91" s="89">
        <v>42586.58693287037</v>
      </c>
      <c r="J91" s="87">
        <v>0</v>
      </c>
      <c r="K91" s="114" t="str">
        <f t="shared" si="42"/>
        <v>4025/4026</v>
      </c>
      <c r="L91" s="25" t="str">
        <f>VLOOKUP(A91,'Trips&amp;Operators'!$C$1:$E$10000,3,FALSE)</f>
        <v>NEWELL</v>
      </c>
      <c r="M91" s="6">
        <f t="shared" si="43"/>
        <v>2.7881944442924578E-2</v>
      </c>
      <c r="N91" s="7">
        <f t="shared" si="41"/>
        <v>40.149999997811392</v>
      </c>
      <c r="O91" s="7"/>
      <c r="P91" s="7"/>
      <c r="Q91" s="26"/>
      <c r="R91" s="26"/>
      <c r="S91" s="38">
        <f t="shared" si="44"/>
        <v>1</v>
      </c>
      <c r="T91" s="55" t="str">
        <f t="shared" si="45"/>
        <v>NorthBound</v>
      </c>
      <c r="U91" s="77">
        <f>IF(AG91="EC",COUNTIFS(Variables!$M$2:$M$19,IF(T91="NorthBound","&gt;=","&lt;=")&amp;Y91,Variables!$M$2:$M$19,IF(T91="NorthBound","&lt;=","&gt;=")&amp;Z91),COUNTIFS(Variables!$P$2:$P$19,IF(T91="NorthBound","&gt;=","&lt;=")&amp;Y91,Variables!$P$2:$P$19,IF(T91="NorthBound","&lt;=","&gt;=")&amp;Z91))</f>
        <v>12</v>
      </c>
      <c r="V91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12:23:37-0600',mode:absolute,to:'2016-08-04 15:05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91" s="57" t="str">
        <f t="shared" si="47"/>
        <v>N</v>
      </c>
      <c r="X91" s="117">
        <f t="shared" si="48"/>
        <v>1</v>
      </c>
      <c r="Y91" s="72">
        <f t="shared" si="49"/>
        <v>4.5999999999999999E-2</v>
      </c>
      <c r="Z91" s="72">
        <f t="shared" si="50"/>
        <v>23.329899999999999</v>
      </c>
      <c r="AA91" s="72">
        <f t="shared" si="51"/>
        <v>23.283899999999999</v>
      </c>
      <c r="AB91" s="69" t="e">
        <f>VLOOKUP(A91,Enforcements!$C$7:$J$24,8,0)</f>
        <v>#N/A</v>
      </c>
      <c r="AC91" s="65" t="e">
        <f>VLOOKUP(A91,Enforcements!$C$7:$E$24,3,0)</f>
        <v>#N/A</v>
      </c>
      <c r="AD91" s="66" t="str">
        <f t="shared" si="52"/>
        <v>0179-04</v>
      </c>
      <c r="AE91" s="124" t="str">
        <f t="shared" si="53"/>
        <v>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 &amp; aws s3 cp s3://rtdc.mdm.uploadarchive/RTDC4025/2016-08-05/ "%USERPROFILE%\AppData\Local\Temp\OnboardLogs"\RTDC4025\2016-08-05 --recursive &amp; "%USERPROFILE%\Documents\GitHub\mrs-test-scripts\Headless Mode &amp; Sideloading\WalkAndUnGZ.bat" "%USERPROFILE%\AppData\Local\Temp\OnboardLogs"\RTDC4025\2016-08-05</v>
      </c>
      <c r="AF91" s="121" t="str">
        <f t="shared" si="54"/>
        <v>"C:\Program Files (x86)\AstroGrep\AstroGrep.exe" /spath="%USERPROFILE%\AppData\Local\Temp\OnboardLogs" /stypes="*4025*20160804*" /stext=" 20:.+((SYSTEM_STATE.+slice.+state.+changed )|(ment ac)|(system.+state.+changed )|(\|lc)|(penalty)|(\[timeout)|(PRM\|1\|D)|(kpr)|(kdp))" /e /r /s</v>
      </c>
      <c r="AG91" s="1" t="str">
        <f t="shared" si="55"/>
        <v>EC</v>
      </c>
      <c r="AH91" s="125" t="str">
        <f>refinertdcruntimes&amp;" --tripid "&amp;A91&amp;" --locoid "&amp;B91&amp;" --swversion "&amp;C91&amp;" --startMP "&amp;D91&amp;" --initTime "&amp;TEXT(E91,"yyyy-mm-ddTHH:MM:SS")&amp;" --startdatetime "&amp;TEXT(F91,"yyyy-mm-ddTHH:MM:SS")&amp;" --delay "&amp;G91&amp;" --endMP "&amp;H91&amp;" --enddatetime "&amp;TEXT(I91,"yyyy-mm-ddTHH:MM:SS")&amp;" --enforcementcount "&amp;J91&amp;" &gt;&gt; "&amp;TEXT(Variables!$A$2,"yyyy-mm-dd")&amp;"-refined-runtimes.txt"</f>
        <v>"%USERPROFILE%\Documents\GitHub\eaglep3\Utilities\RefineRTDCRunTimes.py" --tripid 179-04 --locoid 4025 --swversion DE.1.0.7.0 --startMP 204:460 --initTime 2016-08-04T13:23:37 --startdatetime 2016-08-04T13:25:02 --delay 1 --endMP 204:233299 --enddatetime 2016-08-04T14:05:11 --enforcementcount 0 &gt;&gt; 2016-08-04-refined-runtimes.txt</v>
      </c>
    </row>
    <row r="92" spans="1:34" x14ac:dyDescent="0.25">
      <c r="A92" s="25" t="s">
        <v>493</v>
      </c>
      <c r="B92" s="87">
        <v>4026</v>
      </c>
      <c r="C92" s="88" t="s">
        <v>163</v>
      </c>
      <c r="D92" s="88" t="s">
        <v>367</v>
      </c>
      <c r="E92" s="89">
        <v>42586.588506944441</v>
      </c>
      <c r="F92" s="89">
        <v>42586.589247685188</v>
      </c>
      <c r="G92" s="87">
        <v>1</v>
      </c>
      <c r="H92" s="89" t="s">
        <v>160</v>
      </c>
      <c r="I92" s="89">
        <v>42586.628148148149</v>
      </c>
      <c r="J92" s="87">
        <v>1</v>
      </c>
      <c r="K92" s="114" t="str">
        <f t="shared" si="42"/>
        <v>4025/4026</v>
      </c>
      <c r="L92" s="25" t="str">
        <f>VLOOKUP(A92,'Trips&amp;Operators'!$C$1:$E$10000,3,FALSE)</f>
        <v>NEWELL</v>
      </c>
      <c r="M92" s="6">
        <f t="shared" si="43"/>
        <v>3.8900462961464655E-2</v>
      </c>
      <c r="N92" s="7">
        <f t="shared" si="41"/>
        <v>56.016666664509103</v>
      </c>
      <c r="O92" s="7"/>
      <c r="P92" s="7"/>
      <c r="Q92" s="26"/>
      <c r="R92" s="26"/>
      <c r="S92" s="38">
        <f t="shared" si="44"/>
        <v>1</v>
      </c>
      <c r="T92" s="55" t="str">
        <f t="shared" si="45"/>
        <v>Southbound</v>
      </c>
      <c r="U92" s="77">
        <f>IF(AG92="EC",COUNTIFS(Variables!$M$2:$M$19,IF(T92="NorthBound","&gt;=","&lt;=")&amp;Y92,Variables!$M$2:$M$19,IF(T92="NorthBound","&lt;=","&gt;=")&amp;Z92),COUNTIFS(Variables!$P$2:$P$19,IF(T92="NorthBound","&gt;=","&lt;=")&amp;Y92,Variables!$P$2:$P$19,IF(T92="NorthBound","&lt;=","&gt;=")&amp;Z92))</f>
        <v>12</v>
      </c>
      <c r="V92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13:07:27-0600',mode:absolute,to:'2016-08-04 16:04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92" s="57" t="str">
        <f t="shared" si="47"/>
        <v>N</v>
      </c>
      <c r="X92" s="117">
        <f t="shared" si="48"/>
        <v>1</v>
      </c>
      <c r="Y92" s="72">
        <f t="shared" si="49"/>
        <v>23.2986</v>
      </c>
      <c r="Z92" s="72">
        <f t="shared" si="50"/>
        <v>1.49E-2</v>
      </c>
      <c r="AA92" s="72">
        <f t="shared" si="51"/>
        <v>23.2837</v>
      </c>
      <c r="AB92" s="69">
        <f>VLOOKUP(A92,Enforcements!$C$7:$J$24,8,0)</f>
        <v>127587</v>
      </c>
      <c r="AC92" s="65" t="str">
        <f>VLOOKUP(A92,Enforcements!$C$7:$E$24,3,0)</f>
        <v>SIGNAL</v>
      </c>
      <c r="AD92" s="66" t="str">
        <f t="shared" si="52"/>
        <v>0180-04</v>
      </c>
      <c r="AE92" s="124" t="str">
        <f t="shared" si="53"/>
        <v>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 &amp; aws s3 cp s3://rtdc.mdm.uploadarchive/RTDC4026/2016-08-05/ "%USERPROFILE%\AppData\Local\Temp\OnboardLogs"\RTDC4026\2016-08-05 --recursive &amp; "%USERPROFILE%\Documents\GitHub\mrs-test-scripts\Headless Mode &amp; Sideloading\WalkAndUnGZ.bat" "%USERPROFILE%\AppData\Local\Temp\OnboardLogs"\RTDC4026\2016-08-05</v>
      </c>
      <c r="AF92" s="121" t="str">
        <f t="shared" si="54"/>
        <v>"C:\Program Files (x86)\AstroGrep\AstroGrep.exe" /spath="%USERPROFILE%\AppData\Local\Temp\OnboardLogs" /stypes="*4026*20160804*" /stext=" 21:.+((SYSTEM_STATE.+slice.+state.+changed )|(ment ac)|(system.+state.+changed )|(\|lc)|(penalty)|(\[timeout)|(PRM\|1\|D)|(kpr)|(kdp))" /e /r /s</v>
      </c>
      <c r="AG92" s="1" t="str">
        <f t="shared" si="55"/>
        <v>EC</v>
      </c>
      <c r="AH92" s="125" t="str">
        <f>refinertdcruntimes&amp;" --tripid "&amp;A92&amp;" --locoid "&amp;B92&amp;" --swversion "&amp;C92&amp;" --startMP "&amp;D92&amp;" --initTime "&amp;TEXT(E92,"yyyy-mm-ddTHH:MM:SS")&amp;" --startdatetime "&amp;TEXT(F92,"yyyy-mm-ddTHH:MM:SS")&amp;" --delay "&amp;G92&amp;" --endMP "&amp;H92&amp;" --enddatetime "&amp;TEXT(I92,"yyyy-mm-ddTHH:MM:SS")&amp;" --enforcementcount "&amp;J92&amp;" &gt;&gt; "&amp;TEXT(Variables!$A$2,"yyyy-mm-dd")&amp;"-refined-runtimes.txt"</f>
        <v>"%USERPROFILE%\Documents\GitHub\eaglep3\Utilities\RefineRTDCRunTimes.py" --tripid 180-04 --locoid 4026 --swversion DE.1.0.7.0 --startMP 204:232986 --initTime 2016-08-04T14:07:27 --startdatetime 2016-08-04T14:08:31 --delay 1 --endMP 204:149 --enddatetime 2016-08-04T15:04:32 --enforcementcount 1 &gt;&gt; 2016-08-04-refined-runtimes.txt</v>
      </c>
    </row>
    <row r="93" spans="1:34" x14ac:dyDescent="0.25">
      <c r="A93" s="42" t="s">
        <v>592</v>
      </c>
      <c r="B93" s="7">
        <v>4038</v>
      </c>
      <c r="C93" s="25" t="s">
        <v>163</v>
      </c>
      <c r="D93" s="25" t="s">
        <v>315</v>
      </c>
      <c r="E93" s="16">
        <v>42586.570162037038</v>
      </c>
      <c r="F93" s="16">
        <v>42586.571122685185</v>
      </c>
      <c r="G93" s="7">
        <v>1</v>
      </c>
      <c r="H93" s="16" t="s">
        <v>383</v>
      </c>
      <c r="I93" s="16">
        <v>42586.597025462965</v>
      </c>
      <c r="J93" s="7">
        <v>0</v>
      </c>
      <c r="K93" s="114" t="str">
        <f t="shared" si="42"/>
        <v>4037/4038</v>
      </c>
      <c r="L93" s="25" t="str">
        <f>VLOOKUP(A93,'Trips&amp;Operators'!$C$1:$E$10000,3,FALSE)</f>
        <v>HELVIE</v>
      </c>
      <c r="M93" s="6">
        <f t="shared" si="43"/>
        <v>2.5902777779265307E-2</v>
      </c>
      <c r="N93" s="7">
        <f t="shared" si="41"/>
        <v>37.300000002142042</v>
      </c>
      <c r="O93" s="7"/>
      <c r="P93" s="7"/>
      <c r="Q93" s="26"/>
      <c r="R93" s="26"/>
      <c r="S93" s="38">
        <f t="shared" si="44"/>
        <v>1</v>
      </c>
      <c r="T93" s="55" t="str">
        <f t="shared" si="45"/>
        <v>NorthBound</v>
      </c>
      <c r="U93" s="77">
        <f>IF(AG93="EC",COUNTIFS(Variables!$M$2:$M$19,IF(T93="NorthBound","&gt;=","&lt;=")&amp;Y93,Variables!$M$2:$M$19,IF(T93="NorthBound","&lt;=","&gt;=")&amp;Z93),COUNTIFS(Variables!$P$2:$P$19,IF(T93="NorthBound","&gt;=","&lt;=")&amp;Y93,Variables!$P$2:$P$19,IF(T93="NorthBound","&lt;=","&gt;=")&amp;Z93))</f>
        <v>12</v>
      </c>
      <c r="V93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12:41:02-0600',mode:absolute,to:'2016-08-04 15:19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93" s="57" t="str">
        <f t="shared" si="47"/>
        <v>N</v>
      </c>
      <c r="X93" s="117">
        <f t="shared" si="48"/>
        <v>1</v>
      </c>
      <c r="Y93" s="72">
        <f t="shared" si="49"/>
        <v>4.5699999999999998E-2</v>
      </c>
      <c r="Z93" s="72">
        <f t="shared" si="50"/>
        <v>23.329799999999999</v>
      </c>
      <c r="AA93" s="72">
        <f t="shared" si="51"/>
        <v>23.284099999999999</v>
      </c>
      <c r="AB93" s="69" t="e">
        <f>VLOOKUP(A93,Enforcements!$C$7:$J$24,8,0)</f>
        <v>#N/A</v>
      </c>
      <c r="AC93" s="65" t="e">
        <f>VLOOKUP(A93,Enforcements!$C$7:$E$24,3,0)</f>
        <v>#N/A</v>
      </c>
      <c r="AD93" s="66" t="str">
        <f t="shared" si="52"/>
        <v>0181-04</v>
      </c>
      <c r="AE93" s="124" t="str">
        <f t="shared" si="53"/>
        <v>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 &amp; aws s3 cp s3://rtdc.mdm.uploadarchive/RTDC4038/2016-08-05/ "%USERPROFILE%\AppData\Local\Temp\OnboardLogs"\RTDC4038\2016-08-05 --recursive &amp; "%USERPROFILE%\Documents\GitHub\mrs-test-scripts\Headless Mode &amp; Sideloading\WalkAndUnGZ.bat" "%USERPROFILE%\AppData\Local\Temp\OnboardLogs"\RTDC4038\2016-08-05</v>
      </c>
      <c r="AF93" s="121" t="str">
        <f t="shared" si="54"/>
        <v>"C:\Program Files (x86)\AstroGrep\AstroGrep.exe" /spath="%USERPROFILE%\AppData\Local\Temp\OnboardLogs" /stypes="*4038*20160804*" /stext=" 20:.+((SYSTEM_STATE.+slice.+state.+changed )|(ment ac)|(system.+state.+changed )|(\|lc)|(penalty)|(\[timeout)|(PRM\|1\|D)|(kpr)|(kdp))" /e /r /s</v>
      </c>
      <c r="AG93" s="1" t="str">
        <f t="shared" si="55"/>
        <v>EC</v>
      </c>
      <c r="AH93" s="125" t="str">
        <f>refinertdcruntimes&amp;" --tripid "&amp;A93&amp;" --locoid "&amp;B93&amp;" --swversion "&amp;C93&amp;" --startMP "&amp;D93&amp;" --initTime "&amp;TEXT(E93,"yyyy-mm-ddTHH:MM:SS")&amp;" --startdatetime "&amp;TEXT(F93,"yyyy-mm-ddTHH:MM:SS")&amp;" --delay "&amp;G93&amp;" --endMP "&amp;H93&amp;" --enddatetime "&amp;TEXT(I93,"yyyy-mm-ddTHH:MM:SS")&amp;" --enforcementcount "&amp;J93&amp;" &gt;&gt; "&amp;TEXT(Variables!$A$2,"yyyy-mm-dd")&amp;"-refined-runtimes.txt"</f>
        <v>"%USERPROFILE%\Documents\GitHub\eaglep3\Utilities\RefineRTDCRunTimes.py" --tripid 181-04 --locoid 4038 --swversion DE.1.0.7.0 --startMP 204:457 --initTime 2016-08-04T13:41:02 --startdatetime 2016-08-04T13:42:25 --delay 1 --endMP 204:233298 --enddatetime 2016-08-04T14:19:43 --enforcementcount 0 &gt;&gt; 2016-08-04-refined-runtimes.txt</v>
      </c>
    </row>
    <row r="94" spans="1:34" x14ac:dyDescent="0.25">
      <c r="A94" s="42" t="s">
        <v>593</v>
      </c>
      <c r="B94" s="7">
        <v>4037</v>
      </c>
      <c r="C94" s="25" t="s">
        <v>163</v>
      </c>
      <c r="D94" s="25" t="s">
        <v>328</v>
      </c>
      <c r="E94" s="16">
        <v>42586.608807870369</v>
      </c>
      <c r="F94" s="16">
        <v>42586.609629629631</v>
      </c>
      <c r="G94" s="7">
        <v>1</v>
      </c>
      <c r="H94" s="16" t="s">
        <v>137</v>
      </c>
      <c r="I94" s="16">
        <v>42586.638460648152</v>
      </c>
      <c r="J94" s="7">
        <v>0</v>
      </c>
      <c r="K94" s="114" t="str">
        <f t="shared" si="42"/>
        <v>4037/4038</v>
      </c>
      <c r="L94" s="25" t="str">
        <f>VLOOKUP(A94,'Trips&amp;Operators'!$C$1:$E$10000,3,FALSE)</f>
        <v>HELVIE</v>
      </c>
      <c r="M94" s="6">
        <f t="shared" si="43"/>
        <v>2.8831018520577345E-2</v>
      </c>
      <c r="N94" s="7">
        <f t="shared" si="41"/>
        <v>41.516666669631377</v>
      </c>
      <c r="O94" s="7"/>
      <c r="P94" s="7"/>
      <c r="Q94" s="26"/>
      <c r="R94" s="26"/>
      <c r="S94" s="38">
        <f t="shared" si="44"/>
        <v>1</v>
      </c>
      <c r="T94" s="55" t="str">
        <f t="shared" si="45"/>
        <v>Southbound</v>
      </c>
      <c r="U94" s="77">
        <f>IF(AG94="EC",COUNTIFS(Variables!$M$2:$M$19,IF(T94="NorthBound","&gt;=","&lt;=")&amp;Y94,Variables!$M$2:$M$19,IF(T94="NorthBound","&lt;=","&gt;=")&amp;Z94),COUNTIFS(Variables!$P$2:$P$19,IF(T94="NorthBound","&gt;=","&lt;=")&amp;Y94,Variables!$P$2:$P$19,IF(T94="NorthBound","&lt;=","&gt;=")&amp;Z94))</f>
        <v>12</v>
      </c>
      <c r="V94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13:36:41-0600',mode:absolute,to:'2016-08-04 16:19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94" s="57" t="str">
        <f t="shared" si="47"/>
        <v>N</v>
      </c>
      <c r="X94" s="117">
        <f t="shared" si="48"/>
        <v>1</v>
      </c>
      <c r="Y94" s="72">
        <f t="shared" si="49"/>
        <v>23.298300000000001</v>
      </c>
      <c r="Z94" s="72">
        <f t="shared" si="50"/>
        <v>1.4999999999999999E-2</v>
      </c>
      <c r="AA94" s="72">
        <f t="shared" si="51"/>
        <v>23.283300000000001</v>
      </c>
      <c r="AB94" s="69" t="e">
        <f>VLOOKUP(A94,Enforcements!$C$7:$J$24,8,0)</f>
        <v>#N/A</v>
      </c>
      <c r="AC94" s="65" t="e">
        <f>VLOOKUP(A94,Enforcements!$C$7:$E$24,3,0)</f>
        <v>#N/A</v>
      </c>
      <c r="AD94" s="66" t="str">
        <f t="shared" si="52"/>
        <v>0182-04</v>
      </c>
      <c r="AE94" s="124" t="str">
        <f t="shared" si="53"/>
        <v>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 &amp; aws s3 cp s3://rtdc.mdm.uploadarchive/RTDC4037/2016-08-05/ "%USERPROFILE%\AppData\Local\Temp\OnboardLogs"\RTDC4037\2016-08-05 --recursive &amp; "%USERPROFILE%\Documents\GitHub\mrs-test-scripts\Headless Mode &amp; Sideloading\WalkAndUnGZ.bat" "%USERPROFILE%\AppData\Local\Temp\OnboardLogs"\RTDC4037\2016-08-05</v>
      </c>
      <c r="AF94" s="121" t="str">
        <f t="shared" si="54"/>
        <v>"C:\Program Files (x86)\AstroGrep\AstroGrep.exe" /spath="%USERPROFILE%\AppData\Local\Temp\OnboardLogs" /stypes="*4037*20160804*" /stext=" 21:.+((SYSTEM_STATE.+slice.+state.+changed )|(ment ac)|(system.+state.+changed )|(\|lc)|(penalty)|(\[timeout)|(PRM\|1\|D)|(kpr)|(kdp))" /e /r /s</v>
      </c>
      <c r="AG94" s="1" t="str">
        <f t="shared" si="55"/>
        <v>EC</v>
      </c>
      <c r="AH94" s="125" t="str">
        <f>refinertdcruntimes&amp;" --tripid "&amp;A94&amp;" --locoid "&amp;B94&amp;" --swversion "&amp;C94&amp;" --startMP "&amp;D94&amp;" --initTime "&amp;TEXT(E94,"yyyy-mm-ddTHH:MM:SS")&amp;" --startdatetime "&amp;TEXT(F94,"yyyy-mm-ddTHH:MM:SS")&amp;" --delay "&amp;G94&amp;" --endMP "&amp;H94&amp;" --enddatetime "&amp;TEXT(I94,"yyyy-mm-ddTHH:MM:SS")&amp;" --enforcementcount "&amp;J94&amp;" &gt;&gt; "&amp;TEXT(Variables!$A$2,"yyyy-mm-dd")&amp;"-refined-runtimes.txt"</f>
        <v>"%USERPROFILE%\Documents\GitHub\eaglep3\Utilities\RefineRTDCRunTimes.py" --tripid 182-04 --locoid 4037 --swversion DE.1.0.7.0 --startMP 204:232983 --initTime 2016-08-04T14:36:41 --startdatetime 2016-08-04T14:37:52 --delay 1 --endMP 204:150 --enddatetime 2016-08-04T15:19:23 --enforcementcount 0 &gt;&gt; 2016-08-04-refined-runtimes.txt</v>
      </c>
    </row>
    <row r="95" spans="1:34" x14ac:dyDescent="0.25">
      <c r="A95" s="42" t="s">
        <v>594</v>
      </c>
      <c r="B95" s="7">
        <v>4031</v>
      </c>
      <c r="C95" s="25" t="s">
        <v>163</v>
      </c>
      <c r="D95" s="25" t="s">
        <v>595</v>
      </c>
      <c r="E95" s="16">
        <v>42586.578402777777</v>
      </c>
      <c r="F95" s="16">
        <v>42586.579745370371</v>
      </c>
      <c r="G95" s="7">
        <v>1</v>
      </c>
      <c r="H95" s="16" t="s">
        <v>521</v>
      </c>
      <c r="I95" s="16">
        <v>42586.608668981484</v>
      </c>
      <c r="J95" s="7">
        <v>0</v>
      </c>
      <c r="K95" s="114" t="str">
        <f t="shared" si="42"/>
        <v>4031/4032</v>
      </c>
      <c r="L95" s="25" t="str">
        <f>VLOOKUP(A95,'Trips&amp;Operators'!$C$1:$E$10000,3,FALSE)</f>
        <v>SUR</v>
      </c>
      <c r="M95" s="6">
        <f t="shared" si="43"/>
        <v>2.8923611112986691E-2</v>
      </c>
      <c r="N95" s="7">
        <f t="shared" si="41"/>
        <v>41.650000002700835</v>
      </c>
      <c r="O95" s="7"/>
      <c r="P95" s="7"/>
      <c r="Q95" s="26"/>
      <c r="R95" s="26"/>
      <c r="S95" s="38">
        <f t="shared" si="44"/>
        <v>1</v>
      </c>
      <c r="T95" s="55" t="str">
        <f t="shared" si="45"/>
        <v>NorthBound</v>
      </c>
      <c r="U95" s="77">
        <f>IF(AG95="EC",COUNTIFS(Variables!$M$2:$M$19,IF(T95="NorthBound","&gt;=","&lt;=")&amp;Y95,Variables!$M$2:$M$19,IF(T95="NorthBound","&lt;=","&gt;=")&amp;Z95),COUNTIFS(Variables!$P$2:$P$19,IF(T95="NorthBound","&gt;=","&lt;=")&amp;Y95,Variables!$P$2:$P$19,IF(T95="NorthBound","&lt;=","&gt;=")&amp;Z95))</f>
        <v>12</v>
      </c>
      <c r="V95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12:52:54-0600',mode:absolute,to:'2016-08-04 15:36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95" s="57" t="str">
        <f t="shared" si="47"/>
        <v>N</v>
      </c>
      <c r="X95" s="117">
        <f t="shared" si="48"/>
        <v>1</v>
      </c>
      <c r="Y95" s="72">
        <f t="shared" si="49"/>
        <v>5.5300000000000002E-2</v>
      </c>
      <c r="Z95" s="72">
        <f t="shared" si="50"/>
        <v>23.3264</v>
      </c>
      <c r="AA95" s="72">
        <f t="shared" si="51"/>
        <v>23.271100000000001</v>
      </c>
      <c r="AB95" s="69" t="e">
        <f>VLOOKUP(A95,Enforcements!$C$7:$J$24,8,0)</f>
        <v>#N/A</v>
      </c>
      <c r="AC95" s="65" t="e">
        <f>VLOOKUP(A95,Enforcements!$C$7:$E$24,3,0)</f>
        <v>#N/A</v>
      </c>
      <c r="AD95" s="66" t="str">
        <f t="shared" si="52"/>
        <v>0183-04</v>
      </c>
      <c r="AE95" s="124" t="str">
        <f t="shared" si="53"/>
        <v>aws s3 cp s3://rtdc.mdm.uploadarchive/RTDC4031/2016-08-04/ "%USERPROFILE%\AppData\Local\Temp\OnboardLogs"\RTDC4031\2016-08-04 --recursive &amp; "%USERPROFILE%\Documents\GitHub\mrs-test-scripts\Headless Mode &amp; Sideloading\WalkAndUnGZ.bat" "%USERPROFILE%\AppData\Local\Temp\OnboardLogs"\RTDC4031\2016-08-04 &amp; aws s3 cp s3://rtdc.mdm.uploadarchive/RTDC4031/2016-08-05/ "%USERPROFILE%\AppData\Local\Temp\OnboardLogs"\RTDC4031\2016-08-05 --recursive &amp; "%USERPROFILE%\Documents\GitHub\mrs-test-scripts\Headless Mode &amp; Sideloading\WalkAndUnGZ.bat" "%USERPROFILE%\AppData\Local\Temp\OnboardLogs"\RTDC4031\2016-08-05</v>
      </c>
      <c r="AF95" s="121" t="str">
        <f t="shared" si="54"/>
        <v>"C:\Program Files (x86)\AstroGrep\AstroGrep.exe" /spath="%USERPROFILE%\AppData\Local\Temp\OnboardLogs" /stypes="*4031*20160804*" /stext=" 20:.+((SYSTEM_STATE.+slice.+state.+changed )|(ment ac)|(system.+state.+changed )|(\|lc)|(penalty)|(\[timeout)|(PRM\|1\|D)|(kpr)|(kdp))" /e /r /s</v>
      </c>
      <c r="AG95" s="1" t="str">
        <f t="shared" si="55"/>
        <v>EC</v>
      </c>
      <c r="AH95" s="125" t="str">
        <f>refinertdcruntimes&amp;" --tripid "&amp;A95&amp;" --locoid "&amp;B95&amp;" --swversion "&amp;C95&amp;" --startMP "&amp;D95&amp;" --initTime "&amp;TEXT(E95,"yyyy-mm-ddTHH:MM:SS")&amp;" --startdatetime "&amp;TEXT(F95,"yyyy-mm-ddTHH:MM:SS")&amp;" --delay "&amp;G95&amp;" --endMP "&amp;H95&amp;" --enddatetime "&amp;TEXT(I95,"yyyy-mm-ddTHH:MM:SS")&amp;" --enforcementcount "&amp;J95&amp;" &gt;&gt; "&amp;TEXT(Variables!$A$2,"yyyy-mm-dd")&amp;"-refined-runtimes.txt"</f>
        <v>"%USERPROFILE%\Documents\GitHub\eaglep3\Utilities\RefineRTDCRunTimes.py" --tripid 183-04 --locoid 4031 --swversion DE.1.0.7.0 --startMP 204:553 --initTime 2016-08-04T13:52:54 --startdatetime 2016-08-04T13:54:50 --delay 1 --endMP 204:233264 --enddatetime 2016-08-04T14:36:29 --enforcementcount 0 &gt;&gt; 2016-08-04-refined-runtimes.txt</v>
      </c>
    </row>
    <row r="96" spans="1:34" x14ac:dyDescent="0.25">
      <c r="A96" s="42" t="s">
        <v>596</v>
      </c>
      <c r="B96" s="7">
        <v>4032</v>
      </c>
      <c r="C96" s="25" t="s">
        <v>163</v>
      </c>
      <c r="D96" s="25" t="s">
        <v>392</v>
      </c>
      <c r="E96" s="16">
        <v>42586.615868055553</v>
      </c>
      <c r="F96" s="16">
        <v>42586.616527777776</v>
      </c>
      <c r="G96" s="7">
        <v>0</v>
      </c>
      <c r="H96" s="16" t="s">
        <v>364</v>
      </c>
      <c r="I96" s="16">
        <v>42586.650335648148</v>
      </c>
      <c r="J96" s="7">
        <v>0</v>
      </c>
      <c r="K96" s="114" t="str">
        <f t="shared" si="42"/>
        <v>4031/4032</v>
      </c>
      <c r="L96" s="25" t="str">
        <f>VLOOKUP(A96,'Trips&amp;Operators'!$C$1:$E$10000,3,FALSE)</f>
        <v>SUR</v>
      </c>
      <c r="M96" s="6">
        <f t="shared" si="43"/>
        <v>3.3807870371674653E-2</v>
      </c>
      <c r="N96" s="7">
        <f t="shared" si="41"/>
        <v>48.683333335211501</v>
      </c>
      <c r="O96" s="7"/>
      <c r="P96" s="7"/>
      <c r="Q96" s="26"/>
      <c r="R96" s="26"/>
      <c r="S96" s="38">
        <f t="shared" si="44"/>
        <v>1</v>
      </c>
      <c r="T96" s="55" t="str">
        <f t="shared" si="45"/>
        <v>Southbound</v>
      </c>
      <c r="U96" s="77">
        <f>IF(AG96="EC",COUNTIFS(Variables!$M$2:$M$19,IF(T96="NorthBound","&gt;=","&lt;=")&amp;Y96,Variables!$M$2:$M$19,IF(T96="NorthBound","&lt;=","&gt;=")&amp;Z96),COUNTIFS(Variables!$P$2:$P$19,IF(T96="NorthBound","&gt;=","&lt;=")&amp;Y96,Variables!$P$2:$P$19,IF(T96="NorthBound","&lt;=","&gt;=")&amp;Z96))</f>
        <v>12</v>
      </c>
      <c r="V96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13:46:51-0600',mode:absolute,to:'2016-08-04 16:36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96" s="57" t="str">
        <f t="shared" si="47"/>
        <v>N</v>
      </c>
      <c r="X96" s="117">
        <f t="shared" si="48"/>
        <v>1</v>
      </c>
      <c r="Y96" s="72">
        <f t="shared" si="49"/>
        <v>23.296700000000001</v>
      </c>
      <c r="Z96" s="72">
        <f t="shared" si="50"/>
        <v>1.67E-2</v>
      </c>
      <c r="AA96" s="72">
        <f t="shared" si="51"/>
        <v>23.28</v>
      </c>
      <c r="AB96" s="69" t="e">
        <f>VLOOKUP(A96,Enforcements!$C$7:$J$24,8,0)</f>
        <v>#N/A</v>
      </c>
      <c r="AC96" s="65" t="e">
        <f>VLOOKUP(A96,Enforcements!$C$7:$E$24,3,0)</f>
        <v>#N/A</v>
      </c>
      <c r="AD96" s="66" t="str">
        <f t="shared" si="52"/>
        <v>0184-04</v>
      </c>
      <c r="AE96" s="124" t="str">
        <f t="shared" si="53"/>
        <v>aws s3 cp s3://rtdc.mdm.uploadarchive/RTDC4032/2016-08-04/ "%USERPROFILE%\AppData\Local\Temp\OnboardLogs"\RTDC4032\2016-08-04 --recursive &amp; "%USERPROFILE%\Documents\GitHub\mrs-test-scripts\Headless Mode &amp; Sideloading\WalkAndUnGZ.bat" "%USERPROFILE%\AppData\Local\Temp\OnboardLogs"\RTDC4032\2016-08-04 &amp; aws s3 cp s3://rtdc.mdm.uploadarchive/RTDC4032/2016-08-05/ "%USERPROFILE%\AppData\Local\Temp\OnboardLogs"\RTDC4032\2016-08-05 --recursive &amp; "%USERPROFILE%\Documents\GitHub\mrs-test-scripts\Headless Mode &amp; Sideloading\WalkAndUnGZ.bat" "%USERPROFILE%\AppData\Local\Temp\OnboardLogs"\RTDC4032\2016-08-05</v>
      </c>
      <c r="AF96" s="121" t="str">
        <f t="shared" si="54"/>
        <v>"C:\Program Files (x86)\AstroGrep\AstroGrep.exe" /spath="%USERPROFILE%\AppData\Local\Temp\OnboardLogs" /stypes="*4032*20160804*" /stext=" 21:.+((SYSTEM_STATE.+slice.+state.+changed )|(ment ac)|(system.+state.+changed )|(\|lc)|(penalty)|(\[timeout)|(PRM\|1\|D)|(kpr)|(kdp))" /e /r /s</v>
      </c>
      <c r="AG96" s="1" t="str">
        <f t="shared" si="55"/>
        <v>EC</v>
      </c>
      <c r="AH96" s="125" t="str">
        <f>refinertdcruntimes&amp;" --tripid "&amp;A96&amp;" --locoid "&amp;B96&amp;" --swversion "&amp;C96&amp;" --startMP "&amp;D96&amp;" --initTime "&amp;TEXT(E96,"yyyy-mm-ddTHH:MM:SS")&amp;" --startdatetime "&amp;TEXT(F96,"yyyy-mm-ddTHH:MM:SS")&amp;" --delay "&amp;G96&amp;" --endMP "&amp;H96&amp;" --enddatetime "&amp;TEXT(I96,"yyyy-mm-ddTHH:MM:SS")&amp;" --enforcementcount "&amp;J96&amp;" &gt;&gt; "&amp;TEXT(Variables!$A$2,"yyyy-mm-dd")&amp;"-refined-runtimes.txt"</f>
        <v>"%USERPROFILE%\Documents\GitHub\eaglep3\Utilities\RefineRTDCRunTimes.py" --tripid 184-04 --locoid 4032 --swversion DE.1.0.7.0 --startMP 204:232967 --initTime 2016-08-04T14:46:51 --startdatetime 2016-08-04T14:47:48 --delay 0 --endMP 204:167 --enddatetime 2016-08-04T15:36:29 --enforcementcount 0 &gt;&gt; 2016-08-04-refined-runtimes.txt</v>
      </c>
    </row>
    <row r="97" spans="1:34" x14ac:dyDescent="0.25">
      <c r="A97" s="42" t="s">
        <v>597</v>
      </c>
      <c r="B97" s="7">
        <v>4027</v>
      </c>
      <c r="C97" s="25" t="s">
        <v>163</v>
      </c>
      <c r="D97" s="25" t="s">
        <v>140</v>
      </c>
      <c r="E97" s="16">
        <v>42586.590462962966</v>
      </c>
      <c r="F97" s="16">
        <v>42586.591458333336</v>
      </c>
      <c r="G97" s="7">
        <v>1</v>
      </c>
      <c r="H97" s="16" t="s">
        <v>583</v>
      </c>
      <c r="I97" s="16">
        <v>42586.61986111111</v>
      </c>
      <c r="J97" s="7">
        <v>0</v>
      </c>
      <c r="K97" s="114" t="str">
        <f t="shared" si="42"/>
        <v>4027/4028</v>
      </c>
      <c r="L97" s="25" t="str">
        <f>VLOOKUP(A97,'Trips&amp;Operators'!$C$1:$E$10000,3,FALSE)</f>
        <v>SWANSON</v>
      </c>
      <c r="M97" s="6">
        <f t="shared" si="43"/>
        <v>2.8402777774317656E-2</v>
      </c>
      <c r="N97" s="7">
        <f t="shared" si="41"/>
        <v>40.899999995017424</v>
      </c>
      <c r="O97" s="7"/>
      <c r="P97" s="7"/>
      <c r="Q97" s="26"/>
      <c r="R97" s="26"/>
      <c r="S97" s="38">
        <f t="shared" si="44"/>
        <v>1</v>
      </c>
      <c r="T97" s="55" t="str">
        <f t="shared" si="45"/>
        <v>NorthBound</v>
      </c>
      <c r="U97" s="77">
        <f>IF(AG97="EC",COUNTIFS(Variables!$M$2:$M$19,IF(T97="NorthBound","&gt;=","&lt;=")&amp;Y97,Variables!$M$2:$M$19,IF(T97="NorthBound","&lt;=","&gt;=")&amp;Z97),COUNTIFS(Variables!$P$2:$P$19,IF(T97="NorthBound","&gt;=","&lt;=")&amp;Y97,Variables!$P$2:$P$19,IF(T97="NorthBound","&lt;=","&gt;=")&amp;Z97))</f>
        <v>12</v>
      </c>
      <c r="V97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13:10:16-0600',mode:absolute,to:'2016-08-04 15:52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97" s="57" t="str">
        <f t="shared" si="47"/>
        <v>N</v>
      </c>
      <c r="X97" s="117">
        <f t="shared" si="48"/>
        <v>1</v>
      </c>
      <c r="Y97" s="72">
        <f t="shared" si="49"/>
        <v>4.6199999999999998E-2</v>
      </c>
      <c r="Z97" s="72">
        <f t="shared" si="50"/>
        <v>23.328099999999999</v>
      </c>
      <c r="AA97" s="72">
        <f t="shared" si="51"/>
        <v>23.2819</v>
      </c>
      <c r="AB97" s="69" t="e">
        <f>VLOOKUP(A97,Enforcements!$C$7:$J$24,8,0)</f>
        <v>#N/A</v>
      </c>
      <c r="AC97" s="65" t="e">
        <f>VLOOKUP(A97,Enforcements!$C$7:$E$24,3,0)</f>
        <v>#N/A</v>
      </c>
      <c r="AD97" s="66" t="str">
        <f t="shared" si="52"/>
        <v>0185-04</v>
      </c>
      <c r="AE97" s="124" t="str">
        <f t="shared" si="53"/>
        <v>aws s3 cp s3://rtdc.mdm.uploadarchive/RTDC4027/2016-08-04/ "%USERPROFILE%\AppData\Local\Temp\OnboardLogs"\RTDC4027\2016-08-04 --recursive &amp; "%USERPROFILE%\Documents\GitHub\mrs-test-scripts\Headless Mode &amp; Sideloading\WalkAndUnGZ.bat" "%USERPROFILE%\AppData\Local\Temp\OnboardLogs"\RTDC4027\2016-08-04 &amp; aws s3 cp s3://rtdc.mdm.uploadarchive/RTDC4027/2016-08-05/ "%USERPROFILE%\AppData\Local\Temp\OnboardLogs"\RTDC4027\2016-08-05 --recursive &amp; "%USERPROFILE%\Documents\GitHub\mrs-test-scripts\Headless Mode &amp; Sideloading\WalkAndUnGZ.bat" "%USERPROFILE%\AppData\Local\Temp\OnboardLogs"\RTDC4027\2016-08-05</v>
      </c>
      <c r="AF97" s="121" t="str">
        <f t="shared" si="54"/>
        <v>"C:\Program Files (x86)\AstroGrep\AstroGrep.exe" /spath="%USERPROFILE%\AppData\Local\Temp\OnboardLogs" /stypes="*4027*20160804*" /stext=" 20:.+((SYSTEM_STATE.+slice.+state.+changed )|(ment ac)|(system.+state.+changed )|(\|lc)|(penalty)|(\[timeout)|(PRM\|1\|D)|(kpr)|(kdp))" /e /r /s</v>
      </c>
      <c r="AG97" s="1" t="str">
        <f t="shared" si="55"/>
        <v>EC</v>
      </c>
      <c r="AH97" s="125" t="str">
        <f>refinertdcruntimes&amp;" --tripid "&amp;A97&amp;" --locoid "&amp;B97&amp;" --swversion "&amp;C97&amp;" --startMP "&amp;D97&amp;" --initTime "&amp;TEXT(E97,"yyyy-mm-ddTHH:MM:SS")&amp;" --startdatetime "&amp;TEXT(F97,"yyyy-mm-ddTHH:MM:SS")&amp;" --delay "&amp;G97&amp;" --endMP "&amp;H97&amp;" --enddatetime "&amp;TEXT(I97,"yyyy-mm-ddTHH:MM:SS")&amp;" --enforcementcount "&amp;J97&amp;" &gt;&gt; "&amp;TEXT(Variables!$A$2,"yyyy-mm-dd")&amp;"-refined-runtimes.txt"</f>
        <v>"%USERPROFILE%\Documents\GitHub\eaglep3\Utilities\RefineRTDCRunTimes.py" --tripid 185-04 --locoid 4027 --swversion DE.1.0.7.0 --startMP 204:462 --initTime 2016-08-04T14:10:16 --startdatetime 2016-08-04T14:11:42 --delay 1 --endMP 204:233281 --enddatetime 2016-08-04T14:52:36 --enforcementcount 0 &gt;&gt; 2016-08-04-refined-runtimes.txt</v>
      </c>
    </row>
    <row r="98" spans="1:34" x14ac:dyDescent="0.25">
      <c r="A98" s="42" t="s">
        <v>598</v>
      </c>
      <c r="B98" s="7">
        <v>4028</v>
      </c>
      <c r="C98" s="25" t="s">
        <v>163</v>
      </c>
      <c r="D98" s="25" t="s">
        <v>599</v>
      </c>
      <c r="E98" s="16">
        <v>42586.621562499997</v>
      </c>
      <c r="F98" s="16">
        <v>42586.622314814813</v>
      </c>
      <c r="G98" s="7">
        <v>1</v>
      </c>
      <c r="H98" s="16" t="s">
        <v>139</v>
      </c>
      <c r="I98" s="16">
        <v>42586.660092592596</v>
      </c>
      <c r="J98" s="7">
        <v>0</v>
      </c>
      <c r="K98" s="114" t="str">
        <f t="shared" si="42"/>
        <v>4027/4028</v>
      </c>
      <c r="L98" s="25" t="str">
        <f>VLOOKUP(A98,'Trips&amp;Operators'!$C$1:$E$10000,3,FALSE)</f>
        <v>SWANSON</v>
      </c>
      <c r="M98" s="6">
        <f t="shared" si="43"/>
        <v>3.7777777783048805E-2</v>
      </c>
      <c r="N98" s="7">
        <f t="shared" si="41"/>
        <v>54.400000007590279</v>
      </c>
      <c r="O98" s="7"/>
      <c r="P98" s="7"/>
      <c r="Q98" s="26"/>
      <c r="R98" s="26"/>
      <c r="S98" s="38">
        <f t="shared" si="44"/>
        <v>1</v>
      </c>
      <c r="T98" s="55" t="str">
        <f t="shared" si="45"/>
        <v>Southbound</v>
      </c>
      <c r="U98" s="77">
        <f>IF(AG98="EC",COUNTIFS(Variables!$M$2:$M$19,IF(T98="NorthBound","&gt;=","&lt;=")&amp;Y98,Variables!$M$2:$M$19,IF(T98="NorthBound","&lt;=","&gt;=")&amp;Z98),COUNTIFS(Variables!$P$2:$P$19,IF(T98="NorthBound","&gt;=","&lt;=")&amp;Y98,Variables!$P$2:$P$19,IF(T98="NorthBound","&lt;=","&gt;=")&amp;Z98))</f>
        <v>12</v>
      </c>
      <c r="V98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13:55:03-0600',mode:absolute,to:'2016-08-04 16:50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98" s="57" t="str">
        <f t="shared" si="47"/>
        <v>N</v>
      </c>
      <c r="X98" s="117">
        <f t="shared" si="48"/>
        <v>1</v>
      </c>
      <c r="Y98" s="72">
        <f t="shared" si="49"/>
        <v>23.296800000000001</v>
      </c>
      <c r="Z98" s="72">
        <f t="shared" si="50"/>
        <v>1.3899999999999999E-2</v>
      </c>
      <c r="AA98" s="72">
        <f t="shared" si="51"/>
        <v>23.282900000000001</v>
      </c>
      <c r="AB98" s="69" t="e">
        <f>VLOOKUP(A98,Enforcements!$C$7:$J$24,8,0)</f>
        <v>#N/A</v>
      </c>
      <c r="AC98" s="65" t="e">
        <f>VLOOKUP(A98,Enforcements!$C$7:$E$24,3,0)</f>
        <v>#N/A</v>
      </c>
      <c r="AD98" s="66" t="str">
        <f t="shared" si="52"/>
        <v>0186-04</v>
      </c>
      <c r="AE98" s="124" t="str">
        <f t="shared" si="53"/>
        <v>aws s3 cp s3://rtdc.mdm.uploadarchive/RTDC4028/2016-08-04/ "%USERPROFILE%\AppData\Local\Temp\OnboardLogs"\RTDC4028\2016-08-04 --recursive &amp; "%USERPROFILE%\Documents\GitHub\mrs-test-scripts\Headless Mode &amp; Sideloading\WalkAndUnGZ.bat" "%USERPROFILE%\AppData\Local\Temp\OnboardLogs"\RTDC4028\2016-08-04 &amp; aws s3 cp s3://rtdc.mdm.uploadarchive/RTDC4028/2016-08-05/ "%USERPROFILE%\AppData\Local\Temp\OnboardLogs"\RTDC4028\2016-08-05 --recursive &amp; "%USERPROFILE%\Documents\GitHub\mrs-test-scripts\Headless Mode &amp; Sideloading\WalkAndUnGZ.bat" "%USERPROFILE%\AppData\Local\Temp\OnboardLogs"\RTDC4028\2016-08-05</v>
      </c>
      <c r="AF98" s="121" t="str">
        <f t="shared" si="54"/>
        <v>"C:\Program Files (x86)\AstroGrep\AstroGrep.exe" /spath="%USERPROFILE%\AppData\Local\Temp\OnboardLogs" /stypes="*4028*20160804*" /stext=" 21:.+((SYSTEM_STATE.+slice.+state.+changed )|(ment ac)|(system.+state.+changed )|(\|lc)|(penalty)|(\[timeout)|(PRM\|1\|D)|(kpr)|(kdp))" /e /r /s</v>
      </c>
      <c r="AG98" s="1" t="str">
        <f t="shared" si="55"/>
        <v>EC</v>
      </c>
      <c r="AH98" s="125" t="str">
        <f>refinertdcruntimes&amp;" --tripid "&amp;A98&amp;" --locoid "&amp;B98&amp;" --swversion "&amp;C98&amp;" --startMP "&amp;D98&amp;" --initTime "&amp;TEXT(E98,"yyyy-mm-ddTHH:MM:SS")&amp;" --startdatetime "&amp;TEXT(F98,"yyyy-mm-ddTHH:MM:SS")&amp;" --delay "&amp;G98&amp;" --endMP "&amp;H98&amp;" --enddatetime "&amp;TEXT(I98,"yyyy-mm-ddTHH:MM:SS")&amp;" --enforcementcount "&amp;J98&amp;" &gt;&gt; "&amp;TEXT(Variables!$A$2,"yyyy-mm-dd")&amp;"-refined-runtimes.txt"</f>
        <v>"%USERPROFILE%\Documents\GitHub\eaglep3\Utilities\RefineRTDCRunTimes.py" --tripid 186-04 --locoid 4028 --swversion DE.1.0.7.0 --startMP 204:232968 --initTime 2016-08-04T14:55:03 --startdatetime 2016-08-04T14:56:08 --delay 1 --endMP 204:139 --enddatetime 2016-08-04T15:50:32 --enforcementcount 0 &gt;&gt; 2016-08-04-refined-runtimes.txt</v>
      </c>
    </row>
    <row r="99" spans="1:34" x14ac:dyDescent="0.25">
      <c r="A99" s="42" t="s">
        <v>600</v>
      </c>
      <c r="B99" s="7">
        <v>4029</v>
      </c>
      <c r="C99" s="25" t="s">
        <v>163</v>
      </c>
      <c r="D99" s="25" t="s">
        <v>389</v>
      </c>
      <c r="E99" s="16">
        <v>42586.599560185183</v>
      </c>
      <c r="F99" s="16">
        <v>42586.600671296299</v>
      </c>
      <c r="G99" s="7">
        <v>1</v>
      </c>
      <c r="H99" s="16" t="s">
        <v>317</v>
      </c>
      <c r="I99" s="16">
        <v>42586.631539351853</v>
      </c>
      <c r="J99" s="7">
        <v>0</v>
      </c>
      <c r="K99" s="114" t="str">
        <f t="shared" si="42"/>
        <v>4029/4030</v>
      </c>
      <c r="L99" s="25" t="str">
        <f>VLOOKUP(A99,'Trips&amp;Operators'!$C$1:$E$10000,3,FALSE)</f>
        <v>OUN</v>
      </c>
      <c r="M99" s="6">
        <f t="shared" si="43"/>
        <v>3.0868055553582963E-2</v>
      </c>
      <c r="N99" s="7">
        <f t="shared" si="41"/>
        <v>44.449999997159466</v>
      </c>
      <c r="O99" s="7"/>
      <c r="P99" s="7"/>
      <c r="Q99" s="26"/>
      <c r="R99" s="26"/>
      <c r="S99" s="38">
        <f t="shared" si="44"/>
        <v>1</v>
      </c>
      <c r="T99" s="55" t="str">
        <f t="shared" si="45"/>
        <v>NorthBound</v>
      </c>
      <c r="U99" s="77">
        <f>IF(AG99="EC",COUNTIFS(Variables!$M$2:$M$19,IF(T99="NorthBound","&gt;=","&lt;=")&amp;Y99,Variables!$M$2:$M$19,IF(T99="NorthBound","&lt;=","&gt;=")&amp;Z99),COUNTIFS(Variables!$P$2:$P$19,IF(T99="NorthBound","&gt;=","&lt;=")&amp;Y99,Variables!$P$2:$P$19,IF(T99="NorthBound","&lt;=","&gt;=")&amp;Z99))</f>
        <v>12</v>
      </c>
      <c r="V99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13:23:22-0600',mode:absolute,to:'2016-08-04 16:09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99" s="57" t="str">
        <f t="shared" si="47"/>
        <v>N</v>
      </c>
      <c r="X99" s="117">
        <f t="shared" si="48"/>
        <v>1</v>
      </c>
      <c r="Y99" s="72">
        <f t="shared" si="49"/>
        <v>4.7699999999999999E-2</v>
      </c>
      <c r="Z99" s="72">
        <f t="shared" si="50"/>
        <v>23.3309</v>
      </c>
      <c r="AA99" s="72">
        <f t="shared" si="51"/>
        <v>23.283200000000001</v>
      </c>
      <c r="AB99" s="69" t="e">
        <f>VLOOKUP(A99,Enforcements!$C$7:$J$24,8,0)</f>
        <v>#N/A</v>
      </c>
      <c r="AC99" s="65" t="e">
        <f>VLOOKUP(A99,Enforcements!$C$7:$E$24,3,0)</f>
        <v>#N/A</v>
      </c>
      <c r="AD99" s="66" t="str">
        <f t="shared" si="52"/>
        <v>0187-04</v>
      </c>
      <c r="AE99" s="124" t="str">
        <f t="shared" si="53"/>
        <v>aws s3 cp s3://rtdc.mdm.uploadarchive/RTDC4029/2016-08-04/ "%USERPROFILE%\AppData\Local\Temp\OnboardLogs"\RTDC4029\2016-08-04 --recursive &amp; "%USERPROFILE%\Documents\GitHub\mrs-test-scripts\Headless Mode &amp; Sideloading\WalkAndUnGZ.bat" "%USERPROFILE%\AppData\Local\Temp\OnboardLogs"\RTDC4029\2016-08-04 &amp; aws s3 cp s3://rtdc.mdm.uploadarchive/RTDC4029/2016-08-05/ "%USERPROFILE%\AppData\Local\Temp\OnboardLogs"\RTDC4029\2016-08-05 --recursive &amp; "%USERPROFILE%\Documents\GitHub\mrs-test-scripts\Headless Mode &amp; Sideloading\WalkAndUnGZ.bat" "%USERPROFILE%\AppData\Local\Temp\OnboardLogs"\RTDC4029\2016-08-05</v>
      </c>
      <c r="AF99" s="121" t="str">
        <f t="shared" si="54"/>
        <v>"C:\Program Files (x86)\AstroGrep\AstroGrep.exe" /spath="%USERPROFILE%\AppData\Local\Temp\OnboardLogs" /stypes="*4029*20160804*" /stext=" 21:.+((SYSTEM_STATE.+slice.+state.+changed )|(ment ac)|(system.+state.+changed )|(\|lc)|(penalty)|(\[timeout)|(PRM\|1\|D)|(kpr)|(kdp))" /e /r /s</v>
      </c>
      <c r="AG99" s="1" t="str">
        <f t="shared" si="55"/>
        <v>EC</v>
      </c>
      <c r="AH99" s="125" t="str">
        <f>refinertdcruntimes&amp;" --tripid "&amp;A99&amp;" --locoid "&amp;B99&amp;" --swversion "&amp;C99&amp;" --startMP "&amp;D99&amp;" --initTime "&amp;TEXT(E99,"yyyy-mm-ddTHH:MM:SS")&amp;" --startdatetime "&amp;TEXT(F99,"yyyy-mm-ddTHH:MM:SS")&amp;" --delay "&amp;G99&amp;" --endMP "&amp;H99&amp;" --enddatetime "&amp;TEXT(I99,"yyyy-mm-ddTHH:MM:SS")&amp;" --enforcementcount "&amp;J99&amp;" &gt;&gt; "&amp;TEXT(Variables!$A$2,"yyyy-mm-dd")&amp;"-refined-runtimes.txt"</f>
        <v>"%USERPROFILE%\Documents\GitHub\eaglep3\Utilities\RefineRTDCRunTimes.py" --tripid 187-04 --locoid 4029 --swversion DE.1.0.7.0 --startMP 204:477 --initTime 2016-08-04T14:23:22 --startdatetime 2016-08-04T14:24:58 --delay 1 --endMP 204:233309 --enddatetime 2016-08-04T15:09:25 --enforcementcount 0 &gt;&gt; 2016-08-04-refined-runtimes.txt</v>
      </c>
    </row>
    <row r="100" spans="1:34" x14ac:dyDescent="0.25">
      <c r="A100" s="25" t="s">
        <v>601</v>
      </c>
      <c r="B100" s="87">
        <v>4030</v>
      </c>
      <c r="C100" s="88" t="s">
        <v>163</v>
      </c>
      <c r="D100" s="88" t="s">
        <v>408</v>
      </c>
      <c r="E100" s="89">
        <v>42586.639317129629</v>
      </c>
      <c r="F100" s="89">
        <v>42586.640138888892</v>
      </c>
      <c r="G100" s="87">
        <v>1</v>
      </c>
      <c r="H100" s="89" t="s">
        <v>390</v>
      </c>
      <c r="I100" s="89">
        <v>42586.671724537038</v>
      </c>
      <c r="J100" s="87">
        <v>0</v>
      </c>
      <c r="K100" s="114" t="str">
        <f t="shared" si="42"/>
        <v>4029/4030</v>
      </c>
      <c r="L100" s="25" t="str">
        <f>VLOOKUP(A100,'Trips&amp;Operators'!$C$1:$E$10000,3,FALSE)</f>
        <v>OUN</v>
      </c>
      <c r="M100" s="6">
        <f t="shared" si="43"/>
        <v>3.1585648146574385E-2</v>
      </c>
      <c r="N100" s="7">
        <f t="shared" si="41"/>
        <v>45.483333331067115</v>
      </c>
      <c r="O100" s="7"/>
      <c r="P100" s="7"/>
      <c r="Q100" s="26"/>
      <c r="R100" s="26"/>
      <c r="S100" s="38">
        <f t="shared" si="44"/>
        <v>1</v>
      </c>
      <c r="T100" s="55" t="str">
        <f t="shared" si="45"/>
        <v>Southbound</v>
      </c>
      <c r="U100" s="77">
        <f>IF(AG100="EC",COUNTIFS(Variables!$M$2:$M$19,IF(T100="NorthBound","&gt;=","&lt;=")&amp;Y100,Variables!$M$2:$M$19,IF(T100="NorthBound","&lt;=","&gt;=")&amp;Z100),COUNTIFS(Variables!$P$2:$P$19,IF(T100="NorthBound","&gt;=","&lt;=")&amp;Y100,Variables!$P$2:$P$19,IF(T100="NorthBound","&lt;=","&gt;=")&amp;Z100))</f>
        <v>12</v>
      </c>
      <c r="V100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14:20:37-0600',mode:absolute,to:'2016-08-04 17:07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00" s="57" t="str">
        <f t="shared" si="47"/>
        <v>N</v>
      </c>
      <c r="X100" s="117">
        <f t="shared" si="48"/>
        <v>1</v>
      </c>
      <c r="Y100" s="72">
        <f t="shared" si="49"/>
        <v>23.295500000000001</v>
      </c>
      <c r="Z100" s="72">
        <f t="shared" si="50"/>
        <v>1.6299999999999999E-2</v>
      </c>
      <c r="AA100" s="72">
        <f t="shared" si="51"/>
        <v>23.279199999999999</v>
      </c>
      <c r="AB100" s="69" t="e">
        <f>VLOOKUP(A100,Enforcements!$C$7:$J$24,8,0)</f>
        <v>#N/A</v>
      </c>
      <c r="AC100" s="65" t="e">
        <f>VLOOKUP(A100,Enforcements!$C$7:$E$24,3,0)</f>
        <v>#N/A</v>
      </c>
      <c r="AD100" s="66" t="str">
        <f t="shared" si="52"/>
        <v>0188-04</v>
      </c>
      <c r="AE100" s="124" t="str">
        <f t="shared" si="53"/>
        <v>aws s3 cp s3://rtdc.mdm.uploadarchive/RTDC4030/2016-08-04/ "%USERPROFILE%\AppData\Local\Temp\OnboardLogs"\RTDC4030\2016-08-04 --recursive &amp; "%USERPROFILE%\Documents\GitHub\mrs-test-scripts\Headless Mode &amp; Sideloading\WalkAndUnGZ.bat" "%USERPROFILE%\AppData\Local\Temp\OnboardLogs"\RTDC4030\2016-08-04 &amp; aws s3 cp s3://rtdc.mdm.uploadarchive/RTDC4030/2016-08-05/ "%USERPROFILE%\AppData\Local\Temp\OnboardLogs"\RTDC4030\2016-08-05 --recursive &amp; "%USERPROFILE%\Documents\GitHub\mrs-test-scripts\Headless Mode &amp; Sideloading\WalkAndUnGZ.bat" "%USERPROFILE%\AppData\Local\Temp\OnboardLogs"\RTDC4030\2016-08-05</v>
      </c>
      <c r="AF100" s="121" t="str">
        <f t="shared" si="54"/>
        <v>"C:\Program Files (x86)\AstroGrep\AstroGrep.exe" /spath="%USERPROFILE%\AppData\Local\Temp\OnboardLogs" /stypes="*4030*20160804*" /stext=" 22:.+((SYSTEM_STATE.+slice.+state.+changed )|(ment ac)|(system.+state.+changed )|(\|lc)|(penalty)|(\[timeout)|(PRM\|1\|D)|(kpr)|(kdp))" /e /r /s</v>
      </c>
      <c r="AG100" s="1" t="str">
        <f t="shared" si="55"/>
        <v>EC</v>
      </c>
      <c r="AH100" s="125" t="str">
        <f>refinertdcruntimes&amp;" --tripid "&amp;A100&amp;" --locoid "&amp;B100&amp;" --swversion "&amp;C100&amp;" --startMP "&amp;D100&amp;" --initTime "&amp;TEXT(E100,"yyyy-mm-ddTHH:MM:SS")&amp;" --startdatetime "&amp;TEXT(F100,"yyyy-mm-ddTHH:MM:SS")&amp;" --delay "&amp;G100&amp;" --endMP "&amp;H100&amp;" --enddatetime "&amp;TEXT(I100,"yyyy-mm-ddTHH:MM:SS")&amp;" --enforcementcount "&amp;J100&amp;" &gt;&gt; "&amp;TEXT(Variables!$A$2,"yyyy-mm-dd")&amp;"-refined-runtimes.txt"</f>
        <v>"%USERPROFILE%\Documents\GitHub\eaglep3\Utilities\RefineRTDCRunTimes.py" --tripid 188-04 --locoid 4030 --swversion DE.1.0.7.0 --startMP 204:232955 --initTime 2016-08-04T15:20:37 --startdatetime 2016-08-04T15:21:48 --delay 1 --endMP 204:163 --enddatetime 2016-08-04T16:07:17 --enforcementcount 0 &gt;&gt; 2016-08-04-refined-runtimes.txt</v>
      </c>
    </row>
    <row r="101" spans="1:34" x14ac:dyDescent="0.25">
      <c r="A101" s="25" t="s">
        <v>602</v>
      </c>
      <c r="B101" s="87">
        <v>4011</v>
      </c>
      <c r="C101" s="88" t="s">
        <v>163</v>
      </c>
      <c r="D101" s="88" t="s">
        <v>366</v>
      </c>
      <c r="E101" s="89">
        <v>42586.610243055555</v>
      </c>
      <c r="F101" s="89">
        <v>42586.611319444448</v>
      </c>
      <c r="G101" s="87">
        <v>1</v>
      </c>
      <c r="H101" s="89" t="s">
        <v>603</v>
      </c>
      <c r="I101" s="89">
        <v>42586.641099537039</v>
      </c>
      <c r="J101" s="87">
        <v>0</v>
      </c>
      <c r="K101" s="114" t="str">
        <f t="shared" si="42"/>
        <v>4011/4012</v>
      </c>
      <c r="L101" s="25" t="str">
        <f>VLOOKUP(A101,'Trips&amp;Operators'!$C$1:$E$10000,3,FALSE)</f>
        <v>SHOOK</v>
      </c>
      <c r="M101" s="6">
        <f t="shared" si="43"/>
        <v>2.9780092590954155E-2</v>
      </c>
      <c r="N101" s="7">
        <f t="shared" si="41"/>
        <v>42.883333330973983</v>
      </c>
      <c r="O101" s="7"/>
      <c r="P101" s="7"/>
      <c r="Q101" s="26"/>
      <c r="R101" s="26"/>
      <c r="S101" s="38">
        <f t="shared" si="44"/>
        <v>1</v>
      </c>
      <c r="T101" s="55" t="str">
        <f t="shared" si="45"/>
        <v>NorthBound</v>
      </c>
      <c r="U101" s="77">
        <f>IF(AG101="EC",COUNTIFS(Variables!$M$2:$M$19,IF(T101="NorthBound","&gt;=","&lt;=")&amp;Y101,Variables!$M$2:$M$19,IF(T101="NorthBound","&lt;=","&gt;=")&amp;Z101),COUNTIFS(Variables!$P$2:$P$19,IF(T101="NorthBound","&gt;=","&lt;=")&amp;Y101,Variables!$P$2:$P$19,IF(T101="NorthBound","&lt;=","&gt;=")&amp;Z101))</f>
        <v>12</v>
      </c>
      <c r="V101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13:38:45-0600',mode:absolute,to:'2016-08-04 16:23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101" s="57" t="str">
        <f t="shared" si="47"/>
        <v>N</v>
      </c>
      <c r="X101" s="117">
        <f t="shared" si="48"/>
        <v>1</v>
      </c>
      <c r="Y101" s="72">
        <f t="shared" si="49"/>
        <v>4.3999999999999997E-2</v>
      </c>
      <c r="Z101" s="72">
        <f t="shared" si="50"/>
        <v>23.3368</v>
      </c>
      <c r="AA101" s="72">
        <f t="shared" si="51"/>
        <v>23.2928</v>
      </c>
      <c r="AB101" s="69" t="e">
        <f>VLOOKUP(A101,Enforcements!$C$7:$J$24,8,0)</f>
        <v>#N/A</v>
      </c>
      <c r="AC101" s="65" t="e">
        <f>VLOOKUP(A101,Enforcements!$C$7:$E$24,3,0)</f>
        <v>#N/A</v>
      </c>
      <c r="AD101" s="66" t="str">
        <f t="shared" si="52"/>
        <v>0189-04</v>
      </c>
      <c r="AE101" s="124" t="str">
        <f t="shared" si="53"/>
        <v>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 &amp; aws s3 cp s3://rtdc.mdm.uploadarchive/RTDC4011/2016-08-05/ "%USERPROFILE%\AppData\Local\Temp\OnboardLogs"\RTDC4011\2016-08-05 --recursive &amp; "%USERPROFILE%\Documents\GitHub\mrs-test-scripts\Headless Mode &amp; Sideloading\WalkAndUnGZ.bat" "%USERPROFILE%\AppData\Local\Temp\OnboardLogs"\RTDC4011\2016-08-05</v>
      </c>
      <c r="AF101" s="121" t="str">
        <f t="shared" si="54"/>
        <v>"C:\Program Files (x86)\AstroGrep\AstroGrep.exe" /spath="%USERPROFILE%\AppData\Local\Temp\OnboardLogs" /stypes="*4011*20160804*" /stext=" 21:.+((SYSTEM_STATE.+slice.+state.+changed )|(ment ac)|(system.+state.+changed )|(\|lc)|(penalty)|(\[timeout)|(PRM\|1\|D)|(kpr)|(kdp))" /e /r /s</v>
      </c>
      <c r="AG101" s="1" t="str">
        <f t="shared" si="55"/>
        <v>EC</v>
      </c>
      <c r="AH101" s="125" t="str">
        <f>refinertdcruntimes&amp;" --tripid "&amp;A101&amp;" --locoid "&amp;B101&amp;" --swversion "&amp;C101&amp;" --startMP "&amp;D101&amp;" --initTime "&amp;TEXT(E101,"yyyy-mm-ddTHH:MM:SS")&amp;" --startdatetime "&amp;TEXT(F101,"yyyy-mm-ddTHH:MM:SS")&amp;" --delay "&amp;G101&amp;" --endMP "&amp;H101&amp;" --enddatetime "&amp;TEXT(I101,"yyyy-mm-ddTHH:MM:SS")&amp;" --enforcementcount "&amp;J101&amp;" &gt;&gt; "&amp;TEXT(Variables!$A$2,"yyyy-mm-dd")&amp;"-refined-runtimes.txt"</f>
        <v>"%USERPROFILE%\Documents\GitHub\eaglep3\Utilities\RefineRTDCRunTimes.py" --tripid 189-04 --locoid 4011 --swversion DE.1.0.7.0 --startMP 204:440 --initTime 2016-08-04T14:38:45 --startdatetime 2016-08-04T14:40:18 --delay 1 --endMP 204:233368 --enddatetime 2016-08-04T15:23:11 --enforcementcount 0 &gt;&gt; 2016-08-04-refined-runtimes.txt</v>
      </c>
    </row>
    <row r="102" spans="1:34" x14ac:dyDescent="0.25">
      <c r="A102" s="25" t="s">
        <v>604</v>
      </c>
      <c r="B102" s="87">
        <v>4012</v>
      </c>
      <c r="C102" s="88" t="s">
        <v>163</v>
      </c>
      <c r="D102" s="88" t="s">
        <v>605</v>
      </c>
      <c r="E102" s="89">
        <v>42586.6484837963</v>
      </c>
      <c r="F102" s="89">
        <v>42586.649386574078</v>
      </c>
      <c r="G102" s="87">
        <v>1</v>
      </c>
      <c r="H102" s="89" t="s">
        <v>147</v>
      </c>
      <c r="I102" s="89">
        <v>42586.680497685185</v>
      </c>
      <c r="J102" s="87">
        <v>0</v>
      </c>
      <c r="K102" s="114" t="str">
        <f t="shared" si="42"/>
        <v>4011/4012</v>
      </c>
      <c r="L102" s="25" t="str">
        <f>VLOOKUP(A102,'Trips&amp;Operators'!$C$1:$E$10000,3,FALSE)</f>
        <v>SHOOK</v>
      </c>
      <c r="M102" s="6">
        <f t="shared" si="43"/>
        <v>3.1111111107748002E-2</v>
      </c>
      <c r="N102" s="7">
        <f t="shared" si="41"/>
        <v>44.799999995157123</v>
      </c>
      <c r="O102" s="7"/>
      <c r="P102" s="7"/>
      <c r="Q102" s="26"/>
      <c r="R102" s="26"/>
      <c r="S102" s="38">
        <f t="shared" si="44"/>
        <v>1</v>
      </c>
      <c r="T102" s="55" t="str">
        <f t="shared" si="45"/>
        <v>Southbound</v>
      </c>
      <c r="U102" s="77">
        <f>IF(AG102="EC",COUNTIFS(Variables!$M$2:$M$19,IF(T102="NorthBound","&gt;=","&lt;=")&amp;Y102,Variables!$M$2:$M$19,IF(T102="NorthBound","&lt;=","&gt;=")&amp;Z102),COUNTIFS(Variables!$P$2:$P$19,IF(T102="NorthBound","&gt;=","&lt;=")&amp;Y102,Variables!$P$2:$P$19,IF(T102="NorthBound","&lt;=","&gt;=")&amp;Z102))</f>
        <v>12</v>
      </c>
      <c r="V102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14:33:49-0600',mode:absolute,to:'2016-08-04 17:19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02" s="57" t="str">
        <f t="shared" si="47"/>
        <v>N</v>
      </c>
      <c r="X102" s="117">
        <f t="shared" si="48"/>
        <v>1</v>
      </c>
      <c r="Y102" s="72">
        <f t="shared" si="49"/>
        <v>23.3066</v>
      </c>
      <c r="Z102" s="72">
        <f t="shared" si="50"/>
        <v>1.41E-2</v>
      </c>
      <c r="AA102" s="72">
        <f t="shared" si="51"/>
        <v>23.2925</v>
      </c>
      <c r="AB102" s="69" t="e">
        <f>VLOOKUP(A102,Enforcements!$C$7:$J$24,8,0)</f>
        <v>#N/A</v>
      </c>
      <c r="AC102" s="65" t="e">
        <f>VLOOKUP(A102,Enforcements!$C$7:$E$24,3,0)</f>
        <v>#N/A</v>
      </c>
      <c r="AD102" s="66" t="str">
        <f t="shared" si="52"/>
        <v>0190-04</v>
      </c>
      <c r="AE102" s="124" t="str">
        <f t="shared" si="53"/>
        <v>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 &amp; aws s3 cp s3://rtdc.mdm.uploadarchive/RTDC4012/2016-08-05/ "%USERPROFILE%\AppData\Local\Temp\OnboardLogs"\RTDC4012\2016-08-05 --recursive &amp; "%USERPROFILE%\Documents\GitHub\mrs-test-scripts\Headless Mode &amp; Sideloading\WalkAndUnGZ.bat" "%USERPROFILE%\AppData\Local\Temp\OnboardLogs"\RTDC4012\2016-08-05</v>
      </c>
      <c r="AF102" s="121" t="str">
        <f t="shared" si="54"/>
        <v>"C:\Program Files (x86)\AstroGrep\AstroGrep.exe" /spath="%USERPROFILE%\AppData\Local\Temp\OnboardLogs" /stypes="*4012*20160804*" /stext=" 22:.+((SYSTEM_STATE.+slice.+state.+changed )|(ment ac)|(system.+state.+changed )|(\|lc)|(penalty)|(\[timeout)|(PRM\|1\|D)|(kpr)|(kdp))" /e /r /s</v>
      </c>
      <c r="AG102" s="1" t="str">
        <f t="shared" si="55"/>
        <v>EC</v>
      </c>
      <c r="AH102" s="125" t="str">
        <f>refinertdcruntimes&amp;" --tripid "&amp;A102&amp;" --locoid "&amp;B102&amp;" --swversion "&amp;C102&amp;" --startMP "&amp;D102&amp;" --initTime "&amp;TEXT(E102,"yyyy-mm-ddTHH:MM:SS")&amp;" --startdatetime "&amp;TEXT(F102,"yyyy-mm-ddTHH:MM:SS")&amp;" --delay "&amp;G102&amp;" --endMP "&amp;H102&amp;" --enddatetime "&amp;TEXT(I102,"yyyy-mm-ddTHH:MM:SS")&amp;" --enforcementcount "&amp;J102&amp;" &gt;&gt; "&amp;TEXT(Variables!$A$2,"yyyy-mm-dd")&amp;"-refined-runtimes.txt"</f>
        <v>"%USERPROFILE%\Documents\GitHub\eaglep3\Utilities\RefineRTDCRunTimes.py" --tripid 190-04 --locoid 4012 --swversion DE.1.0.7.0 --startMP 204:233066 --initTime 2016-08-04T15:33:49 --startdatetime 2016-08-04T15:35:07 --delay 1 --endMP 204:141 --enddatetime 2016-08-04T16:19:55 --enforcementcount 0 &gt;&gt; 2016-08-04-refined-runtimes.txt</v>
      </c>
    </row>
    <row r="103" spans="1:34" x14ac:dyDescent="0.25">
      <c r="A103" s="25" t="s">
        <v>606</v>
      </c>
      <c r="B103" s="87">
        <v>4007</v>
      </c>
      <c r="C103" s="88" t="s">
        <v>163</v>
      </c>
      <c r="D103" s="88" t="s">
        <v>116</v>
      </c>
      <c r="E103" s="89">
        <v>42586.621099537035</v>
      </c>
      <c r="F103" s="89">
        <v>42586.622361111113</v>
      </c>
      <c r="G103" s="87">
        <v>1</v>
      </c>
      <c r="H103" s="89" t="s">
        <v>323</v>
      </c>
      <c r="I103" s="89">
        <v>42586.650300925925</v>
      </c>
      <c r="J103" s="87">
        <v>0</v>
      </c>
      <c r="K103" s="114" t="str">
        <f t="shared" si="42"/>
        <v>4007/4008</v>
      </c>
      <c r="L103" s="25" t="str">
        <f>VLOOKUP(A103,'Trips&amp;Operators'!$C$1:$E$10000,3,FALSE)</f>
        <v>MOSES</v>
      </c>
      <c r="M103" s="6">
        <f t="shared" si="43"/>
        <v>2.7939814812270924E-2</v>
      </c>
      <c r="N103" s="7">
        <f t="shared" si="41"/>
        <v>40.233333329670131</v>
      </c>
      <c r="O103" s="7"/>
      <c r="P103" s="7"/>
      <c r="Q103" s="26"/>
      <c r="R103" s="26"/>
      <c r="S103" s="38">
        <f t="shared" si="44"/>
        <v>1</v>
      </c>
      <c r="T103" s="55" t="str">
        <f t="shared" si="45"/>
        <v>NorthBound</v>
      </c>
      <c r="U103" s="77">
        <f>IF(AG103="EC",COUNTIFS(Variables!$M$2:$M$19,IF(T103="NorthBound","&gt;=","&lt;=")&amp;Y103,Variables!$M$2:$M$19,IF(T103="NorthBound","&lt;=","&gt;=")&amp;Z103),COUNTIFS(Variables!$P$2:$P$19,IF(T103="NorthBound","&gt;=","&lt;=")&amp;Y103,Variables!$P$2:$P$19,IF(T103="NorthBound","&lt;=","&gt;=")&amp;Z103))</f>
        <v>12</v>
      </c>
      <c r="V103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13:54:23-0600',mode:absolute,to:'2016-08-04 16:36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03" s="57" t="str">
        <f t="shared" si="47"/>
        <v>N</v>
      </c>
      <c r="X103" s="117">
        <f t="shared" si="48"/>
        <v>1</v>
      </c>
      <c r="Y103" s="72">
        <f t="shared" si="49"/>
        <v>4.58E-2</v>
      </c>
      <c r="Z103" s="72">
        <f t="shared" si="50"/>
        <v>23.330100000000002</v>
      </c>
      <c r="AA103" s="72">
        <f t="shared" si="51"/>
        <v>23.284300000000002</v>
      </c>
      <c r="AB103" s="69" t="e">
        <f>VLOOKUP(A103,Enforcements!$C$7:$J$24,8,0)</f>
        <v>#N/A</v>
      </c>
      <c r="AC103" s="65" t="e">
        <f>VLOOKUP(A103,Enforcements!$C$7:$E$24,3,0)</f>
        <v>#N/A</v>
      </c>
      <c r="AD103" s="66" t="str">
        <f t="shared" si="52"/>
        <v>0191-04</v>
      </c>
      <c r="AE103" s="124" t="str">
        <f t="shared" si="53"/>
        <v>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 &amp; aws s3 cp s3://rtdc.mdm.uploadarchive/RTDC4007/2016-08-05/ "%USERPROFILE%\AppData\Local\Temp\OnboardLogs"\RTDC4007\2016-08-05 --recursive &amp; "%USERPROFILE%\Documents\GitHub\mrs-test-scripts\Headless Mode &amp; Sideloading\WalkAndUnGZ.bat" "%USERPROFILE%\AppData\Local\Temp\OnboardLogs"\RTDC4007\2016-08-05</v>
      </c>
      <c r="AF103" s="121" t="str">
        <f t="shared" si="54"/>
        <v>"C:\Program Files (x86)\AstroGrep\AstroGrep.exe" /spath="%USERPROFILE%\AppData\Local\Temp\OnboardLogs" /stypes="*4007*20160804*" /stext=" 21:.+((SYSTEM_STATE.+slice.+state.+changed )|(ment ac)|(system.+state.+changed )|(\|lc)|(penalty)|(\[timeout)|(PRM\|1\|D)|(kpr)|(kdp))" /e /r /s</v>
      </c>
      <c r="AG103" s="1" t="str">
        <f t="shared" si="55"/>
        <v>EC</v>
      </c>
      <c r="AH103" s="125" t="str">
        <f>refinertdcruntimes&amp;" --tripid "&amp;A103&amp;" --locoid "&amp;B103&amp;" --swversion "&amp;C103&amp;" --startMP "&amp;D103&amp;" --initTime "&amp;TEXT(E103,"yyyy-mm-ddTHH:MM:SS")&amp;" --startdatetime "&amp;TEXT(F103,"yyyy-mm-ddTHH:MM:SS")&amp;" --delay "&amp;G103&amp;" --endMP "&amp;H103&amp;" --enddatetime "&amp;TEXT(I103,"yyyy-mm-ddTHH:MM:SS")&amp;" --enforcementcount "&amp;J103&amp;" &gt;&gt; "&amp;TEXT(Variables!$A$2,"yyyy-mm-dd")&amp;"-refined-runtimes.txt"</f>
        <v>"%USERPROFILE%\Documents\GitHub\eaglep3\Utilities\RefineRTDCRunTimes.py" --tripid 191-04 --locoid 4007 --swversion DE.1.0.7.0 --startMP 204:458 --initTime 2016-08-04T14:54:23 --startdatetime 2016-08-04T14:56:12 --delay 1 --endMP 204:233301 --enddatetime 2016-08-04T15:36:26 --enforcementcount 0 &gt;&gt; 2016-08-04-refined-runtimes.txt</v>
      </c>
    </row>
    <row r="104" spans="1:34" x14ac:dyDescent="0.25">
      <c r="A104" s="25" t="s">
        <v>607</v>
      </c>
      <c r="B104" s="87">
        <v>4008</v>
      </c>
      <c r="C104" s="88" t="s">
        <v>163</v>
      </c>
      <c r="D104" s="88" t="s">
        <v>345</v>
      </c>
      <c r="E104" s="89">
        <v>42586.660451388889</v>
      </c>
      <c r="F104" s="89">
        <v>42586.661400462966</v>
      </c>
      <c r="G104" s="87">
        <v>1</v>
      </c>
      <c r="H104" s="89" t="s">
        <v>342</v>
      </c>
      <c r="I104" s="89">
        <v>42586.691481481481</v>
      </c>
      <c r="J104" s="87">
        <v>0</v>
      </c>
      <c r="K104" s="114" t="str">
        <f t="shared" si="42"/>
        <v>4007/4008</v>
      </c>
      <c r="L104" s="25" t="str">
        <f>VLOOKUP(A104,'Trips&amp;Operators'!$C$1:$E$10000,3,FALSE)</f>
        <v>MOSES</v>
      </c>
      <c r="M104" s="6">
        <f t="shared" si="43"/>
        <v>3.0081018514465541E-2</v>
      </c>
      <c r="N104" s="7">
        <f t="shared" si="41"/>
        <v>43.316666660830379</v>
      </c>
      <c r="O104" s="7"/>
      <c r="P104" s="7"/>
      <c r="Q104" s="26"/>
      <c r="R104" s="26"/>
      <c r="S104" s="38">
        <f t="shared" si="44"/>
        <v>1</v>
      </c>
      <c r="T104" s="55" t="str">
        <f t="shared" si="45"/>
        <v>Southbound</v>
      </c>
      <c r="U104" s="77">
        <f>IF(AG104="EC",COUNTIFS(Variables!$M$2:$M$19,IF(T104="NorthBound","&gt;=","&lt;=")&amp;Y104,Variables!$M$2:$M$19,IF(T104="NorthBound","&lt;=","&gt;=")&amp;Z104),COUNTIFS(Variables!$P$2:$P$19,IF(T104="NorthBound","&gt;=","&lt;=")&amp;Y104,Variables!$P$2:$P$19,IF(T104="NorthBound","&lt;=","&gt;=")&amp;Z104))</f>
        <v>12</v>
      </c>
      <c r="V104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14:51:03-0600',mode:absolute,to:'2016-08-04 17:35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04" s="57" t="str">
        <f t="shared" si="47"/>
        <v>N</v>
      </c>
      <c r="X104" s="117">
        <f t="shared" si="48"/>
        <v>1</v>
      </c>
      <c r="Y104" s="72">
        <f t="shared" si="49"/>
        <v>23.298999999999999</v>
      </c>
      <c r="Z104" s="72">
        <f t="shared" si="50"/>
        <v>1.2699999999999999E-2</v>
      </c>
      <c r="AA104" s="72">
        <f t="shared" si="51"/>
        <v>23.286300000000001</v>
      </c>
      <c r="AB104" s="69" t="e">
        <f>VLOOKUP(A104,Enforcements!$C$7:$J$24,8,0)</f>
        <v>#N/A</v>
      </c>
      <c r="AC104" s="65" t="e">
        <f>VLOOKUP(A104,Enforcements!$C$7:$E$24,3,0)</f>
        <v>#N/A</v>
      </c>
      <c r="AD104" s="66" t="str">
        <f t="shared" si="52"/>
        <v>0192-04</v>
      </c>
      <c r="AE104" s="124" t="str">
        <f t="shared" si="53"/>
        <v>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 &amp; aws s3 cp s3://rtdc.mdm.uploadarchive/RTDC4008/2016-08-05/ "%USERPROFILE%\AppData\Local\Temp\OnboardLogs"\RTDC4008\2016-08-05 --recursive &amp; "%USERPROFILE%\Documents\GitHub\mrs-test-scripts\Headless Mode &amp; Sideloading\WalkAndUnGZ.bat" "%USERPROFILE%\AppData\Local\Temp\OnboardLogs"\RTDC4008\2016-08-05</v>
      </c>
      <c r="AF104" s="121" t="str">
        <f t="shared" si="54"/>
        <v>"C:\Program Files (x86)\AstroGrep\AstroGrep.exe" /spath="%USERPROFILE%\AppData\Local\Temp\OnboardLogs" /stypes="*4008*20160804*" /stext=" 22:.+((SYSTEM_STATE.+slice.+state.+changed )|(ment ac)|(system.+state.+changed )|(\|lc)|(penalty)|(\[timeout)|(PRM\|1\|D)|(kpr)|(kdp))" /e /r /s</v>
      </c>
      <c r="AG104" s="1" t="str">
        <f t="shared" si="55"/>
        <v>EC</v>
      </c>
      <c r="AH104" s="125" t="str">
        <f>refinertdcruntimes&amp;" --tripid "&amp;A104&amp;" --locoid "&amp;B104&amp;" --swversion "&amp;C104&amp;" --startMP "&amp;D104&amp;" --initTime "&amp;TEXT(E104,"yyyy-mm-ddTHH:MM:SS")&amp;" --startdatetime "&amp;TEXT(F104,"yyyy-mm-ddTHH:MM:SS")&amp;" --delay "&amp;G104&amp;" --endMP "&amp;H104&amp;" --enddatetime "&amp;TEXT(I104,"yyyy-mm-ddTHH:MM:SS")&amp;" --enforcementcount "&amp;J104&amp;" &gt;&gt; "&amp;TEXT(Variables!$A$2,"yyyy-mm-dd")&amp;"-refined-runtimes.txt"</f>
        <v>"%USERPROFILE%\Documents\GitHub\eaglep3\Utilities\RefineRTDCRunTimes.py" --tripid 192-04 --locoid 4008 --swversion DE.1.0.7.0 --startMP 204:232990 --initTime 2016-08-04T15:51:03 --startdatetime 2016-08-04T15:52:25 --delay 1 --endMP 204:127 --enddatetime 2016-08-04T16:35:44 --enforcementcount 0 &gt;&gt; 2016-08-04-refined-runtimes.txt</v>
      </c>
    </row>
    <row r="105" spans="1:34" x14ac:dyDescent="0.25">
      <c r="A105" s="25" t="s">
        <v>608</v>
      </c>
      <c r="B105" s="87">
        <v>4025</v>
      </c>
      <c r="C105" s="88" t="s">
        <v>163</v>
      </c>
      <c r="D105" s="88" t="s">
        <v>302</v>
      </c>
      <c r="E105" s="89">
        <v>42586.631273148145</v>
      </c>
      <c r="F105" s="89">
        <v>42586.632662037038</v>
      </c>
      <c r="G105" s="87">
        <v>1</v>
      </c>
      <c r="H105" s="89" t="s">
        <v>396</v>
      </c>
      <c r="I105" s="89">
        <v>42586.660439814812</v>
      </c>
      <c r="J105" s="87">
        <v>0</v>
      </c>
      <c r="K105" s="114" t="str">
        <f t="shared" si="42"/>
        <v>4025/4026</v>
      </c>
      <c r="L105" s="25" t="str">
        <f>VLOOKUP(A105,'Trips&amp;Operators'!$C$1:$E$10000,3,FALSE)</f>
        <v>NEWELL</v>
      </c>
      <c r="M105" s="6">
        <f t="shared" si="43"/>
        <v>2.7777777773735579E-2</v>
      </c>
      <c r="N105" s="7">
        <f t="shared" si="41"/>
        <v>39.999999994179234</v>
      </c>
      <c r="O105" s="7"/>
      <c r="P105" s="7"/>
      <c r="Q105" s="26"/>
      <c r="R105" s="26"/>
      <c r="S105" s="38">
        <f t="shared" si="44"/>
        <v>1</v>
      </c>
      <c r="T105" s="55" t="str">
        <f t="shared" si="45"/>
        <v>NorthBound</v>
      </c>
      <c r="U105" s="77">
        <f>IF(AG105="EC",COUNTIFS(Variables!$M$2:$M$19,IF(T105="NorthBound","&gt;=","&lt;=")&amp;Y105,Variables!$M$2:$M$19,IF(T105="NorthBound","&lt;=","&gt;=")&amp;Z105),COUNTIFS(Variables!$P$2:$P$19,IF(T105="NorthBound","&gt;=","&lt;=")&amp;Y105,Variables!$P$2:$P$19,IF(T105="NorthBound","&lt;=","&gt;=")&amp;Z105))</f>
        <v>12</v>
      </c>
      <c r="V105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14:09:02-0600',mode:absolute,to:'2016-08-04 16:51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05" s="57" t="str">
        <f t="shared" si="47"/>
        <v>N</v>
      </c>
      <c r="X105" s="117">
        <f t="shared" si="48"/>
        <v>1</v>
      </c>
      <c r="Y105" s="72">
        <f t="shared" si="49"/>
        <v>4.5100000000000001E-2</v>
      </c>
      <c r="Z105" s="72">
        <f t="shared" si="50"/>
        <v>23.332100000000001</v>
      </c>
      <c r="AA105" s="72">
        <f t="shared" si="51"/>
        <v>23.286999999999999</v>
      </c>
      <c r="AB105" s="69" t="e">
        <f>VLOOKUP(A105,Enforcements!$C$7:$J$24,8,0)</f>
        <v>#N/A</v>
      </c>
      <c r="AC105" s="65" t="e">
        <f>VLOOKUP(A105,Enforcements!$C$7:$E$24,3,0)</f>
        <v>#N/A</v>
      </c>
      <c r="AD105" s="66" t="str">
        <f t="shared" si="52"/>
        <v>0193-04</v>
      </c>
      <c r="AE105" s="124" t="str">
        <f t="shared" si="53"/>
        <v>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 &amp; aws s3 cp s3://rtdc.mdm.uploadarchive/RTDC4025/2016-08-05/ "%USERPROFILE%\AppData\Local\Temp\OnboardLogs"\RTDC4025\2016-08-05 --recursive &amp; "%USERPROFILE%\Documents\GitHub\mrs-test-scripts\Headless Mode &amp; Sideloading\WalkAndUnGZ.bat" "%USERPROFILE%\AppData\Local\Temp\OnboardLogs"\RTDC4025\2016-08-05</v>
      </c>
      <c r="AF105" s="121" t="str">
        <f t="shared" si="54"/>
        <v>"C:\Program Files (x86)\AstroGrep\AstroGrep.exe" /spath="%USERPROFILE%\AppData\Local\Temp\OnboardLogs" /stypes="*4025*20160804*" /stext=" 21:.+((SYSTEM_STATE.+slice.+state.+changed )|(ment ac)|(system.+state.+changed )|(\|lc)|(penalty)|(\[timeout)|(PRM\|1\|D)|(kpr)|(kdp))" /e /r /s</v>
      </c>
      <c r="AG105" s="1" t="str">
        <f t="shared" si="55"/>
        <v>EC</v>
      </c>
      <c r="AH105" s="125" t="str">
        <f>refinertdcruntimes&amp;" --tripid "&amp;A105&amp;" --locoid "&amp;B105&amp;" --swversion "&amp;C105&amp;" --startMP "&amp;D105&amp;" --initTime "&amp;TEXT(E105,"yyyy-mm-ddTHH:MM:SS")&amp;" --startdatetime "&amp;TEXT(F105,"yyyy-mm-ddTHH:MM:SS")&amp;" --delay "&amp;G105&amp;" --endMP "&amp;H105&amp;" --enddatetime "&amp;TEXT(I105,"yyyy-mm-ddTHH:MM:SS")&amp;" --enforcementcount "&amp;J105&amp;" &gt;&gt; "&amp;TEXT(Variables!$A$2,"yyyy-mm-dd")&amp;"-refined-runtimes.txt"</f>
        <v>"%USERPROFILE%\Documents\GitHub\eaglep3\Utilities\RefineRTDCRunTimes.py" --tripid 193-04 --locoid 4025 --swversion DE.1.0.7.0 --startMP 204:451 --initTime 2016-08-04T15:09:02 --startdatetime 2016-08-04T15:11:02 --delay 1 --endMP 204:233321 --enddatetime 2016-08-04T15:51:02 --enforcementcount 0 &gt;&gt; 2016-08-04-refined-runtimes.txt</v>
      </c>
    </row>
    <row r="106" spans="1:34" x14ac:dyDescent="0.25">
      <c r="A106" s="25" t="s">
        <v>609</v>
      </c>
      <c r="B106" s="87">
        <v>4026</v>
      </c>
      <c r="C106" s="88" t="s">
        <v>163</v>
      </c>
      <c r="D106" s="88" t="s">
        <v>325</v>
      </c>
      <c r="E106" s="89">
        <v>42586.671701388892</v>
      </c>
      <c r="F106" s="89">
        <v>42586.672824074078</v>
      </c>
      <c r="G106" s="87">
        <v>1</v>
      </c>
      <c r="H106" s="89" t="s">
        <v>160</v>
      </c>
      <c r="I106" s="89">
        <v>42586.702685185184</v>
      </c>
      <c r="J106" s="87">
        <v>0</v>
      </c>
      <c r="K106" s="114" t="str">
        <f t="shared" si="42"/>
        <v>4025/4026</v>
      </c>
      <c r="L106" s="25" t="str">
        <f>VLOOKUP(A106,'Trips&amp;Operators'!$C$1:$E$10000,3,FALSE)</f>
        <v>NEWELL</v>
      </c>
      <c r="M106" s="6">
        <f t="shared" si="43"/>
        <v>2.9861111106583849E-2</v>
      </c>
      <c r="N106" s="7">
        <f t="shared" si="41"/>
        <v>42.999999993480742</v>
      </c>
      <c r="O106" s="7"/>
      <c r="P106" s="7"/>
      <c r="Q106" s="26"/>
      <c r="R106" s="26"/>
      <c r="S106" s="38">
        <f t="shared" si="44"/>
        <v>1</v>
      </c>
      <c r="T106" s="55" t="str">
        <f t="shared" si="45"/>
        <v>Southbound</v>
      </c>
      <c r="U106" s="77">
        <f>IF(AG106="EC",COUNTIFS(Variables!$M$2:$M$19,IF(T106="NorthBound","&gt;=","&lt;=")&amp;Y106,Variables!$M$2:$M$19,IF(T106="NorthBound","&lt;=","&gt;=")&amp;Z106),COUNTIFS(Variables!$P$2:$P$19,IF(T106="NorthBound","&gt;=","&lt;=")&amp;Y106,Variables!$P$2:$P$19,IF(T106="NorthBound","&lt;=","&gt;=")&amp;Z106))</f>
        <v>12</v>
      </c>
      <c r="V106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15:07:15-0600',mode:absolute,to:'2016-08-04 17:51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06" s="57" t="str">
        <f t="shared" si="47"/>
        <v>N</v>
      </c>
      <c r="X106" s="117">
        <f t="shared" si="48"/>
        <v>1</v>
      </c>
      <c r="Y106" s="72">
        <f t="shared" si="49"/>
        <v>23.299399999999999</v>
      </c>
      <c r="Z106" s="72">
        <f t="shared" si="50"/>
        <v>1.49E-2</v>
      </c>
      <c r="AA106" s="72">
        <f t="shared" si="51"/>
        <v>23.284499999999998</v>
      </c>
      <c r="AB106" s="69" t="e">
        <f>VLOOKUP(A106,Enforcements!$C$7:$J$24,8,0)</f>
        <v>#N/A</v>
      </c>
      <c r="AC106" s="65" t="e">
        <f>VLOOKUP(A106,Enforcements!$C$7:$E$24,3,0)</f>
        <v>#N/A</v>
      </c>
      <c r="AD106" s="66" t="str">
        <f t="shared" si="52"/>
        <v>0194-04</v>
      </c>
      <c r="AE106" s="124" t="str">
        <f t="shared" si="53"/>
        <v>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 &amp; aws s3 cp s3://rtdc.mdm.uploadarchive/RTDC4026/2016-08-05/ "%USERPROFILE%\AppData\Local\Temp\OnboardLogs"\RTDC4026\2016-08-05 --recursive &amp; "%USERPROFILE%\Documents\GitHub\mrs-test-scripts\Headless Mode &amp; Sideloading\WalkAndUnGZ.bat" "%USERPROFILE%\AppData\Local\Temp\OnboardLogs"\RTDC4026\2016-08-05</v>
      </c>
      <c r="AF106" s="121" t="str">
        <f t="shared" si="54"/>
        <v>"C:\Program Files (x86)\AstroGrep\AstroGrep.exe" /spath="%USERPROFILE%\AppData\Local\Temp\OnboardLogs" /stypes="*4026*20160804*" /stext=" 22:.+((SYSTEM_STATE.+slice.+state.+changed )|(ment ac)|(system.+state.+changed )|(\|lc)|(penalty)|(\[timeout)|(PRM\|1\|D)|(kpr)|(kdp))" /e /r /s</v>
      </c>
      <c r="AG106" s="1" t="str">
        <f t="shared" si="55"/>
        <v>EC</v>
      </c>
      <c r="AH106" s="125" t="str">
        <f>refinertdcruntimes&amp;" --tripid "&amp;A106&amp;" --locoid "&amp;B106&amp;" --swversion "&amp;C106&amp;" --startMP "&amp;D106&amp;" --initTime "&amp;TEXT(E106,"yyyy-mm-ddTHH:MM:SS")&amp;" --startdatetime "&amp;TEXT(F106,"yyyy-mm-ddTHH:MM:SS")&amp;" --delay "&amp;G106&amp;" --endMP "&amp;H106&amp;" --enddatetime "&amp;TEXT(I106,"yyyy-mm-ddTHH:MM:SS")&amp;" --enforcementcount "&amp;J106&amp;" &gt;&gt; "&amp;TEXT(Variables!$A$2,"yyyy-mm-dd")&amp;"-refined-runtimes.txt"</f>
        <v>"%USERPROFILE%\Documents\GitHub\eaglep3\Utilities\RefineRTDCRunTimes.py" --tripid 194-04 --locoid 4026 --swversion DE.1.0.7.0 --startMP 204:232994 --initTime 2016-08-04T16:07:15 --startdatetime 2016-08-04T16:08:52 --delay 1 --endMP 204:149 --enddatetime 2016-08-04T16:51:52 --enforcementcount 0 &gt;&gt; 2016-08-04-refined-runtimes.txt</v>
      </c>
    </row>
    <row r="107" spans="1:34" x14ac:dyDescent="0.25">
      <c r="A107" s="25" t="s">
        <v>610</v>
      </c>
      <c r="B107" s="87">
        <v>4038</v>
      </c>
      <c r="C107" s="88" t="s">
        <v>163</v>
      </c>
      <c r="D107" s="88" t="s">
        <v>150</v>
      </c>
      <c r="E107" s="89">
        <v>42586.643912037034</v>
      </c>
      <c r="F107" s="89">
        <v>42586.644675925927</v>
      </c>
      <c r="G107" s="87">
        <v>1</v>
      </c>
      <c r="H107" s="89" t="s">
        <v>152</v>
      </c>
      <c r="I107" s="89">
        <v>42586.670532407406</v>
      </c>
      <c r="J107" s="87">
        <v>0</v>
      </c>
      <c r="K107" s="114" t="str">
        <f t="shared" si="42"/>
        <v>4037/4038</v>
      </c>
      <c r="L107" s="25" t="str">
        <f>VLOOKUP(A107,'Trips&amp;Operators'!$C$1:$E$10000,3,FALSE)</f>
        <v>HELVIE</v>
      </c>
      <c r="M107" s="6">
        <f t="shared" si="43"/>
        <v>2.5856481479422655E-2</v>
      </c>
      <c r="N107" s="7">
        <f t="shared" si="41"/>
        <v>37.233333330368623</v>
      </c>
      <c r="O107" s="7"/>
      <c r="P107" s="7"/>
      <c r="Q107" s="26"/>
      <c r="R107" s="26"/>
      <c r="S107" s="38">
        <f t="shared" si="44"/>
        <v>1</v>
      </c>
      <c r="T107" s="55" t="str">
        <f t="shared" si="45"/>
        <v>NorthBound</v>
      </c>
      <c r="U107" s="77">
        <f>IF(AG107="EC",COUNTIFS(Variables!$M$2:$M$19,IF(T107="NorthBound","&gt;=","&lt;=")&amp;Y107,Variables!$M$2:$M$19,IF(T107="NorthBound","&lt;=","&gt;=")&amp;Z107),COUNTIFS(Variables!$P$2:$P$19,IF(T107="NorthBound","&gt;=","&lt;=")&amp;Y107,Variables!$P$2:$P$19,IF(T107="NorthBound","&lt;=","&gt;=")&amp;Z107))</f>
        <v>12</v>
      </c>
      <c r="V107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14:27:14-0600',mode:absolute,to:'2016-08-04 17:05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07" s="57" t="str">
        <f t="shared" si="47"/>
        <v>N</v>
      </c>
      <c r="X107" s="117">
        <f t="shared" si="48"/>
        <v>1</v>
      </c>
      <c r="Y107" s="72">
        <f t="shared" si="49"/>
        <v>4.6699999999999998E-2</v>
      </c>
      <c r="Z107" s="72">
        <f t="shared" si="50"/>
        <v>23.330300000000001</v>
      </c>
      <c r="AA107" s="72">
        <f t="shared" si="51"/>
        <v>23.2836</v>
      </c>
      <c r="AB107" s="69" t="e">
        <f>VLOOKUP(A107,Enforcements!$C$7:$J$24,8,0)</f>
        <v>#N/A</v>
      </c>
      <c r="AC107" s="65" t="e">
        <f>VLOOKUP(A107,Enforcements!$C$7:$E$24,3,0)</f>
        <v>#N/A</v>
      </c>
      <c r="AD107" s="66" t="str">
        <f t="shared" si="52"/>
        <v>0195-04</v>
      </c>
      <c r="AE107" s="124" t="str">
        <f t="shared" si="53"/>
        <v>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 &amp; aws s3 cp s3://rtdc.mdm.uploadarchive/RTDC4038/2016-08-05/ "%USERPROFILE%\AppData\Local\Temp\OnboardLogs"\RTDC4038\2016-08-05 --recursive &amp; "%USERPROFILE%\Documents\GitHub\mrs-test-scripts\Headless Mode &amp; Sideloading\WalkAndUnGZ.bat" "%USERPROFILE%\AppData\Local\Temp\OnboardLogs"\RTDC4038\2016-08-05</v>
      </c>
      <c r="AF107" s="121" t="str">
        <f t="shared" si="54"/>
        <v>"C:\Program Files (x86)\AstroGrep\AstroGrep.exe" /spath="%USERPROFILE%\AppData\Local\Temp\OnboardLogs" /stypes="*4038*20160804*" /stext=" 22:.+((SYSTEM_STATE.+slice.+state.+changed )|(ment ac)|(system.+state.+changed )|(\|lc)|(penalty)|(\[timeout)|(PRM\|1\|D)|(kpr)|(kdp))" /e /r /s</v>
      </c>
      <c r="AG107" s="1" t="str">
        <f t="shared" si="55"/>
        <v>EC</v>
      </c>
      <c r="AH107" s="125" t="str">
        <f>refinertdcruntimes&amp;" --tripid "&amp;A107&amp;" --locoid "&amp;B107&amp;" --swversion "&amp;C107&amp;" --startMP "&amp;D107&amp;" --initTime "&amp;TEXT(E107,"yyyy-mm-ddTHH:MM:SS")&amp;" --startdatetime "&amp;TEXT(F107,"yyyy-mm-ddTHH:MM:SS")&amp;" --delay "&amp;G107&amp;" --endMP "&amp;H107&amp;" --enddatetime "&amp;TEXT(I107,"yyyy-mm-ddTHH:MM:SS")&amp;" --enforcementcount "&amp;J107&amp;" &gt;&gt; "&amp;TEXT(Variables!$A$2,"yyyy-mm-dd")&amp;"-refined-runtimes.txt"</f>
        <v>"%USERPROFILE%\Documents\GitHub\eaglep3\Utilities\RefineRTDCRunTimes.py" --tripid 195-04 --locoid 4038 --swversion DE.1.0.7.0 --startMP 204:467 --initTime 2016-08-04T15:27:14 --startdatetime 2016-08-04T15:28:20 --delay 1 --endMP 204:233303 --enddatetime 2016-08-04T16:05:34 --enforcementcount 0 &gt;&gt; 2016-08-04-refined-runtimes.txt</v>
      </c>
    </row>
    <row r="108" spans="1:34" x14ac:dyDescent="0.25">
      <c r="A108" s="25" t="s">
        <v>611</v>
      </c>
      <c r="B108" s="87">
        <v>4037</v>
      </c>
      <c r="C108" s="88" t="s">
        <v>163</v>
      </c>
      <c r="D108" s="88" t="s">
        <v>362</v>
      </c>
      <c r="E108" s="89">
        <v>42586.681759259256</v>
      </c>
      <c r="F108" s="89">
        <v>42586.682476851849</v>
      </c>
      <c r="G108" s="87">
        <v>1</v>
      </c>
      <c r="H108" s="89" t="s">
        <v>320</v>
      </c>
      <c r="I108" s="89">
        <v>42586.710879629631</v>
      </c>
      <c r="J108" s="87">
        <v>0</v>
      </c>
      <c r="K108" s="114" t="str">
        <f t="shared" si="42"/>
        <v>4037/4038</v>
      </c>
      <c r="L108" s="25" t="str">
        <f>VLOOKUP(A108,'Trips&amp;Operators'!$C$1:$E$10000,3,FALSE)</f>
        <v>HELVIE</v>
      </c>
      <c r="M108" s="6">
        <f t="shared" si="43"/>
        <v>2.8402777781593613E-2</v>
      </c>
      <c r="N108" s="7">
        <f t="shared" si="41"/>
        <v>40.900000005494803</v>
      </c>
      <c r="O108" s="7"/>
      <c r="P108" s="7"/>
      <c r="Q108" s="26"/>
      <c r="R108" s="26"/>
      <c r="S108" s="38">
        <f t="shared" si="44"/>
        <v>1</v>
      </c>
      <c r="T108" s="55" t="str">
        <f t="shared" si="45"/>
        <v>Southbound</v>
      </c>
      <c r="U108" s="77">
        <f>IF(AG108="EC",COUNTIFS(Variables!$M$2:$M$19,IF(T108="NorthBound","&gt;=","&lt;=")&amp;Y108,Variables!$M$2:$M$19,IF(T108="NorthBound","&lt;=","&gt;=")&amp;Z108),COUNTIFS(Variables!$P$2:$P$19,IF(T108="NorthBound","&gt;=","&lt;=")&amp;Y108,Variables!$P$2:$P$19,IF(T108="NorthBound","&lt;=","&gt;=")&amp;Z108))</f>
        <v>12</v>
      </c>
      <c r="V108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15:21:44-0600',mode:absolute,to:'2016-08-04 18:03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08" s="57" t="str">
        <f t="shared" si="47"/>
        <v>N</v>
      </c>
      <c r="X108" s="117">
        <f t="shared" si="48"/>
        <v>1</v>
      </c>
      <c r="Y108" s="72">
        <f t="shared" si="49"/>
        <v>23.297799999999999</v>
      </c>
      <c r="Z108" s="72">
        <f t="shared" si="50"/>
        <v>1.6E-2</v>
      </c>
      <c r="AA108" s="72">
        <f t="shared" si="51"/>
        <v>23.2818</v>
      </c>
      <c r="AB108" s="69" t="e">
        <f>VLOOKUP(A108,Enforcements!$C$7:$J$24,8,0)</f>
        <v>#N/A</v>
      </c>
      <c r="AC108" s="65" t="e">
        <f>VLOOKUP(A108,Enforcements!$C$7:$E$24,3,0)</f>
        <v>#N/A</v>
      </c>
      <c r="AD108" s="66" t="str">
        <f t="shared" si="52"/>
        <v>0196-04</v>
      </c>
      <c r="AE108" s="124" t="str">
        <f t="shared" si="53"/>
        <v>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 &amp; aws s3 cp s3://rtdc.mdm.uploadarchive/RTDC4037/2016-08-05/ "%USERPROFILE%\AppData\Local\Temp\OnboardLogs"\RTDC4037\2016-08-05 --recursive &amp; "%USERPROFILE%\Documents\GitHub\mrs-test-scripts\Headless Mode &amp; Sideloading\WalkAndUnGZ.bat" "%USERPROFILE%\AppData\Local\Temp\OnboardLogs"\RTDC4037\2016-08-05</v>
      </c>
      <c r="AF108" s="121" t="str">
        <f t="shared" si="54"/>
        <v>"C:\Program Files (x86)\AstroGrep\AstroGrep.exe" /spath="%USERPROFILE%\AppData\Local\Temp\OnboardLogs" /stypes="*4037*20160804*" /stext=" 23:.+((SYSTEM_STATE.+slice.+state.+changed )|(ment ac)|(system.+state.+changed )|(\|lc)|(penalty)|(\[timeout)|(PRM\|1\|D)|(kpr)|(kdp))" /e /r /s</v>
      </c>
      <c r="AG108" s="1" t="str">
        <f t="shared" si="55"/>
        <v>EC</v>
      </c>
      <c r="AH108" s="125" t="str">
        <f>refinertdcruntimes&amp;" --tripid "&amp;A108&amp;" --locoid "&amp;B108&amp;" --swversion "&amp;C108&amp;" --startMP "&amp;D108&amp;" --initTime "&amp;TEXT(E108,"yyyy-mm-ddTHH:MM:SS")&amp;" --startdatetime "&amp;TEXT(F108,"yyyy-mm-ddTHH:MM:SS")&amp;" --delay "&amp;G108&amp;" --endMP "&amp;H108&amp;" --enddatetime "&amp;TEXT(I108,"yyyy-mm-ddTHH:MM:SS")&amp;" --enforcementcount "&amp;J108&amp;" &gt;&gt; "&amp;TEXT(Variables!$A$2,"yyyy-mm-dd")&amp;"-refined-runtimes.txt"</f>
        <v>"%USERPROFILE%\Documents\GitHub\eaglep3\Utilities\RefineRTDCRunTimes.py" --tripid 196-04 --locoid 4037 --swversion DE.1.0.7.0 --startMP 204:232978 --initTime 2016-08-04T16:21:44 --startdatetime 2016-08-04T16:22:46 --delay 1 --endMP 204:160 --enddatetime 2016-08-04T17:03:40 --enforcementcount 0 &gt;&gt; 2016-08-04-refined-runtimes.txt</v>
      </c>
    </row>
    <row r="109" spans="1:34" x14ac:dyDescent="0.25">
      <c r="A109" s="25" t="s">
        <v>612</v>
      </c>
      <c r="B109" s="87">
        <v>4031</v>
      </c>
      <c r="C109" s="88" t="s">
        <v>163</v>
      </c>
      <c r="D109" s="88" t="s">
        <v>339</v>
      </c>
      <c r="E109" s="89">
        <v>42586.651898148149</v>
      </c>
      <c r="F109" s="89">
        <v>42586.653009259258</v>
      </c>
      <c r="G109" s="87">
        <v>1</v>
      </c>
      <c r="H109" s="89" t="s">
        <v>551</v>
      </c>
      <c r="I109" s="89">
        <v>42586.681145833332</v>
      </c>
      <c r="J109" s="87">
        <v>0</v>
      </c>
      <c r="K109" s="114" t="str">
        <f t="shared" si="42"/>
        <v>4031/4032</v>
      </c>
      <c r="L109" s="25" t="str">
        <f>VLOOKUP(A109,'Trips&amp;Operators'!$C$1:$E$10000,3,FALSE)</f>
        <v>SUR</v>
      </c>
      <c r="M109" s="6">
        <f t="shared" si="43"/>
        <v>2.8136574073869269E-2</v>
      </c>
      <c r="N109" s="7">
        <f t="shared" si="41"/>
        <v>40.516666666371748</v>
      </c>
      <c r="O109" s="7"/>
      <c r="P109" s="7"/>
      <c r="Q109" s="26"/>
      <c r="R109" s="26"/>
      <c r="S109" s="38">
        <f t="shared" si="44"/>
        <v>1</v>
      </c>
      <c r="T109" s="55" t="str">
        <f t="shared" si="45"/>
        <v>NorthBound</v>
      </c>
      <c r="U109" s="77">
        <f>IF(AG109="EC",COUNTIFS(Variables!$M$2:$M$19,IF(T109="NorthBound","&gt;=","&lt;=")&amp;Y109,Variables!$M$2:$M$19,IF(T109="NorthBound","&lt;=","&gt;=")&amp;Z109),COUNTIFS(Variables!$P$2:$P$19,IF(T109="NorthBound","&gt;=","&lt;=")&amp;Y109,Variables!$P$2:$P$19,IF(T109="NorthBound","&lt;=","&gt;=")&amp;Z109))</f>
        <v>12</v>
      </c>
      <c r="V109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14:38:44-0600',mode:absolute,to:'2016-08-04 17:20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09" s="57" t="str">
        <f t="shared" si="47"/>
        <v>N</v>
      </c>
      <c r="X109" s="117">
        <f t="shared" si="48"/>
        <v>1</v>
      </c>
      <c r="Y109" s="72">
        <f t="shared" si="49"/>
        <v>4.7300000000000002E-2</v>
      </c>
      <c r="Z109" s="72">
        <f t="shared" si="50"/>
        <v>23.3306</v>
      </c>
      <c r="AA109" s="72">
        <f t="shared" si="51"/>
        <v>23.283300000000001</v>
      </c>
      <c r="AB109" s="69" t="e">
        <f>VLOOKUP(A109,Enforcements!$C$7:$J$24,8,0)</f>
        <v>#N/A</v>
      </c>
      <c r="AC109" s="65" t="e">
        <f>VLOOKUP(A109,Enforcements!$C$7:$E$24,3,0)</f>
        <v>#N/A</v>
      </c>
      <c r="AD109" s="66" t="str">
        <f t="shared" si="52"/>
        <v>0197-04</v>
      </c>
      <c r="AE109" s="124" t="str">
        <f t="shared" si="53"/>
        <v>aws s3 cp s3://rtdc.mdm.uploadarchive/RTDC4031/2016-08-04/ "%USERPROFILE%\AppData\Local\Temp\OnboardLogs"\RTDC4031\2016-08-04 --recursive &amp; "%USERPROFILE%\Documents\GitHub\mrs-test-scripts\Headless Mode &amp; Sideloading\WalkAndUnGZ.bat" "%USERPROFILE%\AppData\Local\Temp\OnboardLogs"\RTDC4031\2016-08-04 &amp; aws s3 cp s3://rtdc.mdm.uploadarchive/RTDC4031/2016-08-05/ "%USERPROFILE%\AppData\Local\Temp\OnboardLogs"\RTDC4031\2016-08-05 --recursive &amp; "%USERPROFILE%\Documents\GitHub\mrs-test-scripts\Headless Mode &amp; Sideloading\WalkAndUnGZ.bat" "%USERPROFILE%\AppData\Local\Temp\OnboardLogs"\RTDC4031\2016-08-05</v>
      </c>
      <c r="AF109" s="121" t="str">
        <f t="shared" si="54"/>
        <v>"C:\Program Files (x86)\AstroGrep\AstroGrep.exe" /spath="%USERPROFILE%\AppData\Local\Temp\OnboardLogs" /stypes="*4031*20160804*" /stext=" 22:.+((SYSTEM_STATE.+slice.+state.+changed )|(ment ac)|(system.+state.+changed )|(\|lc)|(penalty)|(\[timeout)|(PRM\|1\|D)|(kpr)|(kdp))" /e /r /s</v>
      </c>
      <c r="AG109" s="1" t="str">
        <f t="shared" si="55"/>
        <v>EC</v>
      </c>
      <c r="AH109" s="125" t="str">
        <f>refinertdcruntimes&amp;" --tripid "&amp;A109&amp;" --locoid "&amp;B109&amp;" --swversion "&amp;C109&amp;" --startMP "&amp;D109&amp;" --initTime "&amp;TEXT(E109,"yyyy-mm-ddTHH:MM:SS")&amp;" --startdatetime "&amp;TEXT(F109,"yyyy-mm-ddTHH:MM:SS")&amp;" --delay "&amp;G109&amp;" --endMP "&amp;H109&amp;" --enddatetime "&amp;TEXT(I109,"yyyy-mm-ddTHH:MM:SS")&amp;" --enforcementcount "&amp;J109&amp;" &gt;&gt; "&amp;TEXT(Variables!$A$2,"yyyy-mm-dd")&amp;"-refined-runtimes.txt"</f>
        <v>"%USERPROFILE%\Documents\GitHub\eaglep3\Utilities\RefineRTDCRunTimes.py" --tripid 197-04 --locoid 4031 --swversion DE.1.0.7.0 --startMP 204:473 --initTime 2016-08-04T15:38:44 --startdatetime 2016-08-04T15:40:20 --delay 1 --endMP 204:233306 --enddatetime 2016-08-04T16:20:51 --enforcementcount 0 &gt;&gt; 2016-08-04-refined-runtimes.txt</v>
      </c>
    </row>
    <row r="110" spans="1:34" x14ac:dyDescent="0.25">
      <c r="A110" s="25" t="s">
        <v>613</v>
      </c>
      <c r="B110" s="87">
        <v>4032</v>
      </c>
      <c r="C110" s="88" t="s">
        <v>163</v>
      </c>
      <c r="D110" s="88" t="s">
        <v>319</v>
      </c>
      <c r="E110" s="89">
        <v>42586.687083333331</v>
      </c>
      <c r="F110" s="89">
        <v>42586.687881944446</v>
      </c>
      <c r="G110" s="87">
        <v>1</v>
      </c>
      <c r="H110" s="89" t="s">
        <v>100</v>
      </c>
      <c r="I110" s="89">
        <v>42586.722569444442</v>
      </c>
      <c r="J110" s="87">
        <v>0</v>
      </c>
      <c r="K110" s="114" t="str">
        <f t="shared" si="42"/>
        <v>4031/4032</v>
      </c>
      <c r="L110" s="25" t="str">
        <f>VLOOKUP(A110,'Trips&amp;Operators'!$C$1:$E$10000,3,FALSE)</f>
        <v>SUR</v>
      </c>
      <c r="M110" s="6">
        <f t="shared" si="43"/>
        <v>3.4687499995925464E-2</v>
      </c>
      <c r="N110" s="7">
        <f t="shared" si="41"/>
        <v>49.949999994132668</v>
      </c>
      <c r="O110" s="7"/>
      <c r="P110" s="7"/>
      <c r="Q110" s="26"/>
      <c r="R110" s="26"/>
      <c r="S110" s="38">
        <f t="shared" si="44"/>
        <v>1</v>
      </c>
      <c r="T110" s="55" t="str">
        <f t="shared" si="45"/>
        <v>Southbound</v>
      </c>
      <c r="U110" s="77">
        <f>IF(AG110="EC",COUNTIFS(Variables!$M$2:$M$19,IF(T110="NorthBound","&gt;=","&lt;=")&amp;Y110,Variables!$M$2:$M$19,IF(T110="NorthBound","&lt;=","&gt;=")&amp;Z110),COUNTIFS(Variables!$P$2:$P$19,IF(T110="NorthBound","&gt;=","&lt;=")&amp;Y110,Variables!$P$2:$P$19,IF(T110="NorthBound","&lt;=","&gt;=")&amp;Z110))</f>
        <v>12</v>
      </c>
      <c r="V110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15:29:24-0600',mode:absolute,to:'2016-08-04 18:20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10" s="57" t="str">
        <f t="shared" si="47"/>
        <v>N</v>
      </c>
      <c r="X110" s="117">
        <f t="shared" si="48"/>
        <v>1</v>
      </c>
      <c r="Y110" s="72">
        <f t="shared" si="49"/>
        <v>23.299800000000001</v>
      </c>
      <c r="Z110" s="72">
        <f t="shared" si="50"/>
        <v>1.43E-2</v>
      </c>
      <c r="AA110" s="72">
        <f t="shared" si="51"/>
        <v>23.285500000000003</v>
      </c>
      <c r="AB110" s="69" t="e">
        <f>VLOOKUP(A110,Enforcements!$C$7:$J$24,8,0)</f>
        <v>#N/A</v>
      </c>
      <c r="AC110" s="65" t="e">
        <f>VLOOKUP(A110,Enforcements!$C$7:$E$24,3,0)</f>
        <v>#N/A</v>
      </c>
      <c r="AD110" s="66" t="str">
        <f t="shared" si="52"/>
        <v>0198-04</v>
      </c>
      <c r="AE110" s="124" t="str">
        <f t="shared" si="53"/>
        <v>aws s3 cp s3://rtdc.mdm.uploadarchive/RTDC4032/2016-08-04/ "%USERPROFILE%\AppData\Local\Temp\OnboardLogs"\RTDC4032\2016-08-04 --recursive &amp; "%USERPROFILE%\Documents\GitHub\mrs-test-scripts\Headless Mode &amp; Sideloading\WalkAndUnGZ.bat" "%USERPROFILE%\AppData\Local\Temp\OnboardLogs"\RTDC4032\2016-08-04 &amp; aws s3 cp s3://rtdc.mdm.uploadarchive/RTDC4032/2016-08-05/ "%USERPROFILE%\AppData\Local\Temp\OnboardLogs"\RTDC4032\2016-08-05 --recursive &amp; "%USERPROFILE%\Documents\GitHub\mrs-test-scripts\Headless Mode &amp; Sideloading\WalkAndUnGZ.bat" "%USERPROFILE%\AppData\Local\Temp\OnboardLogs"\RTDC4032\2016-08-05</v>
      </c>
      <c r="AF110" s="121" t="str">
        <f t="shared" si="54"/>
        <v>"C:\Program Files (x86)\AstroGrep\AstroGrep.exe" /spath="%USERPROFILE%\AppData\Local\Temp\OnboardLogs" /stypes="*4032*20160804*" /stext=" 23:.+((SYSTEM_STATE.+slice.+state.+changed )|(ment ac)|(system.+state.+changed )|(\|lc)|(penalty)|(\[timeout)|(PRM\|1\|D)|(kpr)|(kdp))" /e /r /s</v>
      </c>
      <c r="AG110" s="1" t="str">
        <f t="shared" si="55"/>
        <v>EC</v>
      </c>
      <c r="AH110" s="125" t="str">
        <f>refinertdcruntimes&amp;" --tripid "&amp;A110&amp;" --locoid "&amp;B110&amp;" --swversion "&amp;C110&amp;" --startMP "&amp;D110&amp;" --initTime "&amp;TEXT(E110,"yyyy-mm-ddTHH:MM:SS")&amp;" --startdatetime "&amp;TEXT(F110,"yyyy-mm-ddTHH:MM:SS")&amp;" --delay "&amp;G110&amp;" --endMP "&amp;H110&amp;" --enddatetime "&amp;TEXT(I110,"yyyy-mm-ddTHH:MM:SS")&amp;" --enforcementcount "&amp;J110&amp;" &gt;&gt; "&amp;TEXT(Variables!$A$2,"yyyy-mm-dd")&amp;"-refined-runtimes.txt"</f>
        <v>"%USERPROFILE%\Documents\GitHub\eaglep3\Utilities\RefineRTDCRunTimes.py" --tripid 198-04 --locoid 4032 --swversion DE.1.0.7.0 --startMP 204:232998 --initTime 2016-08-04T16:29:24 --startdatetime 2016-08-04T16:30:33 --delay 1 --endMP 204:143 --enddatetime 2016-08-04T17:20:30 --enforcementcount 0 &gt;&gt; 2016-08-04-refined-runtimes.txt</v>
      </c>
    </row>
    <row r="111" spans="1:34" x14ac:dyDescent="0.25">
      <c r="A111" s="25" t="s">
        <v>614</v>
      </c>
      <c r="B111" s="87">
        <v>4027</v>
      </c>
      <c r="C111" s="88" t="s">
        <v>163</v>
      </c>
      <c r="D111" s="88" t="s">
        <v>344</v>
      </c>
      <c r="E111" s="89">
        <v>42586.66138888889</v>
      </c>
      <c r="F111" s="89">
        <v>42586.662349537037</v>
      </c>
      <c r="G111" s="87">
        <v>1</v>
      </c>
      <c r="H111" s="89" t="s">
        <v>164</v>
      </c>
      <c r="I111" s="89">
        <v>42586.692615740743</v>
      </c>
      <c r="J111" s="87">
        <v>0</v>
      </c>
      <c r="K111" s="114" t="str">
        <f t="shared" si="42"/>
        <v>4027/4028</v>
      </c>
      <c r="L111" s="25" t="str">
        <f>VLOOKUP(A111,'Trips&amp;Operators'!$C$1:$E$10000,3,FALSE)</f>
        <v>SWANSON</v>
      </c>
      <c r="M111" s="6">
        <f t="shared" si="43"/>
        <v>3.0266203706560191E-2</v>
      </c>
      <c r="N111" s="7">
        <f t="shared" si="41"/>
        <v>43.583333337446675</v>
      </c>
      <c r="O111" s="7"/>
      <c r="P111" s="7"/>
      <c r="Q111" s="26"/>
      <c r="R111" s="26"/>
      <c r="S111" s="38">
        <f t="shared" si="44"/>
        <v>1</v>
      </c>
      <c r="T111" s="55" t="str">
        <f t="shared" si="45"/>
        <v>NorthBound</v>
      </c>
      <c r="U111" s="77">
        <f>IF(AG111="EC",COUNTIFS(Variables!$M$2:$M$19,IF(T111="NorthBound","&gt;=","&lt;=")&amp;Y111,Variables!$M$2:$M$19,IF(T111="NorthBound","&lt;=","&gt;=")&amp;Z111),COUNTIFS(Variables!$P$2:$P$19,IF(T111="NorthBound","&gt;=","&lt;=")&amp;Y111,Variables!$P$2:$P$19,IF(T111="NorthBound","&lt;=","&gt;=")&amp;Z111))</f>
        <v>12</v>
      </c>
      <c r="V111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14:52:24-0600',mode:absolute,to:'2016-08-04 17:37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11" s="57" t="str">
        <f t="shared" si="47"/>
        <v>N</v>
      </c>
      <c r="X111" s="117">
        <f t="shared" si="48"/>
        <v>1</v>
      </c>
      <c r="Y111" s="72">
        <f t="shared" si="49"/>
        <v>4.4400000000000002E-2</v>
      </c>
      <c r="Z111" s="72">
        <f t="shared" si="50"/>
        <v>23.3291</v>
      </c>
      <c r="AA111" s="72">
        <f t="shared" si="51"/>
        <v>23.284700000000001</v>
      </c>
      <c r="AB111" s="69" t="e">
        <f>VLOOKUP(A111,Enforcements!$C$7:$J$24,8,0)</f>
        <v>#N/A</v>
      </c>
      <c r="AC111" s="65" t="e">
        <f>VLOOKUP(A111,Enforcements!$C$7:$E$24,3,0)</f>
        <v>#N/A</v>
      </c>
      <c r="AD111" s="66" t="str">
        <f t="shared" si="52"/>
        <v>0199-04</v>
      </c>
      <c r="AE111" s="124" t="str">
        <f t="shared" si="53"/>
        <v>aws s3 cp s3://rtdc.mdm.uploadarchive/RTDC4027/2016-08-04/ "%USERPROFILE%\AppData\Local\Temp\OnboardLogs"\RTDC4027\2016-08-04 --recursive &amp; "%USERPROFILE%\Documents\GitHub\mrs-test-scripts\Headless Mode &amp; Sideloading\WalkAndUnGZ.bat" "%USERPROFILE%\AppData\Local\Temp\OnboardLogs"\RTDC4027\2016-08-04 &amp; aws s3 cp s3://rtdc.mdm.uploadarchive/RTDC4027/2016-08-05/ "%USERPROFILE%\AppData\Local\Temp\OnboardLogs"\RTDC4027\2016-08-05 --recursive &amp; "%USERPROFILE%\Documents\GitHub\mrs-test-scripts\Headless Mode &amp; Sideloading\WalkAndUnGZ.bat" "%USERPROFILE%\AppData\Local\Temp\OnboardLogs"\RTDC4027\2016-08-05</v>
      </c>
      <c r="AF111" s="121" t="str">
        <f t="shared" si="54"/>
        <v>"C:\Program Files (x86)\AstroGrep\AstroGrep.exe" /spath="%USERPROFILE%\AppData\Local\Temp\OnboardLogs" /stypes="*4027*20160804*" /stext=" 22:.+((SYSTEM_STATE.+slice.+state.+changed )|(ment ac)|(system.+state.+changed )|(\|lc)|(penalty)|(\[timeout)|(PRM\|1\|D)|(kpr)|(kdp))" /e /r /s</v>
      </c>
      <c r="AG111" s="1" t="str">
        <f t="shared" si="55"/>
        <v>EC</v>
      </c>
      <c r="AH111" s="125" t="str">
        <f>refinertdcruntimes&amp;" --tripid "&amp;A111&amp;" --locoid "&amp;B111&amp;" --swversion "&amp;C111&amp;" --startMP "&amp;D111&amp;" --initTime "&amp;TEXT(E111,"yyyy-mm-ddTHH:MM:SS")&amp;" --startdatetime "&amp;TEXT(F111,"yyyy-mm-ddTHH:MM:SS")&amp;" --delay "&amp;G111&amp;" --endMP "&amp;H111&amp;" --enddatetime "&amp;TEXT(I111,"yyyy-mm-ddTHH:MM:SS")&amp;" --enforcementcount "&amp;J111&amp;" &gt;&gt; "&amp;TEXT(Variables!$A$2,"yyyy-mm-dd")&amp;"-refined-runtimes.txt"</f>
        <v>"%USERPROFILE%\Documents\GitHub\eaglep3\Utilities\RefineRTDCRunTimes.py" --tripid 199-04 --locoid 4027 --swversion DE.1.0.7.0 --startMP 204:444 --initTime 2016-08-04T15:52:24 --startdatetime 2016-08-04T15:53:47 --delay 1 --endMP 204:233291 --enddatetime 2016-08-04T16:37:22 --enforcementcount 0 &gt;&gt; 2016-08-04-refined-runtimes.txt</v>
      </c>
    </row>
    <row r="112" spans="1:34" x14ac:dyDescent="0.25">
      <c r="A112" s="25" t="s">
        <v>615</v>
      </c>
      <c r="B112" s="87">
        <v>4028</v>
      </c>
      <c r="C112" s="88" t="s">
        <v>163</v>
      </c>
      <c r="D112" s="88" t="s">
        <v>65</v>
      </c>
      <c r="E112" s="89">
        <v>42586.695069444446</v>
      </c>
      <c r="F112" s="89">
        <v>42586.695879629631</v>
      </c>
      <c r="G112" s="87">
        <v>1</v>
      </c>
      <c r="H112" s="89" t="s">
        <v>363</v>
      </c>
      <c r="I112" s="89">
        <v>42586.733055555553</v>
      </c>
      <c r="J112" s="87">
        <v>0</v>
      </c>
      <c r="K112" s="114" t="str">
        <f t="shared" si="42"/>
        <v>4027/4028</v>
      </c>
      <c r="L112" s="25" t="str">
        <f>VLOOKUP(A112,'Trips&amp;Operators'!$C$1:$E$10000,3,FALSE)</f>
        <v>SWANSON</v>
      </c>
      <c r="M112" s="6">
        <f t="shared" si="43"/>
        <v>3.7175925921474118E-2</v>
      </c>
      <c r="N112" s="7">
        <f t="shared" si="41"/>
        <v>53.53333332692273</v>
      </c>
      <c r="O112" s="7"/>
      <c r="P112" s="7"/>
      <c r="Q112" s="26"/>
      <c r="R112" s="26"/>
      <c r="S112" s="38">
        <f t="shared" si="44"/>
        <v>1</v>
      </c>
      <c r="T112" s="55" t="str">
        <f t="shared" si="45"/>
        <v>Southbound</v>
      </c>
      <c r="U112" s="77">
        <f>IF(AG112="EC",COUNTIFS(Variables!$M$2:$M$19,IF(T112="NorthBound","&gt;=","&lt;=")&amp;Y112,Variables!$M$2:$M$19,IF(T112="NorthBound","&lt;=","&gt;=")&amp;Z112),COUNTIFS(Variables!$P$2:$P$19,IF(T112="NorthBound","&gt;=","&lt;=")&amp;Y112,Variables!$P$2:$P$19,IF(T112="NorthBound","&lt;=","&gt;=")&amp;Z112))</f>
        <v>12</v>
      </c>
      <c r="V112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15:40:54-0600',mode:absolute,to:'2016-08-04 18:35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12" s="57" t="str">
        <f t="shared" si="47"/>
        <v>N</v>
      </c>
      <c r="X112" s="117">
        <f t="shared" si="48"/>
        <v>1</v>
      </c>
      <c r="Y112" s="72">
        <f t="shared" si="49"/>
        <v>23.297699999999999</v>
      </c>
      <c r="Z112" s="72">
        <f t="shared" si="50"/>
        <v>1.3599999999999999E-2</v>
      </c>
      <c r="AA112" s="72">
        <f t="shared" si="51"/>
        <v>23.284099999999999</v>
      </c>
      <c r="AB112" s="69" t="e">
        <f>VLOOKUP(A112,Enforcements!$C$7:$J$24,8,0)</f>
        <v>#N/A</v>
      </c>
      <c r="AC112" s="65" t="e">
        <f>VLOOKUP(A112,Enforcements!$C$7:$E$24,3,0)</f>
        <v>#N/A</v>
      </c>
      <c r="AD112" s="66" t="str">
        <f t="shared" si="52"/>
        <v>0200-04</v>
      </c>
      <c r="AE112" s="124" t="str">
        <f t="shared" si="53"/>
        <v>aws s3 cp s3://rtdc.mdm.uploadarchive/RTDC4028/2016-08-04/ "%USERPROFILE%\AppData\Local\Temp\OnboardLogs"\RTDC4028\2016-08-04 --recursive &amp; "%USERPROFILE%\Documents\GitHub\mrs-test-scripts\Headless Mode &amp; Sideloading\WalkAndUnGZ.bat" "%USERPROFILE%\AppData\Local\Temp\OnboardLogs"\RTDC4028\2016-08-04 &amp; aws s3 cp s3://rtdc.mdm.uploadarchive/RTDC4028/2016-08-05/ "%USERPROFILE%\AppData\Local\Temp\OnboardLogs"\RTDC4028\2016-08-05 --recursive &amp; "%USERPROFILE%\Documents\GitHub\mrs-test-scripts\Headless Mode &amp; Sideloading\WalkAndUnGZ.bat" "%USERPROFILE%\AppData\Local\Temp\OnboardLogs"\RTDC4028\2016-08-05</v>
      </c>
      <c r="AF112" s="121" t="str">
        <f t="shared" si="54"/>
        <v>"C:\Program Files (x86)\AstroGrep\AstroGrep.exe" /spath="%USERPROFILE%\AppData\Local\Temp\OnboardLogs" /stypes="*4028*20160804*" /stext=" 23:.+((SYSTEM_STATE.+slice.+state.+changed )|(ment ac)|(system.+state.+changed )|(\|lc)|(penalty)|(\[timeout)|(PRM\|1\|D)|(kpr)|(kdp))" /e /r /s</v>
      </c>
      <c r="AG112" s="1" t="str">
        <f t="shared" si="55"/>
        <v>EC</v>
      </c>
      <c r="AH112" s="125" t="str">
        <f>refinertdcruntimes&amp;" --tripid "&amp;A112&amp;" --locoid "&amp;B112&amp;" --swversion "&amp;C112&amp;" --startMP "&amp;D112&amp;" --initTime "&amp;TEXT(E112,"yyyy-mm-ddTHH:MM:SS")&amp;" --startdatetime "&amp;TEXT(F112,"yyyy-mm-ddTHH:MM:SS")&amp;" --delay "&amp;G112&amp;" --endMP "&amp;H112&amp;" --enddatetime "&amp;TEXT(I112,"yyyy-mm-ddTHH:MM:SS")&amp;" --enforcementcount "&amp;J112&amp;" &gt;&gt; "&amp;TEXT(Variables!$A$2,"yyyy-mm-dd")&amp;"-refined-runtimes.txt"</f>
        <v>"%USERPROFILE%\Documents\GitHub\eaglep3\Utilities\RefineRTDCRunTimes.py" --tripid 200-04 --locoid 4028 --swversion DE.1.0.7.0 --startMP 204:232977 --initTime 2016-08-04T16:40:54 --startdatetime 2016-08-04T16:42:04 --delay 1 --endMP 204:136 --enddatetime 2016-08-04T17:35:36 --enforcementcount 0 &gt;&gt; 2016-08-04-refined-runtimes.txt</v>
      </c>
    </row>
    <row r="113" spans="1:34" s="24" customFormat="1" x14ac:dyDescent="0.25">
      <c r="A113" s="25" t="s">
        <v>616</v>
      </c>
      <c r="B113" s="87">
        <v>4029</v>
      </c>
      <c r="C113" s="88" t="s">
        <v>163</v>
      </c>
      <c r="D113" s="88" t="s">
        <v>140</v>
      </c>
      <c r="E113" s="89">
        <v>42586.67454861111</v>
      </c>
      <c r="F113" s="89">
        <v>42586.675567129627</v>
      </c>
      <c r="G113" s="87">
        <v>1</v>
      </c>
      <c r="H113" s="89" t="s">
        <v>617</v>
      </c>
      <c r="I113" s="89">
        <v>42586.702870370369</v>
      </c>
      <c r="J113" s="87">
        <v>0</v>
      </c>
      <c r="K113" s="114" t="str">
        <f t="shared" si="42"/>
        <v>4029/4030</v>
      </c>
      <c r="L113" s="25" t="str">
        <f>VLOOKUP(A113,'Trips&amp;Operators'!$C$1:$E$10000,3,FALSE)</f>
        <v>OUN</v>
      </c>
      <c r="M113" s="6">
        <f t="shared" si="43"/>
        <v>2.7303240742185153E-2</v>
      </c>
      <c r="N113" s="7">
        <f t="shared" si="41"/>
        <v>39.31666666874662</v>
      </c>
      <c r="O113" s="7"/>
      <c r="P113" s="7"/>
      <c r="Q113" s="26"/>
      <c r="R113" s="26"/>
      <c r="S113" s="38">
        <f t="shared" si="44"/>
        <v>1</v>
      </c>
      <c r="T113" s="55" t="str">
        <f t="shared" si="45"/>
        <v>NorthBound</v>
      </c>
      <c r="U113" s="77">
        <f>IF(AG113="EC",COUNTIFS(Variables!$M$2:$M$19,IF(T113="NorthBound","&gt;=","&lt;=")&amp;Y113,Variables!$M$2:$M$19,IF(T113="NorthBound","&lt;=","&gt;=")&amp;Z113),COUNTIFS(Variables!$P$2:$P$19,IF(T113="NorthBound","&gt;=","&lt;=")&amp;Y113,Variables!$P$2:$P$19,IF(T113="NorthBound","&lt;=","&gt;=")&amp;Z113))</f>
        <v>12</v>
      </c>
      <c r="V113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15:11:21-0600',mode:absolute,to:'2016-08-04 17:52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13" s="57" t="str">
        <f t="shared" si="47"/>
        <v>N</v>
      </c>
      <c r="X113" s="117">
        <f t="shared" si="48"/>
        <v>1</v>
      </c>
      <c r="Y113" s="72">
        <f t="shared" si="49"/>
        <v>4.6199999999999998E-2</v>
      </c>
      <c r="Z113" s="72">
        <f t="shared" si="50"/>
        <v>23.331700000000001</v>
      </c>
      <c r="AA113" s="72">
        <f t="shared" si="51"/>
        <v>23.285500000000003</v>
      </c>
      <c r="AB113" s="69" t="e">
        <f>VLOOKUP(A113,Enforcements!$C$7:$J$24,8,0)</f>
        <v>#N/A</v>
      </c>
      <c r="AC113" s="65" t="e">
        <f>VLOOKUP(A113,Enforcements!$C$7:$E$24,3,0)</f>
        <v>#N/A</v>
      </c>
      <c r="AD113" s="66" t="str">
        <f t="shared" si="52"/>
        <v>0201-04</v>
      </c>
      <c r="AE113" s="124" t="str">
        <f t="shared" si="53"/>
        <v>aws s3 cp s3://rtdc.mdm.uploadarchive/RTDC4029/2016-08-04/ "%USERPROFILE%\AppData\Local\Temp\OnboardLogs"\RTDC4029\2016-08-04 --recursive &amp; "%USERPROFILE%\Documents\GitHub\mrs-test-scripts\Headless Mode &amp; Sideloading\WalkAndUnGZ.bat" "%USERPROFILE%\AppData\Local\Temp\OnboardLogs"\RTDC4029\2016-08-04 &amp; aws s3 cp s3://rtdc.mdm.uploadarchive/RTDC4029/2016-08-05/ "%USERPROFILE%\AppData\Local\Temp\OnboardLogs"\RTDC4029\2016-08-05 --recursive &amp; "%USERPROFILE%\Documents\GitHub\mrs-test-scripts\Headless Mode &amp; Sideloading\WalkAndUnGZ.bat" "%USERPROFILE%\AppData\Local\Temp\OnboardLogs"\RTDC4029\2016-08-05</v>
      </c>
      <c r="AF113" s="121" t="str">
        <f t="shared" si="54"/>
        <v>"C:\Program Files (x86)\AstroGrep\AstroGrep.exe" /spath="%USERPROFILE%\AppData\Local\Temp\OnboardLogs" /stypes="*4029*20160804*" /stext=" 22:.+((SYSTEM_STATE.+slice.+state.+changed )|(ment ac)|(system.+state.+changed )|(\|lc)|(penalty)|(\[timeout)|(PRM\|1\|D)|(kpr)|(kdp))" /e /r /s</v>
      </c>
      <c r="AG113" s="1" t="str">
        <f t="shared" si="55"/>
        <v>EC</v>
      </c>
      <c r="AH113" s="125" t="str">
        <f>refinertdcruntimes&amp;" --tripid "&amp;A113&amp;" --locoid "&amp;B113&amp;" --swversion "&amp;C113&amp;" --startMP "&amp;D113&amp;" --initTime "&amp;TEXT(E113,"yyyy-mm-ddTHH:MM:SS")&amp;" --startdatetime "&amp;TEXT(F113,"yyyy-mm-ddTHH:MM:SS")&amp;" --delay "&amp;G113&amp;" --endMP "&amp;H113&amp;" --enddatetime "&amp;TEXT(I113,"yyyy-mm-ddTHH:MM:SS")&amp;" --enforcementcount "&amp;J113&amp;" &gt;&gt; "&amp;TEXT(Variables!$A$2,"yyyy-mm-dd")&amp;"-refined-runtimes.txt"</f>
        <v>"%USERPROFILE%\Documents\GitHub\eaglep3\Utilities\RefineRTDCRunTimes.py" --tripid 201-04 --locoid 4029 --swversion DE.1.0.7.0 --startMP 204:462 --initTime 2016-08-04T16:11:21 --startdatetime 2016-08-04T16:12:49 --delay 1 --endMP 204:233317 --enddatetime 2016-08-04T16:52:08 --enforcementcount 0 &gt;&gt; 2016-08-04-refined-runtimes.txt</v>
      </c>
    </row>
    <row r="114" spans="1:34" x14ac:dyDescent="0.25">
      <c r="A114" s="25" t="s">
        <v>618</v>
      </c>
      <c r="B114" s="87">
        <v>4030</v>
      </c>
      <c r="C114" s="88" t="s">
        <v>163</v>
      </c>
      <c r="D114" s="88" t="s">
        <v>322</v>
      </c>
      <c r="E114" s="89">
        <v>42586.711111111108</v>
      </c>
      <c r="F114" s="89">
        <v>42586.711851851855</v>
      </c>
      <c r="G114" s="87">
        <v>1</v>
      </c>
      <c r="H114" s="89" t="s">
        <v>301</v>
      </c>
      <c r="I114" s="89">
        <v>42586.742997685185</v>
      </c>
      <c r="J114" s="87">
        <v>0</v>
      </c>
      <c r="K114" s="114" t="str">
        <f t="shared" si="42"/>
        <v>4029/4030</v>
      </c>
      <c r="L114" s="25" t="str">
        <f>VLOOKUP(A114,'Trips&amp;Operators'!$C$1:$E$10000,3,FALSE)</f>
        <v>OUN</v>
      </c>
      <c r="M114" s="6">
        <f t="shared" si="43"/>
        <v>3.1145833330811001E-2</v>
      </c>
      <c r="N114" s="7">
        <f t="shared" si="41"/>
        <v>44.849999996367842</v>
      </c>
      <c r="O114" s="7"/>
      <c r="P114" s="7"/>
      <c r="Q114" s="26"/>
      <c r="R114" s="26"/>
      <c r="S114" s="38">
        <f t="shared" si="44"/>
        <v>1</v>
      </c>
      <c r="T114" s="55" t="str">
        <f t="shared" si="45"/>
        <v>Southbound</v>
      </c>
      <c r="U114" s="77">
        <f>IF(AG114="EC",COUNTIFS(Variables!$M$2:$M$19,IF(T114="NorthBound","&gt;=","&lt;=")&amp;Y114,Variables!$M$2:$M$19,IF(T114="NorthBound","&lt;=","&gt;=")&amp;Z114),COUNTIFS(Variables!$P$2:$P$19,IF(T114="NorthBound","&gt;=","&lt;=")&amp;Y114,Variables!$P$2:$P$19,IF(T114="NorthBound","&lt;=","&gt;=")&amp;Z114))</f>
        <v>12</v>
      </c>
      <c r="V114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16:04:00-0600',mode:absolute,to:'2016-08-04 18:49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14" s="57" t="str">
        <f t="shared" si="47"/>
        <v>N</v>
      </c>
      <c r="X114" s="117">
        <f t="shared" si="48"/>
        <v>1</v>
      </c>
      <c r="Y114" s="72">
        <f t="shared" si="49"/>
        <v>23.3004</v>
      </c>
      <c r="Z114" s="72">
        <f t="shared" si="50"/>
        <v>1.6500000000000001E-2</v>
      </c>
      <c r="AA114" s="72">
        <f t="shared" si="51"/>
        <v>23.283899999999999</v>
      </c>
      <c r="AB114" s="69" t="e">
        <f>VLOOKUP(A114,Enforcements!$C$7:$J$24,8,0)</f>
        <v>#N/A</v>
      </c>
      <c r="AC114" s="65" t="e">
        <f>VLOOKUP(A114,Enforcements!$C$7:$E$24,3,0)</f>
        <v>#N/A</v>
      </c>
      <c r="AD114" s="66" t="str">
        <f t="shared" si="52"/>
        <v>0202-04</v>
      </c>
      <c r="AE114" s="124" t="str">
        <f t="shared" si="53"/>
        <v>aws s3 cp s3://rtdc.mdm.uploadarchive/RTDC4030/2016-08-04/ "%USERPROFILE%\AppData\Local\Temp\OnboardLogs"\RTDC4030\2016-08-04 --recursive &amp; "%USERPROFILE%\Documents\GitHub\mrs-test-scripts\Headless Mode &amp; Sideloading\WalkAndUnGZ.bat" "%USERPROFILE%\AppData\Local\Temp\OnboardLogs"\RTDC4030\2016-08-04 &amp; aws s3 cp s3://rtdc.mdm.uploadarchive/RTDC4030/2016-08-05/ "%USERPROFILE%\AppData\Local\Temp\OnboardLogs"\RTDC4030\2016-08-05 --recursive &amp; "%USERPROFILE%\Documents\GitHub\mrs-test-scripts\Headless Mode &amp; Sideloading\WalkAndUnGZ.bat" "%USERPROFILE%\AppData\Local\Temp\OnboardLogs"\RTDC4030\2016-08-05</v>
      </c>
      <c r="AF114" s="121" t="str">
        <f t="shared" si="54"/>
        <v>"C:\Program Files (x86)\AstroGrep\AstroGrep.exe" /spath="%USERPROFILE%\AppData\Local\Temp\OnboardLogs" /stypes="*4030*20160804*" /stext=" 23:.+((SYSTEM_STATE.+slice.+state.+changed )|(ment ac)|(system.+state.+changed )|(\|lc)|(penalty)|(\[timeout)|(PRM\|1\|D)|(kpr)|(kdp))" /e /r /s</v>
      </c>
      <c r="AG114" s="1" t="str">
        <f t="shared" si="55"/>
        <v>EC</v>
      </c>
      <c r="AH114" s="125" t="str">
        <f>refinertdcruntimes&amp;" --tripid "&amp;A114&amp;" --locoid "&amp;B114&amp;" --swversion "&amp;C114&amp;" --startMP "&amp;D114&amp;" --initTime "&amp;TEXT(E114,"yyyy-mm-ddTHH:MM:SS")&amp;" --startdatetime "&amp;TEXT(F114,"yyyy-mm-ddTHH:MM:SS")&amp;" --delay "&amp;G114&amp;" --endMP "&amp;H114&amp;" --enddatetime "&amp;TEXT(I114,"yyyy-mm-ddTHH:MM:SS")&amp;" --enforcementcount "&amp;J114&amp;" &gt;&gt; "&amp;TEXT(Variables!$A$2,"yyyy-mm-dd")&amp;"-refined-runtimes.txt"</f>
        <v>"%USERPROFILE%\Documents\GitHub\eaglep3\Utilities\RefineRTDCRunTimes.py" --tripid 202-04 --locoid 4030 --swversion DE.1.0.7.0 --startMP 204:233004 --initTime 2016-08-04T17:04:00 --startdatetime 2016-08-04T17:05:04 --delay 1 --endMP 204:165 --enddatetime 2016-08-04T17:49:55 --enforcementcount 0 &gt;&gt; 2016-08-04-refined-runtimes.txt</v>
      </c>
    </row>
    <row r="115" spans="1:34" x14ac:dyDescent="0.25">
      <c r="A115" s="25" t="s">
        <v>619</v>
      </c>
      <c r="B115" s="87">
        <v>4011</v>
      </c>
      <c r="C115" s="88" t="s">
        <v>163</v>
      </c>
      <c r="D115" s="88" t="s">
        <v>366</v>
      </c>
      <c r="E115" s="89">
        <v>42586.682534722226</v>
      </c>
      <c r="F115" s="89">
        <v>42586.683541666665</v>
      </c>
      <c r="G115" s="87">
        <v>1</v>
      </c>
      <c r="H115" s="89" t="s">
        <v>620</v>
      </c>
      <c r="I115" s="89">
        <v>42586.71361111111</v>
      </c>
      <c r="J115" s="87">
        <v>0</v>
      </c>
      <c r="K115" s="114" t="str">
        <f t="shared" si="42"/>
        <v>4011/4012</v>
      </c>
      <c r="L115" s="25" t="str">
        <f>VLOOKUP(A115,'Trips&amp;Operators'!$C$1:$E$10000,3,FALSE)</f>
        <v>SHOOK</v>
      </c>
      <c r="M115" s="6">
        <f t="shared" si="43"/>
        <v>3.0069444444961846E-2</v>
      </c>
      <c r="N115" s="7">
        <f t="shared" si="41"/>
        <v>43.300000000745058</v>
      </c>
      <c r="O115" s="7"/>
      <c r="P115" s="7"/>
      <c r="Q115" s="26"/>
      <c r="R115" s="26"/>
      <c r="S115" s="38">
        <f t="shared" si="44"/>
        <v>1</v>
      </c>
      <c r="T115" s="55" t="str">
        <f t="shared" si="45"/>
        <v>NorthBound</v>
      </c>
      <c r="U115" s="77">
        <f>IF(AG115="EC",COUNTIFS(Variables!$M$2:$M$19,IF(T115="NorthBound","&gt;=","&lt;=")&amp;Y115,Variables!$M$2:$M$19,IF(T115="NorthBound","&lt;=","&gt;=")&amp;Z115),COUNTIFS(Variables!$P$2:$P$19,IF(T115="NorthBound","&gt;=","&lt;=")&amp;Y115,Variables!$P$2:$P$19,IF(T115="NorthBound","&lt;=","&gt;=")&amp;Z115))</f>
        <v>12</v>
      </c>
      <c r="V115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15:22:51-0600',mode:absolute,to:'2016-08-04 18:07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115" s="57" t="str">
        <f t="shared" si="47"/>
        <v>N</v>
      </c>
      <c r="X115" s="117">
        <f t="shared" si="48"/>
        <v>1</v>
      </c>
      <c r="Y115" s="72">
        <f t="shared" si="49"/>
        <v>4.3999999999999997E-2</v>
      </c>
      <c r="Z115" s="72">
        <f t="shared" si="50"/>
        <v>23.337599999999998</v>
      </c>
      <c r="AA115" s="72">
        <f t="shared" si="51"/>
        <v>23.293599999999998</v>
      </c>
      <c r="AB115" s="69" t="e">
        <f>VLOOKUP(A115,Enforcements!$C$7:$J$24,8,0)</f>
        <v>#N/A</v>
      </c>
      <c r="AC115" s="65" t="e">
        <f>VLOOKUP(A115,Enforcements!$C$7:$E$24,3,0)</f>
        <v>#N/A</v>
      </c>
      <c r="AD115" s="66" t="str">
        <f t="shared" si="52"/>
        <v>0203-04</v>
      </c>
      <c r="AE115" s="124" t="str">
        <f t="shared" si="53"/>
        <v>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 &amp; aws s3 cp s3://rtdc.mdm.uploadarchive/RTDC4011/2016-08-05/ "%USERPROFILE%\AppData\Local\Temp\OnboardLogs"\RTDC4011\2016-08-05 --recursive &amp; "%USERPROFILE%\Documents\GitHub\mrs-test-scripts\Headless Mode &amp; Sideloading\WalkAndUnGZ.bat" "%USERPROFILE%\AppData\Local\Temp\OnboardLogs"\RTDC4011\2016-08-05</v>
      </c>
      <c r="AF115" s="121" t="str">
        <f t="shared" si="54"/>
        <v>"C:\Program Files (x86)\AstroGrep\AstroGrep.exe" /spath="%USERPROFILE%\AppData\Local\Temp\OnboardLogs" /stypes="*4011*20160804*" /stext=" 23:.+((SYSTEM_STATE.+slice.+state.+changed )|(ment ac)|(system.+state.+changed )|(\|lc)|(penalty)|(\[timeout)|(PRM\|1\|D)|(kpr)|(kdp))" /e /r /s</v>
      </c>
      <c r="AG115" s="1" t="str">
        <f t="shared" si="55"/>
        <v>EC</v>
      </c>
      <c r="AH115" s="125" t="str">
        <f>refinertdcruntimes&amp;" --tripid "&amp;A115&amp;" --locoid "&amp;B115&amp;" --swversion "&amp;C115&amp;" --startMP "&amp;D115&amp;" --initTime "&amp;TEXT(E115,"yyyy-mm-ddTHH:MM:SS")&amp;" --startdatetime "&amp;TEXT(F115,"yyyy-mm-ddTHH:MM:SS")&amp;" --delay "&amp;G115&amp;" --endMP "&amp;H115&amp;" --enddatetime "&amp;TEXT(I115,"yyyy-mm-ddTHH:MM:SS")&amp;" --enforcementcount "&amp;J115&amp;" &gt;&gt; "&amp;TEXT(Variables!$A$2,"yyyy-mm-dd")&amp;"-refined-runtimes.txt"</f>
        <v>"%USERPROFILE%\Documents\GitHub\eaglep3\Utilities\RefineRTDCRunTimes.py" --tripid 203-04 --locoid 4011 --swversion DE.1.0.7.0 --startMP 204:440 --initTime 2016-08-04T16:22:51 --startdatetime 2016-08-04T16:24:18 --delay 1 --endMP 204:233376 --enddatetime 2016-08-04T17:07:36 --enforcementcount 0 &gt;&gt; 2016-08-04-refined-runtimes.txt</v>
      </c>
    </row>
    <row r="116" spans="1:34" s="24" customFormat="1" x14ac:dyDescent="0.25">
      <c r="A116" s="25" t="s">
        <v>621</v>
      </c>
      <c r="B116" s="87">
        <v>4012</v>
      </c>
      <c r="C116" s="88" t="s">
        <v>163</v>
      </c>
      <c r="D116" s="88" t="s">
        <v>622</v>
      </c>
      <c r="E116" s="89">
        <v>42586.720069444447</v>
      </c>
      <c r="F116" s="89">
        <v>42586.721099537041</v>
      </c>
      <c r="G116" s="87">
        <v>1</v>
      </c>
      <c r="H116" s="89" t="s">
        <v>58</v>
      </c>
      <c r="I116" s="89">
        <v>42586.753472222219</v>
      </c>
      <c r="J116" s="87">
        <v>0</v>
      </c>
      <c r="K116" s="114" t="str">
        <f t="shared" si="42"/>
        <v>4011/4012</v>
      </c>
      <c r="L116" s="25" t="str">
        <f>VLOOKUP(A116,'Trips&amp;Operators'!$C$1:$E$10000,3,FALSE)</f>
        <v>SHOOK</v>
      </c>
      <c r="M116" s="6">
        <f t="shared" si="43"/>
        <v>3.237268517841585E-2</v>
      </c>
      <c r="N116" s="7">
        <f t="shared" si="41"/>
        <v>46.616666656918824</v>
      </c>
      <c r="O116" s="7"/>
      <c r="P116" s="7"/>
      <c r="Q116" s="26"/>
      <c r="R116" s="26"/>
      <c r="S116" s="38">
        <f t="shared" si="44"/>
        <v>1</v>
      </c>
      <c r="T116" s="55" t="str">
        <f t="shared" si="45"/>
        <v>Southbound</v>
      </c>
      <c r="U116" s="77">
        <f>IF(AG116="EC",COUNTIFS(Variables!$M$2:$M$19,IF(T116="NorthBound","&gt;=","&lt;=")&amp;Y116,Variables!$M$2:$M$19,IF(T116="NorthBound","&lt;=","&gt;=")&amp;Z116),COUNTIFS(Variables!$P$2:$P$19,IF(T116="NorthBound","&gt;=","&lt;=")&amp;Y116,Variables!$P$2:$P$19,IF(T116="NorthBound","&lt;=","&gt;=")&amp;Z116))</f>
        <v>12</v>
      </c>
      <c r="V116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16:16:54-0600',mode:absolute,to:'2016-08-04 19:05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16" s="57" t="str">
        <f t="shared" si="47"/>
        <v>N</v>
      </c>
      <c r="X116" s="117">
        <f t="shared" si="48"/>
        <v>1</v>
      </c>
      <c r="Y116" s="72">
        <f t="shared" si="49"/>
        <v>23.304600000000001</v>
      </c>
      <c r="Z116" s="72">
        <f t="shared" si="50"/>
        <v>1.4500000000000001E-2</v>
      </c>
      <c r="AA116" s="72">
        <f t="shared" si="51"/>
        <v>23.290099999999999</v>
      </c>
      <c r="AB116" s="69" t="e">
        <f>VLOOKUP(A116,Enforcements!$C$7:$J$24,8,0)</f>
        <v>#N/A</v>
      </c>
      <c r="AC116" s="65" t="e">
        <f>VLOOKUP(A116,Enforcements!$C$7:$E$24,3,0)</f>
        <v>#N/A</v>
      </c>
      <c r="AD116" s="66" t="str">
        <f t="shared" si="52"/>
        <v>0204-04</v>
      </c>
      <c r="AE116" s="124" t="str">
        <f t="shared" si="53"/>
        <v>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 &amp; aws s3 cp s3://rtdc.mdm.uploadarchive/RTDC4012/2016-08-05/ "%USERPROFILE%\AppData\Local\Temp\OnboardLogs"\RTDC4012\2016-08-05 --recursive &amp; "%USERPROFILE%\Documents\GitHub\mrs-test-scripts\Headless Mode &amp; Sideloading\WalkAndUnGZ.bat" "%USERPROFILE%\AppData\Local\Temp\OnboardLogs"\RTDC4012\2016-08-05</v>
      </c>
      <c r="AF116" s="121" t="str">
        <f t="shared" si="54"/>
        <v>"C:\Program Files (x86)\AstroGrep\AstroGrep.exe" /spath="%USERPROFILE%\AppData\Local\Temp\OnboardLogs" /stypes="*4012*20160805*" /stext=" 00:.+((SYSTEM_STATE.+slice.+state.+changed )|(ment ac)|(system.+state.+changed )|(\|lc)|(penalty)|(\[timeout)|(PRM\|1\|D)|(kpr)|(kdp))" /e /r /s</v>
      </c>
      <c r="AG116" s="1" t="str">
        <f t="shared" si="55"/>
        <v>EC</v>
      </c>
      <c r="AH116" s="125" t="str">
        <f>refinertdcruntimes&amp;" --tripid "&amp;A116&amp;" --locoid "&amp;B116&amp;" --swversion "&amp;C116&amp;" --startMP "&amp;D116&amp;" --initTime "&amp;TEXT(E116,"yyyy-mm-ddTHH:MM:SS")&amp;" --startdatetime "&amp;TEXT(F116,"yyyy-mm-ddTHH:MM:SS")&amp;" --delay "&amp;G116&amp;" --endMP "&amp;H116&amp;" --enddatetime "&amp;TEXT(I116,"yyyy-mm-ddTHH:MM:SS")&amp;" --enforcementcount "&amp;J116&amp;" &gt;&gt; "&amp;TEXT(Variables!$A$2,"yyyy-mm-dd")&amp;"-refined-runtimes.txt"</f>
        <v>"%USERPROFILE%\Documents\GitHub\eaglep3\Utilities\RefineRTDCRunTimes.py" --tripid 204-04 --locoid 4012 --swversion DE.1.0.7.0 --startMP 204:233046 --initTime 2016-08-04T17:16:54 --startdatetime 2016-08-04T17:18:23 --delay 1 --endMP 204:145 --enddatetime 2016-08-04T18:05:00 --enforcementcount 0 &gt;&gt; 2016-08-04-refined-runtimes.txt</v>
      </c>
    </row>
    <row r="117" spans="1:34" s="24" customFormat="1" x14ac:dyDescent="0.25">
      <c r="A117" s="25" t="s">
        <v>498</v>
      </c>
      <c r="B117" s="87">
        <v>4007</v>
      </c>
      <c r="C117" s="88" t="s">
        <v>163</v>
      </c>
      <c r="D117" s="88" t="s">
        <v>150</v>
      </c>
      <c r="E117" s="89">
        <v>42586.694803240738</v>
      </c>
      <c r="F117" s="89">
        <v>42586.696458333332</v>
      </c>
      <c r="G117" s="87">
        <v>2</v>
      </c>
      <c r="H117" s="89" t="s">
        <v>623</v>
      </c>
      <c r="I117" s="89">
        <v>42586.723634259259</v>
      </c>
      <c r="J117" s="87">
        <v>1</v>
      </c>
      <c r="K117" s="114" t="str">
        <f t="shared" si="42"/>
        <v>4007/4008</v>
      </c>
      <c r="L117" s="25" t="str">
        <f>VLOOKUP(A117,'Trips&amp;Operators'!$C$1:$E$10000,3,FALSE)</f>
        <v>MOSES</v>
      </c>
      <c r="M117" s="6">
        <f t="shared" si="43"/>
        <v>2.7175925926712807E-2</v>
      </c>
      <c r="N117" s="7">
        <f t="shared" si="41"/>
        <v>39.133333334466442</v>
      </c>
      <c r="O117" s="7"/>
      <c r="P117" s="7"/>
      <c r="Q117" s="26"/>
      <c r="R117" s="26"/>
      <c r="S117" s="38">
        <f t="shared" si="44"/>
        <v>1</v>
      </c>
      <c r="T117" s="55" t="str">
        <f t="shared" si="45"/>
        <v>NorthBound</v>
      </c>
      <c r="U117" s="77">
        <f>IF(AG117="EC",COUNTIFS(Variables!$M$2:$M$19,IF(T117="NorthBound","&gt;=","&lt;=")&amp;Y117,Variables!$M$2:$M$19,IF(T117="NorthBound","&lt;=","&gt;=")&amp;Z117),COUNTIFS(Variables!$P$2:$P$19,IF(T117="NorthBound","&gt;=","&lt;=")&amp;Y117,Variables!$P$2:$P$19,IF(T117="NorthBound","&lt;=","&gt;=")&amp;Z117))</f>
        <v>12</v>
      </c>
      <c r="V117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15:40:31-0600',mode:absolute,to:'2016-08-04 18:22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17" s="57" t="str">
        <f t="shared" si="47"/>
        <v>N</v>
      </c>
      <c r="X117" s="117">
        <f t="shared" si="48"/>
        <v>1</v>
      </c>
      <c r="Y117" s="72">
        <f t="shared" si="49"/>
        <v>4.6699999999999998E-2</v>
      </c>
      <c r="Z117" s="72">
        <f t="shared" si="50"/>
        <v>23.323</v>
      </c>
      <c r="AA117" s="72">
        <f t="shared" si="51"/>
        <v>23.276299999999999</v>
      </c>
      <c r="AB117" s="69" t="e">
        <f>VLOOKUP(A117,Enforcements!$C$7:$J$24,8,0)</f>
        <v>#N/A</v>
      </c>
      <c r="AC117" s="65" t="e">
        <f>VLOOKUP(A117,Enforcements!$C$7:$E$24,3,0)</f>
        <v>#N/A</v>
      </c>
      <c r="AD117" s="66" t="str">
        <f t="shared" si="52"/>
        <v>0205-04</v>
      </c>
      <c r="AE117" s="124" t="str">
        <f t="shared" si="53"/>
        <v>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 &amp; aws s3 cp s3://rtdc.mdm.uploadarchive/RTDC4007/2016-08-05/ "%USERPROFILE%\AppData\Local\Temp\OnboardLogs"\RTDC4007\2016-08-05 --recursive &amp; "%USERPROFILE%\Documents\GitHub\mrs-test-scripts\Headless Mode &amp; Sideloading\WalkAndUnGZ.bat" "%USERPROFILE%\AppData\Local\Temp\OnboardLogs"\RTDC4007\2016-08-05</v>
      </c>
      <c r="AF117" s="121" t="str">
        <f t="shared" si="54"/>
        <v>"C:\Program Files (x86)\AstroGrep\AstroGrep.exe" /spath="%USERPROFILE%\AppData\Local\Temp\OnboardLogs" /stypes="*4007*20160804*" /stext=" 23:.+((SYSTEM_STATE.+slice.+state.+changed )|(ment ac)|(system.+state.+changed )|(\|lc)|(penalty)|(\[timeout)|(PRM\|1\|D)|(kpr)|(kdp))" /e /r /s</v>
      </c>
      <c r="AG117" s="1" t="str">
        <f t="shared" si="55"/>
        <v>EC</v>
      </c>
      <c r="AH117" s="125" t="str">
        <f>refinertdcruntimes&amp;" --tripid "&amp;A117&amp;" --locoid "&amp;B117&amp;" --swversion "&amp;C117&amp;" --startMP "&amp;D117&amp;" --initTime "&amp;TEXT(E117,"yyyy-mm-ddTHH:MM:SS")&amp;" --startdatetime "&amp;TEXT(F117,"yyyy-mm-ddTHH:MM:SS")&amp;" --delay "&amp;G117&amp;" --endMP "&amp;H117&amp;" --enddatetime "&amp;TEXT(I117,"yyyy-mm-ddTHH:MM:SS")&amp;" --enforcementcount "&amp;J117&amp;" &gt;&gt; "&amp;TEXT(Variables!$A$2,"yyyy-mm-dd")&amp;"-refined-runtimes.txt"</f>
        <v>"%USERPROFILE%\Documents\GitHub\eaglep3\Utilities\RefineRTDCRunTimes.py" --tripid 205-04 --locoid 4007 --swversion DE.1.0.7.0 --startMP 204:467 --initTime 2016-08-04T16:40:31 --startdatetime 2016-08-04T16:42:54 --delay 2 --endMP 204:233230 --enddatetime 2016-08-04T17:22:02 --enforcementcount 1 &gt;&gt; 2016-08-04-refined-runtimes.txt</v>
      </c>
    </row>
    <row r="118" spans="1:34" s="24" customFormat="1" x14ac:dyDescent="0.25">
      <c r="A118" s="25" t="s">
        <v>624</v>
      </c>
      <c r="B118" s="87">
        <v>4008</v>
      </c>
      <c r="C118" s="88" t="s">
        <v>163</v>
      </c>
      <c r="D118" s="88" t="s">
        <v>625</v>
      </c>
      <c r="E118" s="89">
        <v>42586.734571759262</v>
      </c>
      <c r="F118" s="89">
        <v>42586.736631944441</v>
      </c>
      <c r="G118" s="87">
        <v>2</v>
      </c>
      <c r="H118" s="89" t="s">
        <v>136</v>
      </c>
      <c r="I118" s="89">
        <v>42586.764479166668</v>
      </c>
      <c r="J118" s="87">
        <v>0</v>
      </c>
      <c r="K118" s="114" t="str">
        <f t="shared" si="42"/>
        <v>4007/4008</v>
      </c>
      <c r="L118" s="25" t="str">
        <f>VLOOKUP(A118,'Trips&amp;Operators'!$C$1:$E$10000,3,FALSE)</f>
        <v>MOSES</v>
      </c>
      <c r="M118" s="6">
        <f t="shared" si="43"/>
        <v>2.7847222227137536E-2</v>
      </c>
      <c r="N118" s="7">
        <f t="shared" si="41"/>
        <v>40.100000007078052</v>
      </c>
      <c r="O118" s="7"/>
      <c r="P118" s="7"/>
      <c r="Q118" s="26"/>
      <c r="R118" s="26"/>
      <c r="S118" s="38">
        <f t="shared" si="44"/>
        <v>1</v>
      </c>
      <c r="T118" s="55" t="str">
        <f t="shared" si="45"/>
        <v>Southbound</v>
      </c>
      <c r="U118" s="77">
        <f>IF(AG118="EC",COUNTIFS(Variables!$M$2:$M$19,IF(T118="NorthBound","&gt;=","&lt;=")&amp;Y118,Variables!$M$2:$M$19,IF(T118="NorthBound","&lt;=","&gt;=")&amp;Z118),COUNTIFS(Variables!$P$2:$P$19,IF(T118="NorthBound","&gt;=","&lt;=")&amp;Y118,Variables!$P$2:$P$19,IF(T118="NorthBound","&lt;=","&gt;=")&amp;Z118))</f>
        <v>12</v>
      </c>
      <c r="V118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16:37:47-0600',mode:absolute,to:'2016-08-04 19:20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18" s="57" t="str">
        <f t="shared" si="47"/>
        <v>N</v>
      </c>
      <c r="X118" s="117">
        <f t="shared" si="48"/>
        <v>1</v>
      </c>
      <c r="Y118" s="72">
        <f t="shared" si="49"/>
        <v>23.2925</v>
      </c>
      <c r="Z118" s="72">
        <f t="shared" si="50"/>
        <v>1.54E-2</v>
      </c>
      <c r="AA118" s="72">
        <f t="shared" si="51"/>
        <v>23.277100000000001</v>
      </c>
      <c r="AB118" s="69" t="e">
        <f>VLOOKUP(A118,Enforcements!$C$7:$J$24,8,0)</f>
        <v>#N/A</v>
      </c>
      <c r="AC118" s="65" t="e">
        <f>VLOOKUP(A118,Enforcements!$C$7:$E$24,3,0)</f>
        <v>#N/A</v>
      </c>
      <c r="AD118" s="66" t="str">
        <f t="shared" si="52"/>
        <v>0206-04</v>
      </c>
      <c r="AE118" s="124" t="str">
        <f t="shared" si="53"/>
        <v>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 &amp; aws s3 cp s3://rtdc.mdm.uploadarchive/RTDC4008/2016-08-05/ "%USERPROFILE%\AppData\Local\Temp\OnboardLogs"\RTDC4008\2016-08-05 --recursive &amp; "%USERPROFILE%\Documents\GitHub\mrs-test-scripts\Headless Mode &amp; Sideloading\WalkAndUnGZ.bat" "%USERPROFILE%\AppData\Local\Temp\OnboardLogs"\RTDC4008\2016-08-05</v>
      </c>
      <c r="AF118" s="121" t="str">
        <f t="shared" si="54"/>
        <v>"C:\Program Files (x86)\AstroGrep\AstroGrep.exe" /spath="%USERPROFILE%\AppData\Local\Temp\OnboardLogs" /stypes="*4008*20160805*" /stext=" 00:.+((SYSTEM_STATE.+slice.+state.+changed )|(ment ac)|(system.+state.+changed )|(\|lc)|(penalty)|(\[timeout)|(PRM\|1\|D)|(kpr)|(kdp))" /e /r /s</v>
      </c>
      <c r="AG118" s="1" t="str">
        <f t="shared" si="55"/>
        <v>EC</v>
      </c>
      <c r="AH118" s="125" t="str">
        <f>refinertdcruntimes&amp;" --tripid "&amp;A118&amp;" --locoid "&amp;B118&amp;" --swversion "&amp;C118&amp;" --startMP "&amp;D118&amp;" --initTime "&amp;TEXT(E118,"yyyy-mm-ddTHH:MM:SS")&amp;" --startdatetime "&amp;TEXT(F118,"yyyy-mm-ddTHH:MM:SS")&amp;" --delay "&amp;G118&amp;" --endMP "&amp;H118&amp;" --enddatetime "&amp;TEXT(I118,"yyyy-mm-ddTHH:MM:SS")&amp;" --enforcementcount "&amp;J118&amp;" &gt;&gt; "&amp;TEXT(Variables!$A$2,"yyyy-mm-dd")&amp;"-refined-runtimes.txt"</f>
        <v>"%USERPROFILE%\Documents\GitHub\eaglep3\Utilities\RefineRTDCRunTimes.py" --tripid 206-04 --locoid 4008 --swversion DE.1.0.7.0 --startMP 204:232925 --initTime 2016-08-04T17:37:47 --startdatetime 2016-08-04T17:40:45 --delay 2 --endMP 204:154 --enddatetime 2016-08-04T18:20:51 --enforcementcount 0 &gt;&gt; 2016-08-04-refined-runtimes.txt</v>
      </c>
    </row>
    <row r="119" spans="1:34" s="24" customFormat="1" x14ac:dyDescent="0.25">
      <c r="A119" s="25" t="s">
        <v>626</v>
      </c>
      <c r="B119" s="87">
        <v>4025</v>
      </c>
      <c r="C119" s="88" t="s">
        <v>163</v>
      </c>
      <c r="D119" s="88" t="s">
        <v>326</v>
      </c>
      <c r="E119" s="89">
        <v>42586.704629629632</v>
      </c>
      <c r="F119" s="89">
        <v>42586.705509259256</v>
      </c>
      <c r="G119" s="87">
        <v>1</v>
      </c>
      <c r="H119" s="89" t="s">
        <v>327</v>
      </c>
      <c r="I119" s="89">
        <v>42586.732777777775</v>
      </c>
      <c r="J119" s="87">
        <v>0</v>
      </c>
      <c r="K119" s="114" t="str">
        <f t="shared" si="42"/>
        <v>4025/4026</v>
      </c>
      <c r="L119" s="25" t="str">
        <f>VLOOKUP(A119,'Trips&amp;Operators'!$C$1:$E$10000,3,FALSE)</f>
        <v>NEWELL</v>
      </c>
      <c r="M119" s="6">
        <f t="shared" si="43"/>
        <v>2.7268518519122154E-2</v>
      </c>
      <c r="N119" s="7">
        <f t="shared" si="41"/>
        <v>39.266666667535901</v>
      </c>
      <c r="O119" s="7"/>
      <c r="P119" s="7"/>
      <c r="Q119" s="26"/>
      <c r="R119" s="26"/>
      <c r="S119" s="38">
        <f t="shared" si="44"/>
        <v>1</v>
      </c>
      <c r="T119" s="55" t="str">
        <f t="shared" si="45"/>
        <v>NorthBound</v>
      </c>
      <c r="U119" s="77">
        <f>IF(AG119="EC",COUNTIFS(Variables!$M$2:$M$19,IF(T119="NorthBound","&gt;=","&lt;=")&amp;Y119,Variables!$M$2:$M$19,IF(T119="NorthBound","&lt;=","&gt;=")&amp;Z119),COUNTIFS(Variables!$P$2:$P$19,IF(T119="NorthBound","&gt;=","&lt;=")&amp;Y119,Variables!$P$2:$P$19,IF(T119="NorthBound","&lt;=","&gt;=")&amp;Z119))</f>
        <v>12</v>
      </c>
      <c r="V119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15:54:40-0600',mode:absolute,to:'2016-08-04 18:35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19" s="57" t="str">
        <f t="shared" si="47"/>
        <v>N</v>
      </c>
      <c r="X119" s="117">
        <f t="shared" si="48"/>
        <v>1</v>
      </c>
      <c r="Y119" s="72">
        <f t="shared" si="49"/>
        <v>4.3700000000000003E-2</v>
      </c>
      <c r="Z119" s="72">
        <f t="shared" si="50"/>
        <v>23.331600000000002</v>
      </c>
      <c r="AA119" s="72">
        <f t="shared" si="51"/>
        <v>23.2879</v>
      </c>
      <c r="AB119" s="69" t="e">
        <f>VLOOKUP(A119,Enforcements!$C$7:$J$24,8,0)</f>
        <v>#N/A</v>
      </c>
      <c r="AC119" s="65" t="e">
        <f>VLOOKUP(A119,Enforcements!$C$7:$E$24,3,0)</f>
        <v>#N/A</v>
      </c>
      <c r="AD119" s="66" t="str">
        <f t="shared" si="52"/>
        <v>0207-04</v>
      </c>
      <c r="AE119" s="124" t="str">
        <f t="shared" si="53"/>
        <v>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 &amp; aws s3 cp s3://rtdc.mdm.uploadarchive/RTDC4025/2016-08-05/ "%USERPROFILE%\AppData\Local\Temp\OnboardLogs"\RTDC4025\2016-08-05 --recursive &amp; "%USERPROFILE%\Documents\GitHub\mrs-test-scripts\Headless Mode &amp; Sideloading\WalkAndUnGZ.bat" "%USERPROFILE%\AppData\Local\Temp\OnboardLogs"\RTDC4025\2016-08-05</v>
      </c>
      <c r="AF119" s="121" t="str">
        <f t="shared" si="54"/>
        <v>"C:\Program Files (x86)\AstroGrep\AstroGrep.exe" /spath="%USERPROFILE%\AppData\Local\Temp\OnboardLogs" /stypes="*4025*20160804*" /stext=" 23:.+((SYSTEM_STATE.+slice.+state.+changed )|(ment ac)|(system.+state.+changed )|(\|lc)|(penalty)|(\[timeout)|(PRM\|1\|D)|(kpr)|(kdp))" /e /r /s</v>
      </c>
      <c r="AG119" s="1" t="str">
        <f t="shared" si="55"/>
        <v>EC</v>
      </c>
      <c r="AH119" s="125" t="str">
        <f>refinertdcruntimes&amp;" --tripid "&amp;A119&amp;" --locoid "&amp;B119&amp;" --swversion "&amp;C119&amp;" --startMP "&amp;D119&amp;" --initTime "&amp;TEXT(E119,"yyyy-mm-ddTHH:MM:SS")&amp;" --startdatetime "&amp;TEXT(F119,"yyyy-mm-ddTHH:MM:SS")&amp;" --delay "&amp;G119&amp;" --endMP "&amp;H119&amp;" --enddatetime "&amp;TEXT(I119,"yyyy-mm-ddTHH:MM:SS")&amp;" --enforcementcount "&amp;J119&amp;" &gt;&gt; "&amp;TEXT(Variables!$A$2,"yyyy-mm-dd")&amp;"-refined-runtimes.txt"</f>
        <v>"%USERPROFILE%\Documents\GitHub\eaglep3\Utilities\RefineRTDCRunTimes.py" --tripid 207-04 --locoid 4025 --swversion DE.1.0.7.0 --startMP 204:437 --initTime 2016-08-04T16:54:40 --startdatetime 2016-08-04T16:55:56 --delay 1 --endMP 204:233316 --enddatetime 2016-08-04T17:35:12 --enforcementcount 0 &gt;&gt; 2016-08-04-refined-runtimes.txt</v>
      </c>
    </row>
    <row r="120" spans="1:34" s="24" customFormat="1" x14ac:dyDescent="0.25">
      <c r="A120" s="25" t="s">
        <v>627</v>
      </c>
      <c r="B120" s="87">
        <v>4026</v>
      </c>
      <c r="C120" s="88" t="s">
        <v>163</v>
      </c>
      <c r="D120" s="88" t="s">
        <v>345</v>
      </c>
      <c r="E120" s="89">
        <v>42586.734479166669</v>
      </c>
      <c r="F120" s="89">
        <v>42586.735567129632</v>
      </c>
      <c r="G120" s="87">
        <v>1</v>
      </c>
      <c r="H120" s="89" t="s">
        <v>137</v>
      </c>
      <c r="I120" s="89">
        <v>42586.773645833331</v>
      </c>
      <c r="J120" s="87">
        <v>0</v>
      </c>
      <c r="K120" s="114" t="str">
        <f t="shared" si="42"/>
        <v>4025/4026</v>
      </c>
      <c r="L120" s="25" t="str">
        <f>VLOOKUP(A120,'Trips&amp;Operators'!$C$1:$E$10000,3,FALSE)</f>
        <v>NEWELL</v>
      </c>
      <c r="M120" s="6">
        <f t="shared" si="43"/>
        <v>3.8078703699284233E-2</v>
      </c>
      <c r="N120" s="7">
        <f t="shared" si="41"/>
        <v>54.833333326969296</v>
      </c>
      <c r="O120" s="7"/>
      <c r="P120" s="7"/>
      <c r="Q120" s="26"/>
      <c r="R120" s="26"/>
      <c r="S120" s="38">
        <f t="shared" si="44"/>
        <v>1</v>
      </c>
      <c r="T120" s="55" t="str">
        <f t="shared" si="45"/>
        <v>Southbound</v>
      </c>
      <c r="U120" s="77">
        <f>IF(AG120="EC",COUNTIFS(Variables!$M$2:$M$19,IF(T120="NorthBound","&gt;=","&lt;=")&amp;Y120,Variables!$M$2:$M$19,IF(T120="NorthBound","&lt;=","&gt;=")&amp;Z120),COUNTIFS(Variables!$P$2:$P$19,IF(T120="NorthBound","&gt;=","&lt;=")&amp;Y120,Variables!$P$2:$P$19,IF(T120="NorthBound","&lt;=","&gt;=")&amp;Z120))</f>
        <v>12</v>
      </c>
      <c r="V120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16:37:39-0600',mode:absolute,to:'2016-08-04 19:34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20" s="57" t="str">
        <f t="shared" si="47"/>
        <v>N</v>
      </c>
      <c r="X120" s="117">
        <f t="shared" si="48"/>
        <v>1</v>
      </c>
      <c r="Y120" s="72">
        <f t="shared" si="49"/>
        <v>23.298999999999999</v>
      </c>
      <c r="Z120" s="72">
        <f t="shared" si="50"/>
        <v>1.4999999999999999E-2</v>
      </c>
      <c r="AA120" s="72">
        <f t="shared" si="51"/>
        <v>23.283999999999999</v>
      </c>
      <c r="AB120" s="69" t="e">
        <f>VLOOKUP(A120,Enforcements!$C$7:$J$24,8,0)</f>
        <v>#N/A</v>
      </c>
      <c r="AC120" s="65" t="e">
        <f>VLOOKUP(A120,Enforcements!$C$7:$E$24,3,0)</f>
        <v>#N/A</v>
      </c>
      <c r="AD120" s="66" t="str">
        <f t="shared" si="52"/>
        <v>0208-04</v>
      </c>
      <c r="AE120" s="124" t="str">
        <f t="shared" si="53"/>
        <v>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 &amp; aws s3 cp s3://rtdc.mdm.uploadarchive/RTDC4026/2016-08-05/ "%USERPROFILE%\AppData\Local\Temp\OnboardLogs"\RTDC4026\2016-08-05 --recursive &amp; "%USERPROFILE%\Documents\GitHub\mrs-test-scripts\Headless Mode &amp; Sideloading\WalkAndUnGZ.bat" "%USERPROFILE%\AppData\Local\Temp\OnboardLogs"\RTDC4026\2016-08-05</v>
      </c>
      <c r="AF120" s="121" t="str">
        <f t="shared" si="54"/>
        <v>"C:\Program Files (x86)\AstroGrep\AstroGrep.exe" /spath="%USERPROFILE%\AppData\Local\Temp\OnboardLogs" /stypes="*4026*20160805*" /stext=" 00:.+((SYSTEM_STATE.+slice.+state.+changed )|(ment ac)|(system.+state.+changed )|(\|lc)|(penalty)|(\[timeout)|(PRM\|1\|D)|(kpr)|(kdp))" /e /r /s</v>
      </c>
      <c r="AG120" s="1" t="str">
        <f t="shared" si="55"/>
        <v>EC</v>
      </c>
      <c r="AH120" s="125" t="str">
        <f>refinertdcruntimes&amp;" --tripid "&amp;A120&amp;" --locoid "&amp;B120&amp;" --swversion "&amp;C120&amp;" --startMP "&amp;D120&amp;" --initTime "&amp;TEXT(E120,"yyyy-mm-ddTHH:MM:SS")&amp;" --startdatetime "&amp;TEXT(F120,"yyyy-mm-ddTHH:MM:SS")&amp;" --delay "&amp;G120&amp;" --endMP "&amp;H120&amp;" --enddatetime "&amp;TEXT(I120,"yyyy-mm-ddTHH:MM:SS")&amp;" --enforcementcount "&amp;J120&amp;" &gt;&gt; "&amp;TEXT(Variables!$A$2,"yyyy-mm-dd")&amp;"-refined-runtimes.txt"</f>
        <v>"%USERPROFILE%\Documents\GitHub\eaglep3\Utilities\RefineRTDCRunTimes.py" --tripid 208-04 --locoid 4026 --swversion DE.1.0.7.0 --startMP 204:232990 --initTime 2016-08-04T17:37:39 --startdatetime 2016-08-04T17:39:13 --delay 1 --endMP 204:150 --enddatetime 2016-08-04T18:34:03 --enforcementcount 0 &gt;&gt; 2016-08-04-refined-runtimes.txt</v>
      </c>
    </row>
    <row r="121" spans="1:34" s="24" customFormat="1" x14ac:dyDescent="0.25">
      <c r="A121" s="25" t="s">
        <v>628</v>
      </c>
      <c r="B121" s="87">
        <v>4038</v>
      </c>
      <c r="C121" s="88" t="s">
        <v>163</v>
      </c>
      <c r="D121" s="88" t="s">
        <v>389</v>
      </c>
      <c r="E121" s="89">
        <v>42586.713113425925</v>
      </c>
      <c r="F121" s="89">
        <v>42586.714247685188</v>
      </c>
      <c r="G121" s="87">
        <v>1</v>
      </c>
      <c r="H121" s="89" t="s">
        <v>157</v>
      </c>
      <c r="I121" s="89">
        <v>42586.745312500003</v>
      </c>
      <c r="J121" s="87">
        <v>0</v>
      </c>
      <c r="K121" s="114" t="str">
        <f t="shared" si="42"/>
        <v>4037/4038</v>
      </c>
      <c r="L121" s="25" t="str">
        <f>VLOOKUP(A121,'Trips&amp;Operators'!$C$1:$E$10000,3,FALSE)</f>
        <v>ROBINSON</v>
      </c>
      <c r="M121" s="6">
        <f t="shared" si="43"/>
        <v>3.1064814815181307E-2</v>
      </c>
      <c r="N121" s="7">
        <f t="shared" si="41"/>
        <v>44.733333333861083</v>
      </c>
      <c r="O121" s="7"/>
      <c r="P121" s="7"/>
      <c r="Q121" s="26"/>
      <c r="R121" s="26"/>
      <c r="S121" s="38">
        <f t="shared" si="44"/>
        <v>1</v>
      </c>
      <c r="T121" s="55" t="str">
        <f t="shared" si="45"/>
        <v>NorthBound</v>
      </c>
      <c r="U121" s="77">
        <f>IF(AG121="EC",COUNTIFS(Variables!$M$2:$M$19,IF(T121="NorthBound","&gt;=","&lt;=")&amp;Y121,Variables!$M$2:$M$19,IF(T121="NorthBound","&lt;=","&gt;=")&amp;Z121),COUNTIFS(Variables!$P$2:$P$19,IF(T121="NorthBound","&gt;=","&lt;=")&amp;Y121,Variables!$P$2:$P$19,IF(T121="NorthBound","&lt;=","&gt;=")&amp;Z121))</f>
        <v>12</v>
      </c>
      <c r="V121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16:06:53-0600',mode:absolute,to:'2016-08-04 18:53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21" s="57" t="str">
        <f t="shared" si="47"/>
        <v>N</v>
      </c>
      <c r="X121" s="117">
        <f t="shared" si="48"/>
        <v>1</v>
      </c>
      <c r="Y121" s="72">
        <f t="shared" si="49"/>
        <v>4.7699999999999999E-2</v>
      </c>
      <c r="Z121" s="72">
        <f t="shared" si="50"/>
        <v>23.3308</v>
      </c>
      <c r="AA121" s="72">
        <f t="shared" si="51"/>
        <v>23.283100000000001</v>
      </c>
      <c r="AB121" s="69" t="e">
        <f>VLOOKUP(A121,Enforcements!$C$7:$J$24,8,0)</f>
        <v>#N/A</v>
      </c>
      <c r="AC121" s="65" t="e">
        <f>VLOOKUP(A121,Enforcements!$C$7:$E$24,3,0)</f>
        <v>#N/A</v>
      </c>
      <c r="AD121" s="66" t="str">
        <f t="shared" si="52"/>
        <v>0209-04</v>
      </c>
      <c r="AE121" s="124" t="str">
        <f t="shared" si="53"/>
        <v>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 &amp; aws s3 cp s3://rtdc.mdm.uploadarchive/RTDC4038/2016-08-05/ "%USERPROFILE%\AppData\Local\Temp\OnboardLogs"\RTDC4038\2016-08-05 --recursive &amp; "%USERPROFILE%\Documents\GitHub\mrs-test-scripts\Headless Mode &amp; Sideloading\WalkAndUnGZ.bat" "%USERPROFILE%\AppData\Local\Temp\OnboardLogs"\RTDC4038\2016-08-05</v>
      </c>
      <c r="AF121" s="121" t="str">
        <f t="shared" si="54"/>
        <v>"C:\Program Files (x86)\AstroGrep\AstroGrep.exe" /spath="%USERPROFILE%\AppData\Local\Temp\OnboardLogs" /stypes="*4038*20160804*" /stext=" 23:.+((SYSTEM_STATE.+slice.+state.+changed )|(ment ac)|(system.+state.+changed )|(\|lc)|(penalty)|(\[timeout)|(PRM\|1\|D)|(kpr)|(kdp))" /e /r /s</v>
      </c>
      <c r="AG121" s="1" t="str">
        <f t="shared" si="55"/>
        <v>EC</v>
      </c>
      <c r="AH121" s="125" t="str">
        <f>refinertdcruntimes&amp;" --tripid "&amp;A121&amp;" --locoid "&amp;B121&amp;" --swversion "&amp;C121&amp;" --startMP "&amp;D121&amp;" --initTime "&amp;TEXT(E121,"yyyy-mm-ddTHH:MM:SS")&amp;" --startdatetime "&amp;TEXT(F121,"yyyy-mm-ddTHH:MM:SS")&amp;" --delay "&amp;G121&amp;" --endMP "&amp;H121&amp;" --enddatetime "&amp;TEXT(I121,"yyyy-mm-ddTHH:MM:SS")&amp;" --enforcementcount "&amp;J121&amp;" &gt;&gt; "&amp;TEXT(Variables!$A$2,"yyyy-mm-dd")&amp;"-refined-runtimes.txt"</f>
        <v>"%USERPROFILE%\Documents\GitHub\eaglep3\Utilities\RefineRTDCRunTimes.py" --tripid 209-04 --locoid 4038 --swversion DE.1.0.7.0 --startMP 204:477 --initTime 2016-08-04T17:06:53 --startdatetime 2016-08-04T17:08:31 --delay 1 --endMP 204:233308 --enddatetime 2016-08-04T17:53:15 --enforcementcount 0 &gt;&gt; 2016-08-04-refined-runtimes.txt</v>
      </c>
    </row>
    <row r="122" spans="1:34" s="24" customFormat="1" x14ac:dyDescent="0.25">
      <c r="A122" s="25" t="s">
        <v>501</v>
      </c>
      <c r="B122" s="87">
        <v>4037</v>
      </c>
      <c r="C122" s="88" t="s">
        <v>163</v>
      </c>
      <c r="D122" s="88" t="s">
        <v>239</v>
      </c>
      <c r="E122" s="89">
        <v>42586.75072916667</v>
      </c>
      <c r="F122" s="89">
        <v>42586.75172453704</v>
      </c>
      <c r="G122" s="87">
        <v>1</v>
      </c>
      <c r="H122" s="89" t="s">
        <v>58</v>
      </c>
      <c r="I122" s="89">
        <v>42586.786076388889</v>
      </c>
      <c r="J122" s="87">
        <v>1</v>
      </c>
      <c r="K122" s="114" t="str">
        <f t="shared" si="42"/>
        <v>4037/4038</v>
      </c>
      <c r="L122" s="25" t="str">
        <f>VLOOKUP(A122,'Trips&amp;Operators'!$C$1:$E$10000,3,FALSE)</f>
        <v>ROBINSON</v>
      </c>
      <c r="M122" s="6">
        <f t="shared" si="43"/>
        <v>3.4351851849351078E-2</v>
      </c>
      <c r="N122" s="7">
        <f t="shared" si="41"/>
        <v>49.466666663065553</v>
      </c>
      <c r="O122" s="7"/>
      <c r="P122" s="7"/>
      <c r="Q122" s="26"/>
      <c r="R122" s="26"/>
      <c r="S122" s="38">
        <f t="shared" si="44"/>
        <v>1</v>
      </c>
      <c r="T122" s="55" t="str">
        <f t="shared" si="45"/>
        <v>Southbound</v>
      </c>
      <c r="U122" s="77">
        <f>IF(AG122="EC",COUNTIFS(Variables!$M$2:$M$19,IF(T122="NorthBound","&gt;=","&lt;=")&amp;Y122,Variables!$M$2:$M$19,IF(T122="NorthBound","&lt;=","&gt;=")&amp;Z122),COUNTIFS(Variables!$P$2:$P$19,IF(T122="NorthBound","&gt;=","&lt;=")&amp;Y122,Variables!$P$2:$P$19,IF(T122="NorthBound","&lt;=","&gt;=")&amp;Z122))</f>
        <v>12</v>
      </c>
      <c r="V122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17:01:03-0600',mode:absolute,to:'2016-08-04 19:51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22" s="57" t="str">
        <f t="shared" si="47"/>
        <v>N</v>
      </c>
      <c r="X122" s="117">
        <f t="shared" si="48"/>
        <v>1</v>
      </c>
      <c r="Y122" s="72">
        <f t="shared" si="49"/>
        <v>23.2987</v>
      </c>
      <c r="Z122" s="72">
        <f t="shared" si="50"/>
        <v>1.4500000000000001E-2</v>
      </c>
      <c r="AA122" s="72">
        <f t="shared" si="51"/>
        <v>23.284199999999998</v>
      </c>
      <c r="AB122" s="69">
        <f>VLOOKUP(A122,Enforcements!$C$7:$J$24,8,0)</f>
        <v>190834</v>
      </c>
      <c r="AC122" s="65" t="str">
        <f>VLOOKUP(A122,Enforcements!$C$7:$E$24,3,0)</f>
        <v>PERMANENT SPEED RESTRICTION</v>
      </c>
      <c r="AD122" s="66" t="str">
        <f t="shared" si="52"/>
        <v>0210-04</v>
      </c>
      <c r="AE122" s="124" t="str">
        <f t="shared" si="53"/>
        <v>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 &amp; aws s3 cp s3://rtdc.mdm.uploadarchive/RTDC4037/2016-08-05/ "%USERPROFILE%\AppData\Local\Temp\OnboardLogs"\RTDC4037\2016-08-05 --recursive &amp; "%USERPROFILE%\Documents\GitHub\mrs-test-scripts\Headless Mode &amp; Sideloading\WalkAndUnGZ.bat" "%USERPROFILE%\AppData\Local\Temp\OnboardLogs"\RTDC4037\2016-08-05</v>
      </c>
      <c r="AF122" s="121" t="str">
        <f t="shared" si="54"/>
        <v>"C:\Program Files (x86)\AstroGrep\AstroGrep.exe" /spath="%USERPROFILE%\AppData\Local\Temp\OnboardLogs" /stypes="*4037*20160805*" /stext=" 00:.+((SYSTEM_STATE.+slice.+state.+changed )|(ment ac)|(system.+state.+changed )|(\|lc)|(penalty)|(\[timeout)|(PRM\|1\|D)|(kpr)|(kdp))" /e /r /s</v>
      </c>
      <c r="AG122" s="1" t="str">
        <f t="shared" si="55"/>
        <v>EC</v>
      </c>
      <c r="AH122" s="125" t="str">
        <f>refinertdcruntimes&amp;" --tripid "&amp;A122&amp;" --locoid "&amp;B122&amp;" --swversion "&amp;C122&amp;" --startMP "&amp;D122&amp;" --initTime "&amp;TEXT(E122,"yyyy-mm-ddTHH:MM:SS")&amp;" --startdatetime "&amp;TEXT(F122,"yyyy-mm-ddTHH:MM:SS")&amp;" --delay "&amp;G122&amp;" --endMP "&amp;H122&amp;" --enddatetime "&amp;TEXT(I122,"yyyy-mm-ddTHH:MM:SS")&amp;" --enforcementcount "&amp;J122&amp;" &gt;&gt; "&amp;TEXT(Variables!$A$2,"yyyy-mm-dd")&amp;"-refined-runtimes.txt"</f>
        <v>"%USERPROFILE%\Documents\GitHub\eaglep3\Utilities\RefineRTDCRunTimes.py" --tripid 210-04 --locoid 4037 --swversion DE.1.0.7.0 --startMP 204:232987 --initTime 2016-08-04T18:01:03 --startdatetime 2016-08-04T18:02:29 --delay 1 --endMP 204:145 --enddatetime 2016-08-04T18:51:57 --enforcementcount 1 &gt;&gt; 2016-08-04-refined-runtimes.txt</v>
      </c>
    </row>
    <row r="123" spans="1:34" s="24" customFormat="1" x14ac:dyDescent="0.25">
      <c r="A123" s="25" t="s">
        <v>629</v>
      </c>
      <c r="B123" s="87">
        <v>4031</v>
      </c>
      <c r="C123" s="88" t="s">
        <v>163</v>
      </c>
      <c r="D123" s="88" t="s">
        <v>312</v>
      </c>
      <c r="E123" s="89">
        <v>42586.724062499998</v>
      </c>
      <c r="F123" s="89">
        <v>42586.725138888891</v>
      </c>
      <c r="G123" s="87">
        <v>1</v>
      </c>
      <c r="H123" s="89" t="s">
        <v>630</v>
      </c>
      <c r="I123" s="89">
        <v>42586.753530092596</v>
      </c>
      <c r="J123" s="87">
        <v>0</v>
      </c>
      <c r="K123" s="114" t="str">
        <f t="shared" si="42"/>
        <v>4031/4032</v>
      </c>
      <c r="L123" s="25" t="str">
        <f>VLOOKUP(A123,'Trips&amp;Operators'!$C$1:$E$10000,3,FALSE)</f>
        <v>HELVIE</v>
      </c>
      <c r="M123" s="6">
        <f t="shared" si="43"/>
        <v>2.8391203704813961E-2</v>
      </c>
      <c r="N123" s="7">
        <f t="shared" si="41"/>
        <v>40.883333334932104</v>
      </c>
      <c r="O123" s="7"/>
      <c r="P123" s="7"/>
      <c r="Q123" s="26"/>
      <c r="R123" s="26"/>
      <c r="S123" s="38">
        <f t="shared" si="44"/>
        <v>1</v>
      </c>
      <c r="T123" s="55" t="str">
        <f t="shared" si="45"/>
        <v>NorthBound</v>
      </c>
      <c r="U123" s="77">
        <f>IF(AG123="EC",COUNTIFS(Variables!$M$2:$M$19,IF(T123="NorthBound","&gt;=","&lt;=")&amp;Y123,Variables!$M$2:$M$19,IF(T123="NorthBound","&lt;=","&gt;=")&amp;Z123),COUNTIFS(Variables!$P$2:$P$19,IF(T123="NorthBound","&gt;=","&lt;=")&amp;Y123,Variables!$P$2:$P$19,IF(T123="NorthBound","&lt;=","&gt;=")&amp;Z123))</f>
        <v>12</v>
      </c>
      <c r="V123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16:22:39-0600',mode:absolute,to:'2016-08-04 19:05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23" s="57" t="str">
        <f t="shared" si="47"/>
        <v>N</v>
      </c>
      <c r="X123" s="117">
        <f t="shared" si="48"/>
        <v>1</v>
      </c>
      <c r="Y123" s="72">
        <f t="shared" si="49"/>
        <v>4.4699999999999997E-2</v>
      </c>
      <c r="Z123" s="72">
        <f t="shared" si="50"/>
        <v>23.327200000000001</v>
      </c>
      <c r="AA123" s="72">
        <f t="shared" si="51"/>
        <v>23.282500000000002</v>
      </c>
      <c r="AB123" s="69" t="e">
        <f>VLOOKUP(A123,Enforcements!$C$7:$J$24,8,0)</f>
        <v>#N/A</v>
      </c>
      <c r="AC123" s="65" t="e">
        <f>VLOOKUP(A123,Enforcements!$C$7:$E$24,3,0)</f>
        <v>#N/A</v>
      </c>
      <c r="AD123" s="66" t="str">
        <f t="shared" si="52"/>
        <v>0211-04</v>
      </c>
      <c r="AE123" s="124" t="str">
        <f t="shared" si="53"/>
        <v>aws s3 cp s3://rtdc.mdm.uploadarchive/RTDC4031/2016-08-04/ "%USERPROFILE%\AppData\Local\Temp\OnboardLogs"\RTDC4031\2016-08-04 --recursive &amp; "%USERPROFILE%\Documents\GitHub\mrs-test-scripts\Headless Mode &amp; Sideloading\WalkAndUnGZ.bat" "%USERPROFILE%\AppData\Local\Temp\OnboardLogs"\RTDC4031\2016-08-04 &amp; aws s3 cp s3://rtdc.mdm.uploadarchive/RTDC4031/2016-08-05/ "%USERPROFILE%\AppData\Local\Temp\OnboardLogs"\RTDC4031\2016-08-05 --recursive &amp; "%USERPROFILE%\Documents\GitHub\mrs-test-scripts\Headless Mode &amp; Sideloading\WalkAndUnGZ.bat" "%USERPROFILE%\AppData\Local\Temp\OnboardLogs"\RTDC4031\2016-08-05</v>
      </c>
      <c r="AF123" s="121" t="str">
        <f t="shared" si="54"/>
        <v>"C:\Program Files (x86)\AstroGrep\AstroGrep.exe" /spath="%USERPROFILE%\AppData\Local\Temp\OnboardLogs" /stypes="*4031*20160805*" /stext=" 00:.+((SYSTEM_STATE.+slice.+state.+changed )|(ment ac)|(system.+state.+changed )|(\|lc)|(penalty)|(\[timeout)|(PRM\|1\|D)|(kpr)|(kdp))" /e /r /s</v>
      </c>
      <c r="AG123" s="1" t="str">
        <f t="shared" si="55"/>
        <v>EC</v>
      </c>
      <c r="AH123" s="125" t="str">
        <f>refinertdcruntimes&amp;" --tripid "&amp;A123&amp;" --locoid "&amp;B123&amp;" --swversion "&amp;C123&amp;" --startMP "&amp;D123&amp;" --initTime "&amp;TEXT(E123,"yyyy-mm-ddTHH:MM:SS")&amp;" --startdatetime "&amp;TEXT(F123,"yyyy-mm-ddTHH:MM:SS")&amp;" --delay "&amp;G123&amp;" --endMP "&amp;H123&amp;" --enddatetime "&amp;TEXT(I123,"yyyy-mm-ddTHH:MM:SS")&amp;" --enforcementcount "&amp;J123&amp;" &gt;&gt; "&amp;TEXT(Variables!$A$2,"yyyy-mm-dd")&amp;"-refined-runtimes.txt"</f>
        <v>"%USERPROFILE%\Documents\GitHub\eaglep3\Utilities\RefineRTDCRunTimes.py" --tripid 211-04 --locoid 4031 --swversion DE.1.0.7.0 --startMP 204:447 --initTime 2016-08-04T17:22:39 --startdatetime 2016-08-04T17:24:12 --delay 1 --endMP 204:233272 --enddatetime 2016-08-04T18:05:05 --enforcementcount 0 &gt;&gt; 2016-08-04-refined-runtimes.txt</v>
      </c>
    </row>
    <row r="124" spans="1:34" s="24" customFormat="1" x14ac:dyDescent="0.25">
      <c r="A124" s="25" t="s">
        <v>631</v>
      </c>
      <c r="B124" s="87">
        <v>4032</v>
      </c>
      <c r="C124" s="88" t="s">
        <v>163</v>
      </c>
      <c r="D124" s="88" t="s">
        <v>362</v>
      </c>
      <c r="E124" s="89">
        <v>42586.763113425928</v>
      </c>
      <c r="F124" s="89">
        <v>42586.764050925929</v>
      </c>
      <c r="G124" s="87">
        <v>1</v>
      </c>
      <c r="H124" s="89" t="s">
        <v>59</v>
      </c>
      <c r="I124" s="89">
        <v>42586.79378472222</v>
      </c>
      <c r="J124" s="87">
        <v>0</v>
      </c>
      <c r="K124" s="114" t="str">
        <f t="shared" si="42"/>
        <v>4031/4032</v>
      </c>
      <c r="L124" s="25" t="str">
        <f>VLOOKUP(A124,'Trips&amp;Operators'!$C$1:$E$10000,3,FALSE)</f>
        <v>HELVIE</v>
      </c>
      <c r="M124" s="6">
        <f t="shared" si="43"/>
        <v>2.9733796291111503E-2</v>
      </c>
      <c r="N124" s="7">
        <f t="shared" si="41"/>
        <v>42.816666659200564</v>
      </c>
      <c r="O124" s="7"/>
      <c r="P124" s="7"/>
      <c r="Q124" s="26"/>
      <c r="R124" s="26"/>
      <c r="S124" s="38">
        <f t="shared" si="44"/>
        <v>1</v>
      </c>
      <c r="T124" s="55" t="str">
        <f t="shared" si="45"/>
        <v>Southbound</v>
      </c>
      <c r="U124" s="77">
        <f>IF(AG124="EC",COUNTIFS(Variables!$M$2:$M$19,IF(T124="NorthBound","&gt;=","&lt;=")&amp;Y124,Variables!$M$2:$M$19,IF(T124="NorthBound","&lt;=","&gt;=")&amp;Z124),COUNTIFS(Variables!$P$2:$P$19,IF(T124="NorthBound","&gt;=","&lt;=")&amp;Y124,Variables!$P$2:$P$19,IF(T124="NorthBound","&lt;=","&gt;=")&amp;Z124))</f>
        <v>12</v>
      </c>
      <c r="V124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17:18:53-0600',mode:absolute,to:'2016-08-04 20:03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24" s="57" t="str">
        <f t="shared" si="47"/>
        <v>N</v>
      </c>
      <c r="X124" s="117">
        <f t="shared" si="48"/>
        <v>1</v>
      </c>
      <c r="Y124" s="72">
        <f t="shared" si="49"/>
        <v>23.297799999999999</v>
      </c>
      <c r="Z124" s="72">
        <f t="shared" si="50"/>
        <v>1.52E-2</v>
      </c>
      <c r="AA124" s="72">
        <f t="shared" si="51"/>
        <v>23.282599999999999</v>
      </c>
      <c r="AB124" s="69" t="e">
        <f>VLOOKUP(A124,Enforcements!$C$7:$J$24,8,0)</f>
        <v>#N/A</v>
      </c>
      <c r="AC124" s="65" t="e">
        <f>VLOOKUP(A124,Enforcements!$C$7:$E$24,3,0)</f>
        <v>#N/A</v>
      </c>
      <c r="AD124" s="66" t="str">
        <f t="shared" si="52"/>
        <v>0212-04</v>
      </c>
      <c r="AE124" s="124" t="str">
        <f t="shared" si="53"/>
        <v>aws s3 cp s3://rtdc.mdm.uploadarchive/RTDC4032/2016-08-04/ "%USERPROFILE%\AppData\Local\Temp\OnboardLogs"\RTDC4032\2016-08-04 --recursive &amp; "%USERPROFILE%\Documents\GitHub\mrs-test-scripts\Headless Mode &amp; Sideloading\WalkAndUnGZ.bat" "%USERPROFILE%\AppData\Local\Temp\OnboardLogs"\RTDC4032\2016-08-04 &amp; aws s3 cp s3://rtdc.mdm.uploadarchive/RTDC4032/2016-08-05/ "%USERPROFILE%\AppData\Local\Temp\OnboardLogs"\RTDC4032\2016-08-05 --recursive &amp; "%USERPROFILE%\Documents\GitHub\mrs-test-scripts\Headless Mode &amp; Sideloading\WalkAndUnGZ.bat" "%USERPROFILE%\AppData\Local\Temp\OnboardLogs"\RTDC4032\2016-08-05</v>
      </c>
      <c r="AF124" s="121" t="str">
        <f t="shared" si="54"/>
        <v>"C:\Program Files (x86)\AstroGrep\AstroGrep.exe" /spath="%USERPROFILE%\AppData\Local\Temp\OnboardLogs" /stypes="*4032*20160805*" /stext=" 01:.+((SYSTEM_STATE.+slice.+state.+changed )|(ment ac)|(system.+state.+changed )|(\|lc)|(penalty)|(\[timeout)|(PRM\|1\|D)|(kpr)|(kdp))" /e /r /s</v>
      </c>
      <c r="AG124" s="1" t="str">
        <f t="shared" si="55"/>
        <v>EC</v>
      </c>
      <c r="AH124" s="125" t="str">
        <f>refinertdcruntimes&amp;" --tripid "&amp;A124&amp;" --locoid "&amp;B124&amp;" --swversion "&amp;C124&amp;" --startMP "&amp;D124&amp;" --initTime "&amp;TEXT(E124,"yyyy-mm-ddTHH:MM:SS")&amp;" --startdatetime "&amp;TEXT(F124,"yyyy-mm-ddTHH:MM:SS")&amp;" --delay "&amp;G124&amp;" --endMP "&amp;H124&amp;" --enddatetime "&amp;TEXT(I124,"yyyy-mm-ddTHH:MM:SS")&amp;" --enforcementcount "&amp;J124&amp;" &gt;&gt; "&amp;TEXT(Variables!$A$2,"yyyy-mm-dd")&amp;"-refined-runtimes.txt"</f>
        <v>"%USERPROFILE%\Documents\GitHub\eaglep3\Utilities\RefineRTDCRunTimes.py" --tripid 212-04 --locoid 4032 --swversion DE.1.0.7.0 --startMP 204:232978 --initTime 2016-08-04T18:18:53 --startdatetime 2016-08-04T18:20:14 --delay 1 --endMP 204:152 --enddatetime 2016-08-04T19:03:03 --enforcementcount 0 &gt;&gt; 2016-08-04-refined-runtimes.txt</v>
      </c>
    </row>
    <row r="125" spans="1:34" s="24" customFormat="1" x14ac:dyDescent="0.25">
      <c r="A125" s="25" t="s">
        <v>632</v>
      </c>
      <c r="B125" s="87">
        <v>4027</v>
      </c>
      <c r="C125" s="88" t="s">
        <v>163</v>
      </c>
      <c r="D125" s="88" t="s">
        <v>159</v>
      </c>
      <c r="E125" s="89">
        <v>42586.735138888886</v>
      </c>
      <c r="F125" s="89">
        <v>42586.739618055559</v>
      </c>
      <c r="G125" s="87">
        <v>6</v>
      </c>
      <c r="H125" s="89" t="s">
        <v>551</v>
      </c>
      <c r="I125" s="89">
        <v>42586.76458333333</v>
      </c>
      <c r="J125" s="87">
        <v>0</v>
      </c>
      <c r="K125" s="114" t="str">
        <f t="shared" si="42"/>
        <v>4027/4028</v>
      </c>
      <c r="L125" s="25" t="str">
        <f>VLOOKUP(A125,'Trips&amp;Operators'!$C$1:$E$10000,3,FALSE)</f>
        <v>COOLAHAN</v>
      </c>
      <c r="M125" s="6">
        <f t="shared" si="43"/>
        <v>2.4965277771116234E-2</v>
      </c>
      <c r="N125" s="7">
        <f t="shared" si="41"/>
        <v>35.949999990407377</v>
      </c>
      <c r="O125" s="7"/>
      <c r="P125" s="7"/>
      <c r="Q125" s="26"/>
      <c r="R125" s="26"/>
      <c r="S125" s="38">
        <f t="shared" si="44"/>
        <v>1</v>
      </c>
      <c r="T125" s="55" t="str">
        <f t="shared" si="45"/>
        <v>NorthBound</v>
      </c>
      <c r="U125" s="77">
        <f>IF(AG125="EC",COUNTIFS(Variables!$M$2:$M$19,IF(T125="NorthBound","&gt;=","&lt;=")&amp;Y125,Variables!$M$2:$M$19,IF(T125="NorthBound","&lt;=","&gt;=")&amp;Z125),COUNTIFS(Variables!$P$2:$P$19,IF(T125="NorthBound","&gt;=","&lt;=")&amp;Y125,Variables!$P$2:$P$19,IF(T125="NorthBound","&lt;=","&gt;=")&amp;Z125))</f>
        <v>12</v>
      </c>
      <c r="V125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16:38:36-0600',mode:absolute,to:'2016-08-04 19:21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25" s="57" t="str">
        <f t="shared" si="47"/>
        <v>N</v>
      </c>
      <c r="X125" s="117">
        <f t="shared" si="48"/>
        <v>1</v>
      </c>
      <c r="Y125" s="72">
        <f t="shared" si="49"/>
        <v>4.53E-2</v>
      </c>
      <c r="Z125" s="72">
        <f t="shared" si="50"/>
        <v>23.3306</v>
      </c>
      <c r="AA125" s="72">
        <f t="shared" si="51"/>
        <v>23.285299999999999</v>
      </c>
      <c r="AB125" s="69" t="e">
        <f>VLOOKUP(A125,Enforcements!$C$7:$J$24,8,0)</f>
        <v>#N/A</v>
      </c>
      <c r="AC125" s="65" t="e">
        <f>VLOOKUP(A125,Enforcements!$C$7:$E$24,3,0)</f>
        <v>#N/A</v>
      </c>
      <c r="AD125" s="66" t="str">
        <f t="shared" si="52"/>
        <v>0213-04</v>
      </c>
      <c r="AE125" s="124" t="str">
        <f t="shared" si="53"/>
        <v>aws s3 cp s3://rtdc.mdm.uploadarchive/RTDC4027/2016-08-04/ "%USERPROFILE%\AppData\Local\Temp\OnboardLogs"\RTDC4027\2016-08-04 --recursive &amp; "%USERPROFILE%\Documents\GitHub\mrs-test-scripts\Headless Mode &amp; Sideloading\WalkAndUnGZ.bat" "%USERPROFILE%\AppData\Local\Temp\OnboardLogs"\RTDC4027\2016-08-04 &amp; aws s3 cp s3://rtdc.mdm.uploadarchive/RTDC4027/2016-08-05/ "%USERPROFILE%\AppData\Local\Temp\OnboardLogs"\RTDC4027\2016-08-05 --recursive &amp; "%USERPROFILE%\Documents\GitHub\mrs-test-scripts\Headless Mode &amp; Sideloading\WalkAndUnGZ.bat" "%USERPROFILE%\AppData\Local\Temp\OnboardLogs"\RTDC4027\2016-08-05</v>
      </c>
      <c r="AF125" s="121" t="str">
        <f t="shared" si="54"/>
        <v>"C:\Program Files (x86)\AstroGrep\AstroGrep.exe" /spath="%USERPROFILE%\AppData\Local\Temp\OnboardLogs" /stypes="*4027*20160805*" /stext=" 00:.+((SYSTEM_STATE.+slice.+state.+changed )|(ment ac)|(system.+state.+changed )|(\|lc)|(penalty)|(\[timeout)|(PRM\|1\|D)|(kpr)|(kdp))" /e /r /s</v>
      </c>
      <c r="AG125" s="1" t="str">
        <f t="shared" si="55"/>
        <v>EC</v>
      </c>
      <c r="AH125" s="125" t="str">
        <f>refinertdcruntimes&amp;" --tripid "&amp;A125&amp;" --locoid "&amp;B125&amp;" --swversion "&amp;C125&amp;" --startMP "&amp;D125&amp;" --initTime "&amp;TEXT(E125,"yyyy-mm-ddTHH:MM:SS")&amp;" --startdatetime "&amp;TEXT(F125,"yyyy-mm-ddTHH:MM:SS")&amp;" --delay "&amp;G125&amp;" --endMP "&amp;H125&amp;" --enddatetime "&amp;TEXT(I125,"yyyy-mm-ddTHH:MM:SS")&amp;" --enforcementcount "&amp;J125&amp;" &gt;&gt; "&amp;TEXT(Variables!$A$2,"yyyy-mm-dd")&amp;"-refined-runtimes.txt"</f>
        <v>"%USERPROFILE%\Documents\GitHub\eaglep3\Utilities\RefineRTDCRunTimes.py" --tripid 213-04 --locoid 4027 --swversion DE.1.0.7.0 --startMP 204:453 --initTime 2016-08-04T17:38:36 --startdatetime 2016-08-04T17:45:03 --delay 6 --endMP 204:233306 --enddatetime 2016-08-04T18:21:00 --enforcementcount 0 &gt;&gt; 2016-08-04-refined-runtimes.txt</v>
      </c>
    </row>
    <row r="126" spans="1:34" s="24" customFormat="1" x14ac:dyDescent="0.25">
      <c r="A126" s="25" t="s">
        <v>503</v>
      </c>
      <c r="B126" s="87">
        <v>4028</v>
      </c>
      <c r="C126" s="88" t="s">
        <v>163</v>
      </c>
      <c r="D126" s="88" t="s">
        <v>360</v>
      </c>
      <c r="E126" s="89">
        <v>42586.774861111109</v>
      </c>
      <c r="F126" s="89">
        <v>42586.776458333334</v>
      </c>
      <c r="G126" s="87">
        <v>2</v>
      </c>
      <c r="H126" s="89" t="s">
        <v>633</v>
      </c>
      <c r="I126" s="89">
        <v>42586.8046412037</v>
      </c>
      <c r="J126" s="87">
        <v>1</v>
      </c>
      <c r="K126" s="114" t="str">
        <f t="shared" si="42"/>
        <v>4027/4028</v>
      </c>
      <c r="L126" s="25" t="str">
        <f>VLOOKUP(A126,'Trips&amp;Operators'!$C$1:$E$10000,3,FALSE)</f>
        <v>COOLAHAN</v>
      </c>
      <c r="M126" s="6">
        <f t="shared" si="43"/>
        <v>2.8182870366435964E-2</v>
      </c>
      <c r="N126" s="7">
        <f t="shared" si="41"/>
        <v>40.583333327667788</v>
      </c>
      <c r="O126" s="7"/>
      <c r="P126" s="7"/>
      <c r="Q126" s="26"/>
      <c r="R126" s="26"/>
      <c r="S126" s="38">
        <f t="shared" si="44"/>
        <v>1</v>
      </c>
      <c r="T126" s="55" t="str">
        <f t="shared" si="45"/>
        <v>Southbound</v>
      </c>
      <c r="U126" s="77">
        <f>IF(AG126="EC",COUNTIFS(Variables!$M$2:$M$19,IF(T126="NorthBound","&gt;=","&lt;=")&amp;Y126,Variables!$M$2:$M$19,IF(T126="NorthBound","&lt;=","&gt;=")&amp;Z126),COUNTIFS(Variables!$P$2:$P$19,IF(T126="NorthBound","&gt;=","&lt;=")&amp;Y126,Variables!$P$2:$P$19,IF(T126="NorthBound","&lt;=","&gt;=")&amp;Z126))</f>
        <v>12</v>
      </c>
      <c r="V126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17:35:48-0600',mode:absolute,to:'2016-08-04 20:18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26" s="57" t="str">
        <f t="shared" si="47"/>
        <v>N</v>
      </c>
      <c r="X126" s="117">
        <f t="shared" si="48"/>
        <v>1</v>
      </c>
      <c r="Y126" s="72">
        <f t="shared" si="49"/>
        <v>23.3002</v>
      </c>
      <c r="Z126" s="72">
        <f t="shared" si="50"/>
        <v>2.23E-2</v>
      </c>
      <c r="AA126" s="72">
        <f t="shared" si="51"/>
        <v>23.277899999999999</v>
      </c>
      <c r="AB126" s="69" t="e">
        <f>VLOOKUP(A126,Enforcements!$C$7:$J$24,8,0)</f>
        <v>#N/A</v>
      </c>
      <c r="AC126" s="65" t="e">
        <f>VLOOKUP(A126,Enforcements!$C$7:$E$24,3,0)</f>
        <v>#N/A</v>
      </c>
      <c r="AD126" s="66" t="str">
        <f t="shared" si="52"/>
        <v>0214-04</v>
      </c>
      <c r="AE126" s="124" t="str">
        <f t="shared" si="53"/>
        <v>aws s3 cp s3://rtdc.mdm.uploadarchive/RTDC4028/2016-08-04/ "%USERPROFILE%\AppData\Local\Temp\OnboardLogs"\RTDC4028\2016-08-04 --recursive &amp; "%USERPROFILE%\Documents\GitHub\mrs-test-scripts\Headless Mode &amp; Sideloading\WalkAndUnGZ.bat" "%USERPROFILE%\AppData\Local\Temp\OnboardLogs"\RTDC4028\2016-08-04 &amp; aws s3 cp s3://rtdc.mdm.uploadarchive/RTDC4028/2016-08-05/ "%USERPROFILE%\AppData\Local\Temp\OnboardLogs"\RTDC4028\2016-08-05 --recursive &amp; "%USERPROFILE%\Documents\GitHub\mrs-test-scripts\Headless Mode &amp; Sideloading\WalkAndUnGZ.bat" "%USERPROFILE%\AppData\Local\Temp\OnboardLogs"\RTDC4028\2016-08-05</v>
      </c>
      <c r="AF126" s="121" t="str">
        <f t="shared" si="54"/>
        <v>"C:\Program Files (x86)\AstroGrep\AstroGrep.exe" /spath="%USERPROFILE%\AppData\Local\Temp\OnboardLogs" /stypes="*4028*20160805*" /stext=" 01:.+((SYSTEM_STATE.+slice.+state.+changed )|(ment ac)|(system.+state.+changed )|(\|lc)|(penalty)|(\[timeout)|(PRM\|1\|D)|(kpr)|(kdp))" /e /r /s</v>
      </c>
      <c r="AG126" s="1" t="str">
        <f t="shared" si="55"/>
        <v>EC</v>
      </c>
      <c r="AH126" s="125" t="str">
        <f>refinertdcruntimes&amp;" --tripid "&amp;A126&amp;" --locoid "&amp;B126&amp;" --swversion "&amp;C126&amp;" --startMP "&amp;D126&amp;" --initTime "&amp;TEXT(E126,"yyyy-mm-ddTHH:MM:SS")&amp;" --startdatetime "&amp;TEXT(F126,"yyyy-mm-ddTHH:MM:SS")&amp;" --delay "&amp;G126&amp;" --endMP "&amp;H126&amp;" --enddatetime "&amp;TEXT(I126,"yyyy-mm-ddTHH:MM:SS")&amp;" --enforcementcount "&amp;J126&amp;" &gt;&gt; "&amp;TEXT(Variables!$A$2,"yyyy-mm-dd")&amp;"-refined-runtimes.txt"</f>
        <v>"%USERPROFILE%\Documents\GitHub\eaglep3\Utilities\RefineRTDCRunTimes.py" --tripid 214-04 --locoid 4028 --swversion DE.1.0.7.0 --startMP 204:233002 --initTime 2016-08-04T18:35:48 --startdatetime 2016-08-04T18:38:06 --delay 2 --endMP 204:223 --enddatetime 2016-08-04T19:18:41 --enforcementcount 1 &gt;&gt; 2016-08-04-refined-runtimes.txt</v>
      </c>
    </row>
    <row r="127" spans="1:34" s="24" customFormat="1" x14ac:dyDescent="0.25">
      <c r="A127" s="25" t="s">
        <v>634</v>
      </c>
      <c r="B127" s="87">
        <v>4029</v>
      </c>
      <c r="C127" s="88" t="s">
        <v>163</v>
      </c>
      <c r="D127" s="88" t="s">
        <v>315</v>
      </c>
      <c r="E127" s="89">
        <v>42586.746608796297</v>
      </c>
      <c r="F127" s="89">
        <v>42586.74790509259</v>
      </c>
      <c r="G127" s="87">
        <v>1</v>
      </c>
      <c r="H127" s="89" t="s">
        <v>591</v>
      </c>
      <c r="I127" s="89">
        <v>42586.775520833333</v>
      </c>
      <c r="J127" s="87">
        <v>0</v>
      </c>
      <c r="K127" s="114" t="str">
        <f t="shared" si="42"/>
        <v>4029/4030</v>
      </c>
      <c r="L127" s="25" t="str">
        <f>VLOOKUP(A127,'Trips&amp;Operators'!$C$1:$E$10000,3,FALSE)</f>
        <v>SWANSON</v>
      </c>
      <c r="M127" s="6">
        <f t="shared" si="43"/>
        <v>2.7615740742476191E-2</v>
      </c>
      <c r="N127" s="7">
        <f t="shared" si="41"/>
        <v>39.766666669165716</v>
      </c>
      <c r="O127" s="7"/>
      <c r="P127" s="7"/>
      <c r="Q127" s="26"/>
      <c r="R127" s="26"/>
      <c r="S127" s="38">
        <f t="shared" si="44"/>
        <v>1</v>
      </c>
      <c r="T127" s="55" t="str">
        <f t="shared" si="45"/>
        <v>NorthBound</v>
      </c>
      <c r="U127" s="77">
        <f>IF(AG127="EC",COUNTIFS(Variables!$M$2:$M$19,IF(T127="NorthBound","&gt;=","&lt;=")&amp;Y127,Variables!$M$2:$M$19,IF(T127="NorthBound","&lt;=","&gt;=")&amp;Z127),COUNTIFS(Variables!$P$2:$P$19,IF(T127="NorthBound","&gt;=","&lt;=")&amp;Y127,Variables!$P$2:$P$19,IF(T127="NorthBound","&lt;=","&gt;=")&amp;Z127))</f>
        <v>12</v>
      </c>
      <c r="V127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16:55:07-0600',mode:absolute,to:'2016-08-04 19:36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27" s="57" t="str">
        <f t="shared" si="47"/>
        <v>N</v>
      </c>
      <c r="X127" s="117">
        <f t="shared" si="48"/>
        <v>1</v>
      </c>
      <c r="Y127" s="72">
        <f t="shared" si="49"/>
        <v>4.5699999999999998E-2</v>
      </c>
      <c r="Z127" s="72">
        <f t="shared" si="50"/>
        <v>23.329899999999999</v>
      </c>
      <c r="AA127" s="72">
        <f t="shared" si="51"/>
        <v>23.284199999999998</v>
      </c>
      <c r="AB127" s="69" t="e">
        <f>VLOOKUP(A127,Enforcements!$C$7:$J$24,8,0)</f>
        <v>#N/A</v>
      </c>
      <c r="AC127" s="65" t="e">
        <f>VLOOKUP(A127,Enforcements!$C$7:$E$24,3,0)</f>
        <v>#N/A</v>
      </c>
      <c r="AD127" s="66" t="str">
        <f t="shared" si="52"/>
        <v>0215-04</v>
      </c>
      <c r="AE127" s="124" t="str">
        <f t="shared" si="53"/>
        <v>aws s3 cp s3://rtdc.mdm.uploadarchive/RTDC4029/2016-08-04/ "%USERPROFILE%\AppData\Local\Temp\OnboardLogs"\RTDC4029\2016-08-04 --recursive &amp; "%USERPROFILE%\Documents\GitHub\mrs-test-scripts\Headless Mode &amp; Sideloading\WalkAndUnGZ.bat" "%USERPROFILE%\AppData\Local\Temp\OnboardLogs"\RTDC4029\2016-08-04 &amp; aws s3 cp s3://rtdc.mdm.uploadarchive/RTDC4029/2016-08-05/ "%USERPROFILE%\AppData\Local\Temp\OnboardLogs"\RTDC4029\2016-08-05 --recursive &amp; "%USERPROFILE%\Documents\GitHub\mrs-test-scripts\Headless Mode &amp; Sideloading\WalkAndUnGZ.bat" "%USERPROFILE%\AppData\Local\Temp\OnboardLogs"\RTDC4029\2016-08-05</v>
      </c>
      <c r="AF127" s="121" t="str">
        <f t="shared" si="54"/>
        <v>"C:\Program Files (x86)\AstroGrep\AstroGrep.exe" /spath="%USERPROFILE%\AppData\Local\Temp\OnboardLogs" /stypes="*4029*20160805*" /stext=" 00:.+((SYSTEM_STATE.+slice.+state.+changed )|(ment ac)|(system.+state.+changed )|(\|lc)|(penalty)|(\[timeout)|(PRM\|1\|D)|(kpr)|(kdp))" /e /r /s</v>
      </c>
      <c r="AG127" s="1" t="str">
        <f t="shared" si="55"/>
        <v>EC</v>
      </c>
      <c r="AH127" s="125" t="str">
        <f>refinertdcruntimes&amp;" --tripid "&amp;A127&amp;" --locoid "&amp;B127&amp;" --swversion "&amp;C127&amp;" --startMP "&amp;D127&amp;" --initTime "&amp;TEXT(E127,"yyyy-mm-ddTHH:MM:SS")&amp;" --startdatetime "&amp;TEXT(F127,"yyyy-mm-ddTHH:MM:SS")&amp;" --delay "&amp;G127&amp;" --endMP "&amp;H127&amp;" --enddatetime "&amp;TEXT(I127,"yyyy-mm-ddTHH:MM:SS")&amp;" --enforcementcount "&amp;J127&amp;" &gt;&gt; "&amp;TEXT(Variables!$A$2,"yyyy-mm-dd")&amp;"-refined-runtimes.txt"</f>
        <v>"%USERPROFILE%\Documents\GitHub\eaglep3\Utilities\RefineRTDCRunTimes.py" --tripid 215-04 --locoid 4029 --swversion DE.1.0.7.0 --startMP 204:457 --initTime 2016-08-04T17:55:07 --startdatetime 2016-08-04T17:56:59 --delay 1 --endMP 204:233299 --enddatetime 2016-08-04T18:36:45 --enforcementcount 0 &gt;&gt; 2016-08-04-refined-runtimes.txt</v>
      </c>
    </row>
    <row r="128" spans="1:34" s="24" customFormat="1" x14ac:dyDescent="0.25">
      <c r="A128" s="25" t="s">
        <v>504</v>
      </c>
      <c r="B128" s="87">
        <v>4030</v>
      </c>
      <c r="C128" s="88" t="s">
        <v>163</v>
      </c>
      <c r="D128" s="88" t="s">
        <v>386</v>
      </c>
      <c r="E128" s="89">
        <v>42586.782013888886</v>
      </c>
      <c r="F128" s="89">
        <v>42586.782951388886</v>
      </c>
      <c r="G128" s="87">
        <v>1</v>
      </c>
      <c r="H128" s="89" t="s">
        <v>313</v>
      </c>
      <c r="I128" s="89">
        <v>42586.815937500003</v>
      </c>
      <c r="J128" s="87">
        <v>1</v>
      </c>
      <c r="K128" s="114" t="str">
        <f t="shared" si="42"/>
        <v>4029/4030</v>
      </c>
      <c r="L128" s="25" t="str">
        <f>VLOOKUP(A128,'Trips&amp;Operators'!$C$1:$E$10000,3,FALSE)</f>
        <v>SWANSON</v>
      </c>
      <c r="M128" s="6">
        <f t="shared" si="43"/>
        <v>3.2986111116770189E-2</v>
      </c>
      <c r="N128" s="7">
        <f t="shared" si="41"/>
        <v>47.500000008149073</v>
      </c>
      <c r="O128" s="7"/>
      <c r="P128" s="7"/>
      <c r="Q128" s="26"/>
      <c r="R128" s="26"/>
      <c r="S128" s="38">
        <f t="shared" si="44"/>
        <v>1</v>
      </c>
      <c r="T128" s="55" t="str">
        <f t="shared" si="45"/>
        <v>Southbound</v>
      </c>
      <c r="U128" s="77">
        <f>IF(AG128="EC",COUNTIFS(Variables!$M$2:$M$19,IF(T128="NorthBound","&gt;=","&lt;=")&amp;Y128,Variables!$M$2:$M$19,IF(T128="NorthBound","&lt;=","&gt;=")&amp;Z128),COUNTIFS(Variables!$P$2:$P$19,IF(T128="NorthBound","&gt;=","&lt;=")&amp;Y128,Variables!$P$2:$P$19,IF(T128="NorthBound","&lt;=","&gt;=")&amp;Z128))</f>
        <v>12</v>
      </c>
      <c r="V128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17:46:06-0600',mode:absolute,to:'2016-08-04 20:34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28" s="57" t="str">
        <f t="shared" si="47"/>
        <v>N</v>
      </c>
      <c r="X128" s="117">
        <f t="shared" si="48"/>
        <v>1</v>
      </c>
      <c r="Y128" s="72">
        <f t="shared" si="49"/>
        <v>23.298400000000001</v>
      </c>
      <c r="Z128" s="72">
        <f t="shared" si="50"/>
        <v>1.7000000000000001E-2</v>
      </c>
      <c r="AA128" s="72">
        <f t="shared" si="51"/>
        <v>23.281400000000001</v>
      </c>
      <c r="AB128" s="69" t="e">
        <f>VLOOKUP(A128,Enforcements!$C$7:$J$24,8,0)</f>
        <v>#N/A</v>
      </c>
      <c r="AC128" s="65" t="e">
        <f>VLOOKUP(A128,Enforcements!$C$7:$E$24,3,0)</f>
        <v>#N/A</v>
      </c>
      <c r="AD128" s="66" t="str">
        <f t="shared" si="52"/>
        <v>0216-04</v>
      </c>
      <c r="AE128" s="124" t="str">
        <f t="shared" si="53"/>
        <v>aws s3 cp s3://rtdc.mdm.uploadarchive/RTDC4030/2016-08-04/ "%USERPROFILE%\AppData\Local\Temp\OnboardLogs"\RTDC4030\2016-08-04 --recursive &amp; "%USERPROFILE%\Documents\GitHub\mrs-test-scripts\Headless Mode &amp; Sideloading\WalkAndUnGZ.bat" "%USERPROFILE%\AppData\Local\Temp\OnboardLogs"\RTDC4030\2016-08-04 &amp; aws s3 cp s3://rtdc.mdm.uploadarchive/RTDC4030/2016-08-05/ "%USERPROFILE%\AppData\Local\Temp\OnboardLogs"\RTDC4030\2016-08-05 --recursive &amp; "%USERPROFILE%\Documents\GitHub\mrs-test-scripts\Headless Mode &amp; Sideloading\WalkAndUnGZ.bat" "%USERPROFILE%\AppData\Local\Temp\OnboardLogs"\RTDC4030\2016-08-05</v>
      </c>
      <c r="AF128" s="121" t="str">
        <f t="shared" si="54"/>
        <v>"C:\Program Files (x86)\AstroGrep\AstroGrep.exe" /spath="%USERPROFILE%\AppData\Local\Temp\OnboardLogs" /stypes="*4030*20160805*" /stext=" 01:.+((SYSTEM_STATE.+slice.+state.+changed )|(ment ac)|(system.+state.+changed )|(\|lc)|(penalty)|(\[timeout)|(PRM\|1\|D)|(kpr)|(kdp))" /e /r /s</v>
      </c>
      <c r="AG128" s="1" t="str">
        <f t="shared" si="55"/>
        <v>EC</v>
      </c>
      <c r="AH128" s="125" t="str">
        <f>refinertdcruntimes&amp;" --tripid "&amp;A128&amp;" --locoid "&amp;B128&amp;" --swversion "&amp;C128&amp;" --startMP "&amp;D128&amp;" --initTime "&amp;TEXT(E128,"yyyy-mm-ddTHH:MM:SS")&amp;" --startdatetime "&amp;TEXT(F128,"yyyy-mm-ddTHH:MM:SS")&amp;" --delay "&amp;G128&amp;" --endMP "&amp;H128&amp;" --enddatetime "&amp;TEXT(I128,"yyyy-mm-ddTHH:MM:SS")&amp;" --enforcementcount "&amp;J128&amp;" &gt;&gt; "&amp;TEXT(Variables!$A$2,"yyyy-mm-dd")&amp;"-refined-runtimes.txt"</f>
        <v>"%USERPROFILE%\Documents\GitHub\eaglep3\Utilities\RefineRTDCRunTimes.py" --tripid 216-04 --locoid 4030 --swversion DE.1.0.7.0 --startMP 204:232984 --initTime 2016-08-04T18:46:06 --startdatetime 2016-08-04T18:47:27 --delay 1 --endMP 204:170 --enddatetime 2016-08-04T19:34:57 --enforcementcount 1 &gt;&gt; 2016-08-04-refined-runtimes.txt</v>
      </c>
    </row>
    <row r="129" spans="1:34" s="24" customFormat="1" x14ac:dyDescent="0.25">
      <c r="A129" s="25" t="s">
        <v>635</v>
      </c>
      <c r="B129" s="87">
        <v>4011</v>
      </c>
      <c r="C129" s="88" t="s">
        <v>163</v>
      </c>
      <c r="D129" s="88" t="s">
        <v>332</v>
      </c>
      <c r="E129" s="89">
        <v>42586.756215277775</v>
      </c>
      <c r="F129" s="89">
        <v>42586.757488425923</v>
      </c>
      <c r="G129" s="87">
        <v>1</v>
      </c>
      <c r="H129" s="89" t="s">
        <v>636</v>
      </c>
      <c r="I129" s="89">
        <v>42586.785231481481</v>
      </c>
      <c r="J129" s="87">
        <v>0</v>
      </c>
      <c r="K129" s="114" t="str">
        <f t="shared" si="42"/>
        <v>4011/4012</v>
      </c>
      <c r="L129" s="25" t="str">
        <f>VLOOKUP(A129,'Trips&amp;Operators'!$C$1:$E$10000,3,FALSE)</f>
        <v>LEVIN</v>
      </c>
      <c r="M129" s="6">
        <f t="shared" si="43"/>
        <v>2.7743055557948537E-2</v>
      </c>
      <c r="N129" s="7">
        <f t="shared" si="41"/>
        <v>39.950000003445894</v>
      </c>
      <c r="O129" s="7"/>
      <c r="P129" s="7"/>
      <c r="Q129" s="26"/>
      <c r="R129" s="26"/>
      <c r="S129" s="38">
        <f t="shared" si="44"/>
        <v>1</v>
      </c>
      <c r="T129" s="55" t="str">
        <f t="shared" si="45"/>
        <v>NorthBound</v>
      </c>
      <c r="U129" s="77">
        <f>IF(AG129="EC",COUNTIFS(Variables!$M$2:$M$19,IF(T129="NorthBound","&gt;=","&lt;=")&amp;Y129,Variables!$M$2:$M$19,IF(T129="NorthBound","&lt;=","&gt;=")&amp;Z129),COUNTIFS(Variables!$P$2:$P$19,IF(T129="NorthBound","&gt;=","&lt;=")&amp;Y129,Variables!$P$2:$P$19,IF(T129="NorthBound","&lt;=","&gt;=")&amp;Z129))</f>
        <v>12</v>
      </c>
      <c r="V129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17:08:57-0600',mode:absolute,to:'2016-08-04 19:50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129" s="57" t="str">
        <f t="shared" si="47"/>
        <v>N</v>
      </c>
      <c r="X129" s="117">
        <f t="shared" si="48"/>
        <v>1</v>
      </c>
      <c r="Y129" s="72">
        <f t="shared" si="49"/>
        <v>4.5499999999999999E-2</v>
      </c>
      <c r="Z129" s="72">
        <f t="shared" si="50"/>
        <v>23.334199999999999</v>
      </c>
      <c r="AA129" s="72">
        <f t="shared" si="51"/>
        <v>23.288699999999999</v>
      </c>
      <c r="AB129" s="69" t="e">
        <f>VLOOKUP(A129,Enforcements!$C$7:$J$24,8,0)</f>
        <v>#N/A</v>
      </c>
      <c r="AC129" s="65" t="e">
        <f>VLOOKUP(A129,Enforcements!$C$7:$E$24,3,0)</f>
        <v>#N/A</v>
      </c>
      <c r="AD129" s="66" t="str">
        <f t="shared" si="52"/>
        <v>0217-04</v>
      </c>
      <c r="AE129" s="124" t="str">
        <f t="shared" si="53"/>
        <v>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 &amp; aws s3 cp s3://rtdc.mdm.uploadarchive/RTDC4011/2016-08-05/ "%USERPROFILE%\AppData\Local\Temp\OnboardLogs"\RTDC4011\2016-08-05 --recursive &amp; "%USERPROFILE%\Documents\GitHub\mrs-test-scripts\Headless Mode &amp; Sideloading\WalkAndUnGZ.bat" "%USERPROFILE%\AppData\Local\Temp\OnboardLogs"\RTDC4011\2016-08-05</v>
      </c>
      <c r="AF129" s="121" t="str">
        <f t="shared" si="54"/>
        <v>"C:\Program Files (x86)\AstroGrep\AstroGrep.exe" /spath="%USERPROFILE%\AppData\Local\Temp\OnboardLogs" /stypes="*4011*20160805*" /stext=" 00:.+((SYSTEM_STATE.+slice.+state.+changed )|(ment ac)|(system.+state.+changed )|(\|lc)|(penalty)|(\[timeout)|(PRM\|1\|D)|(kpr)|(kdp))" /e /r /s</v>
      </c>
      <c r="AG129" s="1" t="str">
        <f t="shared" si="55"/>
        <v>EC</v>
      </c>
      <c r="AH129" s="125" t="str">
        <f>refinertdcruntimes&amp;" --tripid "&amp;A129&amp;" --locoid "&amp;B129&amp;" --swversion "&amp;C129&amp;" --startMP "&amp;D129&amp;" --initTime "&amp;TEXT(E129,"yyyy-mm-ddTHH:MM:SS")&amp;" --startdatetime "&amp;TEXT(F129,"yyyy-mm-ddTHH:MM:SS")&amp;" --delay "&amp;G129&amp;" --endMP "&amp;H129&amp;" --enddatetime "&amp;TEXT(I129,"yyyy-mm-ddTHH:MM:SS")&amp;" --enforcementcount "&amp;J129&amp;" &gt;&gt; "&amp;TEXT(Variables!$A$2,"yyyy-mm-dd")&amp;"-refined-runtimes.txt"</f>
        <v>"%USERPROFILE%\Documents\GitHub\eaglep3\Utilities\RefineRTDCRunTimes.py" --tripid 217-04 --locoid 4011 --swversion DE.1.0.7.0 --startMP 204:455 --initTime 2016-08-04T18:08:57 --startdatetime 2016-08-04T18:10:47 --delay 1 --endMP 204:233342 --enddatetime 2016-08-04T18:50:44 --enforcementcount 0 &gt;&gt; 2016-08-04-refined-runtimes.txt</v>
      </c>
    </row>
    <row r="130" spans="1:34" s="24" customFormat="1" x14ac:dyDescent="0.25">
      <c r="A130" s="25" t="s">
        <v>637</v>
      </c>
      <c r="B130" s="87">
        <v>4012</v>
      </c>
      <c r="C130" s="88" t="s">
        <v>163</v>
      </c>
      <c r="D130" s="88" t="s">
        <v>573</v>
      </c>
      <c r="E130" s="89">
        <v>42586.792662037034</v>
      </c>
      <c r="F130" s="89">
        <v>42586.793622685182</v>
      </c>
      <c r="G130" s="87">
        <v>1</v>
      </c>
      <c r="H130" s="89" t="s">
        <v>368</v>
      </c>
      <c r="I130" s="89">
        <v>42586.825497685182</v>
      </c>
      <c r="J130" s="87">
        <v>0</v>
      </c>
      <c r="K130" s="114" t="str">
        <f t="shared" si="42"/>
        <v>4011/4012</v>
      </c>
      <c r="L130" s="25" t="str">
        <f>VLOOKUP(A130,'Trips&amp;Operators'!$C$1:$E$10000,3,FALSE)</f>
        <v>LEVIN</v>
      </c>
      <c r="M130" s="6">
        <f t="shared" si="43"/>
        <v>3.1875000000582077E-2</v>
      </c>
      <c r="N130" s="7">
        <f t="shared" si="41"/>
        <v>45.90000000083819</v>
      </c>
      <c r="O130" s="7"/>
      <c r="P130" s="7"/>
      <c r="Q130" s="26"/>
      <c r="R130" s="26"/>
      <c r="S130" s="38">
        <f t="shared" si="44"/>
        <v>1</v>
      </c>
      <c r="T130" s="55" t="str">
        <f t="shared" si="45"/>
        <v>Southbound</v>
      </c>
      <c r="U130" s="77">
        <f>IF(AG130="EC",COUNTIFS(Variables!$M$2:$M$19,IF(T130="NorthBound","&gt;=","&lt;=")&amp;Y130,Variables!$M$2:$M$19,IF(T130="NorthBound","&lt;=","&gt;=")&amp;Z130),COUNTIFS(Variables!$P$2:$P$19,IF(T130="NorthBound","&gt;=","&lt;=")&amp;Y130,Variables!$P$2:$P$19,IF(T130="NorthBound","&lt;=","&gt;=")&amp;Z130))</f>
        <v>12</v>
      </c>
      <c r="V130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18:01:26-0600',mode:absolute,to:'2016-08-04 20:48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30" s="57" t="str">
        <f t="shared" si="47"/>
        <v>N</v>
      </c>
      <c r="X130" s="117">
        <f t="shared" si="48"/>
        <v>1</v>
      </c>
      <c r="Y130" s="72">
        <f t="shared" si="49"/>
        <v>23.301100000000002</v>
      </c>
      <c r="Z130" s="72">
        <f t="shared" si="50"/>
        <v>1.32E-2</v>
      </c>
      <c r="AA130" s="72">
        <f t="shared" si="51"/>
        <v>23.2879</v>
      </c>
      <c r="AB130" s="69" t="e">
        <f>VLOOKUP(A130,Enforcements!$C$7:$J$24,8,0)</f>
        <v>#N/A</v>
      </c>
      <c r="AC130" s="65" t="e">
        <f>VLOOKUP(A130,Enforcements!$C$7:$E$24,3,0)</f>
        <v>#N/A</v>
      </c>
      <c r="AD130" s="66" t="str">
        <f t="shared" si="52"/>
        <v>0218-04</v>
      </c>
      <c r="AE130" s="124" t="str">
        <f t="shared" si="53"/>
        <v>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 &amp; aws s3 cp s3://rtdc.mdm.uploadarchive/RTDC4012/2016-08-05/ "%USERPROFILE%\AppData\Local\Temp\OnboardLogs"\RTDC4012\2016-08-05 --recursive &amp; "%USERPROFILE%\Documents\GitHub\mrs-test-scripts\Headless Mode &amp; Sideloading\WalkAndUnGZ.bat" "%USERPROFILE%\AppData\Local\Temp\OnboardLogs"\RTDC4012\2016-08-05</v>
      </c>
      <c r="AF130" s="121" t="str">
        <f t="shared" si="54"/>
        <v>"C:\Program Files (x86)\AstroGrep\AstroGrep.exe" /spath="%USERPROFILE%\AppData\Local\Temp\OnboardLogs" /stypes="*4012*20160805*" /stext=" 01:.+((SYSTEM_STATE.+slice.+state.+changed )|(ment ac)|(system.+state.+changed )|(\|lc)|(penalty)|(\[timeout)|(PRM\|1\|D)|(kpr)|(kdp))" /e /r /s</v>
      </c>
      <c r="AG130" s="1" t="str">
        <f t="shared" si="55"/>
        <v>EC</v>
      </c>
      <c r="AH130" s="125" t="str">
        <f>refinertdcruntimes&amp;" --tripid "&amp;A130&amp;" --locoid "&amp;B130&amp;" --swversion "&amp;C130&amp;" --startMP "&amp;D130&amp;" --initTime "&amp;TEXT(E130,"yyyy-mm-ddTHH:MM:SS")&amp;" --startdatetime "&amp;TEXT(F130,"yyyy-mm-ddTHH:MM:SS")&amp;" --delay "&amp;G130&amp;" --endMP "&amp;H130&amp;" --enddatetime "&amp;TEXT(I130,"yyyy-mm-ddTHH:MM:SS")&amp;" --enforcementcount "&amp;J130&amp;" &gt;&gt; "&amp;TEXT(Variables!$A$2,"yyyy-mm-dd")&amp;"-refined-runtimes.txt"</f>
        <v>"%USERPROFILE%\Documents\GitHub\eaglep3\Utilities\RefineRTDCRunTimes.py" --tripid 218-04 --locoid 4012 --swversion DE.1.0.7.0 --startMP 204:233011 --initTime 2016-08-04T19:01:26 --startdatetime 2016-08-04T19:02:49 --delay 1 --endMP 204:132 --enddatetime 2016-08-04T19:48:43 --enforcementcount 0 &gt;&gt; 2016-08-04-refined-runtimes.txt</v>
      </c>
    </row>
    <row r="131" spans="1:34" s="24" customFormat="1" x14ac:dyDescent="0.25">
      <c r="A131" s="25" t="s">
        <v>638</v>
      </c>
      <c r="B131" s="87">
        <v>4007</v>
      </c>
      <c r="C131" s="88" t="s">
        <v>163</v>
      </c>
      <c r="D131" s="88" t="s">
        <v>315</v>
      </c>
      <c r="E131" s="89">
        <v>42586.767604166664</v>
      </c>
      <c r="F131" s="89">
        <v>42586.768900462965</v>
      </c>
      <c r="G131" s="87">
        <v>1</v>
      </c>
      <c r="H131" s="89" t="s">
        <v>381</v>
      </c>
      <c r="I131" s="89">
        <v>42586.79582175926</v>
      </c>
      <c r="J131" s="87">
        <v>0</v>
      </c>
      <c r="K131" s="114" t="str">
        <f t="shared" si="42"/>
        <v>4007/4008</v>
      </c>
      <c r="L131" s="25" t="str">
        <f>VLOOKUP(A131,'Trips&amp;Operators'!$C$1:$E$10000,3,FALSE)</f>
        <v>STURGEON</v>
      </c>
      <c r="M131" s="6">
        <f t="shared" si="43"/>
        <v>2.6921296295768116E-2</v>
      </c>
      <c r="N131" s="7">
        <f t="shared" si="41"/>
        <v>38.766666665906087</v>
      </c>
      <c r="O131" s="7"/>
      <c r="P131" s="7"/>
      <c r="Q131" s="26"/>
      <c r="R131" s="26"/>
      <c r="S131" s="38">
        <f t="shared" si="44"/>
        <v>1</v>
      </c>
      <c r="T131" s="55" t="str">
        <f t="shared" si="45"/>
        <v>NorthBound</v>
      </c>
      <c r="U131" s="77">
        <f>IF(AG131="EC",COUNTIFS(Variables!$M$2:$M$19,IF(T131="NorthBound","&gt;=","&lt;=")&amp;Y131,Variables!$M$2:$M$19,IF(T131="NorthBound","&lt;=","&gt;=")&amp;Z131),COUNTIFS(Variables!$P$2:$P$19,IF(T131="NorthBound","&gt;=","&lt;=")&amp;Y131,Variables!$P$2:$P$19,IF(T131="NorthBound","&lt;=","&gt;=")&amp;Z131))</f>
        <v>12</v>
      </c>
      <c r="V131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17:25:21-0600',mode:absolute,to:'2016-08-04 20:05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31" s="57" t="str">
        <f t="shared" si="47"/>
        <v>N</v>
      </c>
      <c r="X131" s="117">
        <f t="shared" si="48"/>
        <v>1</v>
      </c>
      <c r="Y131" s="72">
        <f t="shared" si="49"/>
        <v>4.5699999999999998E-2</v>
      </c>
      <c r="Z131" s="72">
        <f t="shared" si="50"/>
        <v>23.328199999999999</v>
      </c>
      <c r="AA131" s="72">
        <f t="shared" si="51"/>
        <v>23.282499999999999</v>
      </c>
      <c r="AB131" s="69" t="e">
        <f>VLOOKUP(A131,Enforcements!$C$7:$J$24,8,0)</f>
        <v>#N/A</v>
      </c>
      <c r="AC131" s="65" t="e">
        <f>VLOOKUP(A131,Enforcements!$C$7:$E$24,3,0)</f>
        <v>#N/A</v>
      </c>
      <c r="AD131" s="66" t="str">
        <f t="shared" si="52"/>
        <v>0219-04</v>
      </c>
      <c r="AE131" s="124" t="str">
        <f t="shared" si="53"/>
        <v>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 &amp; aws s3 cp s3://rtdc.mdm.uploadarchive/RTDC4007/2016-08-05/ "%USERPROFILE%\AppData\Local\Temp\OnboardLogs"\RTDC4007\2016-08-05 --recursive &amp; "%USERPROFILE%\Documents\GitHub\mrs-test-scripts\Headless Mode &amp; Sideloading\WalkAndUnGZ.bat" "%USERPROFILE%\AppData\Local\Temp\OnboardLogs"\RTDC4007\2016-08-05</v>
      </c>
      <c r="AF131" s="121" t="str">
        <f t="shared" si="54"/>
        <v>"C:\Program Files (x86)\AstroGrep\AstroGrep.exe" /spath="%USERPROFILE%\AppData\Local\Temp\OnboardLogs" /stypes="*4007*20160805*" /stext=" 01:.+((SYSTEM_STATE.+slice.+state.+changed )|(ment ac)|(system.+state.+changed )|(\|lc)|(penalty)|(\[timeout)|(PRM\|1\|D)|(kpr)|(kdp))" /e /r /s</v>
      </c>
      <c r="AG131" s="1" t="str">
        <f t="shared" si="55"/>
        <v>EC</v>
      </c>
      <c r="AH131" s="125" t="str">
        <f>refinertdcruntimes&amp;" --tripid "&amp;A131&amp;" --locoid "&amp;B131&amp;" --swversion "&amp;C131&amp;" --startMP "&amp;D131&amp;" --initTime "&amp;TEXT(E131,"yyyy-mm-ddTHH:MM:SS")&amp;" --startdatetime "&amp;TEXT(F131,"yyyy-mm-ddTHH:MM:SS")&amp;" --delay "&amp;G131&amp;" --endMP "&amp;H131&amp;" --enddatetime "&amp;TEXT(I131,"yyyy-mm-ddTHH:MM:SS")&amp;" --enforcementcount "&amp;J131&amp;" &gt;&gt; "&amp;TEXT(Variables!$A$2,"yyyy-mm-dd")&amp;"-refined-runtimes.txt"</f>
        <v>"%USERPROFILE%\Documents\GitHub\eaglep3\Utilities\RefineRTDCRunTimes.py" --tripid 219-04 --locoid 4007 --swversion DE.1.0.7.0 --startMP 204:457 --initTime 2016-08-04T18:25:21 --startdatetime 2016-08-04T18:27:13 --delay 1 --endMP 204:233282 --enddatetime 2016-08-04T19:05:59 --enforcementcount 0 &gt;&gt; 2016-08-04-refined-runtimes.txt</v>
      </c>
    </row>
    <row r="132" spans="1:34" s="24" customFormat="1" x14ac:dyDescent="0.25">
      <c r="A132" s="25" t="s">
        <v>639</v>
      </c>
      <c r="B132" s="87">
        <v>4008</v>
      </c>
      <c r="C132" s="88" t="s">
        <v>163</v>
      </c>
      <c r="D132" s="88" t="s">
        <v>640</v>
      </c>
      <c r="E132" s="89">
        <v>42586.80164351852</v>
      </c>
      <c r="F132" s="89">
        <v>42586.803541666668</v>
      </c>
      <c r="G132" s="87">
        <v>2</v>
      </c>
      <c r="H132" s="89" t="s">
        <v>364</v>
      </c>
      <c r="I132" s="89">
        <v>42586.836886574078</v>
      </c>
      <c r="J132" s="87">
        <v>0</v>
      </c>
      <c r="K132" s="114" t="str">
        <f t="shared" si="42"/>
        <v>4007/4008</v>
      </c>
      <c r="L132" s="25" t="str">
        <f>VLOOKUP(A132,'Trips&amp;Operators'!$C$1:$E$10000,3,FALSE)</f>
        <v>STURGEON</v>
      </c>
      <c r="M132" s="6">
        <f t="shared" si="43"/>
        <v>3.3344907409627922E-2</v>
      </c>
      <c r="N132" s="7">
        <f t="shared" si="41"/>
        <v>48.016666669864208</v>
      </c>
      <c r="O132" s="7"/>
      <c r="P132" s="7"/>
      <c r="Q132" s="26"/>
      <c r="R132" s="26"/>
      <c r="S132" s="38">
        <f t="shared" si="44"/>
        <v>1</v>
      </c>
      <c r="T132" s="55" t="str">
        <f t="shared" si="45"/>
        <v>Southbound</v>
      </c>
      <c r="U132" s="77">
        <f>IF(AG132="EC",COUNTIFS(Variables!$M$2:$M$19,IF(T132="NorthBound","&gt;=","&lt;=")&amp;Y132,Variables!$M$2:$M$19,IF(T132="NorthBound","&lt;=","&gt;=")&amp;Z132),COUNTIFS(Variables!$P$2:$P$19,IF(T132="NorthBound","&gt;=","&lt;=")&amp;Y132,Variables!$P$2:$P$19,IF(T132="NorthBound","&lt;=","&gt;=")&amp;Z132))</f>
        <v>12</v>
      </c>
      <c r="V132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18:14:22-0600',mode:absolute,to:'2016-08-04 21:05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32" s="57" t="str">
        <f t="shared" si="47"/>
        <v>N</v>
      </c>
      <c r="X132" s="117">
        <f t="shared" si="48"/>
        <v>1</v>
      </c>
      <c r="Y132" s="72">
        <f t="shared" si="49"/>
        <v>23.295300000000001</v>
      </c>
      <c r="Z132" s="72">
        <f t="shared" si="50"/>
        <v>1.67E-2</v>
      </c>
      <c r="AA132" s="72">
        <f t="shared" si="51"/>
        <v>23.278600000000001</v>
      </c>
      <c r="AB132" s="69" t="e">
        <f>VLOOKUP(A132,Enforcements!$C$7:$J$24,8,0)</f>
        <v>#N/A</v>
      </c>
      <c r="AC132" s="65" t="e">
        <f>VLOOKUP(A132,Enforcements!$C$7:$E$24,3,0)</f>
        <v>#N/A</v>
      </c>
      <c r="AD132" s="66" t="str">
        <f t="shared" si="52"/>
        <v>0220-04</v>
      </c>
      <c r="AE132" s="124" t="str">
        <f t="shared" si="53"/>
        <v>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 &amp; aws s3 cp s3://rtdc.mdm.uploadarchive/RTDC4008/2016-08-05/ "%USERPROFILE%\AppData\Local\Temp\OnboardLogs"\RTDC4008\2016-08-05 --recursive &amp; "%USERPROFILE%\Documents\GitHub\mrs-test-scripts\Headless Mode &amp; Sideloading\WalkAndUnGZ.bat" "%USERPROFILE%\AppData\Local\Temp\OnboardLogs"\RTDC4008\2016-08-05</v>
      </c>
      <c r="AF132" s="121" t="str">
        <f t="shared" si="54"/>
        <v>"C:\Program Files (x86)\AstroGrep\AstroGrep.exe" /spath="%USERPROFILE%\AppData\Local\Temp\OnboardLogs" /stypes="*4008*20160805*" /stext=" 02:.+((SYSTEM_STATE.+slice.+state.+changed )|(ment ac)|(system.+state.+changed )|(\|lc)|(penalty)|(\[timeout)|(PRM\|1\|D)|(kpr)|(kdp))" /e /r /s</v>
      </c>
      <c r="AG132" s="1" t="str">
        <f t="shared" si="55"/>
        <v>EC</v>
      </c>
      <c r="AH132" s="125" t="str">
        <f>refinertdcruntimes&amp;" --tripid "&amp;A132&amp;" --locoid "&amp;B132&amp;" --swversion "&amp;C132&amp;" --startMP "&amp;D132&amp;" --initTime "&amp;TEXT(E132,"yyyy-mm-ddTHH:MM:SS")&amp;" --startdatetime "&amp;TEXT(F132,"yyyy-mm-ddTHH:MM:SS")&amp;" --delay "&amp;G132&amp;" --endMP "&amp;H132&amp;" --enddatetime "&amp;TEXT(I132,"yyyy-mm-ddTHH:MM:SS")&amp;" --enforcementcount "&amp;J132&amp;" &gt;&gt; "&amp;TEXT(Variables!$A$2,"yyyy-mm-dd")&amp;"-refined-runtimes.txt"</f>
        <v>"%USERPROFILE%\Documents\GitHub\eaglep3\Utilities\RefineRTDCRunTimes.py" --tripid 220-04 --locoid 4008 --swversion DE.1.0.7.0 --startMP 204:232953 --initTime 2016-08-04T19:14:22 --startdatetime 2016-08-04T19:17:06 --delay 2 --endMP 204:167 --enddatetime 2016-08-04T20:05:07 --enforcementcount 0 &gt;&gt; 2016-08-04-refined-runtimes.txt</v>
      </c>
    </row>
    <row r="133" spans="1:34" s="24" customFormat="1" x14ac:dyDescent="0.25">
      <c r="A133" s="25" t="s">
        <v>641</v>
      </c>
      <c r="B133" s="87">
        <v>4038</v>
      </c>
      <c r="C133" s="88" t="s">
        <v>163</v>
      </c>
      <c r="D133" s="88" t="s">
        <v>332</v>
      </c>
      <c r="E133" s="89">
        <v>42586.787465277775</v>
      </c>
      <c r="F133" s="89">
        <v>42586.788518518515</v>
      </c>
      <c r="G133" s="87">
        <v>1</v>
      </c>
      <c r="H133" s="89" t="s">
        <v>642</v>
      </c>
      <c r="I133" s="89">
        <v>42586.817974537036</v>
      </c>
      <c r="J133" s="87">
        <v>0</v>
      </c>
      <c r="K133" s="114" t="str">
        <f t="shared" si="42"/>
        <v>4037/4038</v>
      </c>
      <c r="L133" s="25" t="str">
        <f>VLOOKUP(A133,'Trips&amp;Operators'!$C$1:$E$10000,3,FALSE)</f>
        <v>HELVIE</v>
      </c>
      <c r="M133" s="6">
        <f t="shared" si="43"/>
        <v>2.9456018521159422E-2</v>
      </c>
      <c r="N133" s="7">
        <f t="shared" si="41"/>
        <v>42.416666670469567</v>
      </c>
      <c r="O133" s="7"/>
      <c r="P133" s="7"/>
      <c r="Q133" s="26"/>
      <c r="R133" s="26"/>
      <c r="S133" s="38">
        <f t="shared" si="44"/>
        <v>1</v>
      </c>
      <c r="T133" s="55" t="str">
        <f t="shared" si="45"/>
        <v>NorthBound</v>
      </c>
      <c r="U133" s="77">
        <f>IF(AG133="EC",COUNTIFS(Variables!$M$2:$M$19,IF(T133="NorthBound","&gt;=","&lt;=")&amp;Y133,Variables!$M$2:$M$19,IF(T133="NorthBound","&lt;=","&gt;=")&amp;Z133),COUNTIFS(Variables!$P$2:$P$19,IF(T133="NorthBound","&gt;=","&lt;=")&amp;Y133,Variables!$P$2:$P$19,IF(T133="NorthBound","&lt;=","&gt;=")&amp;Z133))</f>
        <v>12</v>
      </c>
      <c r="V133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17:53:57-0600',mode:absolute,to:'2016-08-04 20:37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33" s="57" t="str">
        <f t="shared" si="47"/>
        <v>N</v>
      </c>
      <c r="X133" s="117">
        <f t="shared" si="48"/>
        <v>1</v>
      </c>
      <c r="Y133" s="72">
        <f t="shared" si="49"/>
        <v>4.5499999999999999E-2</v>
      </c>
      <c r="Z133" s="72">
        <f t="shared" si="50"/>
        <v>23.328299999999999</v>
      </c>
      <c r="AA133" s="72">
        <f t="shared" si="51"/>
        <v>23.282799999999998</v>
      </c>
      <c r="AB133" s="69" t="e">
        <f>VLOOKUP(A133,Enforcements!$C$7:$J$24,8,0)</f>
        <v>#N/A</v>
      </c>
      <c r="AC133" s="65" t="e">
        <f>VLOOKUP(A133,Enforcements!$C$7:$E$24,3,0)</f>
        <v>#N/A</v>
      </c>
      <c r="AD133" s="66" t="str">
        <f t="shared" si="52"/>
        <v>0221-04</v>
      </c>
      <c r="AE133" s="124" t="str">
        <f t="shared" si="53"/>
        <v>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 &amp; aws s3 cp s3://rtdc.mdm.uploadarchive/RTDC4038/2016-08-05/ "%USERPROFILE%\AppData\Local\Temp\OnboardLogs"\RTDC4038\2016-08-05 --recursive &amp; "%USERPROFILE%\Documents\GitHub\mrs-test-scripts\Headless Mode &amp; Sideloading\WalkAndUnGZ.bat" "%USERPROFILE%\AppData\Local\Temp\OnboardLogs"\RTDC4038\2016-08-05</v>
      </c>
      <c r="AF133" s="121" t="str">
        <f t="shared" si="54"/>
        <v>"C:\Program Files (x86)\AstroGrep\AstroGrep.exe" /spath="%USERPROFILE%\AppData\Local\Temp\OnboardLogs" /stypes="*4038*20160805*" /stext=" 01:.+((SYSTEM_STATE.+slice.+state.+changed )|(ment ac)|(system.+state.+changed )|(\|lc)|(penalty)|(\[timeout)|(PRM\|1\|D)|(kpr)|(kdp))" /e /r /s</v>
      </c>
      <c r="AG133" s="1" t="str">
        <f t="shared" si="55"/>
        <v>EC</v>
      </c>
      <c r="AH133" s="125" t="str">
        <f>refinertdcruntimes&amp;" --tripid "&amp;A133&amp;" --locoid "&amp;B133&amp;" --swversion "&amp;C133&amp;" --startMP "&amp;D133&amp;" --initTime "&amp;TEXT(E133,"yyyy-mm-ddTHH:MM:SS")&amp;" --startdatetime "&amp;TEXT(F133,"yyyy-mm-ddTHH:MM:SS")&amp;" --delay "&amp;G133&amp;" --endMP "&amp;H133&amp;" --enddatetime "&amp;TEXT(I133,"yyyy-mm-ddTHH:MM:SS")&amp;" --enforcementcount "&amp;J133&amp;" &gt;&gt; "&amp;TEXT(Variables!$A$2,"yyyy-mm-dd")&amp;"-refined-runtimes.txt"</f>
        <v>"%USERPROFILE%\Documents\GitHub\eaglep3\Utilities\RefineRTDCRunTimes.py" --tripid 221-04 --locoid 4038 --swversion DE.1.0.7.0 --startMP 204:455 --initTime 2016-08-04T18:53:57 --startdatetime 2016-08-04T18:55:28 --delay 1 --endMP 204:233283 --enddatetime 2016-08-04T19:37:53 --enforcementcount 0 &gt;&gt; 2016-08-04-refined-runtimes.txt</v>
      </c>
    </row>
    <row r="134" spans="1:34" s="24" customFormat="1" x14ac:dyDescent="0.25">
      <c r="A134" s="25" t="s">
        <v>643</v>
      </c>
      <c r="B134" s="87">
        <v>4037</v>
      </c>
      <c r="C134" s="88" t="s">
        <v>163</v>
      </c>
      <c r="D134" s="88" t="s">
        <v>338</v>
      </c>
      <c r="E134" s="89">
        <v>42586.823101851849</v>
      </c>
      <c r="F134" s="89">
        <v>42586.824108796296</v>
      </c>
      <c r="G134" s="87">
        <v>1</v>
      </c>
      <c r="H134" s="89" t="s">
        <v>100</v>
      </c>
      <c r="I134" s="89">
        <v>42586.859282407408</v>
      </c>
      <c r="J134" s="87">
        <v>0</v>
      </c>
      <c r="K134" s="114" t="str">
        <f t="shared" si="42"/>
        <v>4037/4038</v>
      </c>
      <c r="L134" s="25" t="str">
        <f>VLOOKUP(A134,'Trips&amp;Operators'!$C$1:$E$10000,3,FALSE)</f>
        <v>ROBINSON</v>
      </c>
      <c r="M134" s="6">
        <f t="shared" si="43"/>
        <v>3.51736111115315E-2</v>
      </c>
      <c r="N134" s="7">
        <f t="shared" si="41"/>
        <v>50.65000000060536</v>
      </c>
      <c r="O134" s="7"/>
      <c r="P134" s="7"/>
      <c r="Q134" s="26"/>
      <c r="R134" s="26"/>
      <c r="S134" s="38">
        <f t="shared" si="44"/>
        <v>1</v>
      </c>
      <c r="T134" s="55" t="str">
        <f t="shared" si="45"/>
        <v>Southbound</v>
      </c>
      <c r="U134" s="77">
        <f>IF(AG134="EC",COUNTIFS(Variables!$M$2:$M$19,IF(T134="NorthBound","&gt;=","&lt;=")&amp;Y134,Variables!$M$2:$M$19,IF(T134="NorthBound","&lt;=","&gt;=")&amp;Z134),COUNTIFS(Variables!$P$2:$P$19,IF(T134="NorthBound","&gt;=","&lt;=")&amp;Y134,Variables!$P$2:$P$19,IF(T134="NorthBound","&lt;=","&gt;=")&amp;Z134))</f>
        <v>12</v>
      </c>
      <c r="V134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18:45:16-0600',mode:absolute,to:'2016-08-04 21:37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34" s="57" t="str">
        <f t="shared" si="47"/>
        <v>N</v>
      </c>
      <c r="X134" s="117">
        <f t="shared" si="48"/>
        <v>1</v>
      </c>
      <c r="Y134" s="72">
        <f t="shared" si="49"/>
        <v>23.299600000000002</v>
      </c>
      <c r="Z134" s="72">
        <f t="shared" si="50"/>
        <v>1.43E-2</v>
      </c>
      <c r="AA134" s="72">
        <f t="shared" si="51"/>
        <v>23.285300000000003</v>
      </c>
      <c r="AB134" s="69" t="e">
        <f>VLOOKUP(A134,Enforcements!$C$7:$J$24,8,0)</f>
        <v>#N/A</v>
      </c>
      <c r="AC134" s="65" t="e">
        <f>VLOOKUP(A134,Enforcements!$C$7:$E$24,3,0)</f>
        <v>#N/A</v>
      </c>
      <c r="AD134" s="66" t="str">
        <f t="shared" si="52"/>
        <v>0222-04</v>
      </c>
      <c r="AE134" s="124" t="str">
        <f t="shared" si="53"/>
        <v>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 &amp; aws s3 cp s3://rtdc.mdm.uploadarchive/RTDC4037/2016-08-05/ "%USERPROFILE%\AppData\Local\Temp\OnboardLogs"\RTDC4037\2016-08-05 --recursive &amp; "%USERPROFILE%\Documents\GitHub\mrs-test-scripts\Headless Mode &amp; Sideloading\WalkAndUnGZ.bat" "%USERPROFILE%\AppData\Local\Temp\OnboardLogs"\RTDC4037\2016-08-05</v>
      </c>
      <c r="AF134" s="121" t="str">
        <f t="shared" si="54"/>
        <v>"C:\Program Files (x86)\AstroGrep\AstroGrep.exe" /spath="%USERPROFILE%\AppData\Local\Temp\OnboardLogs" /stypes="*4037*20160805*" /stext=" 02:.+((SYSTEM_STATE.+slice.+state.+changed )|(ment ac)|(system.+state.+changed )|(\|lc)|(penalty)|(\[timeout)|(PRM\|1\|D)|(kpr)|(kdp))" /e /r /s</v>
      </c>
      <c r="AG134" s="1" t="str">
        <f t="shared" si="55"/>
        <v>EC</v>
      </c>
      <c r="AH134" s="125" t="str">
        <f>refinertdcruntimes&amp;" --tripid "&amp;A134&amp;" --locoid "&amp;B134&amp;" --swversion "&amp;C134&amp;" --startMP "&amp;D134&amp;" --initTime "&amp;TEXT(E134,"yyyy-mm-ddTHH:MM:SS")&amp;" --startdatetime "&amp;TEXT(F134,"yyyy-mm-ddTHH:MM:SS")&amp;" --delay "&amp;G134&amp;" --endMP "&amp;H134&amp;" --enddatetime "&amp;TEXT(I134,"yyyy-mm-ddTHH:MM:SS")&amp;" --enforcementcount "&amp;J134&amp;" &gt;&gt; "&amp;TEXT(Variables!$A$2,"yyyy-mm-dd")&amp;"-refined-runtimes.txt"</f>
        <v>"%USERPROFILE%\Documents\GitHub\eaglep3\Utilities\RefineRTDCRunTimes.py" --tripid 222-04 --locoid 4037 --swversion DE.1.0.7.0 --startMP 204:232996 --initTime 2016-08-04T19:45:16 --startdatetime 2016-08-04T19:46:43 --delay 1 --endMP 204:143 --enddatetime 2016-08-04T20:37:22 --enforcementcount 0 &gt;&gt; 2016-08-04-refined-runtimes.txt</v>
      </c>
    </row>
    <row r="135" spans="1:34" s="24" customFormat="1" x14ac:dyDescent="0.25">
      <c r="A135" s="25" t="s">
        <v>644</v>
      </c>
      <c r="B135" s="87">
        <v>4027</v>
      </c>
      <c r="C135" s="88" t="s">
        <v>163</v>
      </c>
      <c r="D135" s="88" t="s">
        <v>645</v>
      </c>
      <c r="E135" s="89">
        <v>42586.809212962966</v>
      </c>
      <c r="F135" s="89">
        <v>42586.810150462959</v>
      </c>
      <c r="G135" s="87">
        <v>1</v>
      </c>
      <c r="H135" s="89" t="s">
        <v>158</v>
      </c>
      <c r="I135" s="89">
        <v>42586.837592592594</v>
      </c>
      <c r="J135" s="87">
        <v>0</v>
      </c>
      <c r="K135" s="114" t="str">
        <f t="shared" si="42"/>
        <v>4027/4028</v>
      </c>
      <c r="L135" s="25" t="str">
        <f>VLOOKUP(A135,'Trips&amp;Operators'!$C$1:$E$10000,3,FALSE)</f>
        <v>COOLAHAN</v>
      </c>
      <c r="M135" s="6">
        <f t="shared" si="43"/>
        <v>2.7442129634437151E-2</v>
      </c>
      <c r="N135" s="7">
        <f t="shared" si="41"/>
        <v>39.516666673589498</v>
      </c>
      <c r="O135" s="7"/>
      <c r="P135" s="7"/>
      <c r="Q135" s="26"/>
      <c r="R135" s="26"/>
      <c r="S135" s="38">
        <f t="shared" si="44"/>
        <v>1</v>
      </c>
      <c r="T135" s="55" t="str">
        <f t="shared" si="45"/>
        <v>NorthBound</v>
      </c>
      <c r="U135" s="77">
        <f>IF(AG135="EC",COUNTIFS(Variables!$M$2:$M$19,IF(T135="NorthBound","&gt;=","&lt;=")&amp;Y135,Variables!$M$2:$M$19,IF(T135="NorthBound","&lt;=","&gt;=")&amp;Z135),COUNTIFS(Variables!$P$2:$P$19,IF(T135="NorthBound","&gt;=","&lt;=")&amp;Y135,Variables!$P$2:$P$19,IF(T135="NorthBound","&lt;=","&gt;=")&amp;Z135))</f>
        <v>12</v>
      </c>
      <c r="V135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18:25:16-0600',mode:absolute,to:'2016-08-04 21:06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35" s="57" t="str">
        <f t="shared" si="47"/>
        <v>N</v>
      </c>
      <c r="X135" s="117">
        <f t="shared" si="48"/>
        <v>1</v>
      </c>
      <c r="Y135" s="72">
        <f t="shared" si="49"/>
        <v>5.3900000000000003E-2</v>
      </c>
      <c r="Z135" s="72">
        <f t="shared" si="50"/>
        <v>23.330200000000001</v>
      </c>
      <c r="AA135" s="72">
        <f t="shared" si="51"/>
        <v>23.276300000000003</v>
      </c>
      <c r="AB135" s="69" t="e">
        <f>VLOOKUP(A135,Enforcements!$C$7:$J$24,8,0)</f>
        <v>#N/A</v>
      </c>
      <c r="AC135" s="65" t="e">
        <f>VLOOKUP(A135,Enforcements!$C$7:$E$24,3,0)</f>
        <v>#N/A</v>
      </c>
      <c r="AD135" s="66" t="str">
        <f t="shared" si="52"/>
        <v>0223-04</v>
      </c>
      <c r="AE135" s="124" t="str">
        <f t="shared" si="53"/>
        <v>aws s3 cp s3://rtdc.mdm.uploadarchive/RTDC4027/2016-08-04/ "%USERPROFILE%\AppData\Local\Temp\OnboardLogs"\RTDC4027\2016-08-04 --recursive &amp; "%USERPROFILE%\Documents\GitHub\mrs-test-scripts\Headless Mode &amp; Sideloading\WalkAndUnGZ.bat" "%USERPROFILE%\AppData\Local\Temp\OnboardLogs"\RTDC4027\2016-08-04 &amp; aws s3 cp s3://rtdc.mdm.uploadarchive/RTDC4027/2016-08-05/ "%USERPROFILE%\AppData\Local\Temp\OnboardLogs"\RTDC4027\2016-08-05 --recursive &amp; "%USERPROFILE%\Documents\GitHub\mrs-test-scripts\Headless Mode &amp; Sideloading\WalkAndUnGZ.bat" "%USERPROFILE%\AppData\Local\Temp\OnboardLogs"\RTDC4027\2016-08-05</v>
      </c>
      <c r="AF135" s="121" t="str">
        <f t="shared" si="54"/>
        <v>"C:\Program Files (x86)\AstroGrep\AstroGrep.exe" /spath="%USERPROFILE%\AppData\Local\Temp\OnboardLogs" /stypes="*4027*20160805*" /stext=" 02:.+((SYSTEM_STATE.+slice.+state.+changed )|(ment ac)|(system.+state.+changed )|(\|lc)|(penalty)|(\[timeout)|(PRM\|1\|D)|(kpr)|(kdp))" /e /r /s</v>
      </c>
      <c r="AG135" s="1" t="str">
        <f t="shared" si="55"/>
        <v>EC</v>
      </c>
      <c r="AH135" s="125" t="str">
        <f>refinertdcruntimes&amp;" --tripid "&amp;A135&amp;" --locoid "&amp;B135&amp;" --swversion "&amp;C135&amp;" --startMP "&amp;D135&amp;" --initTime "&amp;TEXT(E135,"yyyy-mm-ddTHH:MM:SS")&amp;" --startdatetime "&amp;TEXT(F135,"yyyy-mm-ddTHH:MM:SS")&amp;" --delay "&amp;G135&amp;" --endMP "&amp;H135&amp;" --enddatetime "&amp;TEXT(I135,"yyyy-mm-ddTHH:MM:SS")&amp;" --enforcementcount "&amp;J135&amp;" &gt;&gt; "&amp;TEXT(Variables!$A$2,"yyyy-mm-dd")&amp;"-refined-runtimes.txt"</f>
        <v>"%USERPROFILE%\Documents\GitHub\eaglep3\Utilities\RefineRTDCRunTimes.py" --tripid 223-04 --locoid 4027 --swversion DE.1.0.7.0 --startMP 204:539 --initTime 2016-08-04T19:25:16 --startdatetime 2016-08-04T19:26:37 --delay 1 --endMP 204:233302 --enddatetime 2016-08-04T20:06:08 --enforcementcount 0 &gt;&gt; 2016-08-04-refined-runtimes.txt</v>
      </c>
    </row>
    <row r="136" spans="1:34" x14ac:dyDescent="0.25">
      <c r="A136" s="25" t="s">
        <v>646</v>
      </c>
      <c r="B136" s="87">
        <v>4028</v>
      </c>
      <c r="C136" s="88" t="s">
        <v>163</v>
      </c>
      <c r="D136" s="88" t="s">
        <v>387</v>
      </c>
      <c r="E136" s="89">
        <v>42586.847928240742</v>
      </c>
      <c r="F136" s="89">
        <v>42586.849097222221</v>
      </c>
      <c r="G136" s="87">
        <v>1</v>
      </c>
      <c r="H136" s="89" t="s">
        <v>58</v>
      </c>
      <c r="I136" s="89">
        <v>42586.878310185188</v>
      </c>
      <c r="J136" s="87">
        <v>0</v>
      </c>
      <c r="K136" s="114" t="str">
        <f t="shared" si="42"/>
        <v>4027/4028</v>
      </c>
      <c r="L136" s="25" t="str">
        <f>VLOOKUP(A136,'Trips&amp;Operators'!$C$1:$E$10000,3,FALSE)</f>
        <v>COOLAHAN</v>
      </c>
      <c r="M136" s="6">
        <f t="shared" si="43"/>
        <v>2.9212962966994382E-2</v>
      </c>
      <c r="N136" s="7">
        <f t="shared" si="41"/>
        <v>42.066666672471911</v>
      </c>
      <c r="O136" s="7"/>
      <c r="P136" s="7"/>
      <c r="Q136" s="26"/>
      <c r="R136" s="26"/>
      <c r="S136" s="38">
        <f t="shared" si="44"/>
        <v>1</v>
      </c>
      <c r="T136" s="55" t="str">
        <f t="shared" si="45"/>
        <v>Southbound</v>
      </c>
      <c r="U136" s="77">
        <f>IF(AG136="EC",COUNTIFS(Variables!$M$2:$M$19,IF(T136="NorthBound","&gt;=","&lt;=")&amp;Y136,Variables!$M$2:$M$19,IF(T136="NorthBound","&lt;=","&gt;=")&amp;Z136),COUNTIFS(Variables!$P$2:$P$19,IF(T136="NorthBound","&gt;=","&lt;=")&amp;Y136,Variables!$P$2:$P$19,IF(T136="NorthBound","&lt;=","&gt;=")&amp;Z136))</f>
        <v>12</v>
      </c>
      <c r="V136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19:21:01-0600',mode:absolute,to:'2016-08-04 22:04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36" s="57" t="str">
        <f t="shared" si="47"/>
        <v>N</v>
      </c>
      <c r="X136" s="117">
        <f t="shared" si="48"/>
        <v>1</v>
      </c>
      <c r="Y136" s="72">
        <f t="shared" si="49"/>
        <v>23.3</v>
      </c>
      <c r="Z136" s="72">
        <f t="shared" si="50"/>
        <v>1.4500000000000001E-2</v>
      </c>
      <c r="AA136" s="72">
        <f t="shared" si="51"/>
        <v>23.285499999999999</v>
      </c>
      <c r="AB136" s="69" t="e">
        <f>VLOOKUP(A136,Enforcements!$C$7:$J$24,8,0)</f>
        <v>#N/A</v>
      </c>
      <c r="AC136" s="65" t="e">
        <f>VLOOKUP(A136,Enforcements!$C$7:$E$24,3,0)</f>
        <v>#N/A</v>
      </c>
      <c r="AD136" s="66" t="str">
        <f t="shared" si="52"/>
        <v>0224-04</v>
      </c>
      <c r="AE136" s="124" t="str">
        <f t="shared" si="53"/>
        <v>aws s3 cp s3://rtdc.mdm.uploadarchive/RTDC4028/2016-08-04/ "%USERPROFILE%\AppData\Local\Temp\OnboardLogs"\RTDC4028\2016-08-04 --recursive &amp; "%USERPROFILE%\Documents\GitHub\mrs-test-scripts\Headless Mode &amp; Sideloading\WalkAndUnGZ.bat" "%USERPROFILE%\AppData\Local\Temp\OnboardLogs"\RTDC4028\2016-08-04 &amp; aws s3 cp s3://rtdc.mdm.uploadarchive/RTDC4028/2016-08-05/ "%USERPROFILE%\AppData\Local\Temp\OnboardLogs"\RTDC4028\2016-08-05 --recursive &amp; "%USERPROFILE%\Documents\GitHub\mrs-test-scripts\Headless Mode &amp; Sideloading\WalkAndUnGZ.bat" "%USERPROFILE%\AppData\Local\Temp\OnboardLogs"\RTDC4028\2016-08-05</v>
      </c>
      <c r="AF136" s="121" t="str">
        <f t="shared" si="54"/>
        <v>"C:\Program Files (x86)\AstroGrep\AstroGrep.exe" /spath="%USERPROFILE%\AppData\Local\Temp\OnboardLogs" /stypes="*4028*20160805*" /stext=" 03:.+((SYSTEM_STATE.+slice.+state.+changed )|(ment ac)|(system.+state.+changed )|(\|lc)|(penalty)|(\[timeout)|(PRM\|1\|D)|(kpr)|(kdp))" /e /r /s</v>
      </c>
      <c r="AG136" s="1" t="str">
        <f t="shared" si="55"/>
        <v>EC</v>
      </c>
      <c r="AH136" s="125" t="str">
        <f>refinertdcruntimes&amp;" --tripid "&amp;A136&amp;" --locoid "&amp;B136&amp;" --swversion "&amp;C136&amp;" --startMP "&amp;D136&amp;" --initTime "&amp;TEXT(E136,"yyyy-mm-ddTHH:MM:SS")&amp;" --startdatetime "&amp;TEXT(F136,"yyyy-mm-ddTHH:MM:SS")&amp;" --delay "&amp;G136&amp;" --endMP "&amp;H136&amp;" --enddatetime "&amp;TEXT(I136,"yyyy-mm-ddTHH:MM:SS")&amp;" --enforcementcount "&amp;J136&amp;" &gt;&gt; "&amp;TEXT(Variables!$A$2,"yyyy-mm-dd")&amp;"-refined-runtimes.txt"</f>
        <v>"%USERPROFILE%\Documents\GitHub\eaglep3\Utilities\RefineRTDCRunTimes.py" --tripid 224-04 --locoid 4028 --swversion DE.1.0.7.0 --startMP 204:233000 --initTime 2016-08-04T20:21:01 --startdatetime 2016-08-04T20:22:42 --delay 1 --endMP 204:145 --enddatetime 2016-08-04T21:04:46 --enforcementcount 0 &gt;&gt; 2016-08-04-refined-runtimes.txt</v>
      </c>
    </row>
    <row r="137" spans="1:34" s="24" customFormat="1" x14ac:dyDescent="0.25">
      <c r="A137" s="25" t="s">
        <v>647</v>
      </c>
      <c r="B137" s="87">
        <v>4011</v>
      </c>
      <c r="C137" s="88" t="s">
        <v>163</v>
      </c>
      <c r="D137" s="88" t="s">
        <v>140</v>
      </c>
      <c r="E137" s="89">
        <v>42586.826956018522</v>
      </c>
      <c r="F137" s="89">
        <v>42586.827893518515</v>
      </c>
      <c r="G137" s="87">
        <v>1</v>
      </c>
      <c r="H137" s="89" t="s">
        <v>157</v>
      </c>
      <c r="I137" s="89">
        <v>42586.858356481483</v>
      </c>
      <c r="J137" s="87">
        <v>0</v>
      </c>
      <c r="K137" s="114" t="str">
        <f t="shared" si="42"/>
        <v>4011/4012</v>
      </c>
      <c r="L137" s="25" t="str">
        <f>VLOOKUP(A137,'Trips&amp;Operators'!$C$1:$E$10000,3,FALSE)</f>
        <v>LEVIN</v>
      </c>
      <c r="M137" s="6">
        <f t="shared" si="43"/>
        <v>3.0462962968158536E-2</v>
      </c>
      <c r="N137" s="7">
        <f t="shared" si="41"/>
        <v>43.866666674148291</v>
      </c>
      <c r="O137" s="7"/>
      <c r="P137" s="7"/>
      <c r="Q137" s="26"/>
      <c r="R137" s="26"/>
      <c r="S137" s="38">
        <f t="shared" si="44"/>
        <v>1</v>
      </c>
      <c r="T137" s="55" t="str">
        <f t="shared" si="45"/>
        <v>NorthBound</v>
      </c>
      <c r="U137" s="77">
        <f>IF(AG137="EC",COUNTIFS(Variables!$M$2:$M$19,IF(T137="NorthBound","&gt;=","&lt;=")&amp;Y137,Variables!$M$2:$M$19,IF(T137="NorthBound","&lt;=","&gt;=")&amp;Z137),COUNTIFS(Variables!$P$2:$P$19,IF(T137="NorthBound","&gt;=","&lt;=")&amp;Y137,Variables!$P$2:$P$19,IF(T137="NorthBound","&lt;=","&gt;=")&amp;Z137))</f>
        <v>12</v>
      </c>
      <c r="V137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18:50:49-0600',mode:absolute,to:'2016-08-04 21:36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137" s="57" t="str">
        <f t="shared" si="47"/>
        <v>N</v>
      </c>
      <c r="X137" s="117">
        <f t="shared" si="48"/>
        <v>1</v>
      </c>
      <c r="Y137" s="72">
        <f t="shared" si="49"/>
        <v>4.6199999999999998E-2</v>
      </c>
      <c r="Z137" s="72">
        <f t="shared" si="50"/>
        <v>23.3308</v>
      </c>
      <c r="AA137" s="72">
        <f t="shared" si="51"/>
        <v>23.284600000000001</v>
      </c>
      <c r="AB137" s="69" t="e">
        <f>VLOOKUP(A137,Enforcements!$C$7:$J$24,8,0)</f>
        <v>#N/A</v>
      </c>
      <c r="AC137" s="65" t="e">
        <f>VLOOKUP(A137,Enforcements!$C$7:$E$24,3,0)</f>
        <v>#N/A</v>
      </c>
      <c r="AD137" s="66" t="str">
        <f t="shared" si="52"/>
        <v>0225-04</v>
      </c>
      <c r="AE137" s="124" t="str">
        <f t="shared" si="53"/>
        <v>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 &amp; aws s3 cp s3://rtdc.mdm.uploadarchive/RTDC4011/2016-08-05/ "%USERPROFILE%\AppData\Local\Temp\OnboardLogs"\RTDC4011\2016-08-05 --recursive &amp; "%USERPROFILE%\Documents\GitHub\mrs-test-scripts\Headless Mode &amp; Sideloading\WalkAndUnGZ.bat" "%USERPROFILE%\AppData\Local\Temp\OnboardLogs"\RTDC4011\2016-08-05</v>
      </c>
      <c r="AF137" s="121" t="str">
        <f t="shared" si="54"/>
        <v>"C:\Program Files (x86)\AstroGrep\AstroGrep.exe" /spath="%USERPROFILE%\AppData\Local\Temp\OnboardLogs" /stypes="*4011*20160805*" /stext=" 02:.+((SYSTEM_STATE.+slice.+state.+changed )|(ment ac)|(system.+state.+changed )|(\|lc)|(penalty)|(\[timeout)|(PRM\|1\|D)|(kpr)|(kdp))" /e /r /s</v>
      </c>
      <c r="AG137" s="1" t="str">
        <f t="shared" si="55"/>
        <v>EC</v>
      </c>
      <c r="AH137" s="125" t="str">
        <f>refinertdcruntimes&amp;" --tripid "&amp;A137&amp;" --locoid "&amp;B137&amp;" --swversion "&amp;C137&amp;" --startMP "&amp;D137&amp;" --initTime "&amp;TEXT(E137,"yyyy-mm-ddTHH:MM:SS")&amp;" --startdatetime "&amp;TEXT(F137,"yyyy-mm-ddTHH:MM:SS")&amp;" --delay "&amp;G137&amp;" --endMP "&amp;H137&amp;" --enddatetime "&amp;TEXT(I137,"yyyy-mm-ddTHH:MM:SS")&amp;" --enforcementcount "&amp;J137&amp;" &gt;&gt; "&amp;TEXT(Variables!$A$2,"yyyy-mm-dd")&amp;"-refined-runtimes.txt"</f>
        <v>"%USERPROFILE%\Documents\GitHub\eaglep3\Utilities\RefineRTDCRunTimes.py" --tripid 225-04 --locoid 4011 --swversion DE.1.0.7.0 --startMP 204:462 --initTime 2016-08-04T19:50:49 --startdatetime 2016-08-04T19:52:10 --delay 1 --endMP 204:233308 --enddatetime 2016-08-04T20:36:02 --enforcementcount 0 &gt;&gt; 2016-08-04-refined-runtimes.txt</v>
      </c>
    </row>
    <row r="138" spans="1:34" x14ac:dyDescent="0.25">
      <c r="A138" s="25" t="s">
        <v>648</v>
      </c>
      <c r="B138" s="87">
        <v>4012</v>
      </c>
      <c r="C138" s="88" t="s">
        <v>163</v>
      </c>
      <c r="D138" s="88" t="s">
        <v>360</v>
      </c>
      <c r="E138" s="89">
        <v>42586.866319444445</v>
      </c>
      <c r="F138" s="89">
        <v>42586.867048611108</v>
      </c>
      <c r="G138" s="87">
        <v>1</v>
      </c>
      <c r="H138" s="89" t="s">
        <v>137</v>
      </c>
      <c r="I138" s="89">
        <v>42586.898495370369</v>
      </c>
      <c r="J138" s="87">
        <v>0</v>
      </c>
      <c r="K138" s="114" t="str">
        <f t="shared" si="42"/>
        <v>4011/4012</v>
      </c>
      <c r="L138" s="25" t="str">
        <f>VLOOKUP(A138,'Trips&amp;Operators'!$C$1:$E$10000,3,FALSE)</f>
        <v>LEVIN</v>
      </c>
      <c r="M138" s="6">
        <f t="shared" si="43"/>
        <v>3.1446759261598345E-2</v>
      </c>
      <c r="N138" s="7">
        <f t="shared" si="41"/>
        <v>45.283333336701617</v>
      </c>
      <c r="O138" s="7"/>
      <c r="P138" s="7"/>
      <c r="Q138" s="26"/>
      <c r="R138" s="26"/>
      <c r="S138" s="38">
        <f t="shared" si="44"/>
        <v>1</v>
      </c>
      <c r="T138" s="55" t="str">
        <f t="shared" si="45"/>
        <v>Southbound</v>
      </c>
      <c r="U138" s="77">
        <f>IF(AG138="EC",COUNTIFS(Variables!$M$2:$M$19,IF(T138="NorthBound","&gt;=","&lt;=")&amp;Y138,Variables!$M$2:$M$19,IF(T138="NorthBound","&lt;=","&gt;=")&amp;Z138),COUNTIFS(Variables!$P$2:$P$19,IF(T138="NorthBound","&gt;=","&lt;=")&amp;Y138,Variables!$P$2:$P$19,IF(T138="NorthBound","&lt;=","&gt;=")&amp;Z138))</f>
        <v>12</v>
      </c>
      <c r="V138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19:47:30-0600',mode:absolute,to:'2016-08-04 22:33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38" s="57" t="str">
        <f t="shared" si="47"/>
        <v>N</v>
      </c>
      <c r="X138" s="117">
        <f t="shared" si="48"/>
        <v>1</v>
      </c>
      <c r="Y138" s="72">
        <f t="shared" si="49"/>
        <v>23.3002</v>
      </c>
      <c r="Z138" s="72">
        <f t="shared" si="50"/>
        <v>1.4999999999999999E-2</v>
      </c>
      <c r="AA138" s="72">
        <f t="shared" si="51"/>
        <v>23.2852</v>
      </c>
      <c r="AB138" s="69" t="e">
        <f>VLOOKUP(A138,Enforcements!$C$7:$J$24,8,0)</f>
        <v>#N/A</v>
      </c>
      <c r="AC138" s="65" t="e">
        <f>VLOOKUP(A138,Enforcements!$C$7:$E$24,3,0)</f>
        <v>#N/A</v>
      </c>
      <c r="AD138" s="66" t="str">
        <f t="shared" si="52"/>
        <v>0226-04</v>
      </c>
      <c r="AE138" s="124" t="str">
        <f t="shared" si="53"/>
        <v>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 &amp; aws s3 cp s3://rtdc.mdm.uploadarchive/RTDC4012/2016-08-05/ "%USERPROFILE%\AppData\Local\Temp\OnboardLogs"\RTDC4012\2016-08-05 --recursive &amp; "%USERPROFILE%\Documents\GitHub\mrs-test-scripts\Headless Mode &amp; Sideloading\WalkAndUnGZ.bat" "%USERPROFILE%\AppData\Local\Temp\OnboardLogs"\RTDC4012\2016-08-05</v>
      </c>
      <c r="AF138" s="121" t="str">
        <f t="shared" si="54"/>
        <v>"C:\Program Files (x86)\AstroGrep\AstroGrep.exe" /spath="%USERPROFILE%\AppData\Local\Temp\OnboardLogs" /stypes="*4012*20160805*" /stext=" 03:.+((SYSTEM_STATE.+slice.+state.+changed )|(ment ac)|(system.+state.+changed )|(\|lc)|(penalty)|(\[timeout)|(PRM\|1\|D)|(kpr)|(kdp))" /e /r /s</v>
      </c>
      <c r="AG138" s="1" t="str">
        <f t="shared" si="55"/>
        <v>EC</v>
      </c>
      <c r="AH138" s="125" t="str">
        <f>refinertdcruntimes&amp;" --tripid "&amp;A138&amp;" --locoid "&amp;B138&amp;" --swversion "&amp;C138&amp;" --startMP "&amp;D138&amp;" --initTime "&amp;TEXT(E138,"yyyy-mm-ddTHH:MM:SS")&amp;" --startdatetime "&amp;TEXT(F138,"yyyy-mm-ddTHH:MM:SS")&amp;" --delay "&amp;G138&amp;" --endMP "&amp;H138&amp;" --enddatetime "&amp;TEXT(I138,"yyyy-mm-ddTHH:MM:SS")&amp;" --enforcementcount "&amp;J138&amp;" &gt;&gt; "&amp;TEXT(Variables!$A$2,"yyyy-mm-dd")&amp;"-refined-runtimes.txt"</f>
        <v>"%USERPROFILE%\Documents\GitHub\eaglep3\Utilities\RefineRTDCRunTimes.py" --tripid 226-04 --locoid 4012 --swversion DE.1.0.7.0 --startMP 204:233002 --initTime 2016-08-04T20:47:30 --startdatetime 2016-08-04T20:48:33 --delay 1 --endMP 204:150 --enddatetime 2016-08-04T21:33:50 --enforcementcount 0 &gt;&gt; 2016-08-04-refined-runtimes.txt</v>
      </c>
    </row>
    <row r="139" spans="1:34" x14ac:dyDescent="0.25">
      <c r="A139" s="25" t="s">
        <v>649</v>
      </c>
      <c r="B139" s="87">
        <v>4007</v>
      </c>
      <c r="C139" s="88" t="s">
        <v>163</v>
      </c>
      <c r="D139" s="88" t="s">
        <v>650</v>
      </c>
      <c r="E139" s="89">
        <v>42586.844340277778</v>
      </c>
      <c r="F139" s="89">
        <v>42586.845312500001</v>
      </c>
      <c r="G139" s="87">
        <v>1</v>
      </c>
      <c r="H139" s="89" t="s">
        <v>391</v>
      </c>
      <c r="I139" s="89">
        <v>42586.88008101852</v>
      </c>
      <c r="J139" s="87">
        <v>0</v>
      </c>
      <c r="K139" s="114" t="str">
        <f t="shared" si="42"/>
        <v>4007/4008</v>
      </c>
      <c r="L139" s="25" t="str">
        <f>VLOOKUP(A139,'Trips&amp;Operators'!$C$1:$E$10000,3,FALSE)</f>
        <v>STURGEON</v>
      </c>
      <c r="M139" s="6">
        <f t="shared" si="43"/>
        <v>3.4768518518831115E-2</v>
      </c>
      <c r="N139" s="7">
        <f t="shared" si="41"/>
        <v>50.066666667116806</v>
      </c>
      <c r="O139" s="7"/>
      <c r="P139" s="7"/>
      <c r="Q139" s="26"/>
      <c r="R139" s="26"/>
      <c r="S139" s="38">
        <f t="shared" si="44"/>
        <v>1</v>
      </c>
      <c r="T139" s="55" t="str">
        <f t="shared" si="45"/>
        <v>NorthBound</v>
      </c>
      <c r="U139" s="77">
        <f>IF(AG139="EC",COUNTIFS(Variables!$M$2:$M$19,IF(T139="NorthBound","&gt;=","&lt;=")&amp;Y139,Variables!$M$2:$M$19,IF(T139="NorthBound","&lt;=","&gt;=")&amp;Z139),COUNTIFS(Variables!$P$2:$P$19,IF(T139="NorthBound","&gt;=","&lt;=")&amp;Y139,Variables!$P$2:$P$19,IF(T139="NorthBound","&lt;=","&gt;=")&amp;Z139))</f>
        <v>12</v>
      </c>
      <c r="V139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19:15:51-0600',mode:absolute,to:'2016-08-04 22:07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39" s="57" t="str">
        <f t="shared" si="47"/>
        <v>N</v>
      </c>
      <c r="X139" s="117">
        <f t="shared" si="48"/>
        <v>1</v>
      </c>
      <c r="Y139" s="72">
        <f t="shared" si="49"/>
        <v>4.82E-2</v>
      </c>
      <c r="Z139" s="72">
        <f t="shared" si="50"/>
        <v>23.3278</v>
      </c>
      <c r="AA139" s="72">
        <f t="shared" si="51"/>
        <v>23.279599999999999</v>
      </c>
      <c r="AB139" s="69" t="e">
        <f>VLOOKUP(A139,Enforcements!$C$7:$J$24,8,0)</f>
        <v>#N/A</v>
      </c>
      <c r="AC139" s="65" t="e">
        <f>VLOOKUP(A139,Enforcements!$C$7:$E$24,3,0)</f>
        <v>#N/A</v>
      </c>
      <c r="AD139" s="66" t="str">
        <f t="shared" si="52"/>
        <v>0227-04</v>
      </c>
      <c r="AE139" s="124" t="str">
        <f t="shared" si="53"/>
        <v>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 &amp; aws s3 cp s3://rtdc.mdm.uploadarchive/RTDC4007/2016-08-05/ "%USERPROFILE%\AppData\Local\Temp\OnboardLogs"\RTDC4007\2016-08-05 --recursive &amp; "%USERPROFILE%\Documents\GitHub\mrs-test-scripts\Headless Mode &amp; Sideloading\WalkAndUnGZ.bat" "%USERPROFILE%\AppData\Local\Temp\OnboardLogs"\RTDC4007\2016-08-05</v>
      </c>
      <c r="AF139" s="121" t="str">
        <f t="shared" si="54"/>
        <v>"C:\Program Files (x86)\AstroGrep\AstroGrep.exe" /spath="%USERPROFILE%\AppData\Local\Temp\OnboardLogs" /stypes="*4007*20160805*" /stext=" 03:.+((SYSTEM_STATE.+slice.+state.+changed )|(ment ac)|(system.+state.+changed )|(\|lc)|(penalty)|(\[timeout)|(PRM\|1\|D)|(kpr)|(kdp))" /e /r /s</v>
      </c>
      <c r="AG139" s="1" t="str">
        <f t="shared" si="55"/>
        <v>EC</v>
      </c>
      <c r="AH139" s="125" t="str">
        <f>refinertdcruntimes&amp;" --tripid "&amp;A139&amp;" --locoid "&amp;B139&amp;" --swversion "&amp;C139&amp;" --startMP "&amp;D139&amp;" --initTime "&amp;TEXT(E139,"yyyy-mm-ddTHH:MM:SS")&amp;" --startdatetime "&amp;TEXT(F139,"yyyy-mm-ddTHH:MM:SS")&amp;" --delay "&amp;G139&amp;" --endMP "&amp;H139&amp;" --enddatetime "&amp;TEXT(I139,"yyyy-mm-ddTHH:MM:SS")&amp;" --enforcementcount "&amp;J139&amp;" &gt;&gt; "&amp;TEXT(Variables!$A$2,"yyyy-mm-dd")&amp;"-refined-runtimes.txt"</f>
        <v>"%USERPROFILE%\Documents\GitHub\eaglep3\Utilities\RefineRTDCRunTimes.py" --tripid 227-04 --locoid 4007 --swversion DE.1.0.7.0 --startMP 204:482 --initTime 2016-08-04T20:15:51 --startdatetime 2016-08-04T20:17:15 --delay 1 --endMP 204:233278 --enddatetime 2016-08-04T21:07:19 --enforcementcount 0 &gt;&gt; 2016-08-04-refined-runtimes.txt</v>
      </c>
    </row>
    <row r="140" spans="1:34" x14ac:dyDescent="0.25">
      <c r="A140" s="25" t="s">
        <v>651</v>
      </c>
      <c r="B140" s="87">
        <v>4008</v>
      </c>
      <c r="C140" s="88" t="s">
        <v>163</v>
      </c>
      <c r="D140" s="88" t="s">
        <v>599</v>
      </c>
      <c r="E140" s="89">
        <v>42586.887256944443</v>
      </c>
      <c r="F140" s="89">
        <v>42586.888159722221</v>
      </c>
      <c r="G140" s="87">
        <v>1</v>
      </c>
      <c r="H140" s="89" t="s">
        <v>110</v>
      </c>
      <c r="I140" s="89">
        <v>42586.920937499999</v>
      </c>
      <c r="J140" s="87">
        <v>0</v>
      </c>
      <c r="K140" s="114" t="str">
        <f t="shared" si="42"/>
        <v>4007/4008</v>
      </c>
      <c r="L140" s="25" t="str">
        <f>VLOOKUP(A140,'Trips&amp;Operators'!$C$1:$E$10000,3,FALSE)</f>
        <v>STURGEON</v>
      </c>
      <c r="M140" s="6">
        <f t="shared" si="43"/>
        <v>3.2777777778392192E-2</v>
      </c>
      <c r="N140" s="7">
        <f t="shared" si="41"/>
        <v>47.200000000884756</v>
      </c>
      <c r="O140" s="7"/>
      <c r="P140" s="7"/>
      <c r="Q140" s="26"/>
      <c r="R140" s="26"/>
      <c r="S140" s="38">
        <f t="shared" si="44"/>
        <v>1</v>
      </c>
      <c r="T140" s="55" t="str">
        <f t="shared" si="45"/>
        <v>Southbound</v>
      </c>
      <c r="U140" s="77">
        <f>IF(AG140="EC",COUNTIFS(Variables!$M$2:$M$19,IF(T140="NorthBound","&gt;=","&lt;=")&amp;Y140,Variables!$M$2:$M$19,IF(T140="NorthBound","&lt;=","&gt;=")&amp;Z140),COUNTIFS(Variables!$P$2:$P$19,IF(T140="NorthBound","&gt;=","&lt;=")&amp;Y140,Variables!$P$2:$P$19,IF(T140="NorthBound","&lt;=","&gt;=")&amp;Z140))</f>
        <v>12</v>
      </c>
      <c r="V140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20:17:39-0600',mode:absolute,to:'2016-08-04 23:06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40" s="57" t="str">
        <f t="shared" si="47"/>
        <v>N</v>
      </c>
      <c r="X140" s="117">
        <f t="shared" si="48"/>
        <v>1</v>
      </c>
      <c r="Y140" s="72">
        <f t="shared" si="49"/>
        <v>23.296800000000001</v>
      </c>
      <c r="Z140" s="72">
        <f t="shared" si="50"/>
        <v>1.5599999999999999E-2</v>
      </c>
      <c r="AA140" s="72">
        <f t="shared" si="51"/>
        <v>23.281200000000002</v>
      </c>
      <c r="AB140" s="69" t="e">
        <f>VLOOKUP(A140,Enforcements!$C$7:$J$24,8,0)</f>
        <v>#N/A</v>
      </c>
      <c r="AC140" s="65" t="e">
        <f>VLOOKUP(A140,Enforcements!$C$7:$E$24,3,0)</f>
        <v>#N/A</v>
      </c>
      <c r="AD140" s="66" t="str">
        <f t="shared" si="52"/>
        <v>0228-04</v>
      </c>
      <c r="AE140" s="124" t="str">
        <f t="shared" si="53"/>
        <v>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 &amp; aws s3 cp s3://rtdc.mdm.uploadarchive/RTDC4008/2016-08-05/ "%USERPROFILE%\AppData\Local\Temp\OnboardLogs"\RTDC4008\2016-08-05 --recursive &amp; "%USERPROFILE%\Documents\GitHub\mrs-test-scripts\Headless Mode &amp; Sideloading\WalkAndUnGZ.bat" "%USERPROFILE%\AppData\Local\Temp\OnboardLogs"\RTDC4008\2016-08-05</v>
      </c>
      <c r="AF140" s="121" t="str">
        <f t="shared" si="54"/>
        <v>"C:\Program Files (x86)\AstroGrep\AstroGrep.exe" /spath="%USERPROFILE%\AppData\Local\Temp\OnboardLogs" /stypes="*4008*20160805*" /stext=" 04:.+((SYSTEM_STATE.+slice.+state.+changed )|(ment ac)|(system.+state.+changed )|(\|lc)|(penalty)|(\[timeout)|(PRM\|1\|D)|(kpr)|(kdp))" /e /r /s</v>
      </c>
      <c r="AG140" s="1" t="str">
        <f t="shared" si="55"/>
        <v>EC</v>
      </c>
      <c r="AH140" s="125" t="str">
        <f>refinertdcruntimes&amp;" --tripid "&amp;A140&amp;" --locoid "&amp;B140&amp;" --swversion "&amp;C140&amp;" --startMP "&amp;D140&amp;" --initTime "&amp;TEXT(E140,"yyyy-mm-ddTHH:MM:SS")&amp;" --startdatetime "&amp;TEXT(F140,"yyyy-mm-ddTHH:MM:SS")&amp;" --delay "&amp;G140&amp;" --endMP "&amp;H140&amp;" --enddatetime "&amp;TEXT(I140,"yyyy-mm-ddTHH:MM:SS")&amp;" --enforcementcount "&amp;J140&amp;" &gt;&gt; "&amp;TEXT(Variables!$A$2,"yyyy-mm-dd")&amp;"-refined-runtimes.txt"</f>
        <v>"%USERPROFILE%\Documents\GitHub\eaglep3\Utilities\RefineRTDCRunTimes.py" --tripid 228-04 --locoid 4008 --swversion DE.1.0.7.0 --startMP 204:232968 --initTime 2016-08-04T21:17:39 --startdatetime 2016-08-04T21:18:57 --delay 1 --endMP 204:156 --enddatetime 2016-08-04T22:06:09 --enforcementcount 0 &gt;&gt; 2016-08-04-refined-runtimes.txt</v>
      </c>
    </row>
    <row r="141" spans="1:34" x14ac:dyDescent="0.25">
      <c r="A141" s="25" t="s">
        <v>652</v>
      </c>
      <c r="B141" s="87">
        <v>4038</v>
      </c>
      <c r="C141" s="88" t="s">
        <v>163</v>
      </c>
      <c r="D141" s="88" t="s">
        <v>302</v>
      </c>
      <c r="E141" s="89">
        <v>42586.868715277778</v>
      </c>
      <c r="F141" s="89">
        <v>42586.869884259257</v>
      </c>
      <c r="G141" s="87">
        <v>1</v>
      </c>
      <c r="H141" s="89" t="s">
        <v>382</v>
      </c>
      <c r="I141" s="89">
        <v>42586.901226851849</v>
      </c>
      <c r="J141" s="87">
        <v>0</v>
      </c>
      <c r="K141" s="114" t="str">
        <f t="shared" si="42"/>
        <v>4037/4038</v>
      </c>
      <c r="L141" s="25" t="str">
        <f>VLOOKUP(A141,'Trips&amp;Operators'!$C$1:$E$10000,3,FALSE)</f>
        <v>HELVIE</v>
      </c>
      <c r="M141" s="6">
        <f t="shared" si="43"/>
        <v>3.1342592592409346E-2</v>
      </c>
      <c r="N141" s="7">
        <f t="shared" si="41"/>
        <v>45.133333333069459</v>
      </c>
      <c r="O141" s="7"/>
      <c r="P141" s="7"/>
      <c r="Q141" s="26"/>
      <c r="R141" s="26"/>
      <c r="S141" s="38">
        <f t="shared" si="44"/>
        <v>1</v>
      </c>
      <c r="T141" s="55" t="str">
        <f t="shared" si="45"/>
        <v>NorthBound</v>
      </c>
      <c r="U141" s="77">
        <f>IF(AG141="EC",COUNTIFS(Variables!$M$2:$M$19,IF(T141="NorthBound","&gt;=","&lt;=")&amp;Y141,Variables!$M$2:$M$19,IF(T141="NorthBound","&lt;=","&gt;=")&amp;Z141),COUNTIFS(Variables!$P$2:$P$19,IF(T141="NorthBound","&gt;=","&lt;=")&amp;Y141,Variables!$P$2:$P$19,IF(T141="NorthBound","&lt;=","&gt;=")&amp;Z141))</f>
        <v>12</v>
      </c>
      <c r="V141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19:50:57-0600',mode:absolute,to:'2016-08-04 22:37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41" s="57" t="str">
        <f t="shared" si="47"/>
        <v>N</v>
      </c>
      <c r="X141" s="117">
        <f t="shared" si="48"/>
        <v>1</v>
      </c>
      <c r="Y141" s="72">
        <f t="shared" si="49"/>
        <v>4.5100000000000001E-2</v>
      </c>
      <c r="Z141" s="72">
        <f t="shared" si="50"/>
        <v>23.331199999999999</v>
      </c>
      <c r="AA141" s="72">
        <f t="shared" si="51"/>
        <v>23.286099999999998</v>
      </c>
      <c r="AB141" s="69" t="e">
        <f>VLOOKUP(A141,Enforcements!$C$7:$J$24,8,0)</f>
        <v>#N/A</v>
      </c>
      <c r="AC141" s="65" t="e">
        <f>VLOOKUP(A141,Enforcements!$C$7:$E$24,3,0)</f>
        <v>#N/A</v>
      </c>
      <c r="AD141" s="66" t="str">
        <f t="shared" si="52"/>
        <v>0229-04</v>
      </c>
      <c r="AE141" s="124" t="str">
        <f t="shared" si="53"/>
        <v>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 &amp; aws s3 cp s3://rtdc.mdm.uploadarchive/RTDC4038/2016-08-05/ "%USERPROFILE%\AppData\Local\Temp\OnboardLogs"\RTDC4038\2016-08-05 --recursive &amp; "%USERPROFILE%\Documents\GitHub\mrs-test-scripts\Headless Mode &amp; Sideloading\WalkAndUnGZ.bat" "%USERPROFILE%\AppData\Local\Temp\OnboardLogs"\RTDC4038\2016-08-05</v>
      </c>
      <c r="AF141" s="121" t="str">
        <f t="shared" si="54"/>
        <v>"C:\Program Files (x86)\AstroGrep\AstroGrep.exe" /spath="%USERPROFILE%\AppData\Local\Temp\OnboardLogs" /stypes="*4038*20160805*" /stext=" 03:.+((SYSTEM_STATE.+slice.+state.+changed )|(ment ac)|(system.+state.+changed )|(\|lc)|(penalty)|(\[timeout)|(PRM\|1\|D)|(kpr)|(kdp))" /e /r /s</v>
      </c>
      <c r="AG141" s="1" t="str">
        <f t="shared" si="55"/>
        <v>EC</v>
      </c>
      <c r="AH141" s="125" t="str">
        <f>refinertdcruntimes&amp;" --tripid "&amp;A141&amp;" --locoid "&amp;B141&amp;" --swversion "&amp;C141&amp;" --startMP "&amp;D141&amp;" --initTime "&amp;TEXT(E141,"yyyy-mm-ddTHH:MM:SS")&amp;" --startdatetime "&amp;TEXT(F141,"yyyy-mm-ddTHH:MM:SS")&amp;" --delay "&amp;G141&amp;" --endMP "&amp;H141&amp;" --enddatetime "&amp;TEXT(I141,"yyyy-mm-ddTHH:MM:SS")&amp;" --enforcementcount "&amp;J141&amp;" &gt;&gt; "&amp;TEXT(Variables!$A$2,"yyyy-mm-dd")&amp;"-refined-runtimes.txt"</f>
        <v>"%USERPROFILE%\Documents\GitHub\eaglep3\Utilities\RefineRTDCRunTimes.py" --tripid 229-04 --locoid 4038 --swversion DE.1.0.7.0 --startMP 204:451 --initTime 2016-08-04T20:50:57 --startdatetime 2016-08-04T20:52:38 --delay 1 --endMP 204:233312 --enddatetime 2016-08-04T21:37:46 --enforcementcount 0 &gt;&gt; 2016-08-04-refined-runtimes.txt</v>
      </c>
    </row>
    <row r="142" spans="1:34" x14ac:dyDescent="0.25">
      <c r="A142" s="25" t="s">
        <v>653</v>
      </c>
      <c r="B142" s="87">
        <v>4037</v>
      </c>
      <c r="C142" s="88" t="s">
        <v>163</v>
      </c>
      <c r="D142" s="88" t="s">
        <v>338</v>
      </c>
      <c r="E142" s="89">
        <v>42586.907476851855</v>
      </c>
      <c r="F142" s="89">
        <v>42586.908518518518</v>
      </c>
      <c r="G142" s="87">
        <v>1</v>
      </c>
      <c r="H142" s="89" t="s">
        <v>110</v>
      </c>
      <c r="I142" s="89">
        <v>42586.941134259258</v>
      </c>
      <c r="J142" s="87">
        <v>0</v>
      </c>
      <c r="K142" s="114" t="str">
        <f t="shared" si="42"/>
        <v>4037/4038</v>
      </c>
      <c r="L142" s="25" t="str">
        <f>VLOOKUP(A142,'Trips&amp;Operators'!$C$1:$E$10000,3,FALSE)</f>
        <v>ROBINSON</v>
      </c>
      <c r="M142" s="6">
        <f t="shared" si="43"/>
        <v>3.2615740739856847E-2</v>
      </c>
      <c r="N142" s="7">
        <f t="shared" ref="N142:P196" si="56">24*60*SUM($M142:$M142)</f>
        <v>46.966666665393859</v>
      </c>
      <c r="O142" s="7"/>
      <c r="P142" s="7"/>
      <c r="Q142" s="26"/>
      <c r="R142" s="26"/>
      <c r="S142" s="38">
        <f t="shared" si="44"/>
        <v>1</v>
      </c>
      <c r="T142" s="55" t="str">
        <f t="shared" si="45"/>
        <v>Southbound</v>
      </c>
      <c r="U142" s="77">
        <f>IF(AG142="EC",COUNTIFS(Variables!$M$2:$M$19,IF(T142="NorthBound","&gt;=","&lt;=")&amp;Y142,Variables!$M$2:$M$19,IF(T142="NorthBound","&lt;=","&gt;=")&amp;Z142),COUNTIFS(Variables!$P$2:$P$19,IF(T142="NorthBound","&gt;=","&lt;=")&amp;Y142,Variables!$P$2:$P$19,IF(T142="NorthBound","&lt;=","&gt;=")&amp;Z142))</f>
        <v>12</v>
      </c>
      <c r="V142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20:46:46-0600',mode:absolute,to:'2016-08-04 23:35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42" s="57" t="str">
        <f t="shared" si="47"/>
        <v>N</v>
      </c>
      <c r="X142" s="117">
        <f t="shared" si="48"/>
        <v>1</v>
      </c>
      <c r="Y142" s="72">
        <f t="shared" si="49"/>
        <v>23.299600000000002</v>
      </c>
      <c r="Z142" s="72">
        <f t="shared" si="50"/>
        <v>1.5599999999999999E-2</v>
      </c>
      <c r="AA142" s="72">
        <f t="shared" si="51"/>
        <v>23.284000000000002</v>
      </c>
      <c r="AB142" s="69" t="e">
        <f>VLOOKUP(A142,Enforcements!$C$7:$J$24,8,0)</f>
        <v>#N/A</v>
      </c>
      <c r="AC142" s="65" t="e">
        <f>VLOOKUP(A142,Enforcements!$C$7:$E$24,3,0)</f>
        <v>#N/A</v>
      </c>
      <c r="AD142" s="66" t="str">
        <f t="shared" si="52"/>
        <v>0230-04</v>
      </c>
      <c r="AE142" s="124" t="str">
        <f t="shared" si="53"/>
        <v>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 &amp; aws s3 cp s3://rtdc.mdm.uploadarchive/RTDC4037/2016-08-05/ "%USERPROFILE%\AppData\Local\Temp\OnboardLogs"\RTDC4037\2016-08-05 --recursive &amp; "%USERPROFILE%\Documents\GitHub\mrs-test-scripts\Headless Mode &amp; Sideloading\WalkAndUnGZ.bat" "%USERPROFILE%\AppData\Local\Temp\OnboardLogs"\RTDC4037\2016-08-05</v>
      </c>
      <c r="AF142" s="121" t="str">
        <f t="shared" si="54"/>
        <v>"C:\Program Files (x86)\AstroGrep\AstroGrep.exe" /spath="%USERPROFILE%\AppData\Local\Temp\OnboardLogs" /stypes="*4037*20160805*" /stext=" 04:.+((SYSTEM_STATE.+slice.+state.+changed )|(ment ac)|(system.+state.+changed )|(\|lc)|(penalty)|(\[timeout)|(PRM\|1\|D)|(kpr)|(kdp))" /e /r /s</v>
      </c>
      <c r="AG142" s="1" t="str">
        <f t="shared" si="55"/>
        <v>EC</v>
      </c>
      <c r="AH142" s="125" t="str">
        <f>refinertdcruntimes&amp;" --tripid "&amp;A142&amp;" --locoid "&amp;B142&amp;" --swversion "&amp;C142&amp;" --startMP "&amp;D142&amp;" --initTime "&amp;TEXT(E142,"yyyy-mm-ddTHH:MM:SS")&amp;" --startdatetime "&amp;TEXT(F142,"yyyy-mm-ddTHH:MM:SS")&amp;" --delay "&amp;G142&amp;" --endMP "&amp;H142&amp;" --enddatetime "&amp;TEXT(I142,"yyyy-mm-ddTHH:MM:SS")&amp;" --enforcementcount "&amp;J142&amp;" &gt;&gt; "&amp;TEXT(Variables!$A$2,"yyyy-mm-dd")&amp;"-refined-runtimes.txt"</f>
        <v>"%USERPROFILE%\Documents\GitHub\eaglep3\Utilities\RefineRTDCRunTimes.py" --tripid 230-04 --locoid 4037 --swversion DE.1.0.7.0 --startMP 204:232996 --initTime 2016-08-04T21:46:46 --startdatetime 2016-08-04T21:48:16 --delay 1 --endMP 204:156 --enddatetime 2016-08-04T22:35:14 --enforcementcount 0 &gt;&gt; 2016-08-04-refined-runtimes.txt</v>
      </c>
    </row>
    <row r="143" spans="1:34" x14ac:dyDescent="0.25">
      <c r="A143" s="25" t="s">
        <v>654</v>
      </c>
      <c r="B143" s="87">
        <v>4027</v>
      </c>
      <c r="C143" s="88" t="s">
        <v>163</v>
      </c>
      <c r="D143" s="88" t="s">
        <v>330</v>
      </c>
      <c r="E143" s="89">
        <v>42586.894236111111</v>
      </c>
      <c r="F143" s="89">
        <v>42586.895196759258</v>
      </c>
      <c r="G143" s="87">
        <v>1</v>
      </c>
      <c r="H143" s="89" t="s">
        <v>341</v>
      </c>
      <c r="I143" s="89">
        <v>42586.921365740738</v>
      </c>
      <c r="J143" s="87">
        <v>0</v>
      </c>
      <c r="K143" s="114" t="str">
        <f t="shared" si="42"/>
        <v>4027/4028</v>
      </c>
      <c r="L143" s="25" t="str">
        <f>VLOOKUP(A143,'Trips&amp;Operators'!$C$1:$E$10000,3,FALSE)</f>
        <v>COOLAHAN</v>
      </c>
      <c r="M143" s="6">
        <f t="shared" si="43"/>
        <v>2.6168981479713693E-2</v>
      </c>
      <c r="N143" s="7">
        <f t="shared" si="56"/>
        <v>37.683333330787718</v>
      </c>
      <c r="O143" s="7"/>
      <c r="P143" s="7"/>
      <c r="Q143" s="26"/>
      <c r="R143" s="26"/>
      <c r="S143" s="38">
        <f t="shared" si="44"/>
        <v>1</v>
      </c>
      <c r="T143" s="55" t="str">
        <f t="shared" si="45"/>
        <v>NorthBound</v>
      </c>
      <c r="U143" s="77">
        <f>IF(AG143="EC",COUNTIFS(Variables!$M$2:$M$19,IF(T143="NorthBound","&gt;=","&lt;=")&amp;Y143,Variables!$M$2:$M$19,IF(T143="NorthBound","&lt;=","&gt;=")&amp;Z143),COUNTIFS(Variables!$P$2:$P$19,IF(T143="NorthBound","&gt;=","&lt;=")&amp;Y143,Variables!$P$2:$P$19,IF(T143="NorthBound","&lt;=","&gt;=")&amp;Z143))</f>
        <v>12</v>
      </c>
      <c r="V143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20:27:42-0600',mode:absolute,to:'2016-08-04 23:06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43" s="57" t="str">
        <f t="shared" si="47"/>
        <v>N</v>
      </c>
      <c r="X143" s="117">
        <f t="shared" si="48"/>
        <v>1</v>
      </c>
      <c r="Y143" s="72">
        <f t="shared" si="49"/>
        <v>4.4900000000000002E-2</v>
      </c>
      <c r="Z143" s="72">
        <f t="shared" si="50"/>
        <v>23.331399999999999</v>
      </c>
      <c r="AA143" s="72">
        <f t="shared" si="51"/>
        <v>23.2865</v>
      </c>
      <c r="AB143" s="69" t="e">
        <f>VLOOKUP(A143,Enforcements!$C$7:$J$24,8,0)</f>
        <v>#N/A</v>
      </c>
      <c r="AC143" s="65" t="e">
        <f>VLOOKUP(A143,Enforcements!$C$7:$E$24,3,0)</f>
        <v>#N/A</v>
      </c>
      <c r="AD143" s="66" t="str">
        <f t="shared" si="52"/>
        <v>0231-04</v>
      </c>
      <c r="AE143" s="124" t="str">
        <f t="shared" si="53"/>
        <v>aws s3 cp s3://rtdc.mdm.uploadarchive/RTDC4027/2016-08-04/ "%USERPROFILE%\AppData\Local\Temp\OnboardLogs"\RTDC4027\2016-08-04 --recursive &amp; "%USERPROFILE%\Documents\GitHub\mrs-test-scripts\Headless Mode &amp; Sideloading\WalkAndUnGZ.bat" "%USERPROFILE%\AppData\Local\Temp\OnboardLogs"\RTDC4027\2016-08-04 &amp; aws s3 cp s3://rtdc.mdm.uploadarchive/RTDC4027/2016-08-05/ "%USERPROFILE%\AppData\Local\Temp\OnboardLogs"\RTDC4027\2016-08-05 --recursive &amp; "%USERPROFILE%\Documents\GitHub\mrs-test-scripts\Headless Mode &amp; Sideloading\WalkAndUnGZ.bat" "%USERPROFILE%\AppData\Local\Temp\OnboardLogs"\RTDC4027\2016-08-05</v>
      </c>
      <c r="AF143" s="121" t="str">
        <f t="shared" si="54"/>
        <v>"C:\Program Files (x86)\AstroGrep\AstroGrep.exe" /spath="%USERPROFILE%\AppData\Local\Temp\OnboardLogs" /stypes="*4027*20160805*" /stext=" 04:.+((SYSTEM_STATE.+slice.+state.+changed )|(ment ac)|(system.+state.+changed )|(\|lc)|(penalty)|(\[timeout)|(PRM\|1\|D)|(kpr)|(kdp))" /e /r /s</v>
      </c>
      <c r="AG143" s="1" t="str">
        <f t="shared" si="55"/>
        <v>EC</v>
      </c>
      <c r="AH143" s="125" t="str">
        <f>refinertdcruntimes&amp;" --tripid "&amp;A143&amp;" --locoid "&amp;B143&amp;" --swversion "&amp;C143&amp;" --startMP "&amp;D143&amp;" --initTime "&amp;TEXT(E143,"yyyy-mm-ddTHH:MM:SS")&amp;" --startdatetime "&amp;TEXT(F143,"yyyy-mm-ddTHH:MM:SS")&amp;" --delay "&amp;G143&amp;" --endMP "&amp;H143&amp;" --enddatetime "&amp;TEXT(I143,"yyyy-mm-ddTHH:MM:SS")&amp;" --enforcementcount "&amp;J143&amp;" &gt;&gt; "&amp;TEXT(Variables!$A$2,"yyyy-mm-dd")&amp;"-refined-runtimes.txt"</f>
        <v>"%USERPROFILE%\Documents\GitHub\eaglep3\Utilities\RefineRTDCRunTimes.py" --tripid 231-04 --locoid 4027 --swversion DE.1.0.7.0 --startMP 204:449 --initTime 2016-08-04T21:27:42 --startdatetime 2016-08-04T21:29:05 --delay 1 --endMP 204:233314 --enddatetime 2016-08-04T22:06:46 --enforcementcount 0 &gt;&gt; 2016-08-04-refined-runtimes.txt</v>
      </c>
    </row>
    <row r="144" spans="1:34" x14ac:dyDescent="0.25">
      <c r="A144" s="25" t="s">
        <v>655</v>
      </c>
      <c r="B144" s="87">
        <v>4028</v>
      </c>
      <c r="C144" s="88" t="s">
        <v>163</v>
      </c>
      <c r="D144" s="88" t="s">
        <v>322</v>
      </c>
      <c r="E144" s="89">
        <v>42586.931689814817</v>
      </c>
      <c r="F144" s="89">
        <v>42586.93304398148</v>
      </c>
      <c r="G144" s="87">
        <v>1</v>
      </c>
      <c r="H144" s="89" t="s">
        <v>59</v>
      </c>
      <c r="I144" s="89">
        <v>42586.961273148147</v>
      </c>
      <c r="J144" s="87">
        <v>0</v>
      </c>
      <c r="K144" s="114" t="str">
        <f t="shared" si="42"/>
        <v>4027/4028</v>
      </c>
      <c r="L144" s="25" t="str">
        <f>VLOOKUP(A144,'Trips&amp;Operators'!$C$1:$E$10000,3,FALSE)</f>
        <v>COOLAHAN</v>
      </c>
      <c r="M144" s="6">
        <f t="shared" si="43"/>
        <v>2.8229166666278616E-2</v>
      </c>
      <c r="N144" s="7">
        <f t="shared" si="56"/>
        <v>40.649999999441206</v>
      </c>
      <c r="O144" s="7"/>
      <c r="P144" s="7"/>
      <c r="Q144" s="26"/>
      <c r="R144" s="26"/>
      <c r="S144" s="38">
        <f t="shared" si="44"/>
        <v>1</v>
      </c>
      <c r="T144" s="55" t="str">
        <f t="shared" si="45"/>
        <v>Southbound</v>
      </c>
      <c r="U144" s="77">
        <f>IF(AG144="EC",COUNTIFS(Variables!$M$2:$M$19,IF(T144="NorthBound","&gt;=","&lt;=")&amp;Y144,Variables!$M$2:$M$19,IF(T144="NorthBound","&lt;=","&gt;=")&amp;Z144),COUNTIFS(Variables!$P$2:$P$19,IF(T144="NorthBound","&gt;=","&lt;=")&amp;Y144,Variables!$P$2:$P$19,IF(T144="NorthBound","&lt;=","&gt;=")&amp;Z144))</f>
        <v>12</v>
      </c>
      <c r="V144" s="131" t="str">
        <f t="shared" si="46"/>
        <v>https://search-rtdc-monitor-bjffxe2xuh6vdkpspy63sjmuny.us-east-1.es.amazonaws.com/_plugin/kibana/#/discover/Steve-Slow-Train-Analysis-(2080s-and-2083s)?_g=(refreshInterval:(display:Off,section:0,value:0),time:(from:'2016-08-04 21:21:38-0600',mode:absolute,to:'2016-08-05 00:04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44" s="57" t="str">
        <f t="shared" si="47"/>
        <v>N</v>
      </c>
      <c r="X144" s="117">
        <f t="shared" si="48"/>
        <v>1</v>
      </c>
      <c r="Y144" s="72">
        <f t="shared" si="49"/>
        <v>23.3004</v>
      </c>
      <c r="Z144" s="72">
        <f t="shared" si="50"/>
        <v>1.52E-2</v>
      </c>
      <c r="AA144" s="72">
        <f t="shared" si="51"/>
        <v>23.2852</v>
      </c>
      <c r="AB144" s="69" t="e">
        <f>VLOOKUP(A144,Enforcements!$C$7:$J$24,8,0)</f>
        <v>#N/A</v>
      </c>
      <c r="AC144" s="65" t="e">
        <f>VLOOKUP(A144,Enforcements!$C$7:$E$24,3,0)</f>
        <v>#N/A</v>
      </c>
      <c r="AD144" s="66" t="str">
        <f t="shared" si="52"/>
        <v>0232-04</v>
      </c>
      <c r="AE144" s="124" t="str">
        <f t="shared" si="53"/>
        <v>aws s3 cp s3://rtdc.mdm.uploadarchive/RTDC4028/2016-08-04/ "%USERPROFILE%\AppData\Local\Temp\OnboardLogs"\RTDC4028\2016-08-04 --recursive &amp; "%USERPROFILE%\Documents\GitHub\mrs-test-scripts\Headless Mode &amp; Sideloading\WalkAndUnGZ.bat" "%USERPROFILE%\AppData\Local\Temp\OnboardLogs"\RTDC4028\2016-08-04 &amp; aws s3 cp s3://rtdc.mdm.uploadarchive/RTDC4028/2016-08-05/ "%USERPROFILE%\AppData\Local\Temp\OnboardLogs"\RTDC4028\2016-08-05 --recursive &amp; "%USERPROFILE%\Documents\GitHub\mrs-test-scripts\Headless Mode &amp; Sideloading\WalkAndUnGZ.bat" "%USERPROFILE%\AppData\Local\Temp\OnboardLogs"\RTDC4028\2016-08-05</v>
      </c>
      <c r="AF144" s="121" t="str">
        <f t="shared" si="54"/>
        <v>"C:\Program Files (x86)\AstroGrep\AstroGrep.exe" /spath="%USERPROFILE%\AppData\Local\Temp\OnboardLogs" /stypes="*4028*20160805*" /stext=" 05:.+((SYSTEM_STATE.+slice.+state.+changed )|(ment ac)|(system.+state.+changed )|(\|lc)|(penalty)|(\[timeout)|(PRM\|1\|D)|(kpr)|(kdp))" /e /r /s</v>
      </c>
      <c r="AG144" s="1" t="str">
        <f t="shared" si="55"/>
        <v>EC</v>
      </c>
      <c r="AH144" s="125" t="str">
        <f>refinertdcruntimes&amp;" --tripid "&amp;A144&amp;" --locoid "&amp;B144&amp;" --swversion "&amp;C144&amp;" --startMP "&amp;D144&amp;" --initTime "&amp;TEXT(E144,"yyyy-mm-ddTHH:MM:SS")&amp;" --startdatetime "&amp;TEXT(F144,"yyyy-mm-ddTHH:MM:SS")&amp;" --delay "&amp;G144&amp;" --endMP "&amp;H144&amp;" --enddatetime "&amp;TEXT(I144,"yyyy-mm-ddTHH:MM:SS")&amp;" --enforcementcount "&amp;J144&amp;" &gt;&gt; "&amp;TEXT(Variables!$A$2,"yyyy-mm-dd")&amp;"-refined-runtimes.txt"</f>
        <v>"%USERPROFILE%\Documents\GitHub\eaglep3\Utilities\RefineRTDCRunTimes.py" --tripid 232-04 --locoid 4028 --swversion DE.1.0.7.0 --startMP 204:233004 --initTime 2016-08-04T22:21:38 --startdatetime 2016-08-04T22:23:35 --delay 1 --endMP 204:152 --enddatetime 2016-08-04T23:04:14 --enforcementcount 0 &gt;&gt; 2016-08-04-refined-runtimes.txt</v>
      </c>
    </row>
    <row r="145" spans="1:34" x14ac:dyDescent="0.25">
      <c r="A145" s="25" t="s">
        <v>656</v>
      </c>
      <c r="B145" s="87">
        <v>4011</v>
      </c>
      <c r="C145" s="88" t="s">
        <v>163</v>
      </c>
      <c r="D145" s="88" t="s">
        <v>384</v>
      </c>
      <c r="E145" s="89">
        <v>42586.909918981481</v>
      </c>
      <c r="F145" s="89">
        <v>42586.910949074074</v>
      </c>
      <c r="G145" s="87">
        <v>1</v>
      </c>
      <c r="H145" s="89" t="s">
        <v>158</v>
      </c>
      <c r="I145" s="89">
        <v>42586.941736111112</v>
      </c>
      <c r="J145" s="87">
        <v>0</v>
      </c>
      <c r="K145" s="114" t="str">
        <f t="shared" ref="K145:K199" si="57">IF(ISEVEN(B145),(B145-1)&amp;"/"&amp;B145,B145&amp;"/"&amp;(B145+1))</f>
        <v>4011/4012</v>
      </c>
      <c r="L145" s="25" t="str">
        <f>VLOOKUP(A145,'Trips&amp;Operators'!$C$1:$E$10000,3,FALSE)</f>
        <v>LEVIN</v>
      </c>
      <c r="M145" s="6">
        <f t="shared" ref="M145:M199" si="58">I145-F145</f>
        <v>3.0787037037953269E-2</v>
      </c>
      <c r="N145" s="7">
        <f t="shared" si="56"/>
        <v>44.333333334652707</v>
      </c>
      <c r="O145" s="7"/>
      <c r="P145" s="7"/>
      <c r="Q145" s="26"/>
      <c r="R145" s="26"/>
      <c r="S145" s="38">
        <f t="shared" ref="S145:S199" si="59">SUM(U145:U145)/IF(AG145="EC",12,1)</f>
        <v>1</v>
      </c>
      <c r="T145" s="55" t="str">
        <f t="shared" ref="T145:T199" si="60">IF(ISEVEN(LEFT(AD145,4)),"Southbound","NorthBound")</f>
        <v>NorthBound</v>
      </c>
      <c r="U145" s="77">
        <f>IF(AG145="EC",COUNTIFS(Variables!$M$2:$M$19,IF(T145="NorthBound","&gt;=","&lt;=")&amp;Y145,Variables!$M$2:$M$19,IF(T145="NorthBound","&lt;=","&gt;=")&amp;Z145),COUNTIFS(Variables!$P$2:$P$19,IF(T145="NorthBound","&gt;=","&lt;=")&amp;Y145,Variables!$P$2:$P$19,IF(T145="NorthBound","&lt;=","&gt;=")&amp;Z145))</f>
        <v>12</v>
      </c>
      <c r="V145" s="131" t="str">
        <f t="shared" ref="V145:V199" si="61">"https://search-rtdc-monitor-bjffxe2xuh6vdkpspy63sjmuny.us-east-1.es.amazonaws.com/_plugin/kibana/#/discover/Steve-Slow-Train-Analysis-(2080s-and-2083s)?_g=(refreshInterval:(display:Off,section:0,value:0),time:(from:'"&amp;TEXT(E145-1/24,"yyyy-MM-DD hh:mm:ss")&amp;"-0600',mode:absolute,to:'"&amp;TEXT(I145+1/24,"yyyy-MM-DD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145&amp;"%22')),sort:!(Time,asc))"</f>
        <v>https://search-rtdc-monitor-bjffxe2xuh6vdkpspy63sjmuny.us-east-1.es.amazonaws.com/_plugin/kibana/#/discover/Steve-Slow-Train-Analysis-(2080s-and-2083s)?_g=(refreshInterval:(display:Off,section:0,value:0),time:(from:'2016-08-04 20:50:17-0600',mode:absolute,to:'2016-08-04 23:36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145" s="57" t="str">
        <f t="shared" ref="W145:W199" si="62">IF(AA145&lt;IF(AG145="EC",23,5.65),"Y","N")</f>
        <v>N</v>
      </c>
      <c r="X145" s="117">
        <f t="shared" ref="X145:X199" si="63">VALUE(LEFT(AD145,4))-VALUE(LEFT(AD144,4))</f>
        <v>1</v>
      </c>
      <c r="Y145" s="72">
        <f t="shared" ref="Y145:Y199" si="64">RIGHT(D145,LEN(D145)-4)/10000</f>
        <v>4.3299999999999998E-2</v>
      </c>
      <c r="Z145" s="72">
        <f t="shared" ref="Z145:Z199" si="65">RIGHT(H145,LEN(H145)-4)/10000</f>
        <v>23.330200000000001</v>
      </c>
      <c r="AA145" s="72">
        <f t="shared" ref="AA145:AA199" si="66">ABS(Z145-Y145)</f>
        <v>23.286900000000003</v>
      </c>
      <c r="AB145" s="69" t="e">
        <f>VLOOKUP(A145,Enforcements!$C$7:$J$24,8,0)</f>
        <v>#N/A</v>
      </c>
      <c r="AC145" s="65" t="e">
        <f>VLOOKUP(A145,Enforcements!$C$7:$E$24,3,0)</f>
        <v>#N/A</v>
      </c>
      <c r="AD145" s="66" t="str">
        <f t="shared" ref="AD145:AD199" si="67">IF(LEN(A145)=6,"0"&amp;A145,A145)</f>
        <v>0233-04</v>
      </c>
      <c r="AE145" s="124" t="str">
        <f t="shared" ref="AE145:AE199" si="68">"aws s3 cp "&amp;s3_bucket&amp;"/RTDC"&amp;B145&amp;"/"&amp;TEXT(F145,"YYYY-MM-DD")&amp;"/ "&amp;search_path&amp;"\RTDC"&amp;B145&amp;"\"&amp;TEXT(F145,"YYYY-MM-DD")&amp;" --recursive &amp; """&amp;walkandungz&amp;""" "&amp;search_path&amp;"\RTDC"&amp;B145&amp;"\"&amp;TEXT(F145,"YYYY-MM-DD")
&amp;" &amp; "&amp;"aws s3 cp "&amp;s3_bucket&amp;"/RTDC"&amp;B145&amp;"/"&amp;TEXT(F145+1,"YYYY-MM-DD")&amp;"/ "&amp;search_path&amp;"\RTDC"&amp;B145&amp;"\"&amp;TEXT(F145+1,"YYYY-MM-DD")&amp;" --recursive &amp; """&amp;walkandungz&amp;""" "&amp;search_path&amp;"\RTDC"&amp;B145&amp;"\"&amp;TEXT(F145+1,"YYYY-MM-DD")</f>
        <v>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 &amp; aws s3 cp s3://rtdc.mdm.uploadarchive/RTDC4011/2016-08-05/ "%USERPROFILE%\AppData\Local\Temp\OnboardLogs"\RTDC4011\2016-08-05 --recursive &amp; "%USERPROFILE%\Documents\GitHub\mrs-test-scripts\Headless Mode &amp; Sideloading\WalkAndUnGZ.bat" "%USERPROFILE%\AppData\Local\Temp\OnboardLogs"\RTDC4011\2016-08-05</v>
      </c>
      <c r="AF145" s="121" t="str">
        <f t="shared" ref="AF145:AF199" si="69">astrogrep_path&amp;" /spath="&amp;search_path&amp;" /stypes=""*"&amp;B145&amp;"*"&amp;TEXT(I145-utc_offset/24,"YYYYMMDD")&amp;"*"" /stext="" "&amp;TEXT(I145-utc_offset/24,"HH")&amp;search_regexp&amp;""" /e /r /s"</f>
        <v>"C:\Program Files (x86)\AstroGrep\AstroGrep.exe" /spath="%USERPROFILE%\AppData\Local\Temp\OnboardLogs" /stypes="*4011*20160805*" /stext=" 04:.+((SYSTEM_STATE.+slice.+state.+changed )|(ment ac)|(system.+state.+changed )|(\|lc)|(penalty)|(\[timeout)|(PRM\|1\|D)|(kpr)|(kdp))" /e /r /s</v>
      </c>
      <c r="AG145" s="1" t="str">
        <f t="shared" ref="AG145:AG199" si="70">IF(VALUE(LEFT(AD145,2))&lt;=2,"EC",IF(OR(VALUE(LEFT(AD145,2))=8,VALUE(LEFT(AD145,2))=18),"NW","GL"))</f>
        <v>EC</v>
      </c>
      <c r="AH145" s="125" t="str">
        <f>refinertdcruntimes&amp;" --tripid "&amp;A145&amp;" --locoid "&amp;B145&amp;" --swversion "&amp;C145&amp;" --startMP "&amp;D145&amp;" --initTime "&amp;TEXT(E145,"yyyy-mm-ddTHH:MM:SS")&amp;" --startdatetime "&amp;TEXT(F145,"yyyy-mm-ddTHH:MM:SS")&amp;" --delay "&amp;G145&amp;" --endMP "&amp;H145&amp;" --enddatetime "&amp;TEXT(I145,"yyyy-mm-ddTHH:MM:SS")&amp;" --enforcementcount "&amp;J145&amp;" &gt;&gt; "&amp;TEXT(Variables!$A$2,"yyyy-mm-dd")&amp;"-refined-runtimes.txt"</f>
        <v>"%USERPROFILE%\Documents\GitHub\eaglep3\Utilities\RefineRTDCRunTimes.py" --tripid 233-04 --locoid 4011 --swversion DE.1.0.7.0 --startMP 204:433 --initTime 2016-08-04T21:50:17 --startdatetime 2016-08-04T21:51:46 --delay 1 --endMP 204:233302 --enddatetime 2016-08-04T22:36:06 --enforcementcount 0 &gt;&gt; 2016-08-04-refined-runtimes.txt</v>
      </c>
    </row>
    <row r="146" spans="1:34" x14ac:dyDescent="0.25">
      <c r="A146" s="25" t="s">
        <v>657</v>
      </c>
      <c r="B146" s="87">
        <v>4012</v>
      </c>
      <c r="C146" s="88" t="s">
        <v>163</v>
      </c>
      <c r="D146" s="88" t="s">
        <v>325</v>
      </c>
      <c r="E146" s="89">
        <v>42586.948275462964</v>
      </c>
      <c r="F146" s="89">
        <v>42586.949293981481</v>
      </c>
      <c r="G146" s="87">
        <v>1</v>
      </c>
      <c r="H146" s="89" t="s">
        <v>186</v>
      </c>
      <c r="I146" s="89">
        <v>42586.982465277775</v>
      </c>
      <c r="J146" s="87">
        <v>0</v>
      </c>
      <c r="K146" s="114" t="str">
        <f t="shared" si="57"/>
        <v>4011/4012</v>
      </c>
      <c r="L146" s="25" t="str">
        <f>VLOOKUP(A146,'Trips&amp;Operators'!$C$1:$E$10000,3,FALSE)</f>
        <v>LEVIN</v>
      </c>
      <c r="M146" s="6">
        <f t="shared" si="58"/>
        <v>3.3171296294312924E-2</v>
      </c>
      <c r="N146" s="7">
        <f t="shared" si="56"/>
        <v>47.766666663810611</v>
      </c>
      <c r="O146" s="7"/>
      <c r="P146" s="7"/>
      <c r="Q146" s="26"/>
      <c r="R146" s="26"/>
      <c r="S146" s="38">
        <f t="shared" si="59"/>
        <v>1</v>
      </c>
      <c r="T146" s="55" t="str">
        <f t="shared" si="60"/>
        <v>Southbound</v>
      </c>
      <c r="U146" s="77">
        <f>IF(AG146="EC",COUNTIFS(Variables!$M$2:$M$19,IF(T146="NorthBound","&gt;=","&lt;=")&amp;Y146,Variables!$M$2:$M$19,IF(T146="NorthBound","&lt;=","&gt;=")&amp;Z146),COUNTIFS(Variables!$P$2:$P$19,IF(T146="NorthBound","&gt;=","&lt;=")&amp;Y146,Variables!$P$2:$P$19,IF(T146="NorthBound","&lt;=","&gt;=")&amp;Z146))</f>
        <v>12</v>
      </c>
      <c r="V146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21:45:31-0600',mode:absolute,to:'2016-08-05 00:34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46" s="57" t="str">
        <f t="shared" si="62"/>
        <v>N</v>
      </c>
      <c r="X146" s="117">
        <f t="shared" si="63"/>
        <v>1</v>
      </c>
      <c r="Y146" s="72">
        <f t="shared" si="64"/>
        <v>23.299399999999999</v>
      </c>
      <c r="Z146" s="72">
        <f t="shared" si="65"/>
        <v>1.34E-2</v>
      </c>
      <c r="AA146" s="72">
        <f t="shared" si="66"/>
        <v>23.285999999999998</v>
      </c>
      <c r="AB146" s="69" t="e">
        <f>VLOOKUP(A146,Enforcements!$C$7:$J$24,8,0)</f>
        <v>#N/A</v>
      </c>
      <c r="AC146" s="65" t="e">
        <f>VLOOKUP(A146,Enforcements!$C$7:$E$24,3,0)</f>
        <v>#N/A</v>
      </c>
      <c r="AD146" s="66" t="str">
        <f t="shared" si="67"/>
        <v>0234-04</v>
      </c>
      <c r="AE146" s="124" t="str">
        <f t="shared" si="68"/>
        <v>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 &amp; aws s3 cp s3://rtdc.mdm.uploadarchive/RTDC4012/2016-08-05/ "%USERPROFILE%\AppData\Local\Temp\OnboardLogs"\RTDC4012\2016-08-05 --recursive &amp; "%USERPROFILE%\Documents\GitHub\mrs-test-scripts\Headless Mode &amp; Sideloading\WalkAndUnGZ.bat" "%USERPROFILE%\AppData\Local\Temp\OnboardLogs"\RTDC4012\2016-08-05</v>
      </c>
      <c r="AF146" s="121" t="str">
        <f t="shared" si="69"/>
        <v>"C:\Program Files (x86)\AstroGrep\AstroGrep.exe" /spath="%USERPROFILE%\AppData\Local\Temp\OnboardLogs" /stypes="*4012*20160805*" /stext=" 05:.+((SYSTEM_STATE.+slice.+state.+changed )|(ment ac)|(system.+state.+changed )|(\|lc)|(penalty)|(\[timeout)|(PRM\|1\|D)|(kpr)|(kdp))" /e /r /s</v>
      </c>
      <c r="AG146" s="1" t="str">
        <f t="shared" si="70"/>
        <v>EC</v>
      </c>
      <c r="AH146" s="125" t="str">
        <f>refinertdcruntimes&amp;" --tripid "&amp;A146&amp;" --locoid "&amp;B146&amp;" --swversion "&amp;C146&amp;" --startMP "&amp;D146&amp;" --initTime "&amp;TEXT(E146,"yyyy-mm-ddTHH:MM:SS")&amp;" --startdatetime "&amp;TEXT(F146,"yyyy-mm-ddTHH:MM:SS")&amp;" --delay "&amp;G146&amp;" --endMP "&amp;H146&amp;" --enddatetime "&amp;TEXT(I146,"yyyy-mm-ddTHH:MM:SS")&amp;" --enforcementcount "&amp;J146&amp;" &gt;&gt; "&amp;TEXT(Variables!$A$2,"yyyy-mm-dd")&amp;"-refined-runtimes.txt"</f>
        <v>"%USERPROFILE%\Documents\GitHub\eaglep3\Utilities\RefineRTDCRunTimes.py" --tripid 234-04 --locoid 4012 --swversion DE.1.0.7.0 --startMP 204:232994 --initTime 2016-08-04T22:45:31 --startdatetime 2016-08-04T22:46:59 --delay 1 --endMP 204:134 --enddatetime 2016-08-04T23:34:45 --enforcementcount 0 &gt;&gt; 2016-08-04-refined-runtimes.txt</v>
      </c>
    </row>
    <row r="147" spans="1:34" x14ac:dyDescent="0.25">
      <c r="A147" s="25" t="s">
        <v>658</v>
      </c>
      <c r="B147" s="87">
        <v>4007</v>
      </c>
      <c r="C147" s="88" t="s">
        <v>163</v>
      </c>
      <c r="D147" s="88" t="s">
        <v>185</v>
      </c>
      <c r="E147" s="89">
        <v>42586.928738425922</v>
      </c>
      <c r="F147" s="89">
        <v>42586.929837962962</v>
      </c>
      <c r="G147" s="87">
        <v>1</v>
      </c>
      <c r="H147" s="89" t="s">
        <v>391</v>
      </c>
      <c r="I147" s="89">
        <v>42586.963807870372</v>
      </c>
      <c r="J147" s="87">
        <v>0</v>
      </c>
      <c r="K147" s="114" t="str">
        <f t="shared" si="57"/>
        <v>4007/4008</v>
      </c>
      <c r="L147" s="25" t="str">
        <f>VLOOKUP(A147,'Trips&amp;Operators'!$C$1:$E$10000,3,FALSE)</f>
        <v>STURGEON</v>
      </c>
      <c r="M147" s="6">
        <f t="shared" si="58"/>
        <v>3.3969907410209998E-2</v>
      </c>
      <c r="N147" s="7">
        <f t="shared" si="56"/>
        <v>48.916666670702398</v>
      </c>
      <c r="O147" s="7"/>
      <c r="P147" s="7"/>
      <c r="Q147" s="26"/>
      <c r="R147" s="26"/>
      <c r="S147" s="38">
        <f t="shared" si="59"/>
        <v>1</v>
      </c>
      <c r="T147" s="55" t="str">
        <f t="shared" si="60"/>
        <v>NorthBound</v>
      </c>
      <c r="U147" s="77">
        <f>IF(AG147="EC",COUNTIFS(Variables!$M$2:$M$19,IF(T147="NorthBound","&gt;=","&lt;=")&amp;Y147,Variables!$M$2:$M$19,IF(T147="NorthBound","&lt;=","&gt;=")&amp;Z147),COUNTIFS(Variables!$P$2:$P$19,IF(T147="NorthBound","&gt;=","&lt;=")&amp;Y147,Variables!$P$2:$P$19,IF(T147="NorthBound","&lt;=","&gt;=")&amp;Z147))</f>
        <v>12</v>
      </c>
      <c r="V147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21:17:23-0600',mode:absolute,to:'2016-08-05 00:07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47" s="57" t="str">
        <f t="shared" si="62"/>
        <v>N</v>
      </c>
      <c r="X147" s="117">
        <f t="shared" si="63"/>
        <v>1</v>
      </c>
      <c r="Y147" s="72">
        <f t="shared" si="64"/>
        <v>4.6600000000000003E-2</v>
      </c>
      <c r="Z147" s="72">
        <f t="shared" si="65"/>
        <v>23.3278</v>
      </c>
      <c r="AA147" s="72">
        <f t="shared" si="66"/>
        <v>23.281199999999998</v>
      </c>
      <c r="AB147" s="69" t="e">
        <f>VLOOKUP(A147,Enforcements!$C$7:$J$24,8,0)</f>
        <v>#N/A</v>
      </c>
      <c r="AC147" s="65" t="e">
        <f>VLOOKUP(A147,Enforcements!$C$7:$E$24,3,0)</f>
        <v>#N/A</v>
      </c>
      <c r="AD147" s="66" t="str">
        <f t="shared" si="67"/>
        <v>0235-04</v>
      </c>
      <c r="AE147" s="124" t="str">
        <f t="shared" si="68"/>
        <v>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 &amp; aws s3 cp s3://rtdc.mdm.uploadarchive/RTDC4007/2016-08-05/ "%USERPROFILE%\AppData\Local\Temp\OnboardLogs"\RTDC4007\2016-08-05 --recursive &amp; "%USERPROFILE%\Documents\GitHub\mrs-test-scripts\Headless Mode &amp; Sideloading\WalkAndUnGZ.bat" "%USERPROFILE%\AppData\Local\Temp\OnboardLogs"\RTDC4007\2016-08-05</v>
      </c>
      <c r="AF147" s="121" t="str">
        <f t="shared" si="69"/>
        <v>"C:\Program Files (x86)\AstroGrep\AstroGrep.exe" /spath="%USERPROFILE%\AppData\Local\Temp\OnboardLogs" /stypes="*4007*20160805*" /stext=" 05:.+((SYSTEM_STATE.+slice.+state.+changed )|(ment ac)|(system.+state.+changed )|(\|lc)|(penalty)|(\[timeout)|(PRM\|1\|D)|(kpr)|(kdp))" /e /r /s</v>
      </c>
      <c r="AG147" s="1" t="str">
        <f t="shared" si="70"/>
        <v>EC</v>
      </c>
      <c r="AH147" s="125" t="str">
        <f>refinertdcruntimes&amp;" --tripid "&amp;A147&amp;" --locoid "&amp;B147&amp;" --swversion "&amp;C147&amp;" --startMP "&amp;D147&amp;" --initTime "&amp;TEXT(E147,"yyyy-mm-ddTHH:MM:SS")&amp;" --startdatetime "&amp;TEXT(F147,"yyyy-mm-ddTHH:MM:SS")&amp;" --delay "&amp;G147&amp;" --endMP "&amp;H147&amp;" --enddatetime "&amp;TEXT(I147,"yyyy-mm-ddTHH:MM:SS")&amp;" --enforcementcount "&amp;J147&amp;" &gt;&gt; "&amp;TEXT(Variables!$A$2,"yyyy-mm-dd")&amp;"-refined-runtimes.txt"</f>
        <v>"%USERPROFILE%\Documents\GitHub\eaglep3\Utilities\RefineRTDCRunTimes.py" --tripid 235-04 --locoid 4007 --swversion DE.1.0.7.0 --startMP 204:466 --initTime 2016-08-04T22:17:23 --startdatetime 2016-08-04T22:18:58 --delay 1 --endMP 204:233278 --enddatetime 2016-08-04T23:07:53 --enforcementcount 0 &gt;&gt; 2016-08-04-refined-runtimes.txt</v>
      </c>
    </row>
    <row r="148" spans="1:34" x14ac:dyDescent="0.25">
      <c r="A148" s="25" t="s">
        <v>659</v>
      </c>
      <c r="B148" s="87">
        <v>4008</v>
      </c>
      <c r="C148" s="88" t="s">
        <v>163</v>
      </c>
      <c r="D148" s="88" t="s">
        <v>337</v>
      </c>
      <c r="E148" s="89">
        <v>42586.972557870373</v>
      </c>
      <c r="F148" s="89">
        <v>42586.974143518521</v>
      </c>
      <c r="G148" s="87">
        <v>2</v>
      </c>
      <c r="H148" s="89" t="s">
        <v>660</v>
      </c>
      <c r="I148" s="89">
        <v>42587.003912037035</v>
      </c>
      <c r="J148" s="87">
        <v>0</v>
      </c>
      <c r="K148" s="114" t="str">
        <f t="shared" si="57"/>
        <v>4007/4008</v>
      </c>
      <c r="L148" s="25" t="str">
        <f>VLOOKUP(A148,'Trips&amp;Operators'!$C$1:$E$10000,3,FALSE)</f>
        <v>STURGEON</v>
      </c>
      <c r="M148" s="6">
        <f t="shared" si="58"/>
        <v>2.9768518514174502E-2</v>
      </c>
      <c r="N148" s="7">
        <f t="shared" si="56"/>
        <v>42.866666660411283</v>
      </c>
      <c r="O148" s="7"/>
      <c r="P148" s="7"/>
      <c r="Q148" s="26"/>
      <c r="R148" s="26"/>
      <c r="S148" s="38">
        <f t="shared" si="59"/>
        <v>1</v>
      </c>
      <c r="T148" s="55" t="str">
        <f t="shared" si="60"/>
        <v>Southbound</v>
      </c>
      <c r="U148" s="77">
        <f>IF(AG148="EC",COUNTIFS(Variables!$M$2:$M$19,IF(T148="NorthBound","&gt;=","&lt;=")&amp;Y148,Variables!$M$2:$M$19,IF(T148="NorthBound","&lt;=","&gt;=")&amp;Z148),COUNTIFS(Variables!$P$2:$P$19,IF(T148="NorthBound","&gt;=","&lt;=")&amp;Y148,Variables!$P$2:$P$19,IF(T148="NorthBound","&lt;=","&gt;=")&amp;Z148))</f>
        <v>12</v>
      </c>
      <c r="V148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22:20:29-0600',mode:absolute,to:'2016-08-05 01:05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48" s="57" t="str">
        <f t="shared" si="62"/>
        <v>N</v>
      </c>
      <c r="X148" s="117">
        <f t="shared" si="63"/>
        <v>1</v>
      </c>
      <c r="Y148" s="72">
        <f t="shared" si="64"/>
        <v>23.2972</v>
      </c>
      <c r="Z148" s="72">
        <f t="shared" si="65"/>
        <v>1.6899999999999998E-2</v>
      </c>
      <c r="AA148" s="72">
        <f t="shared" si="66"/>
        <v>23.2803</v>
      </c>
      <c r="AB148" s="69" t="e">
        <f>VLOOKUP(A148,Enforcements!$C$7:$J$24,8,0)</f>
        <v>#N/A</v>
      </c>
      <c r="AC148" s="65" t="e">
        <f>VLOOKUP(A148,Enforcements!$C$7:$E$24,3,0)</f>
        <v>#N/A</v>
      </c>
      <c r="AD148" s="66" t="str">
        <f t="shared" si="67"/>
        <v>0236-04</v>
      </c>
      <c r="AE148" s="124" t="str">
        <f t="shared" si="68"/>
        <v>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 &amp; aws s3 cp s3://rtdc.mdm.uploadarchive/RTDC4008/2016-08-05/ "%USERPROFILE%\AppData\Local\Temp\OnboardLogs"\RTDC4008\2016-08-05 --recursive &amp; "%USERPROFILE%\Documents\GitHub\mrs-test-scripts\Headless Mode &amp; Sideloading\WalkAndUnGZ.bat" "%USERPROFILE%\AppData\Local\Temp\OnboardLogs"\RTDC4008\2016-08-05</v>
      </c>
      <c r="AF148" s="121" t="str">
        <f t="shared" si="69"/>
        <v>"C:\Program Files (x86)\AstroGrep\AstroGrep.exe" /spath="%USERPROFILE%\AppData\Local\Temp\OnboardLogs" /stypes="*4008*20160805*" /stext=" 06:.+((SYSTEM_STATE.+slice.+state.+changed )|(ment ac)|(system.+state.+changed )|(\|lc)|(penalty)|(\[timeout)|(PRM\|1\|D)|(kpr)|(kdp))" /e /r /s</v>
      </c>
      <c r="AG148" s="1" t="str">
        <f t="shared" si="70"/>
        <v>EC</v>
      </c>
      <c r="AH148" s="125" t="str">
        <f>refinertdcruntimes&amp;" --tripid "&amp;A148&amp;" --locoid "&amp;B148&amp;" --swversion "&amp;C148&amp;" --startMP "&amp;D148&amp;" --initTime "&amp;TEXT(E148,"yyyy-mm-ddTHH:MM:SS")&amp;" --startdatetime "&amp;TEXT(F148,"yyyy-mm-ddTHH:MM:SS")&amp;" --delay "&amp;G148&amp;" --endMP "&amp;H148&amp;" --enddatetime "&amp;TEXT(I148,"yyyy-mm-ddTHH:MM:SS")&amp;" --enforcementcount "&amp;J148&amp;" &gt;&gt; "&amp;TEXT(Variables!$A$2,"yyyy-mm-dd")&amp;"-refined-runtimes.txt"</f>
        <v>"%USERPROFILE%\Documents\GitHub\eaglep3\Utilities\RefineRTDCRunTimes.py" --tripid 236-04 --locoid 4008 --swversion DE.1.0.7.0 --startMP 204:232972 --initTime 2016-08-04T23:20:29 --startdatetime 2016-08-04T23:22:46 --delay 2 --endMP 204:169 --enddatetime 2016-08-05T00:05:38 --enforcementcount 0 &gt;&gt; 2016-08-04-refined-runtimes.txt</v>
      </c>
    </row>
    <row r="149" spans="1:34" x14ac:dyDescent="0.25">
      <c r="A149" s="25" t="s">
        <v>661</v>
      </c>
      <c r="B149" s="87">
        <v>4038</v>
      </c>
      <c r="C149" s="88" t="s">
        <v>163</v>
      </c>
      <c r="D149" s="88" t="s">
        <v>330</v>
      </c>
      <c r="E149" s="89">
        <v>42586.949849537035</v>
      </c>
      <c r="F149" s="89">
        <v>42586.951157407406</v>
      </c>
      <c r="G149" s="87">
        <v>1</v>
      </c>
      <c r="H149" s="89" t="s">
        <v>340</v>
      </c>
      <c r="I149" s="89">
        <v>42586.984432870369</v>
      </c>
      <c r="J149" s="87">
        <v>0</v>
      </c>
      <c r="K149" s="114" t="str">
        <f t="shared" si="57"/>
        <v>4037/4038</v>
      </c>
      <c r="L149" s="25" t="str">
        <f>VLOOKUP(A149,'Trips&amp;Operators'!$C$1:$E$10000,3,FALSE)</f>
        <v>ROBINSON</v>
      </c>
      <c r="M149" s="6">
        <f t="shared" si="58"/>
        <v>3.3275462963501923E-2</v>
      </c>
      <c r="N149" s="7">
        <f t="shared" si="56"/>
        <v>47.916666667442769</v>
      </c>
      <c r="O149" s="7"/>
      <c r="P149" s="7"/>
      <c r="Q149" s="26"/>
      <c r="R149" s="26"/>
      <c r="S149" s="38">
        <f t="shared" si="59"/>
        <v>1</v>
      </c>
      <c r="T149" s="55" t="str">
        <f t="shared" si="60"/>
        <v>NorthBound</v>
      </c>
      <c r="U149" s="77">
        <f>IF(AG149="EC",COUNTIFS(Variables!$M$2:$M$19,IF(T149="NorthBound","&gt;=","&lt;=")&amp;Y149,Variables!$M$2:$M$19,IF(T149="NorthBound","&lt;=","&gt;=")&amp;Z149),COUNTIFS(Variables!$P$2:$P$19,IF(T149="NorthBound","&gt;=","&lt;=")&amp;Y149,Variables!$P$2:$P$19,IF(T149="NorthBound","&lt;=","&gt;=")&amp;Z149))</f>
        <v>12</v>
      </c>
      <c r="V149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21:47:47-0600',mode:absolute,to:'2016-08-05 00:37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49" s="57" t="str">
        <f t="shared" si="62"/>
        <v>N</v>
      </c>
      <c r="X149" s="117">
        <f t="shared" ref="X149:X167" si="71">VALUE(LEFT(AD149,4))-VALUE(LEFT(AD148,4))</f>
        <v>1</v>
      </c>
      <c r="Y149" s="72">
        <f t="shared" ref="Y149:Y167" si="72">RIGHT(D149,LEN(D149)-4)/10000</f>
        <v>4.4900000000000002E-2</v>
      </c>
      <c r="Z149" s="72">
        <f t="shared" si="65"/>
        <v>23.328600000000002</v>
      </c>
      <c r="AA149" s="72">
        <f t="shared" si="66"/>
        <v>23.283700000000003</v>
      </c>
      <c r="AB149" s="69" t="e">
        <f>VLOOKUP(A149,Enforcements!$C$7:$J$24,8,0)</f>
        <v>#N/A</v>
      </c>
      <c r="AC149" s="65" t="e">
        <f>VLOOKUP(A149,Enforcements!$C$7:$E$24,3,0)</f>
        <v>#N/A</v>
      </c>
      <c r="AD149" s="66" t="str">
        <f t="shared" si="67"/>
        <v>0237-04</v>
      </c>
      <c r="AE149" s="124" t="str">
        <f t="shared" si="68"/>
        <v>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 &amp; aws s3 cp s3://rtdc.mdm.uploadarchive/RTDC4038/2016-08-05/ "%USERPROFILE%\AppData\Local\Temp\OnboardLogs"\RTDC4038\2016-08-05 --recursive &amp; "%USERPROFILE%\Documents\GitHub\mrs-test-scripts\Headless Mode &amp; Sideloading\WalkAndUnGZ.bat" "%USERPROFILE%\AppData\Local\Temp\OnboardLogs"\RTDC4038\2016-08-05</v>
      </c>
      <c r="AF149" s="121" t="str">
        <f t="shared" si="69"/>
        <v>"C:\Program Files (x86)\AstroGrep\AstroGrep.exe" /spath="%USERPROFILE%\AppData\Local\Temp\OnboardLogs" /stypes="*4038*20160805*" /stext=" 05:.+((SYSTEM_STATE.+slice.+state.+changed )|(ment ac)|(system.+state.+changed )|(\|lc)|(penalty)|(\[timeout)|(PRM\|1\|D)|(kpr)|(kdp))" /e /r /s</v>
      </c>
      <c r="AG149" s="1" t="str">
        <f t="shared" si="70"/>
        <v>EC</v>
      </c>
      <c r="AH149" s="125" t="str">
        <f>refinertdcruntimes&amp;" --tripid "&amp;A149&amp;" --locoid "&amp;B149&amp;" --swversion "&amp;C149&amp;" --startMP "&amp;D149&amp;" --initTime "&amp;TEXT(E149,"yyyy-mm-ddTHH:MM:SS")&amp;" --startdatetime "&amp;TEXT(F149,"yyyy-mm-ddTHH:MM:SS")&amp;" --delay "&amp;G149&amp;" --endMP "&amp;H149&amp;" --enddatetime "&amp;TEXT(I149,"yyyy-mm-ddTHH:MM:SS")&amp;" --enforcementcount "&amp;J149&amp;" &gt;&gt; "&amp;TEXT(Variables!$A$2,"yyyy-mm-dd")&amp;"-refined-runtimes.txt"</f>
        <v>"%USERPROFILE%\Documents\GitHub\eaglep3\Utilities\RefineRTDCRunTimes.py" --tripid 237-04 --locoid 4038 --swversion DE.1.0.7.0 --startMP 204:449 --initTime 2016-08-04T22:47:47 --startdatetime 2016-08-04T22:49:40 --delay 1 --endMP 204:233286 --enddatetime 2016-08-04T23:37:35 --enforcementcount 0 &gt;&gt; 2016-08-04-refined-runtimes.txt</v>
      </c>
    </row>
    <row r="150" spans="1:34" x14ac:dyDescent="0.25">
      <c r="A150" s="25" t="s">
        <v>662</v>
      </c>
      <c r="B150" s="87">
        <v>4037</v>
      </c>
      <c r="C150" s="88" t="s">
        <v>163</v>
      </c>
      <c r="D150" s="88" t="s">
        <v>343</v>
      </c>
      <c r="E150" s="89">
        <v>42586.991574074076</v>
      </c>
      <c r="F150" s="89">
        <v>42586.9924537037</v>
      </c>
      <c r="G150" s="87">
        <v>1</v>
      </c>
      <c r="H150" s="89" t="s">
        <v>186</v>
      </c>
      <c r="I150" s="89">
        <v>42587.026226851849</v>
      </c>
      <c r="J150" s="87">
        <v>0</v>
      </c>
      <c r="K150" s="114" t="str">
        <f t="shared" si="57"/>
        <v>4037/4038</v>
      </c>
      <c r="L150" s="25" t="str">
        <f>VLOOKUP(A150,'Trips&amp;Operators'!$C$1:$E$10000,3,FALSE)</f>
        <v>ROBINSON</v>
      </c>
      <c r="M150" s="6">
        <f t="shared" si="58"/>
        <v>3.3773148148611654E-2</v>
      </c>
      <c r="N150" s="7">
        <f t="shared" si="56"/>
        <v>48.633333334000781</v>
      </c>
      <c r="O150" s="7"/>
      <c r="P150" s="7"/>
      <c r="Q150" s="26"/>
      <c r="R150" s="26"/>
      <c r="S150" s="38">
        <f t="shared" si="59"/>
        <v>1</v>
      </c>
      <c r="T150" s="55" t="str">
        <f t="shared" si="60"/>
        <v>Southbound</v>
      </c>
      <c r="U150" s="77">
        <f>IF(AG150="EC",COUNTIFS(Variables!$M$2:$M$19,IF(T150="NorthBound","&gt;=","&lt;=")&amp;Y150,Variables!$M$2:$M$19,IF(T150="NorthBound","&lt;=","&gt;=")&amp;Z150),COUNTIFS(Variables!$P$2:$P$19,IF(T150="NorthBound","&gt;=","&lt;=")&amp;Y150,Variables!$P$2:$P$19,IF(T150="NorthBound","&lt;=","&gt;=")&amp;Z150))</f>
        <v>12</v>
      </c>
      <c r="V150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22:47:52-0600',mode:absolute,to:'2016-08-05 01:37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50" s="57" t="str">
        <f t="shared" si="62"/>
        <v>N</v>
      </c>
      <c r="X150" s="117">
        <f t="shared" si="71"/>
        <v>1</v>
      </c>
      <c r="Y150" s="72">
        <f t="shared" si="72"/>
        <v>23.297999999999998</v>
      </c>
      <c r="Z150" s="72">
        <f t="shared" si="65"/>
        <v>1.34E-2</v>
      </c>
      <c r="AA150" s="72">
        <f t="shared" si="66"/>
        <v>23.284599999999998</v>
      </c>
      <c r="AB150" s="69" t="e">
        <f>VLOOKUP(A150,Enforcements!$C$7:$J$24,8,0)</f>
        <v>#N/A</v>
      </c>
      <c r="AC150" s="65" t="e">
        <f>VLOOKUP(A150,Enforcements!$C$7:$E$24,3,0)</f>
        <v>#N/A</v>
      </c>
      <c r="AD150" s="66" t="str">
        <f t="shared" si="67"/>
        <v>0238-04</v>
      </c>
      <c r="AE150" s="124" t="str">
        <f t="shared" si="68"/>
        <v>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 &amp; aws s3 cp s3://rtdc.mdm.uploadarchive/RTDC4037/2016-08-05/ "%USERPROFILE%\AppData\Local\Temp\OnboardLogs"\RTDC4037\2016-08-05 --recursive &amp; "%USERPROFILE%\Documents\GitHub\mrs-test-scripts\Headless Mode &amp; Sideloading\WalkAndUnGZ.bat" "%USERPROFILE%\AppData\Local\Temp\OnboardLogs"\RTDC4037\2016-08-05</v>
      </c>
      <c r="AF150" s="121" t="str">
        <f t="shared" si="69"/>
        <v>"C:\Program Files (x86)\AstroGrep\AstroGrep.exe" /spath="%USERPROFILE%\AppData\Local\Temp\OnboardLogs" /stypes="*4037*20160805*" /stext=" 06:.+((SYSTEM_STATE.+slice.+state.+changed )|(ment ac)|(system.+state.+changed )|(\|lc)|(penalty)|(\[timeout)|(PRM\|1\|D)|(kpr)|(kdp))" /e /r /s</v>
      </c>
      <c r="AG150" s="1" t="str">
        <f t="shared" si="70"/>
        <v>EC</v>
      </c>
      <c r="AH150" s="125" t="str">
        <f>refinertdcruntimes&amp;" --tripid "&amp;A150&amp;" --locoid "&amp;B150&amp;" --swversion "&amp;C150&amp;" --startMP "&amp;D150&amp;" --initTime "&amp;TEXT(E150,"yyyy-mm-ddTHH:MM:SS")&amp;" --startdatetime "&amp;TEXT(F150,"yyyy-mm-ddTHH:MM:SS")&amp;" --delay "&amp;G150&amp;" --endMP "&amp;H150&amp;" --enddatetime "&amp;TEXT(I150,"yyyy-mm-ddTHH:MM:SS")&amp;" --enforcementcount "&amp;J150&amp;" &gt;&gt; "&amp;TEXT(Variables!$A$2,"yyyy-mm-dd")&amp;"-refined-runtimes.txt"</f>
        <v>"%USERPROFILE%\Documents\GitHub\eaglep3\Utilities\RefineRTDCRunTimes.py" --tripid 238-04 --locoid 4037 --swversion DE.1.0.7.0 --startMP 204:232980 --initTime 2016-08-04T23:47:52 --startdatetime 2016-08-04T23:49:08 --delay 1 --endMP 204:134 --enddatetime 2016-08-05T00:37:46 --enforcementcount 0 &gt;&gt; 2016-08-04-refined-runtimes.txt</v>
      </c>
    </row>
    <row r="151" spans="1:34" x14ac:dyDescent="0.25">
      <c r="A151" s="25" t="s">
        <v>663</v>
      </c>
      <c r="B151" s="87">
        <v>4027</v>
      </c>
      <c r="C151" s="88" t="s">
        <v>163</v>
      </c>
      <c r="D151" s="88" t="s">
        <v>150</v>
      </c>
      <c r="E151" s="89">
        <v>42586.974618055552</v>
      </c>
      <c r="F151" s="89">
        <v>42586.976423611108</v>
      </c>
      <c r="G151" s="87">
        <v>2</v>
      </c>
      <c r="H151" s="89" t="s">
        <v>157</v>
      </c>
      <c r="I151" s="89">
        <v>42587.004988425928</v>
      </c>
      <c r="J151" s="87">
        <v>0</v>
      </c>
      <c r="K151" s="114" t="str">
        <f t="shared" si="57"/>
        <v>4027/4028</v>
      </c>
      <c r="L151" s="25" t="str">
        <f>VLOOKUP(A151,'Trips&amp;Operators'!$C$1:$E$10000,3,FALSE)</f>
        <v>COOLAHAN</v>
      </c>
      <c r="M151" s="6">
        <f t="shared" si="58"/>
        <v>2.8564814820128959E-2</v>
      </c>
      <c r="N151" s="7">
        <f t="shared" si="56"/>
        <v>41.1333333409857</v>
      </c>
      <c r="O151" s="7"/>
      <c r="P151" s="7"/>
      <c r="Q151" s="26"/>
      <c r="R151" s="26"/>
      <c r="S151" s="38">
        <f t="shared" si="59"/>
        <v>1</v>
      </c>
      <c r="T151" s="55" t="str">
        <f t="shared" si="60"/>
        <v>NorthBound</v>
      </c>
      <c r="U151" s="77">
        <f>IF(AG151="EC",COUNTIFS(Variables!$M$2:$M$19,IF(T151="NorthBound","&gt;=","&lt;=")&amp;Y151,Variables!$M$2:$M$19,IF(T151="NorthBound","&lt;=","&gt;=")&amp;Z151),COUNTIFS(Variables!$P$2:$P$19,IF(T151="NorthBound","&gt;=","&lt;=")&amp;Y151,Variables!$P$2:$P$19,IF(T151="NorthBound","&lt;=","&gt;=")&amp;Z151))</f>
        <v>12</v>
      </c>
      <c r="V151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22:23:27-0600',mode:absolute,to:'2016-08-05 01:07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51" s="57" t="str">
        <f t="shared" si="62"/>
        <v>N</v>
      </c>
      <c r="X151" s="117">
        <f t="shared" si="71"/>
        <v>1</v>
      </c>
      <c r="Y151" s="72">
        <f t="shared" si="72"/>
        <v>4.6699999999999998E-2</v>
      </c>
      <c r="Z151" s="72">
        <f t="shared" si="65"/>
        <v>23.3308</v>
      </c>
      <c r="AA151" s="72">
        <f t="shared" si="66"/>
        <v>23.284099999999999</v>
      </c>
      <c r="AB151" s="69" t="e">
        <f>VLOOKUP(A151,Enforcements!$C$7:$J$24,8,0)</f>
        <v>#N/A</v>
      </c>
      <c r="AC151" s="65" t="e">
        <f>VLOOKUP(A151,Enforcements!$C$7:$E$24,3,0)</f>
        <v>#N/A</v>
      </c>
      <c r="AD151" s="66" t="str">
        <f t="shared" si="67"/>
        <v>0239-04</v>
      </c>
      <c r="AE151" s="124" t="str">
        <f t="shared" si="68"/>
        <v>aws s3 cp s3://rtdc.mdm.uploadarchive/RTDC4027/2016-08-04/ "%USERPROFILE%\AppData\Local\Temp\OnboardLogs"\RTDC4027\2016-08-04 --recursive &amp; "%USERPROFILE%\Documents\GitHub\mrs-test-scripts\Headless Mode &amp; Sideloading\WalkAndUnGZ.bat" "%USERPROFILE%\AppData\Local\Temp\OnboardLogs"\RTDC4027\2016-08-04 &amp; aws s3 cp s3://rtdc.mdm.uploadarchive/RTDC4027/2016-08-05/ "%USERPROFILE%\AppData\Local\Temp\OnboardLogs"\RTDC4027\2016-08-05 --recursive &amp; "%USERPROFILE%\Documents\GitHub\mrs-test-scripts\Headless Mode &amp; Sideloading\WalkAndUnGZ.bat" "%USERPROFILE%\AppData\Local\Temp\OnboardLogs"\RTDC4027\2016-08-05</v>
      </c>
      <c r="AF151" s="121" t="str">
        <f t="shared" si="69"/>
        <v>"C:\Program Files (x86)\AstroGrep\AstroGrep.exe" /spath="%USERPROFILE%\AppData\Local\Temp\OnboardLogs" /stypes="*4027*20160805*" /stext=" 06:.+((SYSTEM_STATE.+slice.+state.+changed )|(ment ac)|(system.+state.+changed )|(\|lc)|(penalty)|(\[timeout)|(PRM\|1\|D)|(kpr)|(kdp))" /e /r /s</v>
      </c>
      <c r="AG151" s="1" t="str">
        <f t="shared" si="70"/>
        <v>EC</v>
      </c>
      <c r="AH151" s="125" t="str">
        <f>refinertdcruntimes&amp;" --tripid "&amp;A151&amp;" --locoid "&amp;B151&amp;" --swversion "&amp;C151&amp;" --startMP "&amp;D151&amp;" --initTime "&amp;TEXT(E151,"yyyy-mm-ddTHH:MM:SS")&amp;" --startdatetime "&amp;TEXT(F151,"yyyy-mm-ddTHH:MM:SS")&amp;" --delay "&amp;G151&amp;" --endMP "&amp;H151&amp;" --enddatetime "&amp;TEXT(I151,"yyyy-mm-ddTHH:MM:SS")&amp;" --enforcementcount "&amp;J151&amp;" &gt;&gt; "&amp;TEXT(Variables!$A$2,"yyyy-mm-dd")&amp;"-refined-runtimes.txt"</f>
        <v>"%USERPROFILE%\Documents\GitHub\eaglep3\Utilities\RefineRTDCRunTimes.py" --tripid 239-04 --locoid 4027 --swversion DE.1.0.7.0 --startMP 204:467 --initTime 2016-08-04T23:23:27 --startdatetime 2016-08-04T23:26:03 --delay 2 --endMP 204:233308 --enddatetime 2016-08-05T00:07:11 --enforcementcount 0 &gt;&gt; 2016-08-04-refined-runtimes.txt</v>
      </c>
    </row>
    <row r="152" spans="1:34" x14ac:dyDescent="0.25">
      <c r="A152" s="25" t="s">
        <v>664</v>
      </c>
      <c r="B152" s="87">
        <v>4028</v>
      </c>
      <c r="C152" s="88" t="s">
        <v>163</v>
      </c>
      <c r="D152" s="88" t="s">
        <v>239</v>
      </c>
      <c r="E152" s="89">
        <v>42587.014976851853</v>
      </c>
      <c r="F152" s="89">
        <v>42587.016145833331</v>
      </c>
      <c r="G152" s="87">
        <v>1</v>
      </c>
      <c r="H152" s="89" t="s">
        <v>363</v>
      </c>
      <c r="I152" s="89">
        <v>42587.045347222222</v>
      </c>
      <c r="J152" s="87">
        <v>0</v>
      </c>
      <c r="K152" s="114" t="str">
        <f t="shared" si="57"/>
        <v>4027/4028</v>
      </c>
      <c r="L152" s="25" t="str">
        <f>VLOOKUP(A152,'Trips&amp;Operators'!$C$1:$E$10000,3,FALSE)</f>
        <v>COOLAHAN</v>
      </c>
      <c r="M152" s="6">
        <f t="shared" si="58"/>
        <v>2.920138889021473E-2</v>
      </c>
      <c r="N152" s="7">
        <f t="shared" si="56"/>
        <v>42.050000001909211</v>
      </c>
      <c r="O152" s="7"/>
      <c r="P152" s="7"/>
      <c r="Q152" s="26"/>
      <c r="R152" s="26"/>
      <c r="S152" s="38">
        <f t="shared" si="59"/>
        <v>1</v>
      </c>
      <c r="T152" s="55" t="str">
        <f t="shared" si="60"/>
        <v>Southbound</v>
      </c>
      <c r="U152" s="77">
        <f>IF(AG152="EC",COUNTIFS(Variables!$M$2:$M$19,IF(T152="NorthBound","&gt;=","&lt;=")&amp;Y152,Variables!$M$2:$M$19,IF(T152="NorthBound","&lt;=","&gt;=")&amp;Z152),COUNTIFS(Variables!$P$2:$P$19,IF(T152="NorthBound","&gt;=","&lt;=")&amp;Y152,Variables!$P$2:$P$19,IF(T152="NorthBound","&lt;=","&gt;=")&amp;Z152))</f>
        <v>12</v>
      </c>
      <c r="V152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23:21:34-0600',mode:absolute,to:'2016-08-05 02:05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52" s="57" t="str">
        <f t="shared" si="62"/>
        <v>N</v>
      </c>
      <c r="X152" s="117">
        <f t="shared" si="71"/>
        <v>1</v>
      </c>
      <c r="Y152" s="72">
        <f t="shared" si="72"/>
        <v>23.2987</v>
      </c>
      <c r="Z152" s="72">
        <f t="shared" si="65"/>
        <v>1.3599999999999999E-2</v>
      </c>
      <c r="AA152" s="72">
        <f t="shared" si="66"/>
        <v>23.2851</v>
      </c>
      <c r="AB152" s="69" t="e">
        <f>VLOOKUP(A152,Enforcements!$C$7:$J$24,8,0)</f>
        <v>#N/A</v>
      </c>
      <c r="AC152" s="65" t="e">
        <f>VLOOKUP(A152,Enforcements!$C$7:$E$24,3,0)</f>
        <v>#N/A</v>
      </c>
      <c r="AD152" s="66" t="str">
        <f t="shared" si="67"/>
        <v>0240-04</v>
      </c>
      <c r="AE152" s="124" t="str">
        <f t="shared" si="68"/>
        <v>aws s3 cp s3://rtdc.mdm.uploadarchive/RTDC4028/2016-08-05/ "%USERPROFILE%\AppData\Local\Temp\OnboardLogs"\RTDC4028\2016-08-05 --recursive &amp; "%USERPROFILE%\Documents\GitHub\mrs-test-scripts\Headless Mode &amp; Sideloading\WalkAndUnGZ.bat" "%USERPROFILE%\AppData\Local\Temp\OnboardLogs"\RTDC4028\2016-08-05 &amp; aws s3 cp s3://rtdc.mdm.uploadarchive/RTDC4028/2016-08-06/ "%USERPROFILE%\AppData\Local\Temp\OnboardLogs"\RTDC4028\2016-08-06 --recursive &amp; "%USERPROFILE%\Documents\GitHub\mrs-test-scripts\Headless Mode &amp; Sideloading\WalkAndUnGZ.bat" "%USERPROFILE%\AppData\Local\Temp\OnboardLogs"\RTDC4028\2016-08-06</v>
      </c>
      <c r="AF152" s="121" t="str">
        <f t="shared" si="69"/>
        <v>"C:\Program Files (x86)\AstroGrep\AstroGrep.exe" /spath="%USERPROFILE%\AppData\Local\Temp\OnboardLogs" /stypes="*4028*20160805*" /stext=" 07:.+((SYSTEM_STATE.+slice.+state.+changed )|(ment ac)|(system.+state.+changed )|(\|lc)|(penalty)|(\[timeout)|(PRM\|1\|D)|(kpr)|(kdp))" /e /r /s</v>
      </c>
      <c r="AG152" s="1" t="str">
        <f t="shared" si="70"/>
        <v>EC</v>
      </c>
      <c r="AH152" s="125" t="str">
        <f>refinertdcruntimes&amp;" --tripid "&amp;A152&amp;" --locoid "&amp;B152&amp;" --swversion "&amp;C152&amp;" --startMP "&amp;D152&amp;" --initTime "&amp;TEXT(E152,"yyyy-mm-ddTHH:MM:SS")&amp;" --startdatetime "&amp;TEXT(F152,"yyyy-mm-ddTHH:MM:SS")&amp;" --delay "&amp;G152&amp;" --endMP "&amp;H152&amp;" --enddatetime "&amp;TEXT(I152,"yyyy-mm-ddTHH:MM:SS")&amp;" --enforcementcount "&amp;J152&amp;" &gt;&gt; "&amp;TEXT(Variables!$A$2,"yyyy-mm-dd")&amp;"-refined-runtimes.txt"</f>
        <v>"%USERPROFILE%\Documents\GitHub\eaglep3\Utilities\RefineRTDCRunTimes.py" --tripid 240-04 --locoid 4028 --swversion DE.1.0.7.0 --startMP 204:232987 --initTime 2016-08-05T00:21:34 --startdatetime 2016-08-05T00:23:15 --delay 1 --endMP 204:136 --enddatetime 2016-08-05T01:05:18 --enforcementcount 0 &gt;&gt; 2016-08-04-refined-runtimes.txt</v>
      </c>
    </row>
    <row r="153" spans="1:34" x14ac:dyDescent="0.25">
      <c r="A153" s="25" t="s">
        <v>665</v>
      </c>
      <c r="B153" s="87">
        <v>4011</v>
      </c>
      <c r="C153" s="88" t="s">
        <v>163</v>
      </c>
      <c r="D153" s="88" t="s">
        <v>332</v>
      </c>
      <c r="E153" s="89">
        <v>42586.994814814818</v>
      </c>
      <c r="F153" s="89">
        <v>42586.995636574073</v>
      </c>
      <c r="G153" s="87">
        <v>1</v>
      </c>
      <c r="H153" s="89" t="s">
        <v>329</v>
      </c>
      <c r="I153" s="89">
        <v>42587.024872685186</v>
      </c>
      <c r="J153" s="87">
        <v>0</v>
      </c>
      <c r="K153" s="114" t="str">
        <f t="shared" si="57"/>
        <v>4011/4012</v>
      </c>
      <c r="L153" s="25" t="str">
        <f>VLOOKUP(A153,'Trips&amp;Operators'!$C$1:$E$10000,3,FALSE)</f>
        <v>LEVIN</v>
      </c>
      <c r="M153" s="6">
        <f t="shared" si="58"/>
        <v>2.923611111327773E-2</v>
      </c>
      <c r="N153" s="7">
        <f t="shared" si="56"/>
        <v>42.100000003119931</v>
      </c>
      <c r="O153" s="7"/>
      <c r="P153" s="7"/>
      <c r="Q153" s="26"/>
      <c r="R153" s="26"/>
      <c r="S153" s="38">
        <f t="shared" si="59"/>
        <v>1</v>
      </c>
      <c r="T153" s="55" t="str">
        <f t="shared" si="60"/>
        <v>NorthBound</v>
      </c>
      <c r="U153" s="77">
        <f>IF(AG153="EC",COUNTIFS(Variables!$M$2:$M$19,IF(T153="NorthBound","&gt;=","&lt;=")&amp;Y153,Variables!$M$2:$M$19,IF(T153="NorthBound","&lt;=","&gt;=")&amp;Z153),COUNTIFS(Variables!$P$2:$P$19,IF(T153="NorthBound","&gt;=","&lt;=")&amp;Y153,Variables!$P$2:$P$19,IF(T153="NorthBound","&lt;=","&gt;=")&amp;Z153))</f>
        <v>12</v>
      </c>
      <c r="V153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22:52:32-0600',mode:absolute,to:'2016-08-05 01:35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153" s="57" t="str">
        <f t="shared" si="62"/>
        <v>N</v>
      </c>
      <c r="X153" s="117">
        <f t="shared" si="71"/>
        <v>1</v>
      </c>
      <c r="Y153" s="72">
        <f t="shared" si="72"/>
        <v>4.5499999999999999E-2</v>
      </c>
      <c r="Z153" s="72">
        <f t="shared" si="65"/>
        <v>23.329699999999999</v>
      </c>
      <c r="AA153" s="72">
        <f t="shared" si="66"/>
        <v>23.284199999999998</v>
      </c>
      <c r="AB153" s="69" t="e">
        <f>VLOOKUP(A153,Enforcements!$C$7:$J$24,8,0)</f>
        <v>#N/A</v>
      </c>
      <c r="AC153" s="65" t="e">
        <f>VLOOKUP(A153,Enforcements!$C$7:$E$24,3,0)</f>
        <v>#N/A</v>
      </c>
      <c r="AD153" s="66" t="str">
        <f t="shared" si="67"/>
        <v>0241-04</v>
      </c>
      <c r="AE153" s="124" t="str">
        <f t="shared" si="68"/>
        <v>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 &amp; aws s3 cp s3://rtdc.mdm.uploadarchive/RTDC4011/2016-08-05/ "%USERPROFILE%\AppData\Local\Temp\OnboardLogs"\RTDC4011\2016-08-05 --recursive &amp; "%USERPROFILE%\Documents\GitHub\mrs-test-scripts\Headless Mode &amp; Sideloading\WalkAndUnGZ.bat" "%USERPROFILE%\AppData\Local\Temp\OnboardLogs"\RTDC4011\2016-08-05</v>
      </c>
      <c r="AF153" s="121" t="str">
        <f t="shared" si="69"/>
        <v>"C:\Program Files (x86)\AstroGrep\AstroGrep.exe" /spath="%USERPROFILE%\AppData\Local\Temp\OnboardLogs" /stypes="*4011*20160805*" /stext=" 06:.+((SYSTEM_STATE.+slice.+state.+changed )|(ment ac)|(system.+state.+changed )|(\|lc)|(penalty)|(\[timeout)|(PRM\|1\|D)|(kpr)|(kdp))" /e /r /s</v>
      </c>
      <c r="AG153" s="1" t="str">
        <f t="shared" si="70"/>
        <v>EC</v>
      </c>
      <c r="AH153" s="125" t="str">
        <f>refinertdcruntimes&amp;" --tripid "&amp;A153&amp;" --locoid "&amp;B153&amp;" --swversion "&amp;C153&amp;" --startMP "&amp;D153&amp;" --initTime "&amp;TEXT(E153,"yyyy-mm-ddTHH:MM:SS")&amp;" --startdatetime "&amp;TEXT(F153,"yyyy-mm-ddTHH:MM:SS")&amp;" --delay "&amp;G153&amp;" --endMP "&amp;H153&amp;" --enddatetime "&amp;TEXT(I153,"yyyy-mm-ddTHH:MM:SS")&amp;" --enforcementcount "&amp;J153&amp;" &gt;&gt; "&amp;TEXT(Variables!$A$2,"yyyy-mm-dd")&amp;"-refined-runtimes.txt"</f>
        <v>"%USERPROFILE%\Documents\GitHub\eaglep3\Utilities\RefineRTDCRunTimes.py" --tripid 241-04 --locoid 4011 --swversion DE.1.0.7.0 --startMP 204:455 --initTime 2016-08-04T23:52:32 --startdatetime 2016-08-04T23:53:43 --delay 1 --endMP 204:233297 --enddatetime 2016-08-05T00:35:49 --enforcementcount 0 &gt;&gt; 2016-08-04-refined-runtimes.txt</v>
      </c>
    </row>
    <row r="154" spans="1:34" x14ac:dyDescent="0.25">
      <c r="A154" s="25" t="s">
        <v>666</v>
      </c>
      <c r="B154" s="87">
        <v>4012</v>
      </c>
      <c r="C154" s="88" t="s">
        <v>163</v>
      </c>
      <c r="D154" s="88" t="s">
        <v>328</v>
      </c>
      <c r="E154" s="89">
        <v>42587.032743055555</v>
      </c>
      <c r="F154" s="89">
        <v>42587.033946759257</v>
      </c>
      <c r="G154" s="87">
        <v>1</v>
      </c>
      <c r="H154" s="89" t="s">
        <v>137</v>
      </c>
      <c r="I154" s="89">
        <v>42587.066620370373</v>
      </c>
      <c r="J154" s="87">
        <v>0</v>
      </c>
      <c r="K154" s="114" t="str">
        <f t="shared" si="57"/>
        <v>4011/4012</v>
      </c>
      <c r="L154" s="25" t="str">
        <f>VLOOKUP(A154,'Trips&amp;Operators'!$C$1:$E$10000,3,FALSE)</f>
        <v>LEVIN</v>
      </c>
      <c r="M154" s="6">
        <f t="shared" si="58"/>
        <v>3.2673611116479151E-2</v>
      </c>
      <c r="N154" s="7">
        <f t="shared" si="56"/>
        <v>47.050000007729977</v>
      </c>
      <c r="O154" s="7"/>
      <c r="P154" s="7"/>
      <c r="Q154" s="26"/>
      <c r="R154" s="26" t="s">
        <v>830</v>
      </c>
      <c r="S154" s="38">
        <f t="shared" si="59"/>
        <v>1</v>
      </c>
      <c r="T154" s="55" t="str">
        <f t="shared" si="60"/>
        <v>Southbound</v>
      </c>
      <c r="U154" s="77">
        <f>IF(AG154="EC",COUNTIFS(Variables!$M$2:$M$19,IF(T154="NorthBound","&gt;=","&lt;=")&amp;Y154,Variables!$M$2:$M$19,IF(T154="NorthBound","&lt;=","&gt;=")&amp;Z154),COUNTIFS(Variables!$P$2:$P$19,IF(T154="NorthBound","&gt;=","&lt;=")&amp;Y154,Variables!$P$2:$P$19,IF(T154="NorthBound","&lt;=","&gt;=")&amp;Z154))</f>
        <v>12</v>
      </c>
      <c r="V154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23:47:09-0600',mode:absolute,to:'2016-08-05 02:35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54" s="57" t="str">
        <f t="shared" si="62"/>
        <v>N</v>
      </c>
      <c r="X154" s="117">
        <f t="shared" si="71"/>
        <v>1</v>
      </c>
      <c r="Y154" s="72">
        <f t="shared" si="72"/>
        <v>23.298300000000001</v>
      </c>
      <c r="Z154" s="72">
        <f t="shared" si="65"/>
        <v>1.4999999999999999E-2</v>
      </c>
      <c r="AA154" s="72">
        <f t="shared" si="66"/>
        <v>23.283300000000001</v>
      </c>
      <c r="AB154" s="69" t="e">
        <f>VLOOKUP(A154,Enforcements!$C$7:$J$24,8,0)</f>
        <v>#N/A</v>
      </c>
      <c r="AC154" s="65" t="e">
        <f>VLOOKUP(A154,Enforcements!$C$7:$E$24,3,0)</f>
        <v>#N/A</v>
      </c>
      <c r="AD154" s="66" t="str">
        <f t="shared" si="67"/>
        <v>0242-04</v>
      </c>
      <c r="AE154" s="124" t="str">
        <f t="shared" si="68"/>
        <v>aws s3 cp s3://rtdc.mdm.uploadarchive/RTDC4012/2016-08-05/ "%USERPROFILE%\AppData\Local\Temp\OnboardLogs"\RTDC4012\2016-08-05 --recursive &amp; "%USERPROFILE%\Documents\GitHub\mrs-test-scripts\Headless Mode &amp; Sideloading\WalkAndUnGZ.bat" "%USERPROFILE%\AppData\Local\Temp\OnboardLogs"\RTDC4012\2016-08-05 &amp; aws s3 cp s3://rtdc.mdm.uploadarchive/RTDC4012/2016-08-06/ "%USERPROFILE%\AppData\Local\Temp\OnboardLogs"\RTDC4012\2016-08-06 --recursive &amp; "%USERPROFILE%\Documents\GitHub\mrs-test-scripts\Headless Mode &amp; Sideloading\WalkAndUnGZ.bat" "%USERPROFILE%\AppData\Local\Temp\OnboardLogs"\RTDC4012\2016-08-06</v>
      </c>
      <c r="AF154" s="121" t="str">
        <f t="shared" si="69"/>
        <v>"C:\Program Files (x86)\AstroGrep\AstroGrep.exe" /spath="%USERPROFILE%\AppData\Local\Temp\OnboardLogs" /stypes="*4012*20160805*" /stext=" 07:.+((SYSTEM_STATE.+slice.+state.+changed )|(ment ac)|(system.+state.+changed )|(\|lc)|(penalty)|(\[timeout)|(PRM\|1\|D)|(kpr)|(kdp))" /e /r /s</v>
      </c>
      <c r="AG154" s="1" t="str">
        <f t="shared" si="70"/>
        <v>EC</v>
      </c>
      <c r="AH154" s="125" t="str">
        <f>refinertdcruntimes&amp;" --tripid "&amp;A154&amp;" --locoid "&amp;B154&amp;" --swversion "&amp;C154&amp;" --startMP "&amp;D154&amp;" --initTime "&amp;TEXT(E154,"yyyy-mm-ddTHH:MM:SS")&amp;" --startdatetime "&amp;TEXT(F154,"yyyy-mm-ddTHH:MM:SS")&amp;" --delay "&amp;G154&amp;" --endMP "&amp;H154&amp;" --enddatetime "&amp;TEXT(I154,"yyyy-mm-ddTHH:MM:SS")&amp;" --enforcementcount "&amp;J154&amp;" &gt;&gt; "&amp;TEXT(Variables!$A$2,"yyyy-mm-dd")&amp;"-refined-runtimes.txt"</f>
        <v>"%USERPROFILE%\Documents\GitHub\eaglep3\Utilities\RefineRTDCRunTimes.py" --tripid 242-04 --locoid 4012 --swversion DE.1.0.7.0 --startMP 204:232983 --initTime 2016-08-05T00:47:09 --startdatetime 2016-08-05T00:48:53 --delay 1 --endMP 204:150 --enddatetime 2016-08-05T01:35:56 --enforcementcount 0 &gt;&gt; 2016-08-04-refined-runtimes.txt</v>
      </c>
    </row>
    <row r="155" spans="1:34" x14ac:dyDescent="0.25">
      <c r="A155" s="25" t="s">
        <v>667</v>
      </c>
      <c r="B155" s="87">
        <v>4007</v>
      </c>
      <c r="C155" s="88" t="s">
        <v>163</v>
      </c>
      <c r="D155" s="88" t="s">
        <v>150</v>
      </c>
      <c r="E155" s="89">
        <v>42587.016226851854</v>
      </c>
      <c r="F155" s="89">
        <v>42587.020358796297</v>
      </c>
      <c r="G155" s="87">
        <v>5</v>
      </c>
      <c r="H155" s="89" t="s">
        <v>630</v>
      </c>
      <c r="I155" s="89">
        <v>42587.047824074078</v>
      </c>
      <c r="J155" s="87">
        <v>0</v>
      </c>
      <c r="K155" s="114" t="str">
        <f t="shared" si="57"/>
        <v>4007/4008</v>
      </c>
      <c r="L155" s="25" t="str">
        <f>VLOOKUP(A155,'Trips&amp;Operators'!$C$1:$E$10000,3,FALSE)</f>
        <v>STURGEON</v>
      </c>
      <c r="M155" s="6">
        <f t="shared" si="58"/>
        <v>2.7465277780720498E-2</v>
      </c>
      <c r="N155" s="7">
        <f t="shared" si="56"/>
        <v>39.550000004237518</v>
      </c>
      <c r="O155" s="7"/>
      <c r="P155" s="7"/>
      <c r="Q155" s="26"/>
      <c r="R155" s="26"/>
      <c r="S155" s="38">
        <f t="shared" si="59"/>
        <v>1</v>
      </c>
      <c r="T155" s="55" t="str">
        <f t="shared" si="60"/>
        <v>NorthBound</v>
      </c>
      <c r="U155" s="77">
        <f>IF(AG155="EC",COUNTIFS(Variables!$M$2:$M$19,IF(T155="NorthBound","&gt;=","&lt;=")&amp;Y155,Variables!$M$2:$M$19,IF(T155="NorthBound","&lt;=","&gt;=")&amp;Z155),COUNTIFS(Variables!$P$2:$P$19,IF(T155="NorthBound","&gt;=","&lt;=")&amp;Y155,Variables!$P$2:$P$19,IF(T155="NorthBound","&lt;=","&gt;=")&amp;Z155))</f>
        <v>12</v>
      </c>
      <c r="V155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23:23:22-0600',mode:absolute,to:'2016-08-05 02:08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55" s="57" t="str">
        <f t="shared" si="62"/>
        <v>N</v>
      </c>
      <c r="X155" s="117">
        <f t="shared" si="71"/>
        <v>1</v>
      </c>
      <c r="Y155" s="72">
        <f t="shared" si="72"/>
        <v>4.6699999999999998E-2</v>
      </c>
      <c r="Z155" s="72">
        <f t="shared" si="65"/>
        <v>23.327200000000001</v>
      </c>
      <c r="AA155" s="72">
        <f t="shared" si="66"/>
        <v>23.2805</v>
      </c>
      <c r="AB155" s="69" t="e">
        <f>VLOOKUP(A155,Enforcements!$C$7:$J$24,8,0)</f>
        <v>#N/A</v>
      </c>
      <c r="AC155" s="65" t="e">
        <f>VLOOKUP(A155,Enforcements!$C$7:$E$24,3,0)</f>
        <v>#N/A</v>
      </c>
      <c r="AD155" s="66" t="str">
        <f t="shared" si="67"/>
        <v>0243-04</v>
      </c>
      <c r="AE155" s="124" t="str">
        <f t="shared" si="68"/>
        <v>aws s3 cp s3://rtdc.mdm.uploadarchive/RTDC4007/2016-08-05/ "%USERPROFILE%\AppData\Local\Temp\OnboardLogs"\RTDC4007\2016-08-05 --recursive &amp; "%USERPROFILE%\Documents\GitHub\mrs-test-scripts\Headless Mode &amp; Sideloading\WalkAndUnGZ.bat" "%USERPROFILE%\AppData\Local\Temp\OnboardLogs"\RTDC4007\2016-08-05 &amp; aws s3 cp s3://rtdc.mdm.uploadarchive/RTDC4007/2016-08-06/ "%USERPROFILE%\AppData\Local\Temp\OnboardLogs"\RTDC4007\2016-08-06 --recursive &amp; "%USERPROFILE%\Documents\GitHub\mrs-test-scripts\Headless Mode &amp; Sideloading\WalkAndUnGZ.bat" "%USERPROFILE%\AppData\Local\Temp\OnboardLogs"\RTDC4007\2016-08-06</v>
      </c>
      <c r="AF155" s="121" t="str">
        <f t="shared" si="69"/>
        <v>"C:\Program Files (x86)\AstroGrep\AstroGrep.exe" /spath="%USERPROFILE%\AppData\Local\Temp\OnboardLogs" /stypes="*4007*20160805*" /stext=" 07:.+((SYSTEM_STATE.+slice.+state.+changed )|(ment ac)|(system.+state.+changed )|(\|lc)|(penalty)|(\[timeout)|(PRM\|1\|D)|(kpr)|(kdp))" /e /r /s</v>
      </c>
      <c r="AG155" s="1" t="str">
        <f t="shared" si="70"/>
        <v>EC</v>
      </c>
      <c r="AH155" s="125" t="str">
        <f>refinertdcruntimes&amp;" --tripid "&amp;A155&amp;" --locoid "&amp;B155&amp;" --swversion "&amp;C155&amp;" --startMP "&amp;D155&amp;" --initTime "&amp;TEXT(E155,"yyyy-mm-ddTHH:MM:SS")&amp;" --startdatetime "&amp;TEXT(F155,"yyyy-mm-ddTHH:MM:SS")&amp;" --delay "&amp;G155&amp;" --endMP "&amp;H155&amp;" --enddatetime "&amp;TEXT(I155,"yyyy-mm-ddTHH:MM:SS")&amp;" --enforcementcount "&amp;J155&amp;" &gt;&gt; "&amp;TEXT(Variables!$A$2,"yyyy-mm-dd")&amp;"-refined-runtimes.txt"</f>
        <v>"%USERPROFILE%\Documents\GitHub\eaglep3\Utilities\RefineRTDCRunTimes.py" --tripid 243-04 --locoid 4007 --swversion DE.1.0.7.0 --startMP 204:467 --initTime 2016-08-05T00:23:22 --startdatetime 2016-08-05T00:29:19 --delay 5 --endMP 204:233272 --enddatetime 2016-08-05T01:08:52 --enforcementcount 0 &gt;&gt; 2016-08-04-refined-runtimes.txt</v>
      </c>
    </row>
    <row r="156" spans="1:34" x14ac:dyDescent="0.25">
      <c r="A156" s="25" t="s">
        <v>668</v>
      </c>
      <c r="B156" s="87">
        <v>4008</v>
      </c>
      <c r="C156" s="88" t="s">
        <v>163</v>
      </c>
      <c r="D156" s="88" t="s">
        <v>640</v>
      </c>
      <c r="E156" s="89">
        <v>42587.054131944446</v>
      </c>
      <c r="F156" s="89">
        <v>42587.055914351855</v>
      </c>
      <c r="G156" s="87">
        <v>2</v>
      </c>
      <c r="H156" s="89" t="s">
        <v>660</v>
      </c>
      <c r="I156" s="89">
        <v>42587.088379629633</v>
      </c>
      <c r="J156" s="87">
        <v>0</v>
      </c>
      <c r="K156" s="114" t="str">
        <f t="shared" si="57"/>
        <v>4007/4008</v>
      </c>
      <c r="L156" s="25" t="str">
        <f>VLOOKUP(A156,'Trips&amp;Operators'!$C$1:$E$10000,3,FALSE)</f>
        <v>STURGEON</v>
      </c>
      <c r="M156" s="6">
        <f t="shared" si="58"/>
        <v>3.2465277778101154E-2</v>
      </c>
      <c r="N156" s="7">
        <f t="shared" si="56"/>
        <v>46.750000000465661</v>
      </c>
      <c r="O156" s="7"/>
      <c r="P156" s="7"/>
      <c r="Q156" s="26"/>
      <c r="R156" s="26"/>
      <c r="S156" s="38">
        <f t="shared" si="59"/>
        <v>1</v>
      </c>
      <c r="T156" s="55" t="str">
        <f t="shared" si="60"/>
        <v>Southbound</v>
      </c>
      <c r="U156" s="77">
        <f>IF(AG156="EC",COUNTIFS(Variables!$M$2:$M$19,IF(T156="NorthBound","&gt;=","&lt;=")&amp;Y156,Variables!$M$2:$M$19,IF(T156="NorthBound","&lt;=","&gt;=")&amp;Z156),COUNTIFS(Variables!$P$2:$P$19,IF(T156="NorthBound","&gt;=","&lt;=")&amp;Y156,Variables!$P$2:$P$19,IF(T156="NorthBound","&lt;=","&gt;=")&amp;Z156))</f>
        <v>12</v>
      </c>
      <c r="V156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https://search-rtdc-monitor-bjffxe2xuh6vdkpspy63sjmuny.us-east-1.es.amazonaws.com/_plugin/kibana/#/discover/Steve-Slow-Train-Analysis-(2080s-and-2083s)?_g=(refreshInterval:(display:Off,section:0,value:0),time:(from:'2016-08-05 00:17:57-0600',mode:absolute,to:'2016-08-05 03:07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56" s="57" t="str">
        <f t="shared" si="62"/>
        <v>N</v>
      </c>
      <c r="X156" s="117">
        <f t="shared" si="71"/>
        <v>1</v>
      </c>
      <c r="Y156" s="72">
        <f t="shared" si="72"/>
        <v>23.295300000000001</v>
      </c>
      <c r="Z156" s="72">
        <f t="shared" si="65"/>
        <v>1.6899999999999998E-2</v>
      </c>
      <c r="AA156" s="72">
        <f t="shared" si="66"/>
        <v>23.278400000000001</v>
      </c>
      <c r="AB156" s="69" t="e">
        <f>VLOOKUP(A156,Enforcements!$C$7:$J$24,8,0)</f>
        <v>#N/A</v>
      </c>
      <c r="AC156" s="65" t="e">
        <f>VLOOKUP(A156,Enforcements!$C$7:$E$24,3,0)</f>
        <v>#N/A</v>
      </c>
      <c r="AD156" s="66" t="str">
        <f t="shared" si="67"/>
        <v>0244-04</v>
      </c>
      <c r="AE156" s="124" t="str">
        <f t="shared" si="68"/>
        <v>aws s3 cp s3://rtdc.mdm.uploadarchive/RTDC4008/2016-08-05/ "%USERPROFILE%\AppData\Local\Temp\OnboardLogs"\RTDC4008\2016-08-05 --recursive &amp; "%USERPROFILE%\Documents\GitHub\mrs-test-scripts\Headless Mode &amp; Sideloading\WalkAndUnGZ.bat" "%USERPROFILE%\AppData\Local\Temp\OnboardLogs"\RTDC4008\2016-08-05 &amp; aws s3 cp s3://rtdc.mdm.uploadarchive/RTDC4008/2016-08-06/ "%USERPROFILE%\AppData\Local\Temp\OnboardLogs"\RTDC4008\2016-08-06 --recursive &amp; "%USERPROFILE%\Documents\GitHub\mrs-test-scripts\Headless Mode &amp; Sideloading\WalkAndUnGZ.bat" "%USERPROFILE%\AppData\Local\Temp\OnboardLogs"\RTDC4008\2016-08-06</v>
      </c>
      <c r="AF156" s="121" t="str">
        <f t="shared" si="69"/>
        <v>"C:\Program Files (x86)\AstroGrep\AstroGrep.exe" /spath="%USERPROFILE%\AppData\Local\Temp\OnboardLogs" /stypes="*4008*20160805*" /stext=" 08:.+((SYSTEM_STATE.+slice.+state.+changed )|(ment ac)|(system.+state.+changed )|(\|lc)|(penalty)|(\[timeout)|(PRM\|1\|D)|(kpr)|(kdp))" /e /r /s</v>
      </c>
      <c r="AG156" s="1" t="str">
        <f t="shared" si="70"/>
        <v>EC</v>
      </c>
      <c r="AH156" s="125" t="str">
        <f>refinertdcruntimes&amp;" --tripid "&amp;A156&amp;" --locoid "&amp;B156&amp;" --swversion "&amp;C156&amp;" --startMP "&amp;D156&amp;" --initTime "&amp;TEXT(E156,"yyyy-mm-ddTHH:MM:SS")&amp;" --startdatetime "&amp;TEXT(F156,"yyyy-mm-ddTHH:MM:SS")&amp;" --delay "&amp;G156&amp;" --endMP "&amp;H156&amp;" --enddatetime "&amp;TEXT(I156,"yyyy-mm-ddTHH:MM:SS")&amp;" --enforcementcount "&amp;J156&amp;" &gt;&gt; "&amp;TEXT(Variables!$A$2,"yyyy-mm-dd")&amp;"-refined-runtimes.txt"</f>
        <v>"%USERPROFILE%\Documents\GitHub\eaglep3\Utilities\RefineRTDCRunTimes.py" --tripid 244-04 --locoid 4008 --swversion DE.1.0.7.0 --startMP 204:232953 --initTime 2016-08-05T01:17:57 --startdatetime 2016-08-05T01:20:31 --delay 2 --endMP 204:169 --enddatetime 2016-08-05T02:07:16 --enforcementcount 0 &gt;&gt; 2016-08-04-refined-runtimes.txt</v>
      </c>
    </row>
    <row r="157" spans="1:34" x14ac:dyDescent="0.25">
      <c r="A157" s="42" t="s">
        <v>446</v>
      </c>
      <c r="B157" s="7">
        <v>4041</v>
      </c>
      <c r="C157" s="25" t="s">
        <v>163</v>
      </c>
      <c r="D157" s="25" t="s">
        <v>681</v>
      </c>
      <c r="E157" s="16">
        <v>42586.214409722219</v>
      </c>
      <c r="F157" s="16">
        <v>42586.216192129628</v>
      </c>
      <c r="G157" s="7">
        <v>2</v>
      </c>
      <c r="H157" s="16" t="s">
        <v>682</v>
      </c>
      <c r="I157" s="16">
        <v>42586.227384259262</v>
      </c>
      <c r="J157" s="7">
        <v>0</v>
      </c>
      <c r="K157" s="114" t="str">
        <f t="shared" si="57"/>
        <v>4041/4042</v>
      </c>
      <c r="L157" s="25" t="str">
        <f>VLOOKUP(A157,'Trips&amp;Operators'!$C$1:$E$10000,3,FALSE)</f>
        <v>YORK</v>
      </c>
      <c r="M157" s="6">
        <f t="shared" si="58"/>
        <v>1.1192129633855075E-2</v>
      </c>
      <c r="N157" s="7">
        <f t="shared" si="56"/>
        <v>16.116666672751307</v>
      </c>
      <c r="O157" s="7"/>
      <c r="P157" s="7"/>
      <c r="Q157" s="26"/>
      <c r="R157" s="26"/>
      <c r="S157" s="38">
        <f t="shared" si="59"/>
        <v>1</v>
      </c>
      <c r="T157" s="55" t="str">
        <f t="shared" si="60"/>
        <v>Southbound</v>
      </c>
      <c r="U157" s="77">
        <f>IF(AG157="EC",COUNTIFS(Variables!$M$2:$M$19,IF(T157="NorthBound","&gt;=","&lt;=")&amp;Y157,Variables!$M$2:$M$19,IF(T157="NorthBound","&lt;=","&gt;=")&amp;Z157),COUNTIFS(Variables!$P$2:$P$19,IF(T157="NorthBound","&gt;=","&lt;=")&amp;Y157,Variables!$P$2:$P$19,IF(T157="NorthBound","&lt;=","&gt;=")&amp;Z157))</f>
        <v>1</v>
      </c>
      <c r="V157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04:08:45-0600',mode:absolute,to:'2016-08-04 06:27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57" s="57" t="str">
        <f t="shared" si="62"/>
        <v>N</v>
      </c>
      <c r="X157" s="117">
        <f t="shared" si="71"/>
        <v>556</v>
      </c>
      <c r="Y157" s="72">
        <f t="shared" si="72"/>
        <v>5.8628</v>
      </c>
      <c r="Z157" s="72">
        <f t="shared" si="65"/>
        <v>7.6899999999999996E-2</v>
      </c>
      <c r="AA157" s="72">
        <f t="shared" si="66"/>
        <v>5.7858999999999998</v>
      </c>
      <c r="AB157" s="69" t="e">
        <f>VLOOKUP(A157,Enforcements!$C$7:$J$24,8,0)</f>
        <v>#N/A</v>
      </c>
      <c r="AC157" s="65" t="e">
        <f>VLOOKUP(A157,Enforcements!$C$7:$E$24,3,0)</f>
        <v>#N/A</v>
      </c>
      <c r="AD157" s="66" t="str">
        <f t="shared" si="67"/>
        <v>0800-04</v>
      </c>
      <c r="AE157" s="124" t="str">
        <f t="shared" si="68"/>
        <v>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 &amp; aws s3 cp s3://rtdc.mdm.uploadarchive/RTDC4041/2016-08-05/ "%USERPROFILE%\AppData\Local\Temp\OnboardLogs"\RTDC4041\2016-08-05 --recursive &amp; "%USERPROFILE%\Documents\GitHub\mrs-test-scripts\Headless Mode &amp; Sideloading\WalkAndUnGZ.bat" "%USERPROFILE%\AppData\Local\Temp\OnboardLogs"\RTDC4041\2016-08-05</v>
      </c>
      <c r="AF157" s="121" t="str">
        <f t="shared" si="69"/>
        <v>"C:\Program Files (x86)\AstroGrep\AstroGrep.exe" /spath="%USERPROFILE%\AppData\Local\Temp\OnboardLogs" /stypes="*4041*20160804*" /stext=" 11:.+((SYSTEM_STATE.+slice.+state.+changed )|(ment ac)|(system.+state.+changed )|(\|lc)|(penalty)|(\[timeout)|(PRM\|1\|D)|(kpr)|(kdp))" /e /r /s</v>
      </c>
      <c r="AG157" s="1" t="str">
        <f t="shared" si="70"/>
        <v>NW</v>
      </c>
      <c r="AH157" s="125" t="str">
        <f>refinertdcruntimes&amp;" --tripid "&amp;A157&amp;" --locoid "&amp;B157&amp;" --swversion "&amp;C157&amp;" --startMP "&amp;D157&amp;" --initTime "&amp;TEXT(E157,"yyyy-mm-ddTHH:MM:SS")&amp;" --startdatetime "&amp;TEXT(F157,"yyyy-mm-ddTHH:MM:SS")&amp;" --delay "&amp;G157&amp;" --endMP "&amp;H157&amp;" --enddatetime "&amp;TEXT(I157,"yyyy-mm-ddTHH:MM:SS")&amp;" --enforcementcount "&amp;J157&amp;" &gt;&gt; "&amp;TEXT(Variables!$A$2,"yyyy-mm-dd")&amp;"-refined-runtimes.txt"</f>
        <v>"%USERPROFILE%\Documents\GitHub\eaglep3\Utilities\RefineRTDCRunTimes.py" --tripid 800-04 --locoid 4041 --swversion DE.1.0.7.0 --startMP 300:58628 --initTime 2016-08-04T05:08:45 --startdatetime 2016-08-04T05:11:19 --delay 2 --endMP 204:769 --enddatetime 2016-08-04T05:27:26 --enforcementcount 0 &gt;&gt; 2016-08-04-refined-runtimes.txt</v>
      </c>
    </row>
    <row r="158" spans="1:34" x14ac:dyDescent="0.25">
      <c r="A158" s="42" t="s">
        <v>463</v>
      </c>
      <c r="B158" s="7">
        <v>4042</v>
      </c>
      <c r="C158" s="25" t="s">
        <v>163</v>
      </c>
      <c r="D158" s="25" t="s">
        <v>683</v>
      </c>
      <c r="E158" s="16">
        <v>42586.229837962965</v>
      </c>
      <c r="F158" s="16">
        <v>42586.231793981482</v>
      </c>
      <c r="G158" s="7">
        <v>2</v>
      </c>
      <c r="H158" s="16" t="s">
        <v>684</v>
      </c>
      <c r="I158" s="16">
        <v>42586.252766203703</v>
      </c>
      <c r="J158" s="7">
        <v>0</v>
      </c>
      <c r="K158" s="114" t="str">
        <f t="shared" si="57"/>
        <v>4041/4042</v>
      </c>
      <c r="L158" s="25" t="str">
        <f>VLOOKUP(A158,'Trips&amp;Operators'!$C$1:$E$10000,3,FALSE)</f>
        <v>YORK</v>
      </c>
      <c r="M158" s="6">
        <f t="shared" si="58"/>
        <v>2.0972222220734693E-2</v>
      </c>
      <c r="N158" s="7">
        <f t="shared" si="56"/>
        <v>30.199999997857958</v>
      </c>
      <c r="O158" s="7"/>
      <c r="P158" s="7"/>
      <c r="Q158" s="26"/>
      <c r="R158" s="26"/>
      <c r="S158" s="38">
        <f t="shared" si="59"/>
        <v>1</v>
      </c>
      <c r="T158" s="55" t="str">
        <f t="shared" si="60"/>
        <v>NorthBound</v>
      </c>
      <c r="U158" s="77">
        <f>IF(AG158="EC",COUNTIFS(Variables!$M$2:$M$19,IF(T158="NorthBound","&gt;=","&lt;=")&amp;Y158,Variables!$M$2:$M$19,IF(T158="NorthBound","&lt;=","&gt;=")&amp;Z158),COUNTIFS(Variables!$P$2:$P$19,IF(T158="NorthBound","&gt;=","&lt;=")&amp;Y158,Variables!$P$2:$P$19,IF(T158="NorthBound","&lt;=","&gt;=")&amp;Z158))</f>
        <v>1</v>
      </c>
      <c r="V158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04:30:58-0600',mode:absolute,to:'2016-08-04 07:03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58" s="57" t="str">
        <f t="shared" si="62"/>
        <v>N</v>
      </c>
      <c r="X158" s="117">
        <f t="shared" si="71"/>
        <v>1</v>
      </c>
      <c r="Y158" s="72">
        <f t="shared" si="72"/>
        <v>0.106</v>
      </c>
      <c r="Z158" s="72">
        <f t="shared" si="65"/>
        <v>5.8097000000000003</v>
      </c>
      <c r="AA158" s="72">
        <f t="shared" si="66"/>
        <v>5.7037000000000004</v>
      </c>
      <c r="AB158" s="69" t="e">
        <f>VLOOKUP(A158,Enforcements!$C$7:$J$24,8,0)</f>
        <v>#N/A</v>
      </c>
      <c r="AC158" s="65" t="e">
        <f>VLOOKUP(A158,Enforcements!$C$7:$E$24,3,0)</f>
        <v>#N/A</v>
      </c>
      <c r="AD158" s="66" t="str">
        <f t="shared" si="67"/>
        <v>0801-04</v>
      </c>
      <c r="AE158" s="124" t="str">
        <f t="shared" si="68"/>
        <v>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 &amp; aws s3 cp s3://rtdc.mdm.uploadarchive/RTDC4042/2016-08-05/ "%USERPROFILE%\AppData\Local\Temp\OnboardLogs"\RTDC4042\2016-08-05 --recursive &amp; "%USERPROFILE%\Documents\GitHub\mrs-test-scripts\Headless Mode &amp; Sideloading\WalkAndUnGZ.bat" "%USERPROFILE%\AppData\Local\Temp\OnboardLogs"\RTDC4042\2016-08-05</v>
      </c>
      <c r="AF158" s="121" t="str">
        <f t="shared" si="69"/>
        <v>"C:\Program Files (x86)\AstroGrep\AstroGrep.exe" /spath="%USERPROFILE%\AppData\Local\Temp\OnboardLogs" /stypes="*4042*20160804*" /stext=" 12:.+((SYSTEM_STATE.+slice.+state.+changed )|(ment ac)|(system.+state.+changed )|(\|lc)|(penalty)|(\[timeout)|(PRM\|1\|D)|(kpr)|(kdp))" /e /r /s</v>
      </c>
      <c r="AG158" s="1" t="str">
        <f t="shared" si="70"/>
        <v>NW</v>
      </c>
      <c r="AH158" s="125" t="str">
        <f>refinertdcruntimes&amp;" --tripid "&amp;A158&amp;" --locoid "&amp;B158&amp;" --swversion "&amp;C158&amp;" --startMP "&amp;D158&amp;" --initTime "&amp;TEXT(E158,"yyyy-mm-ddTHH:MM:SS")&amp;" --startdatetime "&amp;TEXT(F158,"yyyy-mm-ddTHH:MM:SS")&amp;" --delay "&amp;G158&amp;" --endMP "&amp;H158&amp;" --enddatetime "&amp;TEXT(I158,"yyyy-mm-ddTHH:MM:SS")&amp;" --enforcementcount "&amp;J158&amp;" &gt;&gt; "&amp;TEXT(Variables!$A$2,"yyyy-mm-dd")&amp;"-refined-runtimes.txt"</f>
        <v>"%USERPROFILE%\Documents\GitHub\eaglep3\Utilities\RefineRTDCRunTimes.py" --tripid 801-04 --locoid 4042 --swversion DE.1.0.7.0 --startMP 204:1060 --initTime 2016-08-04T05:30:58 --startdatetime 2016-08-04T05:33:47 --delay 2 --endMP 300:58097 --enddatetime 2016-08-04T06:03:59 --enforcementcount 0 &gt;&gt; 2016-08-04-refined-runtimes.txt</v>
      </c>
    </row>
    <row r="159" spans="1:34" x14ac:dyDescent="0.25">
      <c r="A159" s="42" t="s">
        <v>451</v>
      </c>
      <c r="B159" s="7">
        <v>4041</v>
      </c>
      <c r="C159" s="25" t="s">
        <v>163</v>
      </c>
      <c r="D159" s="25" t="s">
        <v>685</v>
      </c>
      <c r="E159" s="16">
        <v>42586.254537037035</v>
      </c>
      <c r="F159" s="16">
        <v>42586.255266203705</v>
      </c>
      <c r="G159" s="7">
        <v>1</v>
      </c>
      <c r="H159" s="16" t="s">
        <v>686</v>
      </c>
      <c r="I159" s="16">
        <v>42586.267372685186</v>
      </c>
      <c r="J159" s="7">
        <v>0</v>
      </c>
      <c r="K159" s="114" t="str">
        <f t="shared" si="57"/>
        <v>4041/4042</v>
      </c>
      <c r="L159" s="25" t="str">
        <f>VLOOKUP(A159,'Trips&amp;Operators'!$C$1:$E$10000,3,FALSE)</f>
        <v>YORK</v>
      </c>
      <c r="M159" s="6">
        <f t="shared" si="58"/>
        <v>1.2106481481168885E-2</v>
      </c>
      <c r="N159" s="7">
        <f t="shared" si="56"/>
        <v>17.433333332883194</v>
      </c>
      <c r="O159" s="7"/>
      <c r="P159" s="7"/>
      <c r="Q159" s="26"/>
      <c r="R159" s="26"/>
      <c r="S159" s="38">
        <f t="shared" si="59"/>
        <v>1</v>
      </c>
      <c r="T159" s="55" t="str">
        <f t="shared" si="60"/>
        <v>Southbound</v>
      </c>
      <c r="U159" s="77">
        <f>IF(AG159="EC",COUNTIFS(Variables!$M$2:$M$19,IF(T159="NorthBound","&gt;=","&lt;=")&amp;Y159,Variables!$M$2:$M$19,IF(T159="NorthBound","&lt;=","&gt;=")&amp;Z159),COUNTIFS(Variables!$P$2:$P$19,IF(T159="NorthBound","&gt;=","&lt;=")&amp;Y159,Variables!$P$2:$P$19,IF(T159="NorthBound","&lt;=","&gt;=")&amp;Z159))</f>
        <v>1</v>
      </c>
      <c r="V159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05:06:32-0600',mode:absolute,to:'2016-08-04 07:25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59" s="57" t="str">
        <f t="shared" si="62"/>
        <v>N</v>
      </c>
      <c r="X159" s="117">
        <f t="shared" si="71"/>
        <v>1</v>
      </c>
      <c r="Y159" s="72">
        <f t="shared" si="72"/>
        <v>5.8613</v>
      </c>
      <c r="Z159" s="72">
        <f t="shared" si="65"/>
        <v>7.5899999999999995E-2</v>
      </c>
      <c r="AA159" s="72">
        <f t="shared" si="66"/>
        <v>5.7854000000000001</v>
      </c>
      <c r="AB159" s="69" t="e">
        <f>VLOOKUP(A159,Enforcements!$C$7:$J$24,8,0)</f>
        <v>#N/A</v>
      </c>
      <c r="AC159" s="65" t="e">
        <f>VLOOKUP(A159,Enforcements!$C$7:$E$24,3,0)</f>
        <v>#N/A</v>
      </c>
      <c r="AD159" s="66" t="str">
        <f t="shared" si="67"/>
        <v>0802-04</v>
      </c>
      <c r="AE159" s="124" t="str">
        <f t="shared" si="68"/>
        <v>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 &amp; aws s3 cp s3://rtdc.mdm.uploadarchive/RTDC4041/2016-08-05/ "%USERPROFILE%\AppData\Local\Temp\OnboardLogs"\RTDC4041\2016-08-05 --recursive &amp; "%USERPROFILE%\Documents\GitHub\mrs-test-scripts\Headless Mode &amp; Sideloading\WalkAndUnGZ.bat" "%USERPROFILE%\AppData\Local\Temp\OnboardLogs"\RTDC4041\2016-08-05</v>
      </c>
      <c r="AF159" s="121" t="str">
        <f t="shared" si="69"/>
        <v>"C:\Program Files (x86)\AstroGrep\AstroGrep.exe" /spath="%USERPROFILE%\AppData\Local\Temp\OnboardLogs" /stypes="*4041*20160804*" /stext=" 12:.+((SYSTEM_STATE.+slice.+state.+changed )|(ment ac)|(system.+state.+changed )|(\|lc)|(penalty)|(\[timeout)|(PRM\|1\|D)|(kpr)|(kdp))" /e /r /s</v>
      </c>
      <c r="AG159" s="1" t="str">
        <f t="shared" si="70"/>
        <v>NW</v>
      </c>
      <c r="AH159" s="125" t="str">
        <f>refinertdcruntimes&amp;" --tripid "&amp;A159&amp;" --locoid "&amp;B159&amp;" --swversion "&amp;C159&amp;" --startMP "&amp;D159&amp;" --initTime "&amp;TEXT(E159,"yyyy-mm-ddTHH:MM:SS")&amp;" --startdatetime "&amp;TEXT(F159,"yyyy-mm-ddTHH:MM:SS")&amp;" --delay "&amp;G159&amp;" --endMP "&amp;H159&amp;" --enddatetime "&amp;TEXT(I159,"yyyy-mm-ddTHH:MM:SS")&amp;" --enforcementcount "&amp;J159&amp;" &gt;&gt; "&amp;TEXT(Variables!$A$2,"yyyy-mm-dd")&amp;"-refined-runtimes.txt"</f>
        <v>"%USERPROFILE%\Documents\GitHub\eaglep3\Utilities\RefineRTDCRunTimes.py" --tripid 802-04 --locoid 4041 --swversion DE.1.0.7.0 --startMP 300:58613 --initTime 2016-08-04T06:06:32 --startdatetime 2016-08-04T06:07:35 --delay 1 --endMP 204:759 --enddatetime 2016-08-04T06:25:01 --enforcementcount 0 &gt;&gt; 2016-08-04-refined-runtimes.txt</v>
      </c>
    </row>
    <row r="160" spans="1:34" x14ac:dyDescent="0.25">
      <c r="A160" s="42" t="s">
        <v>438</v>
      </c>
      <c r="B160" s="7">
        <v>4018</v>
      </c>
      <c r="C160" s="25" t="s">
        <v>163</v>
      </c>
      <c r="D160" s="25" t="s">
        <v>332</v>
      </c>
      <c r="E160" s="16">
        <v>42586.264305555553</v>
      </c>
      <c r="F160" s="16">
        <v>42586.265798611108</v>
      </c>
      <c r="G160" s="7">
        <v>2</v>
      </c>
      <c r="H160" s="16" t="s">
        <v>369</v>
      </c>
      <c r="I160" s="16">
        <v>42586.276875000003</v>
      </c>
      <c r="J160" s="7">
        <v>0</v>
      </c>
      <c r="K160" s="114" t="str">
        <f t="shared" si="57"/>
        <v>4017/4018</v>
      </c>
      <c r="L160" s="25" t="str">
        <f>VLOOKUP(A160,'Trips&amp;Operators'!$C$1:$E$10000,3,FALSE)</f>
        <v>ISHMAEL</v>
      </c>
      <c r="M160" s="6">
        <f t="shared" si="58"/>
        <v>1.1076388895162381E-2</v>
      </c>
      <c r="N160" s="7">
        <f t="shared" si="56"/>
        <v>15.950000009033829</v>
      </c>
      <c r="O160" s="7"/>
      <c r="P160" s="7"/>
      <c r="Q160" s="26"/>
      <c r="R160" s="26"/>
      <c r="S160" s="38">
        <f t="shared" si="59"/>
        <v>1</v>
      </c>
      <c r="T160" s="55" t="str">
        <f t="shared" si="60"/>
        <v>NorthBound</v>
      </c>
      <c r="U160" s="77">
        <f>IF(AG160="EC",COUNTIFS(Variables!$M$2:$M$19,IF(T160="NorthBound","&gt;=","&lt;=")&amp;Y160,Variables!$M$2:$M$19,IF(T160="NorthBound","&lt;=","&gt;=")&amp;Z160),COUNTIFS(Variables!$P$2:$P$19,IF(T160="NorthBound","&gt;=","&lt;=")&amp;Y160,Variables!$P$2:$P$19,IF(T160="NorthBound","&lt;=","&gt;=")&amp;Z160))</f>
        <v>1</v>
      </c>
      <c r="V160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05:20:36-0600',mode:absolute,to:'2016-08-04 07:38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60" s="57" t="str">
        <f t="shared" si="62"/>
        <v>N</v>
      </c>
      <c r="X160" s="117">
        <f t="shared" si="71"/>
        <v>1</v>
      </c>
      <c r="Y160" s="72">
        <f t="shared" si="72"/>
        <v>4.5499999999999999E-2</v>
      </c>
      <c r="Z160" s="72">
        <f t="shared" si="65"/>
        <v>5.8914</v>
      </c>
      <c r="AA160" s="72">
        <f t="shared" si="66"/>
        <v>5.8459000000000003</v>
      </c>
      <c r="AB160" s="69" t="e">
        <f>VLOOKUP(A160,Enforcements!$C$7:$J$24,8,0)</f>
        <v>#N/A</v>
      </c>
      <c r="AC160" s="65" t="e">
        <f>VLOOKUP(A160,Enforcements!$C$7:$E$24,3,0)</f>
        <v>#N/A</v>
      </c>
      <c r="AD160" s="66" t="str">
        <f t="shared" si="67"/>
        <v>0803-04</v>
      </c>
      <c r="AE160" s="124" t="str">
        <f t="shared" si="68"/>
        <v>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 &amp; aws s3 cp s3://rtdc.mdm.uploadarchive/RTDC4018/2016-08-05/ "%USERPROFILE%\AppData\Local\Temp\OnboardLogs"\RTDC4018\2016-08-05 --recursive &amp; "%USERPROFILE%\Documents\GitHub\mrs-test-scripts\Headless Mode &amp; Sideloading\WalkAndUnGZ.bat" "%USERPROFILE%\AppData\Local\Temp\OnboardLogs"\RTDC4018\2016-08-05</v>
      </c>
      <c r="AF160" s="121" t="str">
        <f t="shared" si="69"/>
        <v>"C:\Program Files (x86)\AstroGrep\AstroGrep.exe" /spath="%USERPROFILE%\AppData\Local\Temp\OnboardLogs" /stypes="*4018*20160804*" /stext=" 12:.+((SYSTEM_STATE.+slice.+state.+changed )|(ment ac)|(system.+state.+changed )|(\|lc)|(penalty)|(\[timeout)|(PRM\|1\|D)|(kpr)|(kdp))" /e /r /s</v>
      </c>
      <c r="AG160" s="1" t="str">
        <f t="shared" si="70"/>
        <v>NW</v>
      </c>
      <c r="AH160" s="125" t="str">
        <f>refinertdcruntimes&amp;" --tripid "&amp;A160&amp;" --locoid "&amp;B160&amp;" --swversion "&amp;C160&amp;" --startMP "&amp;D160&amp;" --initTime "&amp;TEXT(E160,"yyyy-mm-ddTHH:MM:SS")&amp;" --startdatetime "&amp;TEXT(F160,"yyyy-mm-ddTHH:MM:SS")&amp;" --delay "&amp;G160&amp;" --endMP "&amp;H160&amp;" --enddatetime "&amp;TEXT(I160,"yyyy-mm-ddTHH:MM:SS")&amp;" --enforcementcount "&amp;J160&amp;" &gt;&gt; "&amp;TEXT(Variables!$A$2,"yyyy-mm-dd")&amp;"-refined-runtimes.txt"</f>
        <v>"%USERPROFILE%\Documents\GitHub\eaglep3\Utilities\RefineRTDCRunTimes.py" --tripid 803-04 --locoid 4018 --swversion DE.1.0.7.0 --startMP 204:455 --initTime 2016-08-04T06:20:36 --startdatetime 2016-08-04T06:22:45 --delay 2 --endMP 300:58914 --enddatetime 2016-08-04T06:38:42 --enforcementcount 0 &gt;&gt; 2016-08-04-refined-runtimes.txt</v>
      </c>
    </row>
    <row r="161" spans="1:34" x14ac:dyDescent="0.25">
      <c r="A161" s="42" t="s">
        <v>445</v>
      </c>
      <c r="B161" s="7">
        <v>4017</v>
      </c>
      <c r="C161" s="25" t="s">
        <v>163</v>
      </c>
      <c r="D161" s="25" t="s">
        <v>687</v>
      </c>
      <c r="E161" s="16">
        <v>42586.277789351851</v>
      </c>
      <c r="F161" s="16">
        <v>42586.279120370367</v>
      </c>
      <c r="G161" s="7">
        <v>1</v>
      </c>
      <c r="H161" s="16" t="s">
        <v>520</v>
      </c>
      <c r="I161" s="16">
        <v>42586.290034722224</v>
      </c>
      <c r="J161" s="7">
        <v>0</v>
      </c>
      <c r="K161" s="114" t="str">
        <f t="shared" si="57"/>
        <v>4017/4018</v>
      </c>
      <c r="L161" s="25" t="str">
        <f>VLOOKUP(A161,'Trips&amp;Operators'!$C$1:$E$10000,3,FALSE)</f>
        <v>ISHMAEL</v>
      </c>
      <c r="M161" s="6">
        <f t="shared" si="58"/>
        <v>1.0914351856627036E-2</v>
      </c>
      <c r="N161" s="7">
        <f t="shared" si="56"/>
        <v>15.716666673542932</v>
      </c>
      <c r="O161" s="7"/>
      <c r="P161" s="7"/>
      <c r="Q161" s="26"/>
      <c r="R161" s="26"/>
      <c r="S161" s="38">
        <f t="shared" si="59"/>
        <v>1</v>
      </c>
      <c r="T161" s="55" t="str">
        <f t="shared" si="60"/>
        <v>Southbound</v>
      </c>
      <c r="U161" s="77">
        <f>IF(AG161="EC",COUNTIFS(Variables!$M$2:$M$19,IF(T161="NorthBound","&gt;=","&lt;=")&amp;Y161,Variables!$M$2:$M$19,IF(T161="NorthBound","&lt;=","&gt;=")&amp;Z161),COUNTIFS(Variables!$P$2:$P$19,IF(T161="NorthBound","&gt;=","&lt;=")&amp;Y161,Variables!$P$2:$P$19,IF(T161="NorthBound","&lt;=","&gt;=")&amp;Z161))</f>
        <v>1</v>
      </c>
      <c r="V161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05:40:01-0600',mode:absolute,to:'2016-08-04 07:57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61" s="57" t="str">
        <f t="shared" si="62"/>
        <v>N</v>
      </c>
      <c r="X161" s="117">
        <f t="shared" si="71"/>
        <v>1</v>
      </c>
      <c r="Y161" s="72">
        <f t="shared" si="72"/>
        <v>5.8605999999999998</v>
      </c>
      <c r="Z161" s="72">
        <f t="shared" si="65"/>
        <v>6.9900000000000004E-2</v>
      </c>
      <c r="AA161" s="72">
        <f t="shared" si="66"/>
        <v>5.7907000000000002</v>
      </c>
      <c r="AB161" s="69" t="e">
        <f>VLOOKUP(A161,Enforcements!$C$7:$J$24,8,0)</f>
        <v>#N/A</v>
      </c>
      <c r="AC161" s="65" t="e">
        <f>VLOOKUP(A161,Enforcements!$C$7:$E$24,3,0)</f>
        <v>#N/A</v>
      </c>
      <c r="AD161" s="66" t="str">
        <f t="shared" si="67"/>
        <v>0804-04</v>
      </c>
      <c r="AE161" s="124" t="str">
        <f t="shared" si="68"/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AF161" s="121" t="str">
        <f t="shared" si="69"/>
        <v>"C:\Program Files (x86)\AstroGrep\AstroGrep.exe" /spath="%USERPROFILE%\AppData\Local\Temp\OnboardLogs" /stypes="*4017*20160804*" /stext=" 12:.+((SYSTEM_STATE.+slice.+state.+changed )|(ment ac)|(system.+state.+changed )|(\|lc)|(penalty)|(\[timeout)|(PRM\|1\|D)|(kpr)|(kdp))" /e /r /s</v>
      </c>
      <c r="AG161" s="1" t="str">
        <f t="shared" si="70"/>
        <v>NW</v>
      </c>
      <c r="AH161" s="125" t="str">
        <f>refinertdcruntimes&amp;" --tripid "&amp;A161&amp;" --locoid "&amp;B161&amp;" --swversion "&amp;C161&amp;" --startMP "&amp;D161&amp;" --initTime "&amp;TEXT(E161,"yyyy-mm-ddTHH:MM:SS")&amp;" --startdatetime "&amp;TEXT(F161,"yyyy-mm-ddTHH:MM:SS")&amp;" --delay "&amp;G161&amp;" --endMP "&amp;H161&amp;" --enddatetime "&amp;TEXT(I161,"yyyy-mm-ddTHH:MM:SS")&amp;" --enforcementcount "&amp;J161&amp;" &gt;&gt; "&amp;TEXT(Variables!$A$2,"yyyy-mm-dd")&amp;"-refined-runtimes.txt"</f>
        <v>"%USERPROFILE%\Documents\GitHub\eaglep3\Utilities\RefineRTDCRunTimes.py" --tripid 804-04 --locoid 4017 --swversion DE.1.0.7.0 --startMP 300:58606 --initTime 2016-08-04T06:40:01 --startdatetime 2016-08-04T06:41:56 --delay 1 --endMP 204:699 --enddatetime 2016-08-04T06:57:39 --enforcementcount 0 &gt;&gt; 2016-08-04-refined-runtimes.txt</v>
      </c>
    </row>
    <row r="162" spans="1:34" x14ac:dyDescent="0.25">
      <c r="A162" s="42" t="s">
        <v>468</v>
      </c>
      <c r="B162" s="7">
        <v>4042</v>
      </c>
      <c r="C162" s="25" t="s">
        <v>163</v>
      </c>
      <c r="D162" s="25" t="s">
        <v>688</v>
      </c>
      <c r="E162" s="16">
        <v>42586.269143518519</v>
      </c>
      <c r="F162" s="16">
        <v>42586.269988425927</v>
      </c>
      <c r="G162" s="7">
        <v>1</v>
      </c>
      <c r="H162" s="16" t="s">
        <v>689</v>
      </c>
      <c r="I162" s="16">
        <v>42586.295335648145</v>
      </c>
      <c r="J162" s="7">
        <v>0</v>
      </c>
      <c r="K162" s="114" t="str">
        <f t="shared" si="57"/>
        <v>4041/4042</v>
      </c>
      <c r="L162" s="25" t="str">
        <f>VLOOKUP(A162,'Trips&amp;Operators'!$C$1:$E$10000,3,FALSE)</f>
        <v>YORK</v>
      </c>
      <c r="M162" s="6">
        <f t="shared" si="58"/>
        <v>2.5347222217533272E-2</v>
      </c>
      <c r="N162" s="7">
        <f t="shared" si="56"/>
        <v>36.499999993247911</v>
      </c>
      <c r="O162" s="7"/>
      <c r="P162" s="7"/>
      <c r="Q162" s="26"/>
      <c r="R162" s="26"/>
      <c r="S162" s="38">
        <f t="shared" si="59"/>
        <v>1</v>
      </c>
      <c r="T162" s="55" t="str">
        <f t="shared" si="60"/>
        <v>NorthBound</v>
      </c>
      <c r="U162" s="77">
        <f>IF(AG162="EC",COUNTIFS(Variables!$M$2:$M$19,IF(T162="NorthBound","&gt;=","&lt;=")&amp;Y162,Variables!$M$2:$M$19,IF(T162="NorthBound","&lt;=","&gt;=")&amp;Z162),COUNTIFS(Variables!$P$2:$P$19,IF(T162="NorthBound","&gt;=","&lt;=")&amp;Y162,Variables!$P$2:$P$19,IF(T162="NorthBound","&lt;=","&gt;=")&amp;Z162))</f>
        <v>1</v>
      </c>
      <c r="V162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05:27:34-0600',mode:absolute,to:'2016-08-04 08:05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62" s="57" t="str">
        <f t="shared" si="62"/>
        <v>N</v>
      </c>
      <c r="X162" s="117">
        <f t="shared" si="71"/>
        <v>1</v>
      </c>
      <c r="Y162" s="72">
        <f t="shared" si="72"/>
        <v>0.1055</v>
      </c>
      <c r="Z162" s="72">
        <f t="shared" si="65"/>
        <v>5.8952</v>
      </c>
      <c r="AA162" s="72">
        <f t="shared" si="66"/>
        <v>5.7896999999999998</v>
      </c>
      <c r="AB162" s="69" t="e">
        <f>VLOOKUP(A162,Enforcements!$C$7:$J$24,8,0)</f>
        <v>#N/A</v>
      </c>
      <c r="AC162" s="65" t="e">
        <f>VLOOKUP(A162,Enforcements!$C$7:$E$24,3,0)</f>
        <v>#N/A</v>
      </c>
      <c r="AD162" s="66" t="str">
        <f t="shared" si="67"/>
        <v>0805-04</v>
      </c>
      <c r="AE162" s="124" t="str">
        <f t="shared" si="68"/>
        <v>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 &amp; aws s3 cp s3://rtdc.mdm.uploadarchive/RTDC4042/2016-08-05/ "%USERPROFILE%\AppData\Local\Temp\OnboardLogs"\RTDC4042\2016-08-05 --recursive &amp; "%USERPROFILE%\Documents\GitHub\mrs-test-scripts\Headless Mode &amp; Sideloading\WalkAndUnGZ.bat" "%USERPROFILE%\AppData\Local\Temp\OnboardLogs"\RTDC4042\2016-08-05</v>
      </c>
      <c r="AF162" s="121" t="str">
        <f t="shared" si="69"/>
        <v>"C:\Program Files (x86)\AstroGrep\AstroGrep.exe" /spath="%USERPROFILE%\AppData\Local\Temp\OnboardLogs" /stypes="*4042*20160804*" /stext=" 13:.+((SYSTEM_STATE.+slice.+state.+changed )|(ment ac)|(system.+state.+changed )|(\|lc)|(penalty)|(\[timeout)|(PRM\|1\|D)|(kpr)|(kdp))" /e /r /s</v>
      </c>
      <c r="AG162" s="1" t="str">
        <f t="shared" si="70"/>
        <v>NW</v>
      </c>
      <c r="AH162" s="125" t="str">
        <f>refinertdcruntimes&amp;" --tripid "&amp;A162&amp;" --locoid "&amp;B162&amp;" --swversion "&amp;C162&amp;" --startMP "&amp;D162&amp;" --initTime "&amp;TEXT(E162,"yyyy-mm-ddTHH:MM:SS")&amp;" --startdatetime "&amp;TEXT(F162,"yyyy-mm-ddTHH:MM:SS")&amp;" --delay "&amp;G162&amp;" --endMP "&amp;H162&amp;" --enddatetime "&amp;TEXT(I162,"yyyy-mm-ddTHH:MM:SS")&amp;" --enforcementcount "&amp;J162&amp;" &gt;&gt; "&amp;TEXT(Variables!$A$2,"yyyy-mm-dd")&amp;"-refined-runtimes.txt"</f>
        <v>"%USERPROFILE%\Documents\GitHub\eaglep3\Utilities\RefineRTDCRunTimes.py" --tripid 805-04 --locoid 4042 --swversion DE.1.0.7.0 --startMP 204:1055 --initTime 2016-08-04T06:27:34 --startdatetime 2016-08-04T06:28:47 --delay 1 --endMP 300:58952 --enddatetime 2016-08-04T07:05:17 --enforcementcount 0 &gt;&gt; 2016-08-04-refined-runtimes.txt</v>
      </c>
    </row>
    <row r="163" spans="1:34" x14ac:dyDescent="0.25">
      <c r="A163" s="42" t="s">
        <v>453</v>
      </c>
      <c r="B163" s="7">
        <v>4041</v>
      </c>
      <c r="C163" s="25" t="s">
        <v>163</v>
      </c>
      <c r="D163" s="25" t="s">
        <v>690</v>
      </c>
      <c r="E163" s="16">
        <v>42586.296273148146</v>
      </c>
      <c r="F163" s="16">
        <v>42586.296956018516</v>
      </c>
      <c r="G163" s="7">
        <v>0</v>
      </c>
      <c r="H163" s="16" t="s">
        <v>691</v>
      </c>
      <c r="I163" s="16">
        <v>42586.308854166666</v>
      </c>
      <c r="J163" s="7">
        <v>0</v>
      </c>
      <c r="K163" s="114" t="str">
        <f t="shared" si="57"/>
        <v>4041/4042</v>
      </c>
      <c r="L163" s="25" t="str">
        <f>VLOOKUP(A163,'Trips&amp;Operators'!$C$1:$E$10000,3,FALSE)</f>
        <v>YORK</v>
      </c>
      <c r="M163" s="6">
        <f t="shared" si="58"/>
        <v>1.1898148150066845E-2</v>
      </c>
      <c r="N163" s="7">
        <f t="shared" si="56"/>
        <v>17.133333336096257</v>
      </c>
      <c r="O163" s="7"/>
      <c r="P163" s="7"/>
      <c r="Q163" s="26"/>
      <c r="R163" s="26"/>
      <c r="S163" s="38">
        <f t="shared" si="59"/>
        <v>1</v>
      </c>
      <c r="T163" s="55" t="str">
        <f t="shared" si="60"/>
        <v>Southbound</v>
      </c>
      <c r="U163" s="77">
        <f>IF(AG163="EC",COUNTIFS(Variables!$M$2:$M$19,IF(T163="NorthBound","&gt;=","&lt;=")&amp;Y163,Variables!$M$2:$M$19,IF(T163="NorthBound","&lt;=","&gt;=")&amp;Z163),COUNTIFS(Variables!$P$2:$P$19,IF(T163="NorthBound","&gt;=","&lt;=")&amp;Y163,Variables!$P$2:$P$19,IF(T163="NorthBound","&lt;=","&gt;=")&amp;Z163))</f>
        <v>1</v>
      </c>
      <c r="V163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06:06:38-0600',mode:absolute,to:'2016-08-04 08:24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63" s="57" t="str">
        <f t="shared" si="62"/>
        <v>N</v>
      </c>
      <c r="X163" s="117">
        <f t="shared" si="71"/>
        <v>1</v>
      </c>
      <c r="Y163" s="72">
        <f t="shared" si="72"/>
        <v>5.8632</v>
      </c>
      <c r="Z163" s="72">
        <f t="shared" si="65"/>
        <v>7.7799999999999994E-2</v>
      </c>
      <c r="AA163" s="72">
        <f t="shared" si="66"/>
        <v>5.7854000000000001</v>
      </c>
      <c r="AB163" s="69" t="e">
        <f>VLOOKUP(A163,Enforcements!$C$7:$J$24,8,0)</f>
        <v>#N/A</v>
      </c>
      <c r="AC163" s="65" t="e">
        <f>VLOOKUP(A163,Enforcements!$C$7:$E$24,3,0)</f>
        <v>#N/A</v>
      </c>
      <c r="AD163" s="66" t="str">
        <f t="shared" si="67"/>
        <v>0806-04</v>
      </c>
      <c r="AE163" s="124" t="str">
        <f t="shared" si="68"/>
        <v>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 &amp; aws s3 cp s3://rtdc.mdm.uploadarchive/RTDC4041/2016-08-05/ "%USERPROFILE%\AppData\Local\Temp\OnboardLogs"\RTDC4041\2016-08-05 --recursive &amp; "%USERPROFILE%\Documents\GitHub\mrs-test-scripts\Headless Mode &amp; Sideloading\WalkAndUnGZ.bat" "%USERPROFILE%\AppData\Local\Temp\OnboardLogs"\RTDC4041\2016-08-05</v>
      </c>
      <c r="AF163" s="121" t="str">
        <f t="shared" si="69"/>
        <v>"C:\Program Files (x86)\AstroGrep\AstroGrep.exe" /spath="%USERPROFILE%\AppData\Local\Temp\OnboardLogs" /stypes="*4041*20160804*" /stext=" 13:.+((SYSTEM_STATE.+slice.+state.+changed )|(ment ac)|(system.+state.+changed )|(\|lc)|(penalty)|(\[timeout)|(PRM\|1\|D)|(kpr)|(kdp))" /e /r /s</v>
      </c>
      <c r="AG163" s="1" t="str">
        <f t="shared" si="70"/>
        <v>NW</v>
      </c>
      <c r="AH163" s="125" t="str">
        <f>refinertdcruntimes&amp;" --tripid "&amp;A163&amp;" --locoid "&amp;B163&amp;" --swversion "&amp;C163&amp;" --startMP "&amp;D163&amp;" --initTime "&amp;TEXT(E163,"yyyy-mm-ddTHH:MM:SS")&amp;" --startdatetime "&amp;TEXT(F163,"yyyy-mm-ddTHH:MM:SS")&amp;" --delay "&amp;G163&amp;" --endMP "&amp;H163&amp;" --enddatetime "&amp;TEXT(I163,"yyyy-mm-ddTHH:MM:SS")&amp;" --enforcementcount "&amp;J163&amp;" &gt;&gt; "&amp;TEXT(Variables!$A$2,"yyyy-mm-dd")&amp;"-refined-runtimes.txt"</f>
        <v>"%USERPROFILE%\Documents\GitHub\eaglep3\Utilities\RefineRTDCRunTimes.py" --tripid 806-04 --locoid 4041 --swversion DE.1.0.7.0 --startMP 300:58632 --initTime 2016-08-04T07:06:38 --startdatetime 2016-08-04T07:07:37 --delay 0 --endMP 204:778 --enddatetime 2016-08-04T07:24:45 --enforcementcount 0 &gt;&gt; 2016-08-04-refined-runtimes.txt</v>
      </c>
    </row>
    <row r="164" spans="1:34" x14ac:dyDescent="0.25">
      <c r="A164" s="42" t="s">
        <v>472</v>
      </c>
      <c r="B164" s="7">
        <v>4018</v>
      </c>
      <c r="C164" s="25" t="s">
        <v>163</v>
      </c>
      <c r="D164" s="25" t="s">
        <v>692</v>
      </c>
      <c r="E164" s="16">
        <v>42586.301238425927</v>
      </c>
      <c r="F164" s="16">
        <v>42586.30228009259</v>
      </c>
      <c r="G164" s="7">
        <v>1</v>
      </c>
      <c r="H164" s="16" t="s">
        <v>369</v>
      </c>
      <c r="I164" s="16">
        <v>42586.316481481481</v>
      </c>
      <c r="J164" s="7">
        <v>0</v>
      </c>
      <c r="K164" s="114" t="str">
        <f t="shared" si="57"/>
        <v>4017/4018</v>
      </c>
      <c r="L164" s="25" t="str">
        <f>VLOOKUP(A164,'Trips&amp;Operators'!$C$1:$E$10000,3,FALSE)</f>
        <v>ISHMAEL</v>
      </c>
      <c r="M164" s="6">
        <f t="shared" si="58"/>
        <v>1.4201388890796807E-2</v>
      </c>
      <c r="N164" s="7">
        <f t="shared" si="56"/>
        <v>20.450000002747402</v>
      </c>
      <c r="O164" s="7"/>
      <c r="P164" s="7"/>
      <c r="Q164" s="26"/>
      <c r="R164" s="26"/>
      <c r="S164" s="38">
        <f t="shared" si="59"/>
        <v>1</v>
      </c>
      <c r="T164" s="55" t="str">
        <f t="shared" si="60"/>
        <v>NorthBound</v>
      </c>
      <c r="U164" s="77">
        <f>IF(AG164="EC",COUNTIFS(Variables!$M$2:$M$19,IF(T164="NorthBound","&gt;=","&lt;=")&amp;Y164,Variables!$M$2:$M$19,IF(T164="NorthBound","&lt;=","&gt;=")&amp;Z164),COUNTIFS(Variables!$P$2:$P$19,IF(T164="NorthBound","&gt;=","&lt;=")&amp;Y164,Variables!$P$2:$P$19,IF(T164="NorthBound","&lt;=","&gt;=")&amp;Z164))</f>
        <v>1</v>
      </c>
      <c r="V164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06:13:47-0600',mode:absolute,to:'2016-08-04 08:35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64" s="57" t="str">
        <f t="shared" si="62"/>
        <v>N</v>
      </c>
      <c r="X164" s="117">
        <f t="shared" si="71"/>
        <v>1</v>
      </c>
      <c r="Y164" s="72">
        <f t="shared" si="72"/>
        <v>9.9000000000000005E-2</v>
      </c>
      <c r="Z164" s="72">
        <f t="shared" si="65"/>
        <v>5.8914</v>
      </c>
      <c r="AA164" s="72">
        <f t="shared" si="66"/>
        <v>5.7923999999999998</v>
      </c>
      <c r="AB164" s="69" t="e">
        <f>VLOOKUP(A164,Enforcements!$C$7:$J$24,8,0)</f>
        <v>#N/A</v>
      </c>
      <c r="AC164" s="65" t="e">
        <f>VLOOKUP(A164,Enforcements!$C$7:$E$24,3,0)</f>
        <v>#N/A</v>
      </c>
      <c r="AD164" s="66" t="str">
        <f t="shared" si="67"/>
        <v>0807-04</v>
      </c>
      <c r="AE164" s="124" t="str">
        <f t="shared" si="68"/>
        <v>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 &amp; aws s3 cp s3://rtdc.mdm.uploadarchive/RTDC4018/2016-08-05/ "%USERPROFILE%\AppData\Local\Temp\OnboardLogs"\RTDC4018\2016-08-05 --recursive &amp; "%USERPROFILE%\Documents\GitHub\mrs-test-scripts\Headless Mode &amp; Sideloading\WalkAndUnGZ.bat" "%USERPROFILE%\AppData\Local\Temp\OnboardLogs"\RTDC4018\2016-08-05</v>
      </c>
      <c r="AF164" s="121" t="str">
        <f t="shared" si="69"/>
        <v>"C:\Program Files (x86)\AstroGrep\AstroGrep.exe" /spath="%USERPROFILE%\AppData\Local\Temp\OnboardLogs" /stypes="*4018*20160804*" /stext=" 13:.+((SYSTEM_STATE.+slice.+state.+changed )|(ment ac)|(system.+state.+changed )|(\|lc)|(penalty)|(\[timeout)|(PRM\|1\|D)|(kpr)|(kdp))" /e /r /s</v>
      </c>
      <c r="AG164" s="1" t="str">
        <f t="shared" si="70"/>
        <v>NW</v>
      </c>
      <c r="AH164" s="125" t="str">
        <f>refinertdcruntimes&amp;" --tripid "&amp;A164&amp;" --locoid "&amp;B164&amp;" --swversion "&amp;C164&amp;" --startMP "&amp;D164&amp;" --initTime "&amp;TEXT(E164,"yyyy-mm-ddTHH:MM:SS")&amp;" --startdatetime "&amp;TEXT(F164,"yyyy-mm-ddTHH:MM:SS")&amp;" --delay "&amp;G164&amp;" --endMP "&amp;H164&amp;" --enddatetime "&amp;TEXT(I164,"yyyy-mm-ddTHH:MM:SS")&amp;" --enforcementcount "&amp;J164&amp;" &gt;&gt; "&amp;TEXT(Variables!$A$2,"yyyy-mm-dd")&amp;"-refined-runtimes.txt"</f>
        <v>"%USERPROFILE%\Documents\GitHub\eaglep3\Utilities\RefineRTDCRunTimes.py" --tripid 807-04 --locoid 4018 --swversion DE.1.0.7.0 --startMP 204:990 --initTime 2016-08-04T07:13:47 --startdatetime 2016-08-04T07:15:17 --delay 1 --endMP 300:58914 --enddatetime 2016-08-04T07:35:44 --enforcementcount 0 &gt;&gt; 2016-08-04-refined-runtimes.txt</v>
      </c>
    </row>
    <row r="165" spans="1:34" x14ac:dyDescent="0.25">
      <c r="A165" s="42" t="s">
        <v>693</v>
      </c>
      <c r="B165" s="7">
        <v>4017</v>
      </c>
      <c r="C165" s="25" t="s">
        <v>163</v>
      </c>
      <c r="D165" s="25" t="s">
        <v>687</v>
      </c>
      <c r="E165" s="16">
        <v>42586.317303240743</v>
      </c>
      <c r="F165" s="16">
        <v>42586.318171296298</v>
      </c>
      <c r="G165" s="7">
        <v>1</v>
      </c>
      <c r="H165" s="16" t="s">
        <v>424</v>
      </c>
      <c r="I165" s="16">
        <v>42586.334085648145</v>
      </c>
      <c r="J165" s="7">
        <v>0</v>
      </c>
      <c r="K165" s="114" t="str">
        <f t="shared" si="57"/>
        <v>4017/4018</v>
      </c>
      <c r="L165" s="25" t="str">
        <f>VLOOKUP(A165,'Trips&amp;Operators'!$C$1:$E$10000,3,FALSE)</f>
        <v>ISHMAEL</v>
      </c>
      <c r="M165" s="6">
        <f t="shared" si="58"/>
        <v>1.5914351846731734E-2</v>
      </c>
      <c r="N165" s="7">
        <f t="shared" si="56"/>
        <v>22.916666659293696</v>
      </c>
      <c r="O165" s="7"/>
      <c r="P165" s="7"/>
      <c r="Q165" s="26"/>
      <c r="R165" s="26"/>
      <c r="S165" s="38">
        <f t="shared" si="59"/>
        <v>1</v>
      </c>
      <c r="T165" s="55" t="str">
        <f t="shared" si="60"/>
        <v>Southbound</v>
      </c>
      <c r="U165" s="77">
        <f>IF(AG165="EC",COUNTIFS(Variables!$M$2:$M$19,IF(T165="NorthBound","&gt;=","&lt;=")&amp;Y165,Variables!$M$2:$M$19,IF(T165="NorthBound","&lt;=","&gt;=")&amp;Z165),COUNTIFS(Variables!$P$2:$P$19,IF(T165="NorthBound","&gt;=","&lt;=")&amp;Y165,Variables!$P$2:$P$19,IF(T165="NorthBound","&lt;=","&gt;=")&amp;Z165))</f>
        <v>1</v>
      </c>
      <c r="V165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06:36:55-0600',mode:absolute,to:'2016-08-04 09:01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65" s="57" t="str">
        <f t="shared" si="62"/>
        <v>N</v>
      </c>
      <c r="X165" s="117">
        <f t="shared" si="71"/>
        <v>1</v>
      </c>
      <c r="Y165" s="72">
        <f t="shared" si="72"/>
        <v>5.8605999999999998</v>
      </c>
      <c r="Z165" s="72">
        <f t="shared" si="65"/>
        <v>6.9099999999999995E-2</v>
      </c>
      <c r="AA165" s="72">
        <f t="shared" si="66"/>
        <v>5.7915000000000001</v>
      </c>
      <c r="AB165" s="69" t="e">
        <f>VLOOKUP(A165,Enforcements!$C$7:$J$24,8,0)</f>
        <v>#N/A</v>
      </c>
      <c r="AC165" s="65" t="e">
        <f>VLOOKUP(A165,Enforcements!$C$7:$E$24,3,0)</f>
        <v>#N/A</v>
      </c>
      <c r="AD165" s="66" t="str">
        <f t="shared" si="67"/>
        <v>0808-04</v>
      </c>
      <c r="AE165" s="124" t="str">
        <f t="shared" si="68"/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AF165" s="121" t="str">
        <f t="shared" si="69"/>
        <v>"C:\Program Files (x86)\AstroGrep\AstroGrep.exe" /spath="%USERPROFILE%\AppData\Local\Temp\OnboardLogs" /stypes="*4017*20160804*" /stext=" 14:.+((SYSTEM_STATE.+slice.+state.+changed )|(ment ac)|(system.+state.+changed )|(\|lc)|(penalty)|(\[timeout)|(PRM\|1\|D)|(kpr)|(kdp))" /e /r /s</v>
      </c>
      <c r="AG165" s="1" t="str">
        <f t="shared" si="70"/>
        <v>NW</v>
      </c>
      <c r="AH165" s="125" t="str">
        <f>refinertdcruntimes&amp;" --tripid "&amp;A165&amp;" --locoid "&amp;B165&amp;" --swversion "&amp;C165&amp;" --startMP "&amp;D165&amp;" --initTime "&amp;TEXT(E165,"yyyy-mm-ddTHH:MM:SS")&amp;" --startdatetime "&amp;TEXT(F165,"yyyy-mm-ddTHH:MM:SS")&amp;" --delay "&amp;G165&amp;" --endMP "&amp;H165&amp;" --enddatetime "&amp;TEXT(I165,"yyyy-mm-ddTHH:MM:SS")&amp;" --enforcementcount "&amp;J165&amp;" &gt;&gt; "&amp;TEXT(Variables!$A$2,"yyyy-mm-dd")&amp;"-refined-runtimes.txt"</f>
        <v>"%USERPROFILE%\Documents\GitHub\eaglep3\Utilities\RefineRTDCRunTimes.py" --tripid 808-04 --locoid 4017 --swversion DE.1.0.7.0 --startMP 300:58606 --initTime 2016-08-04T07:36:55 --startdatetime 2016-08-04T07:38:10 --delay 1 --endMP 204:691 --enddatetime 2016-08-04T08:01:05 --enforcementcount 0 &gt;&gt; 2016-08-04-refined-runtimes.txt</v>
      </c>
    </row>
    <row r="166" spans="1:34" x14ac:dyDescent="0.25">
      <c r="A166" s="42" t="s">
        <v>694</v>
      </c>
      <c r="B166" s="7">
        <v>4042</v>
      </c>
      <c r="C166" s="25" t="s">
        <v>163</v>
      </c>
      <c r="D166" s="25" t="s">
        <v>695</v>
      </c>
      <c r="E166" s="16">
        <v>42586.310196759259</v>
      </c>
      <c r="F166" s="16">
        <v>42586.310914351852</v>
      </c>
      <c r="G166" s="7">
        <v>1</v>
      </c>
      <c r="H166" s="16" t="s">
        <v>426</v>
      </c>
      <c r="I166" s="16">
        <v>42586.336689814816</v>
      </c>
      <c r="J166" s="7">
        <v>0</v>
      </c>
      <c r="K166" s="114" t="str">
        <f t="shared" si="57"/>
        <v>4041/4042</v>
      </c>
      <c r="L166" s="25" t="str">
        <f>VLOOKUP(A166,'Trips&amp;Operators'!$C$1:$E$10000,3,FALSE)</f>
        <v>YORK</v>
      </c>
      <c r="M166" s="6">
        <f t="shared" si="58"/>
        <v>2.5775462963792961E-2</v>
      </c>
      <c r="N166" s="7">
        <f t="shared" si="56"/>
        <v>37.116666667861864</v>
      </c>
      <c r="O166" s="7"/>
      <c r="P166" s="7"/>
      <c r="Q166" s="26"/>
      <c r="R166" s="26"/>
      <c r="S166" s="38">
        <f t="shared" si="59"/>
        <v>1</v>
      </c>
      <c r="T166" s="55" t="str">
        <f t="shared" si="60"/>
        <v>NorthBound</v>
      </c>
      <c r="U166" s="77">
        <f>IF(AG166="EC",COUNTIFS(Variables!$M$2:$M$19,IF(T166="NorthBound","&gt;=","&lt;=")&amp;Y166,Variables!$M$2:$M$19,IF(T166="NorthBound","&lt;=","&gt;=")&amp;Z166),COUNTIFS(Variables!$P$2:$P$19,IF(T166="NorthBound","&gt;=","&lt;=")&amp;Y166,Variables!$P$2:$P$19,IF(T166="NorthBound","&lt;=","&gt;=")&amp;Z166))</f>
        <v>1</v>
      </c>
      <c r="V166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06:26:41-0600',mode:absolute,to:'2016-08-04 09:04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66" s="57" t="str">
        <f t="shared" si="62"/>
        <v>N</v>
      </c>
      <c r="X166" s="117">
        <f t="shared" si="71"/>
        <v>1</v>
      </c>
      <c r="Y166" s="72">
        <f t="shared" si="72"/>
        <v>0.1072</v>
      </c>
      <c r="Z166" s="72">
        <f t="shared" si="65"/>
        <v>5.8939000000000004</v>
      </c>
      <c r="AA166" s="72">
        <f t="shared" si="66"/>
        <v>5.7867000000000006</v>
      </c>
      <c r="AB166" s="69" t="e">
        <f>VLOOKUP(A166,Enforcements!$C$7:$J$24,8,0)</f>
        <v>#N/A</v>
      </c>
      <c r="AC166" s="65" t="e">
        <f>VLOOKUP(A166,Enforcements!$C$7:$E$24,3,0)</f>
        <v>#N/A</v>
      </c>
      <c r="AD166" s="66" t="str">
        <f t="shared" si="67"/>
        <v>0809-04</v>
      </c>
      <c r="AE166" s="124" t="str">
        <f t="shared" si="68"/>
        <v>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 &amp; aws s3 cp s3://rtdc.mdm.uploadarchive/RTDC4042/2016-08-05/ "%USERPROFILE%\AppData\Local\Temp\OnboardLogs"\RTDC4042\2016-08-05 --recursive &amp; "%USERPROFILE%\Documents\GitHub\mrs-test-scripts\Headless Mode &amp; Sideloading\WalkAndUnGZ.bat" "%USERPROFILE%\AppData\Local\Temp\OnboardLogs"\RTDC4042\2016-08-05</v>
      </c>
      <c r="AF166" s="121" t="str">
        <f t="shared" si="69"/>
        <v>"C:\Program Files (x86)\AstroGrep\AstroGrep.exe" /spath="%USERPROFILE%\AppData\Local\Temp\OnboardLogs" /stypes="*4042*20160804*" /stext=" 14:.+((SYSTEM_STATE.+slice.+state.+changed )|(ment ac)|(system.+state.+changed )|(\|lc)|(penalty)|(\[timeout)|(PRM\|1\|D)|(kpr)|(kdp))" /e /r /s</v>
      </c>
      <c r="AG166" s="1" t="str">
        <f t="shared" si="70"/>
        <v>NW</v>
      </c>
      <c r="AH166" s="125" t="str">
        <f>refinertdcruntimes&amp;" --tripid "&amp;A166&amp;" --locoid "&amp;B166&amp;" --swversion "&amp;C166&amp;" --startMP "&amp;D166&amp;" --initTime "&amp;TEXT(E166,"yyyy-mm-ddTHH:MM:SS")&amp;" --startdatetime "&amp;TEXT(F166,"yyyy-mm-ddTHH:MM:SS")&amp;" --delay "&amp;G166&amp;" --endMP "&amp;H166&amp;" --enddatetime "&amp;TEXT(I166,"yyyy-mm-ddTHH:MM:SS")&amp;" --enforcementcount "&amp;J166&amp;" &gt;&gt; "&amp;TEXT(Variables!$A$2,"yyyy-mm-dd")&amp;"-refined-runtimes.txt"</f>
        <v>"%USERPROFILE%\Documents\GitHub\eaglep3\Utilities\RefineRTDCRunTimes.py" --tripid 809-04 --locoid 4042 --swversion DE.1.0.7.0 --startMP 204:1072 --initTime 2016-08-04T07:26:41 --startdatetime 2016-08-04T07:27:43 --delay 1 --endMP 300:58939 --enddatetime 2016-08-04T08:04:50 --enforcementcount 0 &gt;&gt; 2016-08-04-refined-runtimes.txt</v>
      </c>
    </row>
    <row r="167" spans="1:34" x14ac:dyDescent="0.25">
      <c r="A167" s="42" t="s">
        <v>696</v>
      </c>
      <c r="B167" s="7">
        <v>4041</v>
      </c>
      <c r="C167" s="25" t="s">
        <v>163</v>
      </c>
      <c r="D167" s="25" t="s">
        <v>427</v>
      </c>
      <c r="E167" s="16">
        <v>42586.337847222225</v>
      </c>
      <c r="F167" s="16">
        <v>42586.338854166665</v>
      </c>
      <c r="G167" s="7">
        <v>1</v>
      </c>
      <c r="H167" s="16" t="s">
        <v>697</v>
      </c>
      <c r="I167" s="16">
        <v>42586.350231481483</v>
      </c>
      <c r="J167" s="7">
        <v>0</v>
      </c>
      <c r="K167" s="114" t="str">
        <f t="shared" si="57"/>
        <v>4041/4042</v>
      </c>
      <c r="L167" s="25" t="str">
        <f>VLOOKUP(A167,'Trips&amp;Operators'!$C$1:$E$10000,3,FALSE)</f>
        <v>YORK</v>
      </c>
      <c r="M167" s="6">
        <f t="shared" si="58"/>
        <v>1.1377314818673767E-2</v>
      </c>
      <c r="N167" s="7">
        <f t="shared" si="56"/>
        <v>16.383333338890225</v>
      </c>
      <c r="O167" s="7"/>
      <c r="P167" s="7"/>
      <c r="Q167" s="26"/>
      <c r="R167" s="26"/>
      <c r="S167" s="38">
        <f t="shared" si="59"/>
        <v>1</v>
      </c>
      <c r="T167" s="55" t="str">
        <f t="shared" si="60"/>
        <v>Southbound</v>
      </c>
      <c r="U167" s="77">
        <f>IF(AG167="EC",COUNTIFS(Variables!$M$2:$M$19,IF(T167="NorthBound","&gt;=","&lt;=")&amp;Y167,Variables!$M$2:$M$19,IF(T167="NorthBound","&lt;=","&gt;=")&amp;Z167),COUNTIFS(Variables!$P$2:$P$19,IF(T167="NorthBound","&gt;=","&lt;=")&amp;Y167,Variables!$P$2:$P$19,IF(T167="NorthBound","&lt;=","&gt;=")&amp;Z167))</f>
        <v>1</v>
      </c>
      <c r="V167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07:06:30-0600',mode:absolute,to:'2016-08-04 09:24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67" s="57" t="str">
        <f t="shared" si="62"/>
        <v>N</v>
      </c>
      <c r="X167" s="117">
        <f t="shared" si="71"/>
        <v>1</v>
      </c>
      <c r="Y167" s="72">
        <f t="shared" si="72"/>
        <v>5.8620999999999999</v>
      </c>
      <c r="Z167" s="72">
        <f t="shared" si="65"/>
        <v>8.7999999999999995E-2</v>
      </c>
      <c r="AA167" s="72">
        <f t="shared" si="66"/>
        <v>5.7740999999999998</v>
      </c>
      <c r="AB167" s="69" t="e">
        <f>VLOOKUP(A167,Enforcements!$C$7:$J$24,8,0)</f>
        <v>#N/A</v>
      </c>
      <c r="AC167" s="65" t="e">
        <f>VLOOKUP(A167,Enforcements!$C$7:$E$24,3,0)</f>
        <v>#N/A</v>
      </c>
      <c r="AD167" s="66" t="str">
        <f t="shared" si="67"/>
        <v>0810-04</v>
      </c>
      <c r="AE167" s="124" t="str">
        <f t="shared" si="68"/>
        <v>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 &amp; aws s3 cp s3://rtdc.mdm.uploadarchive/RTDC4041/2016-08-05/ "%USERPROFILE%\AppData\Local\Temp\OnboardLogs"\RTDC4041\2016-08-05 --recursive &amp; "%USERPROFILE%\Documents\GitHub\mrs-test-scripts\Headless Mode &amp; Sideloading\WalkAndUnGZ.bat" "%USERPROFILE%\AppData\Local\Temp\OnboardLogs"\RTDC4041\2016-08-05</v>
      </c>
      <c r="AF167" s="121" t="str">
        <f t="shared" si="69"/>
        <v>"C:\Program Files (x86)\AstroGrep\AstroGrep.exe" /spath="%USERPROFILE%\AppData\Local\Temp\OnboardLogs" /stypes="*4041*20160804*" /stext=" 14:.+((SYSTEM_STATE.+slice.+state.+changed )|(ment ac)|(system.+state.+changed )|(\|lc)|(penalty)|(\[timeout)|(PRM\|1\|D)|(kpr)|(kdp))" /e /r /s</v>
      </c>
      <c r="AG167" s="1" t="str">
        <f t="shared" si="70"/>
        <v>NW</v>
      </c>
      <c r="AH167" s="125" t="str">
        <f>refinertdcruntimes&amp;" --tripid "&amp;A167&amp;" --locoid "&amp;B167&amp;" --swversion "&amp;C167&amp;" --startMP "&amp;D167&amp;" --initTime "&amp;TEXT(E167,"yyyy-mm-ddTHH:MM:SS")&amp;" --startdatetime "&amp;TEXT(F167,"yyyy-mm-ddTHH:MM:SS")&amp;" --delay "&amp;G167&amp;" --endMP "&amp;H167&amp;" --enddatetime "&amp;TEXT(I167,"yyyy-mm-ddTHH:MM:SS")&amp;" --enforcementcount "&amp;J167&amp;" &gt;&gt; "&amp;TEXT(Variables!$A$2,"yyyy-mm-dd")&amp;"-refined-runtimes.txt"</f>
        <v>"%USERPROFILE%\Documents\GitHub\eaglep3\Utilities\RefineRTDCRunTimes.py" --tripid 810-04 --locoid 4041 --swversion DE.1.0.7.0 --startMP 300:58621 --initTime 2016-08-04T08:06:30 --startdatetime 2016-08-04T08:07:57 --delay 1 --endMP 204:880 --enddatetime 2016-08-04T08:24:20 --enforcementcount 0 &gt;&gt; 2016-08-04-refined-runtimes.txt</v>
      </c>
    </row>
    <row r="168" spans="1:34" x14ac:dyDescent="0.25">
      <c r="A168" s="42" t="s">
        <v>698</v>
      </c>
      <c r="B168" s="7">
        <v>4018</v>
      </c>
      <c r="C168" s="25" t="s">
        <v>163</v>
      </c>
      <c r="D168" s="25" t="s">
        <v>425</v>
      </c>
      <c r="E168" s="16">
        <v>42586.342280092591</v>
      </c>
      <c r="F168" s="16">
        <v>42586.343194444446</v>
      </c>
      <c r="G168" s="7">
        <v>1</v>
      </c>
      <c r="H168" s="16" t="s">
        <v>699</v>
      </c>
      <c r="I168" s="16">
        <v>42586.357928240737</v>
      </c>
      <c r="J168" s="7">
        <v>0</v>
      </c>
      <c r="K168" s="114" t="str">
        <f t="shared" si="57"/>
        <v>4017/4018</v>
      </c>
      <c r="L168" s="25" t="str">
        <f>VLOOKUP(A168,'Trips&amp;Operators'!$C$1:$E$10000,3,FALSE)</f>
        <v>ISHMAEL</v>
      </c>
      <c r="M168" s="6">
        <f t="shared" si="58"/>
        <v>1.4733796291693579E-2</v>
      </c>
      <c r="N168" s="7">
        <f t="shared" si="56"/>
        <v>21.216666660038754</v>
      </c>
      <c r="O168" s="7"/>
      <c r="P168" s="7"/>
      <c r="Q168" s="26"/>
      <c r="R168" s="26"/>
      <c r="S168" s="38">
        <f t="shared" si="59"/>
        <v>1</v>
      </c>
      <c r="T168" s="55" t="str">
        <f t="shared" si="60"/>
        <v>NorthBound</v>
      </c>
      <c r="U168" s="77">
        <f>IF(AG168="EC",COUNTIFS(Variables!$M$2:$M$19,IF(T168="NorthBound","&gt;=","&lt;=")&amp;Y168,Variables!$M$2:$M$19,IF(T168="NorthBound","&lt;=","&gt;=")&amp;Z168),COUNTIFS(Variables!$P$2:$P$19,IF(T168="NorthBound","&gt;=","&lt;=")&amp;Y168,Variables!$P$2:$P$19,IF(T168="NorthBound","&lt;=","&gt;=")&amp;Z168))</f>
        <v>1</v>
      </c>
      <c r="V168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07:12:53-0600',mode:absolute,to:'2016-08-04 09:35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68" s="57" t="str">
        <f t="shared" si="62"/>
        <v>N</v>
      </c>
      <c r="X168" s="117">
        <f t="shared" si="63"/>
        <v>1</v>
      </c>
      <c r="Y168" s="72">
        <f t="shared" si="64"/>
        <v>9.9500000000000005E-2</v>
      </c>
      <c r="Z168" s="72">
        <f t="shared" si="65"/>
        <v>5.8920000000000003</v>
      </c>
      <c r="AA168" s="72">
        <f t="shared" si="66"/>
        <v>5.7925000000000004</v>
      </c>
      <c r="AB168" s="69" t="e">
        <f>VLOOKUP(A168,Enforcements!$C$7:$J$24,8,0)</f>
        <v>#N/A</v>
      </c>
      <c r="AC168" s="65" t="e">
        <f>VLOOKUP(A168,Enforcements!$C$7:$E$24,3,0)</f>
        <v>#N/A</v>
      </c>
      <c r="AD168" s="66" t="str">
        <f t="shared" si="67"/>
        <v>0811-04</v>
      </c>
      <c r="AE168" s="124" t="str">
        <f t="shared" si="68"/>
        <v>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 &amp; aws s3 cp s3://rtdc.mdm.uploadarchive/RTDC4018/2016-08-05/ "%USERPROFILE%\AppData\Local\Temp\OnboardLogs"\RTDC4018\2016-08-05 --recursive &amp; "%USERPROFILE%\Documents\GitHub\mrs-test-scripts\Headless Mode &amp; Sideloading\WalkAndUnGZ.bat" "%USERPROFILE%\AppData\Local\Temp\OnboardLogs"\RTDC4018\2016-08-05</v>
      </c>
      <c r="AF168" s="121" t="str">
        <f t="shared" si="69"/>
        <v>"C:\Program Files (x86)\AstroGrep\AstroGrep.exe" /spath="%USERPROFILE%\AppData\Local\Temp\OnboardLogs" /stypes="*4018*20160804*" /stext=" 14:.+((SYSTEM_STATE.+slice.+state.+changed )|(ment ac)|(system.+state.+changed )|(\|lc)|(penalty)|(\[timeout)|(PRM\|1\|D)|(kpr)|(kdp))" /e /r /s</v>
      </c>
      <c r="AG168" s="1" t="str">
        <f t="shared" si="70"/>
        <v>NW</v>
      </c>
      <c r="AH168" s="125" t="str">
        <f>refinertdcruntimes&amp;" --tripid "&amp;A168&amp;" --locoid "&amp;B168&amp;" --swversion "&amp;C168&amp;" --startMP "&amp;D168&amp;" --initTime "&amp;TEXT(E168,"yyyy-mm-ddTHH:MM:SS")&amp;" --startdatetime "&amp;TEXT(F168,"yyyy-mm-ddTHH:MM:SS")&amp;" --delay "&amp;G168&amp;" --endMP "&amp;H168&amp;" --enddatetime "&amp;TEXT(I168,"yyyy-mm-ddTHH:MM:SS")&amp;" --enforcementcount "&amp;J168&amp;" &gt;&gt; "&amp;TEXT(Variables!$A$2,"yyyy-mm-dd")&amp;"-refined-runtimes.txt"</f>
        <v>"%USERPROFILE%\Documents\GitHub\eaglep3\Utilities\RefineRTDCRunTimes.py" --tripid 811-04 --locoid 4018 --swversion DE.1.0.7.0 --startMP 204:995 --initTime 2016-08-04T08:12:53 --startdatetime 2016-08-04T08:14:12 --delay 1 --endMP 300:58920 --enddatetime 2016-08-04T08:35:25 --enforcementcount 0 &gt;&gt; 2016-08-04-refined-runtimes.txt</v>
      </c>
    </row>
    <row r="169" spans="1:34" x14ac:dyDescent="0.25">
      <c r="A169" s="42" t="s">
        <v>477</v>
      </c>
      <c r="B169" s="7">
        <v>4017</v>
      </c>
      <c r="C169" s="25" t="s">
        <v>163</v>
      </c>
      <c r="D169" s="25" t="s">
        <v>700</v>
      </c>
      <c r="E169" s="16">
        <v>42586.359224537038</v>
      </c>
      <c r="F169" s="16">
        <v>42586.360046296293</v>
      </c>
      <c r="G169" s="7">
        <v>1</v>
      </c>
      <c r="H169" s="16" t="s">
        <v>701</v>
      </c>
      <c r="I169" s="16">
        <v>42586.372245370374</v>
      </c>
      <c r="J169" s="7">
        <v>1</v>
      </c>
      <c r="K169" s="114" t="str">
        <f t="shared" si="57"/>
        <v>4017/4018</v>
      </c>
      <c r="L169" s="25" t="str">
        <f>VLOOKUP(A169,'Trips&amp;Operators'!$C$1:$E$10000,3,FALSE)</f>
        <v>ISHMAEL</v>
      </c>
      <c r="M169" s="6">
        <f t="shared" si="58"/>
        <v>1.2199074080854189E-2</v>
      </c>
      <c r="N169" s="7">
        <f t="shared" si="56"/>
        <v>17.566666676430032</v>
      </c>
      <c r="O169" s="7"/>
      <c r="P169" s="7"/>
      <c r="Q169" s="26"/>
      <c r="R169" s="26"/>
      <c r="S169" s="38">
        <f t="shared" si="59"/>
        <v>1</v>
      </c>
      <c r="T169" s="55" t="str">
        <f t="shared" si="60"/>
        <v>Southbound</v>
      </c>
      <c r="U169" s="77">
        <f>IF(AG169="EC",COUNTIFS(Variables!$M$2:$M$19,IF(T169="NorthBound","&gt;=","&lt;=")&amp;Y169,Variables!$M$2:$M$19,IF(T169="NorthBound","&lt;=","&gt;=")&amp;Z169),COUNTIFS(Variables!$P$2:$P$19,IF(T169="NorthBound","&gt;=","&lt;=")&amp;Y169,Variables!$P$2:$P$19,IF(T169="NorthBound","&lt;=","&gt;=")&amp;Z169))</f>
        <v>1</v>
      </c>
      <c r="V169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07:37:17-0600',mode:absolute,to:'2016-08-04 09:56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69" s="57" t="str">
        <f t="shared" si="62"/>
        <v>N</v>
      </c>
      <c r="X169" s="117">
        <f t="shared" si="63"/>
        <v>1</v>
      </c>
      <c r="Y169" s="72">
        <f t="shared" si="64"/>
        <v>5.8604000000000003</v>
      </c>
      <c r="Z169" s="72">
        <f t="shared" si="65"/>
        <v>6.8900000000000003E-2</v>
      </c>
      <c r="AA169" s="72">
        <f t="shared" si="66"/>
        <v>5.7915000000000001</v>
      </c>
      <c r="AB169" s="69" t="e">
        <f>VLOOKUP(A169,Enforcements!$C$7:$J$24,8,0)</f>
        <v>#N/A</v>
      </c>
      <c r="AC169" s="65" t="e">
        <f>VLOOKUP(A169,Enforcements!$C$7:$E$24,3,0)</f>
        <v>#N/A</v>
      </c>
      <c r="AD169" s="66" t="str">
        <f t="shared" si="67"/>
        <v>0812-04</v>
      </c>
      <c r="AE169" s="124" t="str">
        <f t="shared" si="68"/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AF169" s="121" t="str">
        <f t="shared" si="69"/>
        <v>"C:\Program Files (x86)\AstroGrep\AstroGrep.exe" /spath="%USERPROFILE%\AppData\Local\Temp\OnboardLogs" /stypes="*4017*20160804*" /stext=" 14:.+((SYSTEM_STATE.+slice.+state.+changed )|(ment ac)|(system.+state.+changed )|(\|lc)|(penalty)|(\[timeout)|(PRM\|1\|D)|(kpr)|(kdp))" /e /r /s</v>
      </c>
      <c r="AG169" s="1" t="str">
        <f t="shared" si="70"/>
        <v>NW</v>
      </c>
      <c r="AH169" s="125" t="str">
        <f>refinertdcruntimes&amp;" --tripid "&amp;A169&amp;" --locoid "&amp;B169&amp;" --swversion "&amp;C169&amp;" --startMP "&amp;D169&amp;" --initTime "&amp;TEXT(E169,"yyyy-mm-ddTHH:MM:SS")&amp;" --startdatetime "&amp;TEXT(F169,"yyyy-mm-ddTHH:MM:SS")&amp;" --delay "&amp;G169&amp;" --endMP "&amp;H169&amp;" --enddatetime "&amp;TEXT(I169,"yyyy-mm-ddTHH:MM:SS")&amp;" --enforcementcount "&amp;J169&amp;" &gt;&gt; "&amp;TEXT(Variables!$A$2,"yyyy-mm-dd")&amp;"-refined-runtimes.txt"</f>
        <v>"%USERPROFILE%\Documents\GitHub\eaglep3\Utilities\RefineRTDCRunTimes.py" --tripid 812-04 --locoid 4017 --swversion DE.1.0.7.0 --startMP 300:58604 --initTime 2016-08-04T08:37:17 --startdatetime 2016-08-04T08:38:28 --delay 1 --endMP 204:689 --enddatetime 2016-08-04T08:56:02 --enforcementcount 1 &gt;&gt; 2016-08-04-refined-runtimes.txt</v>
      </c>
    </row>
    <row r="170" spans="1:34" x14ac:dyDescent="0.25">
      <c r="A170" s="42" t="s">
        <v>482</v>
      </c>
      <c r="B170" s="7">
        <v>4018</v>
      </c>
      <c r="C170" s="25" t="s">
        <v>163</v>
      </c>
      <c r="D170" s="25" t="s">
        <v>422</v>
      </c>
      <c r="E170" s="16">
        <v>42586.382997685185</v>
      </c>
      <c r="F170" s="16">
        <v>42586.384189814817</v>
      </c>
      <c r="G170" s="7">
        <v>1</v>
      </c>
      <c r="H170" s="16" t="s">
        <v>702</v>
      </c>
      <c r="I170" s="16">
        <v>42586.40042824074</v>
      </c>
      <c r="J170" s="7">
        <v>1</v>
      </c>
      <c r="K170" s="114" t="str">
        <f t="shared" si="57"/>
        <v>4017/4018</v>
      </c>
      <c r="L170" s="25" t="str">
        <f>VLOOKUP(A170,'Trips&amp;Operators'!$C$1:$E$10000,3,FALSE)</f>
        <v>ISHMAEL</v>
      </c>
      <c r="M170" s="6">
        <f t="shared" si="58"/>
        <v>1.6238425923802424E-2</v>
      </c>
      <c r="N170" s="7">
        <f t="shared" si="56"/>
        <v>23.383333330275491</v>
      </c>
      <c r="O170" s="7"/>
      <c r="P170" s="7"/>
      <c r="Q170" s="26"/>
      <c r="R170" s="26"/>
      <c r="S170" s="38">
        <f t="shared" si="59"/>
        <v>1</v>
      </c>
      <c r="T170" s="55" t="str">
        <f t="shared" si="60"/>
        <v>NorthBound</v>
      </c>
      <c r="U170" s="77">
        <f>IF(AG170="EC",COUNTIFS(Variables!$M$2:$M$19,IF(T170="NorthBound","&gt;=","&lt;=")&amp;Y170,Variables!$M$2:$M$19,IF(T170="NorthBound","&lt;=","&gt;=")&amp;Z170),COUNTIFS(Variables!$P$2:$P$19,IF(T170="NorthBound","&gt;=","&lt;=")&amp;Y170,Variables!$P$2:$P$19,IF(T170="NorthBound","&lt;=","&gt;=")&amp;Z170))</f>
        <v>1</v>
      </c>
      <c r="V170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08:11:31-0600',mode:absolute,to:'2016-08-04 10:36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70" s="57" t="str">
        <f t="shared" si="62"/>
        <v>N</v>
      </c>
      <c r="X170" s="117">
        <f t="shared" si="63"/>
        <v>1</v>
      </c>
      <c r="Y170" s="72">
        <f t="shared" si="64"/>
        <v>9.8299999999999998E-2</v>
      </c>
      <c r="Z170" s="72">
        <f t="shared" si="65"/>
        <v>5.8897000000000004</v>
      </c>
      <c r="AA170" s="72">
        <f t="shared" si="66"/>
        <v>5.7914000000000003</v>
      </c>
      <c r="AB170" s="69" t="e">
        <f>VLOOKUP(A170,Enforcements!$C$7:$J$24,8,0)</f>
        <v>#N/A</v>
      </c>
      <c r="AC170" s="65" t="e">
        <f>VLOOKUP(A170,Enforcements!$C$7:$E$24,3,0)</f>
        <v>#N/A</v>
      </c>
      <c r="AD170" s="66" t="str">
        <f t="shared" si="67"/>
        <v>0813-04</v>
      </c>
      <c r="AE170" s="124" t="str">
        <f t="shared" si="68"/>
        <v>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 &amp; aws s3 cp s3://rtdc.mdm.uploadarchive/RTDC4018/2016-08-05/ "%USERPROFILE%\AppData\Local\Temp\OnboardLogs"\RTDC4018\2016-08-05 --recursive &amp; "%USERPROFILE%\Documents\GitHub\mrs-test-scripts\Headless Mode &amp; Sideloading\WalkAndUnGZ.bat" "%USERPROFILE%\AppData\Local\Temp\OnboardLogs"\RTDC4018\2016-08-05</v>
      </c>
      <c r="AF170" s="121" t="str">
        <f t="shared" si="69"/>
        <v>"C:\Program Files (x86)\AstroGrep\AstroGrep.exe" /spath="%USERPROFILE%\AppData\Local\Temp\OnboardLogs" /stypes="*4018*20160804*" /stext=" 15:.+((SYSTEM_STATE.+slice.+state.+changed )|(ment ac)|(system.+state.+changed )|(\|lc)|(penalty)|(\[timeout)|(PRM\|1\|D)|(kpr)|(kdp))" /e /r /s</v>
      </c>
      <c r="AG170" s="1" t="str">
        <f t="shared" si="70"/>
        <v>NW</v>
      </c>
      <c r="AH170" s="125" t="str">
        <f>refinertdcruntimes&amp;" --tripid "&amp;A170&amp;" --locoid "&amp;B170&amp;" --swversion "&amp;C170&amp;" --startMP "&amp;D170&amp;" --initTime "&amp;TEXT(E170,"yyyy-mm-ddTHH:MM:SS")&amp;" --startdatetime "&amp;TEXT(F170,"yyyy-mm-ddTHH:MM:SS")&amp;" --delay "&amp;G170&amp;" --endMP "&amp;H170&amp;" --enddatetime "&amp;TEXT(I170,"yyyy-mm-ddTHH:MM:SS")&amp;" --enforcementcount "&amp;J170&amp;" &gt;&gt; "&amp;TEXT(Variables!$A$2,"yyyy-mm-dd")&amp;"-refined-runtimes.txt"</f>
        <v>"%USERPROFILE%\Documents\GitHub\eaglep3\Utilities\RefineRTDCRunTimes.py" --tripid 813-04 --locoid 4018 --swversion DE.1.0.7.0 --startMP 204:983 --initTime 2016-08-04T09:11:31 --startdatetime 2016-08-04T09:13:14 --delay 1 --endMP 300:58897 --enddatetime 2016-08-04T09:36:37 --enforcementcount 1 &gt;&gt; 2016-08-04-refined-runtimes.txt</v>
      </c>
    </row>
    <row r="171" spans="1:34" x14ac:dyDescent="0.25">
      <c r="A171" s="42" t="s">
        <v>703</v>
      </c>
      <c r="B171" s="7">
        <v>4017</v>
      </c>
      <c r="C171" s="25" t="s">
        <v>163</v>
      </c>
      <c r="D171" s="25" t="s">
        <v>704</v>
      </c>
      <c r="E171" s="16">
        <v>42586.401342592595</v>
      </c>
      <c r="F171" s="16">
        <v>42586.402106481481</v>
      </c>
      <c r="G171" s="7">
        <v>1</v>
      </c>
      <c r="H171" s="16" t="s">
        <v>705</v>
      </c>
      <c r="I171" s="16">
        <v>42586.416354166664</v>
      </c>
      <c r="J171" s="7">
        <v>0</v>
      </c>
      <c r="K171" s="114" t="str">
        <f t="shared" si="57"/>
        <v>4017/4018</v>
      </c>
      <c r="L171" s="25" t="str">
        <f>VLOOKUP(A171,'Trips&amp;Operators'!$C$1:$E$10000,3,FALSE)</f>
        <v>ISHMAEL</v>
      </c>
      <c r="M171" s="6">
        <f t="shared" si="58"/>
        <v>1.4247685183363501E-2</v>
      </c>
      <c r="N171" s="7">
        <f t="shared" si="56"/>
        <v>20.516666664043441</v>
      </c>
      <c r="O171" s="7"/>
      <c r="P171" s="7"/>
      <c r="Q171" s="26"/>
      <c r="R171" s="26"/>
      <c r="S171" s="38">
        <f t="shared" si="59"/>
        <v>1</v>
      </c>
      <c r="T171" s="55" t="str">
        <f t="shared" si="60"/>
        <v>Southbound</v>
      </c>
      <c r="U171" s="77">
        <f>IF(AG171="EC",COUNTIFS(Variables!$M$2:$M$19,IF(T171="NorthBound","&gt;=","&lt;=")&amp;Y171,Variables!$M$2:$M$19,IF(T171="NorthBound","&lt;=","&gt;=")&amp;Z171),COUNTIFS(Variables!$P$2:$P$19,IF(T171="NorthBound","&gt;=","&lt;=")&amp;Y171,Variables!$P$2:$P$19,IF(T171="NorthBound","&lt;=","&gt;=")&amp;Z171))</f>
        <v>1</v>
      </c>
      <c r="V171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08:37:56-0600',mode:absolute,to:'2016-08-04 10:59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71" s="57" t="str">
        <f t="shared" si="62"/>
        <v>N</v>
      </c>
      <c r="X171" s="117">
        <f t="shared" si="63"/>
        <v>1</v>
      </c>
      <c r="Y171" s="72">
        <f t="shared" si="64"/>
        <v>5.8578999999999999</v>
      </c>
      <c r="Z171" s="72">
        <f t="shared" si="65"/>
        <v>6.59E-2</v>
      </c>
      <c r="AA171" s="72">
        <f t="shared" si="66"/>
        <v>5.7919999999999998</v>
      </c>
      <c r="AB171" s="69" t="e">
        <f>VLOOKUP(A171,Enforcements!$C$7:$J$24,8,0)</f>
        <v>#N/A</v>
      </c>
      <c r="AC171" s="65" t="e">
        <f>VLOOKUP(A171,Enforcements!$C$7:$E$24,3,0)</f>
        <v>#N/A</v>
      </c>
      <c r="AD171" s="66" t="str">
        <f t="shared" si="67"/>
        <v>0814-04</v>
      </c>
      <c r="AE171" s="124" t="str">
        <f t="shared" si="68"/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AF171" s="121" t="str">
        <f t="shared" si="69"/>
        <v>"C:\Program Files (x86)\AstroGrep\AstroGrep.exe" /spath="%USERPROFILE%\AppData\Local\Temp\OnboardLogs" /stypes="*4017*20160804*" /stext=" 15:.+((SYSTEM_STATE.+slice.+state.+changed )|(ment ac)|(system.+state.+changed )|(\|lc)|(penalty)|(\[timeout)|(PRM\|1\|D)|(kpr)|(kdp))" /e /r /s</v>
      </c>
      <c r="AG171" s="1" t="str">
        <f t="shared" si="70"/>
        <v>NW</v>
      </c>
      <c r="AH171" s="125" t="str">
        <f>refinertdcruntimes&amp;" --tripid "&amp;A171&amp;" --locoid "&amp;B171&amp;" --swversion "&amp;C171&amp;" --startMP "&amp;D171&amp;" --initTime "&amp;TEXT(E171,"yyyy-mm-ddTHH:MM:SS")&amp;" --startdatetime "&amp;TEXT(F171,"yyyy-mm-ddTHH:MM:SS")&amp;" --delay "&amp;G171&amp;" --endMP "&amp;H171&amp;" --enddatetime "&amp;TEXT(I171,"yyyy-mm-ddTHH:MM:SS")&amp;" --enforcementcount "&amp;J171&amp;" &gt;&gt; "&amp;TEXT(Variables!$A$2,"yyyy-mm-dd")&amp;"-refined-runtimes.txt"</f>
        <v>"%USERPROFILE%\Documents\GitHub\eaglep3\Utilities\RefineRTDCRunTimes.py" --tripid 814-04 --locoid 4017 --swversion DE.1.0.7.0 --startMP 300:58579 --initTime 2016-08-04T09:37:56 --startdatetime 2016-08-04T09:39:02 --delay 1 --endMP 204:659 --enddatetime 2016-08-04T09:59:33 --enforcementcount 0 &gt;&gt; 2016-08-04-refined-runtimes.txt</v>
      </c>
    </row>
    <row r="172" spans="1:34" x14ac:dyDescent="0.25">
      <c r="A172" s="42" t="s">
        <v>485</v>
      </c>
      <c r="B172" s="7">
        <v>4018</v>
      </c>
      <c r="C172" s="25" t="s">
        <v>163</v>
      </c>
      <c r="D172" s="25" t="s">
        <v>422</v>
      </c>
      <c r="E172" s="16">
        <v>42586.425543981481</v>
      </c>
      <c r="F172" s="16">
        <v>42586.426574074074</v>
      </c>
      <c r="G172" s="7">
        <v>1</v>
      </c>
      <c r="H172" s="16" t="s">
        <v>706</v>
      </c>
      <c r="I172" s="16">
        <v>42586.442395833335</v>
      </c>
      <c r="J172" s="7">
        <v>1</v>
      </c>
      <c r="K172" s="114" t="str">
        <f t="shared" si="57"/>
        <v>4017/4018</v>
      </c>
      <c r="L172" s="25" t="str">
        <f>VLOOKUP(A172,'Trips&amp;Operators'!$C$1:$E$10000,3,FALSE)</f>
        <v>ISHMAEL</v>
      </c>
      <c r="M172" s="6">
        <f t="shared" si="58"/>
        <v>1.5821759261598345E-2</v>
      </c>
      <c r="N172" s="7">
        <f t="shared" si="56"/>
        <v>22.783333336701617</v>
      </c>
      <c r="O172" s="7"/>
      <c r="P172" s="7"/>
      <c r="Q172" s="26"/>
      <c r="R172" s="26"/>
      <c r="S172" s="38">
        <f t="shared" si="59"/>
        <v>1</v>
      </c>
      <c r="T172" s="55" t="str">
        <f t="shared" si="60"/>
        <v>NorthBound</v>
      </c>
      <c r="U172" s="77">
        <f>IF(AG172="EC",COUNTIFS(Variables!$M$2:$M$19,IF(T172="NorthBound","&gt;=","&lt;=")&amp;Y172,Variables!$M$2:$M$19,IF(T172="NorthBound","&lt;=","&gt;=")&amp;Z172),COUNTIFS(Variables!$P$2:$P$19,IF(T172="NorthBound","&gt;=","&lt;=")&amp;Y172,Variables!$P$2:$P$19,IF(T172="NorthBound","&lt;=","&gt;=")&amp;Z172))</f>
        <v>1</v>
      </c>
      <c r="V172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09:12:47-0600',mode:absolute,to:'2016-08-04 11:37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72" s="57" t="str">
        <f t="shared" si="62"/>
        <v>N</v>
      </c>
      <c r="X172" s="117">
        <f t="shared" si="63"/>
        <v>1</v>
      </c>
      <c r="Y172" s="72">
        <f t="shared" si="64"/>
        <v>9.8299999999999998E-2</v>
      </c>
      <c r="Z172" s="72">
        <f t="shared" si="65"/>
        <v>5.8909000000000002</v>
      </c>
      <c r="AA172" s="72">
        <f t="shared" si="66"/>
        <v>5.7926000000000002</v>
      </c>
      <c r="AB172" s="69" t="e">
        <f>VLOOKUP(A172,Enforcements!$C$7:$J$24,8,0)</f>
        <v>#N/A</v>
      </c>
      <c r="AC172" s="65" t="e">
        <f>VLOOKUP(A172,Enforcements!$C$7:$E$24,3,0)</f>
        <v>#N/A</v>
      </c>
      <c r="AD172" s="66" t="str">
        <f t="shared" si="67"/>
        <v>0815-04</v>
      </c>
      <c r="AE172" s="124" t="str">
        <f t="shared" si="68"/>
        <v>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 &amp; aws s3 cp s3://rtdc.mdm.uploadarchive/RTDC4018/2016-08-05/ "%USERPROFILE%\AppData\Local\Temp\OnboardLogs"\RTDC4018\2016-08-05 --recursive &amp; "%USERPROFILE%\Documents\GitHub\mrs-test-scripts\Headless Mode &amp; Sideloading\WalkAndUnGZ.bat" "%USERPROFILE%\AppData\Local\Temp\OnboardLogs"\RTDC4018\2016-08-05</v>
      </c>
      <c r="AF172" s="121" t="str">
        <f t="shared" si="69"/>
        <v>"C:\Program Files (x86)\AstroGrep\AstroGrep.exe" /spath="%USERPROFILE%\AppData\Local\Temp\OnboardLogs" /stypes="*4018*20160804*" /stext=" 16:.+((SYSTEM_STATE.+slice.+state.+changed )|(ment ac)|(system.+state.+changed )|(\|lc)|(penalty)|(\[timeout)|(PRM\|1\|D)|(kpr)|(kdp))" /e /r /s</v>
      </c>
      <c r="AG172" s="1" t="str">
        <f t="shared" si="70"/>
        <v>NW</v>
      </c>
      <c r="AH172" s="125" t="str">
        <f>refinertdcruntimes&amp;" --tripid "&amp;A172&amp;" --locoid "&amp;B172&amp;" --swversion "&amp;C172&amp;" --startMP "&amp;D172&amp;" --initTime "&amp;TEXT(E172,"yyyy-mm-ddTHH:MM:SS")&amp;" --startdatetime "&amp;TEXT(F172,"yyyy-mm-ddTHH:MM:SS")&amp;" --delay "&amp;G172&amp;" --endMP "&amp;H172&amp;" --enddatetime "&amp;TEXT(I172,"yyyy-mm-ddTHH:MM:SS")&amp;" --enforcementcount "&amp;J172&amp;" &gt;&gt; "&amp;TEXT(Variables!$A$2,"yyyy-mm-dd")&amp;"-refined-runtimes.txt"</f>
        <v>"%USERPROFILE%\Documents\GitHub\eaglep3\Utilities\RefineRTDCRunTimes.py" --tripid 815-04 --locoid 4018 --swversion DE.1.0.7.0 --startMP 204:983 --initTime 2016-08-04T10:12:47 --startdatetime 2016-08-04T10:14:16 --delay 1 --endMP 300:58909 --enddatetime 2016-08-04T10:37:03 --enforcementcount 1 &gt;&gt; 2016-08-04-refined-runtimes.txt</v>
      </c>
    </row>
    <row r="173" spans="1:34" x14ac:dyDescent="0.25">
      <c r="A173" s="42" t="s">
        <v>707</v>
      </c>
      <c r="B173" s="7">
        <v>4017</v>
      </c>
      <c r="C173" s="25" t="s">
        <v>163</v>
      </c>
      <c r="D173" s="25" t="s">
        <v>708</v>
      </c>
      <c r="E173" s="16">
        <v>42586.443310185183</v>
      </c>
      <c r="F173" s="16">
        <v>42586.444074074076</v>
      </c>
      <c r="G173" s="7">
        <v>1</v>
      </c>
      <c r="H173" s="16" t="s">
        <v>520</v>
      </c>
      <c r="I173" s="16">
        <v>42586.455439814818</v>
      </c>
      <c r="J173" s="7">
        <v>0</v>
      </c>
      <c r="K173" s="114" t="str">
        <f t="shared" si="57"/>
        <v>4017/4018</v>
      </c>
      <c r="L173" s="25" t="str">
        <f>VLOOKUP(A173,'Trips&amp;Operators'!$C$1:$E$10000,3,FALSE)</f>
        <v>ISHMAEL</v>
      </c>
      <c r="M173" s="6">
        <f t="shared" si="58"/>
        <v>1.1365740741894115E-2</v>
      </c>
      <c r="N173" s="7">
        <f t="shared" si="56"/>
        <v>16.366666668327525</v>
      </c>
      <c r="O173" s="7"/>
      <c r="P173" s="7"/>
      <c r="Q173" s="26"/>
      <c r="R173" s="26"/>
      <c r="S173" s="38">
        <f t="shared" si="59"/>
        <v>1</v>
      </c>
      <c r="T173" s="55" t="str">
        <f t="shared" si="60"/>
        <v>Southbound</v>
      </c>
      <c r="U173" s="77">
        <f>IF(AG173="EC",COUNTIFS(Variables!$M$2:$M$19,IF(T173="NorthBound","&gt;=","&lt;=")&amp;Y173,Variables!$M$2:$M$19,IF(T173="NorthBound","&lt;=","&gt;=")&amp;Z173),COUNTIFS(Variables!$P$2:$P$19,IF(T173="NorthBound","&gt;=","&lt;=")&amp;Y173,Variables!$P$2:$P$19,IF(T173="NorthBound","&lt;=","&gt;=")&amp;Z173))</f>
        <v>1</v>
      </c>
      <c r="V173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09:38:22-0600',mode:absolute,to:'2016-08-04 11:55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73" s="57" t="str">
        <f t="shared" si="62"/>
        <v>N</v>
      </c>
      <c r="X173" s="117">
        <f t="shared" si="63"/>
        <v>1</v>
      </c>
      <c r="Y173" s="72">
        <f t="shared" si="64"/>
        <v>5.8586999999999998</v>
      </c>
      <c r="Z173" s="72">
        <f t="shared" si="65"/>
        <v>6.9900000000000004E-2</v>
      </c>
      <c r="AA173" s="72">
        <f t="shared" si="66"/>
        <v>5.7888000000000002</v>
      </c>
      <c r="AB173" s="69" t="e">
        <f>VLOOKUP(A173,Enforcements!$C$7:$J$24,8,0)</f>
        <v>#N/A</v>
      </c>
      <c r="AC173" s="65" t="e">
        <f>VLOOKUP(A173,Enforcements!$C$7:$E$24,3,0)</f>
        <v>#N/A</v>
      </c>
      <c r="AD173" s="66" t="str">
        <f t="shared" si="67"/>
        <v>0816-04</v>
      </c>
      <c r="AE173" s="124" t="str">
        <f t="shared" si="68"/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AF173" s="121" t="str">
        <f t="shared" si="69"/>
        <v>"C:\Program Files (x86)\AstroGrep\AstroGrep.exe" /spath="%USERPROFILE%\AppData\Local\Temp\OnboardLogs" /stypes="*4017*20160804*" /stext=" 16:.+((SYSTEM_STATE.+slice.+state.+changed )|(ment ac)|(system.+state.+changed )|(\|lc)|(penalty)|(\[timeout)|(PRM\|1\|D)|(kpr)|(kdp))" /e /r /s</v>
      </c>
      <c r="AG173" s="1" t="str">
        <f t="shared" si="70"/>
        <v>NW</v>
      </c>
      <c r="AH173" s="125" t="str">
        <f>refinertdcruntimes&amp;" --tripid "&amp;A173&amp;" --locoid "&amp;B173&amp;" --swversion "&amp;C173&amp;" --startMP "&amp;D173&amp;" --initTime "&amp;TEXT(E173,"yyyy-mm-ddTHH:MM:SS")&amp;" --startdatetime "&amp;TEXT(F173,"yyyy-mm-ddTHH:MM:SS")&amp;" --delay "&amp;G173&amp;" --endMP "&amp;H173&amp;" --enddatetime "&amp;TEXT(I173,"yyyy-mm-ddTHH:MM:SS")&amp;" --enforcementcount "&amp;J173&amp;" &gt;&gt; "&amp;TEXT(Variables!$A$2,"yyyy-mm-dd")&amp;"-refined-runtimes.txt"</f>
        <v>"%USERPROFILE%\Documents\GitHub\eaglep3\Utilities\RefineRTDCRunTimes.py" --tripid 816-04 --locoid 4017 --swversion DE.1.0.7.0 --startMP 300:58587 --initTime 2016-08-04T10:38:22 --startdatetime 2016-08-04T10:39:28 --delay 1 --endMP 204:699 --enddatetime 2016-08-04T10:55:50 --enforcementcount 0 &gt;&gt; 2016-08-04-refined-runtimes.txt</v>
      </c>
    </row>
    <row r="174" spans="1:34" x14ac:dyDescent="0.25">
      <c r="A174" s="42" t="s">
        <v>709</v>
      </c>
      <c r="B174" s="7">
        <v>4018</v>
      </c>
      <c r="C174" s="25" t="s">
        <v>163</v>
      </c>
      <c r="D174" s="25" t="s">
        <v>371</v>
      </c>
      <c r="E174" s="16">
        <v>42586.466909722221</v>
      </c>
      <c r="F174" s="16">
        <v>42586.467847222222</v>
      </c>
      <c r="G174" s="7">
        <v>1</v>
      </c>
      <c r="H174" s="16" t="s">
        <v>710</v>
      </c>
      <c r="I174" s="16">
        <v>42586.483182870368</v>
      </c>
      <c r="J174" s="7">
        <v>0</v>
      </c>
      <c r="K174" s="114" t="str">
        <f t="shared" si="57"/>
        <v>4017/4018</v>
      </c>
      <c r="L174" s="25" t="str">
        <f>VLOOKUP(A174,'Trips&amp;Operators'!$C$1:$E$10000,3,FALSE)</f>
        <v>ISHMAEL</v>
      </c>
      <c r="M174" s="6">
        <f t="shared" si="58"/>
        <v>1.5335648145992309E-2</v>
      </c>
      <c r="N174" s="7">
        <f t="shared" si="56"/>
        <v>22.083333330228925</v>
      </c>
      <c r="O174" s="7"/>
      <c r="P174" s="7"/>
      <c r="Q174" s="26"/>
      <c r="R174" s="26"/>
      <c r="S174" s="38">
        <f t="shared" si="59"/>
        <v>1</v>
      </c>
      <c r="T174" s="55" t="str">
        <f t="shared" si="60"/>
        <v>NorthBound</v>
      </c>
      <c r="U174" s="77">
        <f>IF(AG174="EC",COUNTIFS(Variables!$M$2:$M$19,IF(T174="NorthBound","&gt;=","&lt;=")&amp;Y174,Variables!$M$2:$M$19,IF(T174="NorthBound","&lt;=","&gt;=")&amp;Z174),COUNTIFS(Variables!$P$2:$P$19,IF(T174="NorthBound","&gt;=","&lt;=")&amp;Y174,Variables!$P$2:$P$19,IF(T174="NorthBound","&lt;=","&gt;=")&amp;Z174))</f>
        <v>1</v>
      </c>
      <c r="V174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10:12:21-0600',mode:absolute,to:'2016-08-04 12:35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74" s="57" t="str">
        <f t="shared" si="62"/>
        <v>N</v>
      </c>
      <c r="X174" s="117">
        <f t="shared" si="63"/>
        <v>1</v>
      </c>
      <c r="Y174" s="72">
        <f t="shared" si="64"/>
        <v>9.7799999999999998E-2</v>
      </c>
      <c r="Z174" s="72">
        <f t="shared" si="65"/>
        <v>5.8902999999999999</v>
      </c>
      <c r="AA174" s="72">
        <f t="shared" si="66"/>
        <v>5.7924999999999995</v>
      </c>
      <c r="AB174" s="69" t="e">
        <f>VLOOKUP(A174,Enforcements!$C$7:$J$24,8,0)</f>
        <v>#N/A</v>
      </c>
      <c r="AC174" s="65" t="e">
        <f>VLOOKUP(A174,Enforcements!$C$7:$E$24,3,0)</f>
        <v>#N/A</v>
      </c>
      <c r="AD174" s="66" t="str">
        <f t="shared" si="67"/>
        <v>0817-04</v>
      </c>
      <c r="AE174" s="124" t="str">
        <f t="shared" si="68"/>
        <v>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 &amp; aws s3 cp s3://rtdc.mdm.uploadarchive/RTDC4018/2016-08-05/ "%USERPROFILE%\AppData\Local\Temp\OnboardLogs"\RTDC4018\2016-08-05 --recursive &amp; "%USERPROFILE%\Documents\GitHub\mrs-test-scripts\Headless Mode &amp; Sideloading\WalkAndUnGZ.bat" "%USERPROFILE%\AppData\Local\Temp\OnboardLogs"\RTDC4018\2016-08-05</v>
      </c>
      <c r="AF174" s="121" t="str">
        <f t="shared" si="69"/>
        <v>"C:\Program Files (x86)\AstroGrep\AstroGrep.exe" /spath="%USERPROFILE%\AppData\Local\Temp\OnboardLogs" /stypes="*4018*20160804*" /stext=" 17:.+((SYSTEM_STATE.+slice.+state.+changed )|(ment ac)|(system.+state.+changed )|(\|lc)|(penalty)|(\[timeout)|(PRM\|1\|D)|(kpr)|(kdp))" /e /r /s</v>
      </c>
      <c r="AG174" s="1" t="str">
        <f t="shared" si="70"/>
        <v>NW</v>
      </c>
      <c r="AH174" s="125" t="str">
        <f>refinertdcruntimes&amp;" --tripid "&amp;A174&amp;" --locoid "&amp;B174&amp;" --swversion "&amp;C174&amp;" --startMP "&amp;D174&amp;" --initTime "&amp;TEXT(E174,"yyyy-mm-ddTHH:MM:SS")&amp;" --startdatetime "&amp;TEXT(F174,"yyyy-mm-ddTHH:MM:SS")&amp;" --delay "&amp;G174&amp;" --endMP "&amp;H174&amp;" --enddatetime "&amp;TEXT(I174,"yyyy-mm-ddTHH:MM:SS")&amp;" --enforcementcount "&amp;J174&amp;" &gt;&gt; "&amp;TEXT(Variables!$A$2,"yyyy-mm-dd")&amp;"-refined-runtimes.txt"</f>
        <v>"%USERPROFILE%\Documents\GitHub\eaglep3\Utilities\RefineRTDCRunTimes.py" --tripid 817-04 --locoid 4018 --swversion DE.1.0.7.0 --startMP 204:978 --initTime 2016-08-04T11:12:21 --startdatetime 2016-08-04T11:13:42 --delay 1 --endMP 300:58903 --enddatetime 2016-08-04T11:35:47 --enforcementcount 0 &gt;&gt; 2016-08-04-refined-runtimes.txt</v>
      </c>
    </row>
    <row r="175" spans="1:34" x14ac:dyDescent="0.25">
      <c r="A175" s="42" t="s">
        <v>711</v>
      </c>
      <c r="B175" s="7">
        <v>4017</v>
      </c>
      <c r="C175" s="25" t="s">
        <v>163</v>
      </c>
      <c r="D175" s="25" t="s">
        <v>712</v>
      </c>
      <c r="E175" s="16">
        <v>42586.484027777777</v>
      </c>
      <c r="F175" s="16">
        <v>42586.485011574077</v>
      </c>
      <c r="G175" s="7">
        <v>1</v>
      </c>
      <c r="H175" s="16" t="s">
        <v>421</v>
      </c>
      <c r="I175" s="16">
        <v>42586.496944444443</v>
      </c>
      <c r="J175" s="7">
        <v>0</v>
      </c>
      <c r="K175" s="114" t="str">
        <f t="shared" si="57"/>
        <v>4017/4018</v>
      </c>
      <c r="L175" s="25" t="str">
        <f>VLOOKUP(A175,'Trips&amp;Operators'!$C$1:$E$10000,3,FALSE)</f>
        <v>ISHMAEL</v>
      </c>
      <c r="M175" s="6">
        <f t="shared" si="58"/>
        <v>1.1932870365853887E-2</v>
      </c>
      <c r="N175" s="7">
        <f t="shared" si="56"/>
        <v>17.183333326829597</v>
      </c>
      <c r="O175" s="7"/>
      <c r="P175" s="7"/>
      <c r="Q175" s="26"/>
      <c r="R175" s="26"/>
      <c r="S175" s="38">
        <f t="shared" si="59"/>
        <v>1</v>
      </c>
      <c r="T175" s="55" t="str">
        <f t="shared" si="60"/>
        <v>Southbound</v>
      </c>
      <c r="U175" s="77">
        <f>IF(AG175="EC",COUNTIFS(Variables!$M$2:$M$19,IF(T175="NorthBound","&gt;=","&lt;=")&amp;Y175,Variables!$M$2:$M$19,IF(T175="NorthBound","&lt;=","&gt;=")&amp;Z175),COUNTIFS(Variables!$P$2:$P$19,IF(T175="NorthBound","&gt;=","&lt;=")&amp;Y175,Variables!$P$2:$P$19,IF(T175="NorthBound","&lt;=","&gt;=")&amp;Z175))</f>
        <v>1</v>
      </c>
      <c r="V175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10:37:00-0600',mode:absolute,to:'2016-08-04 12:55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75" s="57" t="str">
        <f t="shared" si="62"/>
        <v>N</v>
      </c>
      <c r="X175" s="117">
        <f t="shared" si="63"/>
        <v>1</v>
      </c>
      <c r="Y175" s="72">
        <f t="shared" si="64"/>
        <v>5.8575999999999997</v>
      </c>
      <c r="Z175" s="72">
        <f t="shared" si="65"/>
        <v>6.8199999999999997E-2</v>
      </c>
      <c r="AA175" s="72">
        <f t="shared" si="66"/>
        <v>5.7893999999999997</v>
      </c>
      <c r="AB175" s="69" t="e">
        <f>VLOOKUP(A175,Enforcements!$C$7:$J$24,8,0)</f>
        <v>#N/A</v>
      </c>
      <c r="AC175" s="65" t="e">
        <f>VLOOKUP(A175,Enforcements!$C$7:$E$24,3,0)</f>
        <v>#N/A</v>
      </c>
      <c r="AD175" s="66" t="str">
        <f t="shared" si="67"/>
        <v>0818-04</v>
      </c>
      <c r="AE175" s="124" t="str">
        <f t="shared" si="68"/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AF175" s="121" t="str">
        <f t="shared" si="69"/>
        <v>"C:\Program Files (x86)\AstroGrep\AstroGrep.exe" /spath="%USERPROFILE%\AppData\Local\Temp\OnboardLogs" /stypes="*4017*20160804*" /stext=" 17:.+((SYSTEM_STATE.+slice.+state.+changed )|(ment ac)|(system.+state.+changed )|(\|lc)|(penalty)|(\[timeout)|(PRM\|1\|D)|(kpr)|(kdp))" /e /r /s</v>
      </c>
      <c r="AG175" s="1" t="str">
        <f t="shared" si="70"/>
        <v>NW</v>
      </c>
      <c r="AH175" s="125" t="str">
        <f>refinertdcruntimes&amp;" --tripid "&amp;A175&amp;" --locoid "&amp;B175&amp;" --swversion "&amp;C175&amp;" --startMP "&amp;D175&amp;" --initTime "&amp;TEXT(E175,"yyyy-mm-ddTHH:MM:SS")&amp;" --startdatetime "&amp;TEXT(F175,"yyyy-mm-ddTHH:MM:SS")&amp;" --delay "&amp;G175&amp;" --endMP "&amp;H175&amp;" --enddatetime "&amp;TEXT(I175,"yyyy-mm-ddTHH:MM:SS")&amp;" --enforcementcount "&amp;J175&amp;" &gt;&gt; "&amp;TEXT(Variables!$A$2,"yyyy-mm-dd")&amp;"-refined-runtimes.txt"</f>
        <v>"%USERPROFILE%\Documents\GitHub\eaglep3\Utilities\RefineRTDCRunTimes.py" --tripid 818-04 --locoid 4017 --swversion DE.1.0.7.0 --startMP 300:58576 --initTime 2016-08-04T11:37:00 --startdatetime 2016-08-04T11:38:25 --delay 1 --endMP 204:682 --enddatetime 2016-08-04T11:55:36 --enforcementcount 0 &gt;&gt; 2016-08-04-refined-runtimes.txt</v>
      </c>
    </row>
    <row r="176" spans="1:34" x14ac:dyDescent="0.25">
      <c r="A176" s="42" t="s">
        <v>713</v>
      </c>
      <c r="B176" s="7">
        <v>4018</v>
      </c>
      <c r="C176" s="25" t="s">
        <v>163</v>
      </c>
      <c r="D176" s="25" t="s">
        <v>422</v>
      </c>
      <c r="E176" s="16">
        <v>42586.50880787037</v>
      </c>
      <c r="F176" s="16">
        <v>42586.510057870371</v>
      </c>
      <c r="G176" s="7">
        <v>1</v>
      </c>
      <c r="H176" s="16" t="s">
        <v>321</v>
      </c>
      <c r="I176" s="16">
        <v>42586.524641203701</v>
      </c>
      <c r="J176" s="7">
        <v>0</v>
      </c>
      <c r="K176" s="114" t="str">
        <f t="shared" si="57"/>
        <v>4017/4018</v>
      </c>
      <c r="L176" s="25" t="str">
        <f>VLOOKUP(A176,'Trips&amp;Operators'!$C$1:$E$10000,3,FALSE)</f>
        <v>ISHMAEL</v>
      </c>
      <c r="M176" s="6">
        <f t="shared" si="58"/>
        <v>1.4583333329937886E-2</v>
      </c>
      <c r="N176" s="7">
        <f t="shared" si="56"/>
        <v>20.999999995110556</v>
      </c>
      <c r="O176" s="7"/>
      <c r="P176" s="7"/>
      <c r="Q176" s="26"/>
      <c r="R176" s="26"/>
      <c r="S176" s="38">
        <f t="shared" si="59"/>
        <v>1</v>
      </c>
      <c r="T176" s="55" t="str">
        <f t="shared" si="60"/>
        <v>NorthBound</v>
      </c>
      <c r="U176" s="77">
        <f>IF(AG176="EC",COUNTIFS(Variables!$M$2:$M$19,IF(T176="NorthBound","&gt;=","&lt;=")&amp;Y176,Variables!$M$2:$M$19,IF(T176="NorthBound","&lt;=","&gt;=")&amp;Z176),COUNTIFS(Variables!$P$2:$P$19,IF(T176="NorthBound","&gt;=","&lt;=")&amp;Y176,Variables!$P$2:$P$19,IF(T176="NorthBound","&lt;=","&gt;=")&amp;Z176))</f>
        <v>1</v>
      </c>
      <c r="V176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11:12:41-0600',mode:absolute,to:'2016-08-04 13:35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76" s="57" t="str">
        <f t="shared" si="62"/>
        <v>N</v>
      </c>
      <c r="X176" s="117">
        <f t="shared" si="63"/>
        <v>1</v>
      </c>
      <c r="Y176" s="72">
        <f t="shared" si="64"/>
        <v>9.8299999999999998E-2</v>
      </c>
      <c r="Z176" s="72">
        <f t="shared" si="65"/>
        <v>5.8924000000000003</v>
      </c>
      <c r="AA176" s="72">
        <f t="shared" si="66"/>
        <v>5.7941000000000003</v>
      </c>
      <c r="AB176" s="69" t="e">
        <f>VLOOKUP(A176,Enforcements!$C$7:$J$24,8,0)</f>
        <v>#N/A</v>
      </c>
      <c r="AC176" s="65" t="e">
        <f>VLOOKUP(A176,Enforcements!$C$7:$E$24,3,0)</f>
        <v>#N/A</v>
      </c>
      <c r="AD176" s="66" t="str">
        <f t="shared" si="67"/>
        <v>0819-04</v>
      </c>
      <c r="AE176" s="124" t="str">
        <f t="shared" si="68"/>
        <v>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 &amp; aws s3 cp s3://rtdc.mdm.uploadarchive/RTDC4018/2016-08-05/ "%USERPROFILE%\AppData\Local\Temp\OnboardLogs"\RTDC4018\2016-08-05 --recursive &amp; "%USERPROFILE%\Documents\GitHub\mrs-test-scripts\Headless Mode &amp; Sideloading\WalkAndUnGZ.bat" "%USERPROFILE%\AppData\Local\Temp\OnboardLogs"\RTDC4018\2016-08-05</v>
      </c>
      <c r="AF176" s="121" t="str">
        <f t="shared" si="69"/>
        <v>"C:\Program Files (x86)\AstroGrep\AstroGrep.exe" /spath="%USERPROFILE%\AppData\Local\Temp\OnboardLogs" /stypes="*4018*20160804*" /stext=" 18:.+((SYSTEM_STATE.+slice.+state.+changed )|(ment ac)|(system.+state.+changed )|(\|lc)|(penalty)|(\[timeout)|(PRM\|1\|D)|(kpr)|(kdp))" /e /r /s</v>
      </c>
      <c r="AG176" s="1" t="str">
        <f t="shared" si="70"/>
        <v>NW</v>
      </c>
      <c r="AH176" s="125" t="str">
        <f>refinertdcruntimes&amp;" --tripid "&amp;A176&amp;" --locoid "&amp;B176&amp;" --swversion "&amp;C176&amp;" --startMP "&amp;D176&amp;" --initTime "&amp;TEXT(E176,"yyyy-mm-ddTHH:MM:SS")&amp;" --startdatetime "&amp;TEXT(F176,"yyyy-mm-ddTHH:MM:SS")&amp;" --delay "&amp;G176&amp;" --endMP "&amp;H176&amp;" --enddatetime "&amp;TEXT(I176,"yyyy-mm-ddTHH:MM:SS")&amp;" --enforcementcount "&amp;J176&amp;" &gt;&gt; "&amp;TEXT(Variables!$A$2,"yyyy-mm-dd")&amp;"-refined-runtimes.txt"</f>
        <v>"%USERPROFILE%\Documents\GitHub\eaglep3\Utilities\RefineRTDCRunTimes.py" --tripid 819-04 --locoid 4018 --swversion DE.1.0.7.0 --startMP 204:983 --initTime 2016-08-04T12:12:41 --startdatetime 2016-08-04T12:14:29 --delay 1 --endMP 300:58924 --enddatetime 2016-08-04T12:35:29 --enforcementcount 0 &gt;&gt; 2016-08-04-refined-runtimes.txt</v>
      </c>
    </row>
    <row r="177" spans="1:34" x14ac:dyDescent="0.25">
      <c r="A177" s="42" t="s">
        <v>714</v>
      </c>
      <c r="B177" s="7">
        <v>4017</v>
      </c>
      <c r="C177" s="25" t="s">
        <v>163</v>
      </c>
      <c r="D177" s="25" t="s">
        <v>715</v>
      </c>
      <c r="E177" s="16">
        <v>42586.525949074072</v>
      </c>
      <c r="F177" s="16">
        <v>42586.526736111111</v>
      </c>
      <c r="G177" s="7">
        <v>1</v>
      </c>
      <c r="H177" s="16" t="s">
        <v>380</v>
      </c>
      <c r="I177" s="16">
        <v>42586.538472222222</v>
      </c>
      <c r="J177" s="7">
        <v>0</v>
      </c>
      <c r="K177" s="114" t="str">
        <f t="shared" si="57"/>
        <v>4017/4018</v>
      </c>
      <c r="L177" s="25" t="str">
        <f>VLOOKUP(A177,'Trips&amp;Operators'!$C$1:$E$10000,3,FALSE)</f>
        <v>ISHMAEL</v>
      </c>
      <c r="M177" s="6">
        <f t="shared" si="58"/>
        <v>1.17361111115315E-2</v>
      </c>
      <c r="N177" s="7">
        <f t="shared" si="56"/>
        <v>16.90000000060536</v>
      </c>
      <c r="O177" s="7"/>
      <c r="P177" s="7"/>
      <c r="Q177" s="26"/>
      <c r="R177" s="26"/>
      <c r="S177" s="38">
        <f t="shared" si="59"/>
        <v>1</v>
      </c>
      <c r="T177" s="55" t="str">
        <f t="shared" si="60"/>
        <v>Southbound</v>
      </c>
      <c r="U177" s="77">
        <f>IF(AG177="EC",COUNTIFS(Variables!$M$2:$M$19,IF(T177="NorthBound","&gt;=","&lt;=")&amp;Y177,Variables!$M$2:$M$19,IF(T177="NorthBound","&lt;=","&gt;=")&amp;Z177),COUNTIFS(Variables!$P$2:$P$19,IF(T177="NorthBound","&gt;=","&lt;=")&amp;Y177,Variables!$P$2:$P$19,IF(T177="NorthBound","&lt;=","&gt;=")&amp;Z177))</f>
        <v>1</v>
      </c>
      <c r="V177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11:37:22-0600',mode:absolute,to:'2016-08-04 13:55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77" s="57" t="str">
        <f t="shared" si="62"/>
        <v>N</v>
      </c>
      <c r="X177" s="117">
        <f t="shared" si="63"/>
        <v>1</v>
      </c>
      <c r="Y177" s="72">
        <f t="shared" si="64"/>
        <v>5.86</v>
      </c>
      <c r="Z177" s="72">
        <f t="shared" si="65"/>
        <v>7.0300000000000001E-2</v>
      </c>
      <c r="AA177" s="72">
        <f t="shared" si="66"/>
        <v>5.7897000000000007</v>
      </c>
      <c r="AB177" s="69" t="e">
        <f>VLOOKUP(A177,Enforcements!$C$7:$J$24,8,0)</f>
        <v>#N/A</v>
      </c>
      <c r="AC177" s="65" t="e">
        <f>VLOOKUP(A177,Enforcements!$C$7:$E$24,3,0)</f>
        <v>#N/A</v>
      </c>
      <c r="AD177" s="66" t="str">
        <f t="shared" si="67"/>
        <v>0820-04</v>
      </c>
      <c r="AE177" s="124" t="str">
        <f t="shared" si="68"/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AF177" s="121" t="str">
        <f t="shared" si="69"/>
        <v>"C:\Program Files (x86)\AstroGrep\AstroGrep.exe" /spath="%USERPROFILE%\AppData\Local\Temp\OnboardLogs" /stypes="*4017*20160804*" /stext=" 18:.+((SYSTEM_STATE.+slice.+state.+changed )|(ment ac)|(system.+state.+changed )|(\|lc)|(penalty)|(\[timeout)|(PRM\|1\|D)|(kpr)|(kdp))" /e /r /s</v>
      </c>
      <c r="AG177" s="1" t="str">
        <f t="shared" si="70"/>
        <v>NW</v>
      </c>
      <c r="AH177" s="125" t="str">
        <f>refinertdcruntimes&amp;" --tripid "&amp;A177&amp;" --locoid "&amp;B177&amp;" --swversion "&amp;C177&amp;" --startMP "&amp;D177&amp;" --initTime "&amp;TEXT(E177,"yyyy-mm-ddTHH:MM:SS")&amp;" --startdatetime "&amp;TEXT(F177,"yyyy-mm-ddTHH:MM:SS")&amp;" --delay "&amp;G177&amp;" --endMP "&amp;H177&amp;" --enddatetime "&amp;TEXT(I177,"yyyy-mm-ddTHH:MM:SS")&amp;" --enforcementcount "&amp;J177&amp;" &gt;&gt; "&amp;TEXT(Variables!$A$2,"yyyy-mm-dd")&amp;"-refined-runtimes.txt"</f>
        <v>"%USERPROFILE%\Documents\GitHub\eaglep3\Utilities\RefineRTDCRunTimes.py" --tripid 820-04 --locoid 4017 --swversion DE.1.0.7.0 --startMP 300:58600 --initTime 2016-08-04T12:37:22 --startdatetime 2016-08-04T12:38:30 --delay 1 --endMP 204:703 --enddatetime 2016-08-04T12:55:24 --enforcementcount 0 &gt;&gt; 2016-08-04-refined-runtimes.txt</v>
      </c>
    </row>
    <row r="178" spans="1:34" x14ac:dyDescent="0.25">
      <c r="A178" s="42" t="s">
        <v>716</v>
      </c>
      <c r="B178" s="7">
        <v>4018</v>
      </c>
      <c r="C178" s="25" t="s">
        <v>163</v>
      </c>
      <c r="D178" s="25" t="s">
        <v>717</v>
      </c>
      <c r="E178" s="16">
        <v>42586.542118055557</v>
      </c>
      <c r="F178" s="16">
        <v>42586.543217592596</v>
      </c>
      <c r="G178" s="7">
        <v>1</v>
      </c>
      <c r="H178" s="16" t="s">
        <v>430</v>
      </c>
      <c r="I178" s="16">
        <v>42586.566874999997</v>
      </c>
      <c r="J178" s="7">
        <v>0</v>
      </c>
      <c r="K178" s="114" t="str">
        <f t="shared" si="57"/>
        <v>4017/4018</v>
      </c>
      <c r="L178" s="25" t="str">
        <f>VLOOKUP(A178,'Trips&amp;Operators'!$C$1:$E$10000,3,FALSE)</f>
        <v>KILLION</v>
      </c>
      <c r="M178" s="6">
        <f t="shared" si="58"/>
        <v>2.3657407400605734E-2</v>
      </c>
      <c r="N178" s="7">
        <f t="shared" si="56"/>
        <v>34.066666656872258</v>
      </c>
      <c r="O178" s="7"/>
      <c r="P178" s="7"/>
      <c r="Q178" s="26"/>
      <c r="R178" s="26"/>
      <c r="S178" s="38">
        <f t="shared" si="59"/>
        <v>1</v>
      </c>
      <c r="T178" s="55" t="str">
        <f t="shared" si="60"/>
        <v>NorthBound</v>
      </c>
      <c r="U178" s="77">
        <f>IF(AG178="EC",COUNTIFS(Variables!$M$2:$M$19,IF(T178="NorthBound","&gt;=","&lt;=")&amp;Y178,Variables!$M$2:$M$19,IF(T178="NorthBound","&lt;=","&gt;=")&amp;Z178),COUNTIFS(Variables!$P$2:$P$19,IF(T178="NorthBound","&gt;=","&lt;=")&amp;Y178,Variables!$P$2:$P$19,IF(T178="NorthBound","&lt;=","&gt;=")&amp;Z178))</f>
        <v>1</v>
      </c>
      <c r="V178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12:00:39-0600',mode:absolute,to:'2016-08-04 14:36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78" s="57" t="str">
        <f t="shared" si="62"/>
        <v>N</v>
      </c>
      <c r="X178" s="117">
        <f t="shared" si="63"/>
        <v>1</v>
      </c>
      <c r="Y178" s="72">
        <f t="shared" si="64"/>
        <v>9.9199999999999997E-2</v>
      </c>
      <c r="Z178" s="72">
        <f t="shared" si="65"/>
        <v>5.8905000000000003</v>
      </c>
      <c r="AA178" s="72">
        <f t="shared" si="66"/>
        <v>5.7913000000000006</v>
      </c>
      <c r="AB178" s="69" t="e">
        <f>VLOOKUP(A178,Enforcements!$C$7:$J$24,8,0)</f>
        <v>#N/A</v>
      </c>
      <c r="AC178" s="65" t="e">
        <f>VLOOKUP(A178,Enforcements!$C$7:$E$24,3,0)</f>
        <v>#N/A</v>
      </c>
      <c r="AD178" s="66" t="str">
        <f t="shared" si="67"/>
        <v>0821-04</v>
      </c>
      <c r="AE178" s="124" t="str">
        <f t="shared" si="68"/>
        <v>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 &amp; aws s3 cp s3://rtdc.mdm.uploadarchive/RTDC4018/2016-08-05/ "%USERPROFILE%\AppData\Local\Temp\OnboardLogs"\RTDC4018\2016-08-05 --recursive &amp; "%USERPROFILE%\Documents\GitHub\mrs-test-scripts\Headless Mode &amp; Sideloading\WalkAndUnGZ.bat" "%USERPROFILE%\AppData\Local\Temp\OnboardLogs"\RTDC4018\2016-08-05</v>
      </c>
      <c r="AF178" s="121" t="str">
        <f t="shared" si="69"/>
        <v>"C:\Program Files (x86)\AstroGrep\AstroGrep.exe" /spath="%USERPROFILE%\AppData\Local\Temp\OnboardLogs" /stypes="*4018*20160804*" /stext=" 19:.+((SYSTEM_STATE.+slice.+state.+changed )|(ment ac)|(system.+state.+changed )|(\|lc)|(penalty)|(\[timeout)|(PRM\|1\|D)|(kpr)|(kdp))" /e /r /s</v>
      </c>
      <c r="AG178" s="1" t="str">
        <f t="shared" si="70"/>
        <v>NW</v>
      </c>
      <c r="AH178" s="125" t="str">
        <f>refinertdcruntimes&amp;" --tripid "&amp;A178&amp;" --locoid "&amp;B178&amp;" --swversion "&amp;C178&amp;" --startMP "&amp;D178&amp;" --initTime "&amp;TEXT(E178,"yyyy-mm-ddTHH:MM:SS")&amp;" --startdatetime "&amp;TEXT(F178,"yyyy-mm-ddTHH:MM:SS")&amp;" --delay "&amp;G178&amp;" --endMP "&amp;H178&amp;" --enddatetime "&amp;TEXT(I178,"yyyy-mm-ddTHH:MM:SS")&amp;" --enforcementcount "&amp;J178&amp;" &gt;&gt; "&amp;TEXT(Variables!$A$2,"yyyy-mm-dd")&amp;"-refined-runtimes.txt"</f>
        <v>"%USERPROFILE%\Documents\GitHub\eaglep3\Utilities\RefineRTDCRunTimes.py" --tripid 821-04 --locoid 4018 --swversion DE.1.0.7.0 --startMP 204:992 --initTime 2016-08-04T13:00:39 --startdatetime 2016-08-04T13:02:14 --delay 1 --endMP 300:58905 --enddatetime 2016-08-04T13:36:18 --enforcementcount 0 &gt;&gt; 2016-08-04-refined-runtimes.txt</v>
      </c>
    </row>
    <row r="179" spans="1:34" x14ac:dyDescent="0.25">
      <c r="A179" s="42" t="s">
        <v>491</v>
      </c>
      <c r="B179" s="7">
        <v>4017</v>
      </c>
      <c r="C179" s="25" t="s">
        <v>163</v>
      </c>
      <c r="D179" s="25" t="s">
        <v>370</v>
      </c>
      <c r="E179" s="16">
        <v>42586.568252314813</v>
      </c>
      <c r="F179" s="16">
        <v>42586.569374999999</v>
      </c>
      <c r="G179" s="7">
        <v>1</v>
      </c>
      <c r="H179" s="16" t="s">
        <v>356</v>
      </c>
      <c r="I179" s="16">
        <v>42586.581863425927</v>
      </c>
      <c r="J179" s="7">
        <v>1</v>
      </c>
      <c r="K179" s="114" t="str">
        <f t="shared" si="57"/>
        <v>4017/4018</v>
      </c>
      <c r="L179" s="25" t="str">
        <f>VLOOKUP(A179,'Trips&amp;Operators'!$C$1:$E$10000,3,FALSE)</f>
        <v>KILLION</v>
      </c>
      <c r="M179" s="6">
        <f t="shared" si="58"/>
        <v>1.2488425927585922E-2</v>
      </c>
      <c r="N179" s="7">
        <f t="shared" si="56"/>
        <v>17.983333335723728</v>
      </c>
      <c r="O179" s="7"/>
      <c r="P179" s="7"/>
      <c r="Q179" s="26"/>
      <c r="R179" s="26"/>
      <c r="S179" s="38">
        <f t="shared" si="59"/>
        <v>1</v>
      </c>
      <c r="T179" s="55" t="str">
        <f t="shared" si="60"/>
        <v>Southbound</v>
      </c>
      <c r="U179" s="77">
        <f>IF(AG179="EC",COUNTIFS(Variables!$M$2:$M$19,IF(T179="NorthBound","&gt;=","&lt;=")&amp;Y179,Variables!$M$2:$M$19,IF(T179="NorthBound","&lt;=","&gt;=")&amp;Z179),COUNTIFS(Variables!$P$2:$P$19,IF(T179="NorthBound","&gt;=","&lt;=")&amp;Y179,Variables!$P$2:$P$19,IF(T179="NorthBound","&lt;=","&gt;=")&amp;Z179))</f>
        <v>1</v>
      </c>
      <c r="V179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12:38:17-0600',mode:absolute,to:'2016-08-04 14:57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79" s="57" t="str">
        <f t="shared" si="62"/>
        <v>N</v>
      </c>
      <c r="X179" s="117">
        <f t="shared" si="63"/>
        <v>1</v>
      </c>
      <c r="Y179" s="72">
        <f t="shared" si="64"/>
        <v>5.8593999999999999</v>
      </c>
      <c r="Z179" s="72">
        <f t="shared" si="65"/>
        <v>7.0099999999999996E-2</v>
      </c>
      <c r="AA179" s="72">
        <f t="shared" si="66"/>
        <v>5.7892999999999999</v>
      </c>
      <c r="AB179" s="69" t="e">
        <f>VLOOKUP(A179,Enforcements!$C$7:$J$24,8,0)</f>
        <v>#N/A</v>
      </c>
      <c r="AC179" s="65" t="e">
        <f>VLOOKUP(A179,Enforcements!$C$7:$E$24,3,0)</f>
        <v>#N/A</v>
      </c>
      <c r="AD179" s="66" t="str">
        <f t="shared" si="67"/>
        <v>0822-04</v>
      </c>
      <c r="AE179" s="124" t="str">
        <f t="shared" si="68"/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AF179" s="121" t="str">
        <f t="shared" si="69"/>
        <v>"C:\Program Files (x86)\AstroGrep\AstroGrep.exe" /spath="%USERPROFILE%\AppData\Local\Temp\OnboardLogs" /stypes="*4017*20160804*" /stext=" 19:.+((SYSTEM_STATE.+slice.+state.+changed )|(ment ac)|(system.+state.+changed )|(\|lc)|(penalty)|(\[timeout)|(PRM\|1\|D)|(kpr)|(kdp))" /e /r /s</v>
      </c>
      <c r="AG179" s="1" t="str">
        <f t="shared" si="70"/>
        <v>NW</v>
      </c>
      <c r="AH179" s="125" t="str">
        <f>refinertdcruntimes&amp;" --tripid "&amp;A179&amp;" --locoid "&amp;B179&amp;" --swversion "&amp;C179&amp;" --startMP "&amp;D179&amp;" --initTime "&amp;TEXT(E179,"yyyy-mm-ddTHH:MM:SS")&amp;" --startdatetime "&amp;TEXT(F179,"yyyy-mm-ddTHH:MM:SS")&amp;" --delay "&amp;G179&amp;" --endMP "&amp;H179&amp;" --enddatetime "&amp;TEXT(I179,"yyyy-mm-ddTHH:MM:SS")&amp;" --enforcementcount "&amp;J179&amp;" &gt;&gt; "&amp;TEXT(Variables!$A$2,"yyyy-mm-dd")&amp;"-refined-runtimes.txt"</f>
        <v>"%USERPROFILE%\Documents\GitHub\eaglep3\Utilities\RefineRTDCRunTimes.py" --tripid 822-04 --locoid 4017 --swversion DE.1.0.7.0 --startMP 300:58594 --initTime 2016-08-04T13:38:17 --startdatetime 2016-08-04T13:39:54 --delay 1 --endMP 204:701 --enddatetime 2016-08-04T13:57:53 --enforcementcount 1 &gt;&gt; 2016-08-04-refined-runtimes.txt</v>
      </c>
    </row>
    <row r="180" spans="1:34" x14ac:dyDescent="0.25">
      <c r="A180" s="42" t="s">
        <v>718</v>
      </c>
      <c r="B180" s="7">
        <v>4018</v>
      </c>
      <c r="C180" s="25" t="s">
        <v>163</v>
      </c>
      <c r="D180" s="25" t="s">
        <v>719</v>
      </c>
      <c r="E180" s="16">
        <v>42586.585115740738</v>
      </c>
      <c r="F180" s="16">
        <v>42586.586562500001</v>
      </c>
      <c r="G180" s="7">
        <v>2</v>
      </c>
      <c r="H180" s="16" t="s">
        <v>710</v>
      </c>
      <c r="I180" s="16">
        <v>42586.610810185186</v>
      </c>
      <c r="J180" s="7">
        <v>0</v>
      </c>
      <c r="K180" s="114" t="str">
        <f t="shared" si="57"/>
        <v>4017/4018</v>
      </c>
      <c r="L180" s="25" t="str">
        <f>VLOOKUP(A180,'Trips&amp;Operators'!$C$1:$E$10000,3,FALSE)</f>
        <v>KILLION</v>
      </c>
      <c r="M180" s="6">
        <f t="shared" si="58"/>
        <v>2.4247685185400769E-2</v>
      </c>
      <c r="N180" s="7">
        <f t="shared" si="56"/>
        <v>34.916666666977108</v>
      </c>
      <c r="O180" s="7"/>
      <c r="P180" s="7"/>
      <c r="Q180" s="26"/>
      <c r="R180" s="26"/>
      <c r="S180" s="38">
        <f t="shared" si="59"/>
        <v>1</v>
      </c>
      <c r="T180" s="55" t="str">
        <f t="shared" si="60"/>
        <v>NorthBound</v>
      </c>
      <c r="U180" s="77">
        <f>IF(AG180="EC",COUNTIFS(Variables!$M$2:$M$19,IF(T180="NorthBound","&gt;=","&lt;=")&amp;Y180,Variables!$M$2:$M$19,IF(T180="NorthBound","&lt;=","&gt;=")&amp;Z180),COUNTIFS(Variables!$P$2:$P$19,IF(T180="NorthBound","&gt;=","&lt;=")&amp;Y180,Variables!$P$2:$P$19,IF(T180="NorthBound","&lt;=","&gt;=")&amp;Z180))</f>
        <v>1</v>
      </c>
      <c r="V180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13:02:34-0600',mode:absolute,to:'2016-08-04 15:39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80" s="57" t="str">
        <f t="shared" si="62"/>
        <v>N</v>
      </c>
      <c r="X180" s="117">
        <f t="shared" si="63"/>
        <v>1</v>
      </c>
      <c r="Y180" s="72">
        <f t="shared" si="64"/>
        <v>0.1009</v>
      </c>
      <c r="Z180" s="72">
        <f t="shared" si="65"/>
        <v>5.8902999999999999</v>
      </c>
      <c r="AA180" s="72">
        <f t="shared" si="66"/>
        <v>5.7893999999999997</v>
      </c>
      <c r="AB180" s="69" t="e">
        <f>VLOOKUP(A180,Enforcements!$C$7:$J$24,8,0)</f>
        <v>#N/A</v>
      </c>
      <c r="AC180" s="65" t="e">
        <f>VLOOKUP(A180,Enforcements!$C$7:$E$24,3,0)</f>
        <v>#N/A</v>
      </c>
      <c r="AD180" s="66" t="str">
        <f t="shared" si="67"/>
        <v>0823-04</v>
      </c>
      <c r="AE180" s="124" t="str">
        <f t="shared" si="68"/>
        <v>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 &amp; aws s3 cp s3://rtdc.mdm.uploadarchive/RTDC4018/2016-08-05/ "%USERPROFILE%\AppData\Local\Temp\OnboardLogs"\RTDC4018\2016-08-05 --recursive &amp; "%USERPROFILE%\Documents\GitHub\mrs-test-scripts\Headless Mode &amp; Sideloading\WalkAndUnGZ.bat" "%USERPROFILE%\AppData\Local\Temp\OnboardLogs"\RTDC4018\2016-08-05</v>
      </c>
      <c r="AF180" s="121" t="str">
        <f t="shared" si="69"/>
        <v>"C:\Program Files (x86)\AstroGrep\AstroGrep.exe" /spath="%USERPROFILE%\AppData\Local\Temp\OnboardLogs" /stypes="*4018*20160804*" /stext=" 20:.+((SYSTEM_STATE.+slice.+state.+changed )|(ment ac)|(system.+state.+changed )|(\|lc)|(penalty)|(\[timeout)|(PRM\|1\|D)|(kpr)|(kdp))" /e /r /s</v>
      </c>
      <c r="AG180" s="1" t="str">
        <f t="shared" si="70"/>
        <v>NW</v>
      </c>
      <c r="AH180" s="125" t="str">
        <f>refinertdcruntimes&amp;" --tripid "&amp;A180&amp;" --locoid "&amp;B180&amp;" --swversion "&amp;C180&amp;" --startMP "&amp;D180&amp;" --initTime "&amp;TEXT(E180,"yyyy-mm-ddTHH:MM:SS")&amp;" --startdatetime "&amp;TEXT(F180,"yyyy-mm-ddTHH:MM:SS")&amp;" --delay "&amp;G180&amp;" --endMP "&amp;H180&amp;" --enddatetime "&amp;TEXT(I180,"yyyy-mm-ddTHH:MM:SS")&amp;" --enforcementcount "&amp;J180&amp;" &gt;&gt; "&amp;TEXT(Variables!$A$2,"yyyy-mm-dd")&amp;"-refined-runtimes.txt"</f>
        <v>"%USERPROFILE%\Documents\GitHub\eaglep3\Utilities\RefineRTDCRunTimes.py" --tripid 823-04 --locoid 4018 --swversion DE.1.0.7.0 --startMP 204:1009 --initTime 2016-08-04T14:02:34 --startdatetime 2016-08-04T14:04:39 --delay 2 --endMP 300:58903 --enddatetime 2016-08-04T14:39:34 --enforcementcount 0 &gt;&gt; 2016-08-04-refined-runtimes.txt</v>
      </c>
    </row>
    <row r="181" spans="1:34" x14ac:dyDescent="0.25">
      <c r="A181" s="42" t="s">
        <v>494</v>
      </c>
      <c r="B181" s="7">
        <v>4017</v>
      </c>
      <c r="C181" s="25" t="s">
        <v>163</v>
      </c>
      <c r="D181" s="25" t="s">
        <v>423</v>
      </c>
      <c r="E181" s="16">
        <v>42586.610868055555</v>
      </c>
      <c r="F181" s="16">
        <v>42586.612013888887</v>
      </c>
      <c r="G181" s="7">
        <v>1</v>
      </c>
      <c r="H181" s="16" t="s">
        <v>720</v>
      </c>
      <c r="I181" s="16">
        <v>42586.61314814815</v>
      </c>
      <c r="J181" s="7">
        <v>2</v>
      </c>
      <c r="K181" s="114" t="str">
        <f t="shared" si="57"/>
        <v>4017/4018</v>
      </c>
      <c r="L181" s="25" t="str">
        <f>VLOOKUP(A181,'Trips&amp;Operators'!$C$1:$E$10000,3,FALSE)</f>
        <v>KILLION</v>
      </c>
      <c r="M181" s="6">
        <f t="shared" si="58"/>
        <v>1.1342592624714598E-3</v>
      </c>
      <c r="N181" s="7"/>
      <c r="O181" s="7"/>
      <c r="P181" s="7">
        <f t="shared" si="56"/>
        <v>1.6333333379589021</v>
      </c>
      <c r="Q181" s="26"/>
      <c r="R181" s="26" t="s">
        <v>336</v>
      </c>
      <c r="S181" s="38">
        <f t="shared" si="59"/>
        <v>0</v>
      </c>
      <c r="T181" s="55" t="str">
        <f t="shared" si="60"/>
        <v>Southbound</v>
      </c>
      <c r="U181" s="77">
        <f>IF(AG181="EC",COUNTIFS(Variables!$M$2:$M$19,IF(T181="NorthBound","&gt;=","&lt;=")&amp;Y181,Variables!$M$2:$M$19,IF(T181="NorthBound","&lt;=","&gt;=")&amp;Z181),COUNTIFS(Variables!$P$2:$P$19,IF(T181="NorthBound","&gt;=","&lt;=")&amp;Y181,Variables!$P$2:$P$19,IF(T181="NorthBound","&lt;=","&gt;=")&amp;Z181))</f>
        <v>0</v>
      </c>
      <c r="V181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13:39:39-0600',mode:absolute,to:'2016-08-04 15:42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81" s="57" t="str">
        <f t="shared" si="62"/>
        <v>Y</v>
      </c>
      <c r="X181" s="117">
        <f t="shared" si="63"/>
        <v>1</v>
      </c>
      <c r="Y181" s="72">
        <f t="shared" si="64"/>
        <v>5.8589000000000002</v>
      </c>
      <c r="Z181" s="72">
        <f t="shared" si="65"/>
        <v>5.8207000000000004</v>
      </c>
      <c r="AA181" s="72">
        <f t="shared" si="66"/>
        <v>3.819999999999979E-2</v>
      </c>
      <c r="AB181" s="69" t="e">
        <f>VLOOKUP(A181,Enforcements!$C$7:$J$24,8,0)</f>
        <v>#N/A</v>
      </c>
      <c r="AC181" s="65" t="e">
        <f>VLOOKUP(A181,Enforcements!$C$7:$E$24,3,0)</f>
        <v>#N/A</v>
      </c>
      <c r="AD181" s="66" t="str">
        <f t="shared" si="67"/>
        <v>0824-04</v>
      </c>
      <c r="AE181" s="124" t="str">
        <f t="shared" si="68"/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AF181" s="121" t="str">
        <f t="shared" si="69"/>
        <v>"C:\Program Files (x86)\AstroGrep\AstroGrep.exe" /spath="%USERPROFILE%\AppData\Local\Temp\OnboardLogs" /stypes="*4017*20160804*" /stext=" 20:.+((SYSTEM_STATE.+slice.+state.+changed )|(ment ac)|(system.+state.+changed )|(\|lc)|(penalty)|(\[timeout)|(PRM\|1\|D)|(kpr)|(kdp))" /e /r /s</v>
      </c>
      <c r="AG181" s="1" t="str">
        <f t="shared" si="70"/>
        <v>NW</v>
      </c>
      <c r="AH181" s="125" t="str">
        <f>refinertdcruntimes&amp;" --tripid "&amp;A181&amp;" --locoid "&amp;B181&amp;" --swversion "&amp;C181&amp;" --startMP "&amp;D181&amp;" --initTime "&amp;TEXT(E181,"yyyy-mm-ddTHH:MM:SS")&amp;" --startdatetime "&amp;TEXT(F181,"yyyy-mm-ddTHH:MM:SS")&amp;" --delay "&amp;G181&amp;" --endMP "&amp;H181&amp;" --enddatetime "&amp;TEXT(I181,"yyyy-mm-ddTHH:MM:SS")&amp;" --enforcementcount "&amp;J181&amp;" &gt;&gt; "&amp;TEXT(Variables!$A$2,"yyyy-mm-dd")&amp;"-refined-runtimes.txt"</f>
        <v>"%USERPROFILE%\Documents\GitHub\eaglep3\Utilities\RefineRTDCRunTimes.py" --tripid 824-04 --locoid 4017 --swversion DE.1.0.7.0 --startMP 300:58589 --initTime 2016-08-04T14:39:39 --startdatetime 2016-08-04T14:41:18 --delay 1 --endMP 300:58207 --enddatetime 2016-08-04T14:42:56 --enforcementcount 2 &gt;&gt; 2016-08-04-refined-runtimes.txt</v>
      </c>
    </row>
    <row r="182" spans="1:34" x14ac:dyDescent="0.25">
      <c r="A182" s="42" t="s">
        <v>495</v>
      </c>
      <c r="B182" s="7">
        <v>4018</v>
      </c>
      <c r="C182" s="25" t="s">
        <v>163</v>
      </c>
      <c r="D182" s="25" t="s">
        <v>721</v>
      </c>
      <c r="E182" s="16">
        <v>42586.625844907408</v>
      </c>
      <c r="F182" s="16">
        <v>42586.626608796294</v>
      </c>
      <c r="G182" s="7">
        <v>1</v>
      </c>
      <c r="H182" s="16" t="s">
        <v>710</v>
      </c>
      <c r="I182" s="16">
        <v>42586.650810185187</v>
      </c>
      <c r="J182" s="7">
        <v>1</v>
      </c>
      <c r="K182" s="114" t="str">
        <f t="shared" si="57"/>
        <v>4017/4018</v>
      </c>
      <c r="L182" s="25" t="str">
        <f>VLOOKUP(A182,'Trips&amp;Operators'!$C$1:$E$10000,3,FALSE)</f>
        <v>KILLION</v>
      </c>
      <c r="M182" s="6">
        <f t="shared" si="58"/>
        <v>2.4201388892834075E-2</v>
      </c>
      <c r="N182" s="7">
        <f t="shared" si="56"/>
        <v>34.850000005681068</v>
      </c>
      <c r="O182" s="7"/>
      <c r="P182" s="7"/>
      <c r="Q182" s="26"/>
      <c r="R182" s="26"/>
      <c r="S182" s="38">
        <f t="shared" si="59"/>
        <v>1</v>
      </c>
      <c r="T182" s="55" t="str">
        <f t="shared" si="60"/>
        <v>NorthBound</v>
      </c>
      <c r="U182" s="77">
        <f>IF(AG182="EC",COUNTIFS(Variables!$M$2:$M$19,IF(T182="NorthBound","&gt;=","&lt;=")&amp;Y182,Variables!$M$2:$M$19,IF(T182="NorthBound","&lt;=","&gt;=")&amp;Z182),COUNTIFS(Variables!$P$2:$P$19,IF(T182="NorthBound","&gt;=","&lt;=")&amp;Y182,Variables!$P$2:$P$19,IF(T182="NorthBound","&lt;=","&gt;=")&amp;Z182))</f>
        <v>1</v>
      </c>
      <c r="V182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14:01:13-0600',mode:absolute,to:'2016-08-04 16:37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82" s="57" t="str">
        <f t="shared" si="62"/>
        <v>N</v>
      </c>
      <c r="X182" s="117">
        <f t="shared" si="63"/>
        <v>1</v>
      </c>
      <c r="Y182" s="72">
        <f t="shared" si="64"/>
        <v>8.7800000000000003E-2</v>
      </c>
      <c r="Z182" s="72">
        <f t="shared" si="65"/>
        <v>5.8902999999999999</v>
      </c>
      <c r="AA182" s="72">
        <f t="shared" si="66"/>
        <v>5.8025000000000002</v>
      </c>
      <c r="AB182" s="69" t="e">
        <f>VLOOKUP(A182,Enforcements!$C$7:$J$24,8,0)</f>
        <v>#N/A</v>
      </c>
      <c r="AC182" s="65" t="e">
        <f>VLOOKUP(A182,Enforcements!$C$7:$E$24,3,0)</f>
        <v>#N/A</v>
      </c>
      <c r="AD182" s="66" t="str">
        <f t="shared" si="67"/>
        <v>0825-04</v>
      </c>
      <c r="AE182" s="124" t="str">
        <f t="shared" si="68"/>
        <v>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 &amp; aws s3 cp s3://rtdc.mdm.uploadarchive/RTDC4018/2016-08-05/ "%USERPROFILE%\AppData\Local\Temp\OnboardLogs"\RTDC4018\2016-08-05 --recursive &amp; "%USERPROFILE%\Documents\GitHub\mrs-test-scripts\Headless Mode &amp; Sideloading\WalkAndUnGZ.bat" "%USERPROFILE%\AppData\Local\Temp\OnboardLogs"\RTDC4018\2016-08-05</v>
      </c>
      <c r="AF182" s="121" t="str">
        <f t="shared" si="69"/>
        <v>"C:\Program Files (x86)\AstroGrep\AstroGrep.exe" /spath="%USERPROFILE%\AppData\Local\Temp\OnboardLogs" /stypes="*4018*20160804*" /stext=" 21:.+((SYSTEM_STATE.+slice.+state.+changed )|(ment ac)|(system.+state.+changed )|(\|lc)|(penalty)|(\[timeout)|(PRM\|1\|D)|(kpr)|(kdp))" /e /r /s</v>
      </c>
      <c r="AG182" s="1" t="str">
        <f t="shared" si="70"/>
        <v>NW</v>
      </c>
      <c r="AH182" s="125" t="str">
        <f>refinertdcruntimes&amp;" --tripid "&amp;A182&amp;" --locoid "&amp;B182&amp;" --swversion "&amp;C182&amp;" --startMP "&amp;D182&amp;" --initTime "&amp;TEXT(E182,"yyyy-mm-ddTHH:MM:SS")&amp;" --startdatetime "&amp;TEXT(F182,"yyyy-mm-ddTHH:MM:SS")&amp;" --delay "&amp;G182&amp;" --endMP "&amp;H182&amp;" --enddatetime "&amp;TEXT(I182,"yyyy-mm-ddTHH:MM:SS")&amp;" --enforcementcount "&amp;J182&amp;" &gt;&gt; "&amp;TEXT(Variables!$A$2,"yyyy-mm-dd")&amp;"-refined-runtimes.txt"</f>
        <v>"%USERPROFILE%\Documents\GitHub\eaglep3\Utilities\RefineRTDCRunTimes.py" --tripid 825-04 --locoid 4018 --swversion DE.1.0.7.0 --startMP 204:878 --initTime 2016-08-04T15:01:13 --startdatetime 2016-08-04T15:02:19 --delay 1 --endMP 300:58903 --enddatetime 2016-08-04T15:37:10 --enforcementcount 1 &gt;&gt; 2016-08-04-refined-runtimes.txt</v>
      </c>
    </row>
    <row r="183" spans="1:34" x14ac:dyDescent="0.25">
      <c r="A183" s="42" t="s">
        <v>722</v>
      </c>
      <c r="B183" s="7">
        <v>4017</v>
      </c>
      <c r="C183" s="25" t="s">
        <v>163</v>
      </c>
      <c r="D183" s="25" t="s">
        <v>708</v>
      </c>
      <c r="E183" s="16">
        <v>42586.652060185188</v>
      </c>
      <c r="F183" s="16">
        <v>42586.653101851851</v>
      </c>
      <c r="G183" s="7">
        <v>1</v>
      </c>
      <c r="H183" s="16" t="s">
        <v>723</v>
      </c>
      <c r="I183" s="16">
        <v>42586.666122685187</v>
      </c>
      <c r="J183" s="7">
        <v>0</v>
      </c>
      <c r="K183" s="114" t="str">
        <f t="shared" si="57"/>
        <v>4017/4018</v>
      </c>
      <c r="L183" s="25" t="str">
        <f>VLOOKUP(A183,'Trips&amp;Operators'!$C$1:$E$10000,3,FALSE)</f>
        <v>KILLION</v>
      </c>
      <c r="M183" s="6">
        <f t="shared" si="58"/>
        <v>1.3020833335758653E-2</v>
      </c>
      <c r="N183" s="7">
        <f t="shared" si="56"/>
        <v>18.75000000349246</v>
      </c>
      <c r="O183" s="7"/>
      <c r="P183" s="7"/>
      <c r="Q183" s="26"/>
      <c r="R183" s="26"/>
      <c r="S183" s="38">
        <f t="shared" si="59"/>
        <v>1</v>
      </c>
      <c r="T183" s="55" t="str">
        <f t="shared" si="60"/>
        <v>Southbound</v>
      </c>
      <c r="U183" s="77">
        <f>IF(AG183="EC",COUNTIFS(Variables!$M$2:$M$19,IF(T183="NorthBound","&gt;=","&lt;=")&amp;Y183,Variables!$M$2:$M$19,IF(T183="NorthBound","&lt;=","&gt;=")&amp;Z183),COUNTIFS(Variables!$P$2:$P$19,IF(T183="NorthBound","&gt;=","&lt;=")&amp;Y183,Variables!$P$2:$P$19,IF(T183="NorthBound","&lt;=","&gt;=")&amp;Z183))</f>
        <v>1</v>
      </c>
      <c r="V183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14:38:58-0600',mode:absolute,to:'2016-08-04 16:59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83" s="57" t="str">
        <f t="shared" si="62"/>
        <v>N</v>
      </c>
      <c r="X183" s="117">
        <f t="shared" si="63"/>
        <v>1</v>
      </c>
      <c r="Y183" s="72">
        <f t="shared" si="64"/>
        <v>5.8586999999999998</v>
      </c>
      <c r="Z183" s="72">
        <f t="shared" si="65"/>
        <v>6.4199999999999993E-2</v>
      </c>
      <c r="AA183" s="72">
        <f t="shared" si="66"/>
        <v>5.7945000000000002</v>
      </c>
      <c r="AB183" s="69" t="e">
        <f>VLOOKUP(A183,Enforcements!$C$7:$J$24,8,0)</f>
        <v>#N/A</v>
      </c>
      <c r="AC183" s="65" t="e">
        <f>VLOOKUP(A183,Enforcements!$C$7:$E$24,3,0)</f>
        <v>#N/A</v>
      </c>
      <c r="AD183" s="66" t="str">
        <f t="shared" si="67"/>
        <v>0826-04</v>
      </c>
      <c r="AE183" s="124" t="str">
        <f t="shared" si="68"/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AF183" s="121" t="str">
        <f t="shared" si="69"/>
        <v>"C:\Program Files (x86)\AstroGrep\AstroGrep.exe" /spath="%USERPROFILE%\AppData\Local\Temp\OnboardLogs" /stypes="*4017*20160804*" /stext=" 21:.+((SYSTEM_STATE.+slice.+state.+changed )|(ment ac)|(system.+state.+changed )|(\|lc)|(penalty)|(\[timeout)|(PRM\|1\|D)|(kpr)|(kdp))" /e /r /s</v>
      </c>
      <c r="AG183" s="1" t="str">
        <f t="shared" si="70"/>
        <v>NW</v>
      </c>
      <c r="AH183" s="125" t="str">
        <f>refinertdcruntimes&amp;" --tripid "&amp;A183&amp;" --locoid "&amp;B183&amp;" --swversion "&amp;C183&amp;" --startMP "&amp;D183&amp;" --initTime "&amp;TEXT(E183,"yyyy-mm-ddTHH:MM:SS")&amp;" --startdatetime "&amp;TEXT(F183,"yyyy-mm-ddTHH:MM:SS")&amp;" --delay "&amp;G183&amp;" --endMP "&amp;H183&amp;" --enddatetime "&amp;TEXT(I183,"yyyy-mm-ddTHH:MM:SS")&amp;" --enforcementcount "&amp;J183&amp;" &gt;&gt; "&amp;TEXT(Variables!$A$2,"yyyy-mm-dd")&amp;"-refined-runtimes.txt"</f>
        <v>"%USERPROFILE%\Documents\GitHub\eaglep3\Utilities\RefineRTDCRunTimes.py" --tripid 826-04 --locoid 4017 --swversion DE.1.0.7.0 --startMP 300:58587 --initTime 2016-08-04T15:38:58 --startdatetime 2016-08-04T15:40:28 --delay 1 --endMP 204:642 --enddatetime 2016-08-04T15:59:13 --enforcementcount 0 &gt;&gt; 2016-08-04-refined-runtimes.txt</v>
      </c>
    </row>
    <row r="184" spans="1:34" x14ac:dyDescent="0.25">
      <c r="A184" s="25" t="s">
        <v>496</v>
      </c>
      <c r="B184" s="87">
        <v>4042</v>
      </c>
      <c r="C184" s="88" t="s">
        <v>163</v>
      </c>
      <c r="D184" s="88" t="s">
        <v>724</v>
      </c>
      <c r="E184" s="89">
        <v>42586.661400462966</v>
      </c>
      <c r="F184" s="89">
        <v>42586.662418981483</v>
      </c>
      <c r="G184" s="87">
        <v>1</v>
      </c>
      <c r="H184" s="89" t="s">
        <v>725</v>
      </c>
      <c r="I184" s="89">
        <v>42586.674317129633</v>
      </c>
      <c r="J184" s="87">
        <v>1</v>
      </c>
      <c r="K184" s="114" t="str">
        <f t="shared" si="57"/>
        <v>4041/4042</v>
      </c>
      <c r="L184" s="25" t="str">
        <f>VLOOKUP(A184,'Trips&amp;Operators'!$C$1:$E$10000,3,FALSE)</f>
        <v>HAITHCOX</v>
      </c>
      <c r="M184" s="6">
        <f t="shared" si="58"/>
        <v>1.1898148150066845E-2</v>
      </c>
      <c r="N184" s="7">
        <f t="shared" si="56"/>
        <v>17.133333336096257</v>
      </c>
      <c r="O184" s="7"/>
      <c r="P184" s="7"/>
      <c r="Q184" s="26"/>
      <c r="R184" s="26"/>
      <c r="S184" s="38">
        <f t="shared" si="59"/>
        <v>1</v>
      </c>
      <c r="T184" s="55" t="str">
        <f t="shared" si="60"/>
        <v>NorthBound</v>
      </c>
      <c r="U184" s="77">
        <f>IF(AG184="EC",COUNTIFS(Variables!$M$2:$M$19,IF(T184="NorthBound","&gt;=","&lt;=")&amp;Y184,Variables!$M$2:$M$19,IF(T184="NorthBound","&lt;=","&gt;=")&amp;Z184),COUNTIFS(Variables!$P$2:$P$19,IF(T184="NorthBound","&gt;=","&lt;=")&amp;Y184,Variables!$P$2:$P$19,IF(T184="NorthBound","&lt;=","&gt;=")&amp;Z184))</f>
        <v>1</v>
      </c>
      <c r="V184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14:52:25-0600',mode:absolute,to:'2016-08-04 17:11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84" s="57" t="str">
        <f t="shared" si="62"/>
        <v>N</v>
      </c>
      <c r="X184" s="117">
        <f t="shared" si="63"/>
        <v>1</v>
      </c>
      <c r="Y184" s="72">
        <f t="shared" si="64"/>
        <v>9.01E-2</v>
      </c>
      <c r="Z184" s="72">
        <f t="shared" si="65"/>
        <v>5.8871000000000002</v>
      </c>
      <c r="AA184" s="72">
        <f t="shared" si="66"/>
        <v>5.7970000000000006</v>
      </c>
      <c r="AB184" s="69" t="e">
        <f>VLOOKUP(A184,Enforcements!$C$7:$J$24,8,0)</f>
        <v>#N/A</v>
      </c>
      <c r="AC184" s="65" t="e">
        <f>VLOOKUP(A184,Enforcements!$C$7:$E$24,3,0)</f>
        <v>#N/A</v>
      </c>
      <c r="AD184" s="66" t="str">
        <f t="shared" si="67"/>
        <v>0827-04</v>
      </c>
      <c r="AE184" s="124" t="str">
        <f t="shared" si="68"/>
        <v>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 &amp; aws s3 cp s3://rtdc.mdm.uploadarchive/RTDC4042/2016-08-05/ "%USERPROFILE%\AppData\Local\Temp\OnboardLogs"\RTDC4042\2016-08-05 --recursive &amp; "%USERPROFILE%\Documents\GitHub\mrs-test-scripts\Headless Mode &amp; Sideloading\WalkAndUnGZ.bat" "%USERPROFILE%\AppData\Local\Temp\OnboardLogs"\RTDC4042\2016-08-05</v>
      </c>
      <c r="AF184" s="121" t="str">
        <f t="shared" si="69"/>
        <v>"C:\Program Files (x86)\AstroGrep\AstroGrep.exe" /spath="%USERPROFILE%\AppData\Local\Temp\OnboardLogs" /stypes="*4042*20160804*" /stext=" 22:.+((SYSTEM_STATE.+slice.+state.+changed )|(ment ac)|(system.+state.+changed )|(\|lc)|(penalty)|(\[timeout)|(PRM\|1\|D)|(kpr)|(kdp))" /e /r /s</v>
      </c>
      <c r="AG184" s="1" t="str">
        <f t="shared" si="70"/>
        <v>NW</v>
      </c>
      <c r="AH184" s="125" t="str">
        <f>refinertdcruntimes&amp;" --tripid "&amp;A184&amp;" --locoid "&amp;B184&amp;" --swversion "&amp;C184&amp;" --startMP "&amp;D184&amp;" --initTime "&amp;TEXT(E184,"yyyy-mm-ddTHH:MM:SS")&amp;" --startdatetime "&amp;TEXT(F184,"yyyy-mm-ddTHH:MM:SS")&amp;" --delay "&amp;G184&amp;" --endMP "&amp;H184&amp;" --enddatetime "&amp;TEXT(I184,"yyyy-mm-ddTHH:MM:SS")&amp;" --enforcementcount "&amp;J184&amp;" &gt;&gt; "&amp;TEXT(Variables!$A$2,"yyyy-mm-dd")&amp;"-refined-runtimes.txt"</f>
        <v>"%USERPROFILE%\Documents\GitHub\eaglep3\Utilities\RefineRTDCRunTimes.py" --tripid 827-04 --locoid 4042 --swversion DE.1.0.7.0 --startMP 204:901 --initTime 2016-08-04T15:52:25 --startdatetime 2016-08-04T15:53:53 --delay 1 --endMP 300:58871 --enddatetime 2016-08-04T16:11:01 --enforcementcount 1 &gt;&gt; 2016-08-04-refined-runtimes.txt</v>
      </c>
    </row>
    <row r="185" spans="1:34" x14ac:dyDescent="0.25">
      <c r="A185" s="25" t="s">
        <v>497</v>
      </c>
      <c r="B185" s="87">
        <v>4041</v>
      </c>
      <c r="C185" s="88" t="s">
        <v>163</v>
      </c>
      <c r="D185" s="88" t="s">
        <v>726</v>
      </c>
      <c r="E185" s="89">
        <v>42586.675405092596</v>
      </c>
      <c r="F185" s="89">
        <v>42586.676712962966</v>
      </c>
      <c r="G185" s="87">
        <v>1</v>
      </c>
      <c r="H185" s="89" t="s">
        <v>727</v>
      </c>
      <c r="I185" s="89">
        <v>42586.689293981479</v>
      </c>
      <c r="J185" s="87">
        <v>1</v>
      </c>
      <c r="K185" s="114" t="str">
        <f t="shared" si="57"/>
        <v>4041/4042</v>
      </c>
      <c r="L185" s="25" t="str">
        <f>VLOOKUP(A185,'Trips&amp;Operators'!$C$1:$E$10000,3,FALSE)</f>
        <v>HAITHCOX</v>
      </c>
      <c r="M185" s="6">
        <f t="shared" si="58"/>
        <v>1.2581018512719311E-2</v>
      </c>
      <c r="N185" s="7">
        <f t="shared" si="56"/>
        <v>18.116666658315808</v>
      </c>
      <c r="O185" s="7"/>
      <c r="P185" s="7"/>
      <c r="Q185" s="26"/>
      <c r="R185" s="26"/>
      <c r="S185" s="38">
        <f t="shared" si="59"/>
        <v>1</v>
      </c>
      <c r="T185" s="55" t="str">
        <f t="shared" si="60"/>
        <v>Southbound</v>
      </c>
      <c r="U185" s="77">
        <f>IF(AG185="EC",COUNTIFS(Variables!$M$2:$M$19,IF(T185="NorthBound","&gt;=","&lt;=")&amp;Y185,Variables!$M$2:$M$19,IF(T185="NorthBound","&lt;=","&gt;=")&amp;Z185),COUNTIFS(Variables!$P$2:$P$19,IF(T185="NorthBound","&gt;=","&lt;=")&amp;Y185,Variables!$P$2:$P$19,IF(T185="NorthBound","&lt;=","&gt;=")&amp;Z185))</f>
        <v>1</v>
      </c>
      <c r="V185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15:12:35-0600',mode:absolute,to:'2016-08-04 17:32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85" s="57" t="str">
        <f t="shared" si="62"/>
        <v>N</v>
      </c>
      <c r="X185" s="117">
        <f t="shared" si="63"/>
        <v>1</v>
      </c>
      <c r="Y185" s="72">
        <f t="shared" si="64"/>
        <v>5.8544</v>
      </c>
      <c r="Z185" s="72">
        <f t="shared" si="65"/>
        <v>6.7100000000000007E-2</v>
      </c>
      <c r="AA185" s="72">
        <f t="shared" si="66"/>
        <v>5.7873000000000001</v>
      </c>
      <c r="AB185" s="69" t="e">
        <f>VLOOKUP(A185,Enforcements!$C$7:$J$24,8,0)</f>
        <v>#N/A</v>
      </c>
      <c r="AC185" s="65" t="e">
        <f>VLOOKUP(A185,Enforcements!$C$7:$E$24,3,0)</f>
        <v>#N/A</v>
      </c>
      <c r="AD185" s="66" t="str">
        <f t="shared" si="67"/>
        <v>0828-04</v>
      </c>
      <c r="AE185" s="124" t="str">
        <f t="shared" si="68"/>
        <v>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 &amp; aws s3 cp s3://rtdc.mdm.uploadarchive/RTDC4041/2016-08-05/ "%USERPROFILE%\AppData\Local\Temp\OnboardLogs"\RTDC4041\2016-08-05 --recursive &amp; "%USERPROFILE%\Documents\GitHub\mrs-test-scripts\Headless Mode &amp; Sideloading\WalkAndUnGZ.bat" "%USERPROFILE%\AppData\Local\Temp\OnboardLogs"\RTDC4041\2016-08-05</v>
      </c>
      <c r="AF185" s="121" t="str">
        <f t="shared" si="69"/>
        <v>"C:\Program Files (x86)\AstroGrep\AstroGrep.exe" /spath="%USERPROFILE%\AppData\Local\Temp\OnboardLogs" /stypes="*4041*20160804*" /stext=" 22:.+((SYSTEM_STATE.+slice.+state.+changed )|(ment ac)|(system.+state.+changed )|(\|lc)|(penalty)|(\[timeout)|(PRM\|1\|D)|(kpr)|(kdp))" /e /r /s</v>
      </c>
      <c r="AG185" s="1" t="str">
        <f t="shared" si="70"/>
        <v>NW</v>
      </c>
      <c r="AH185" s="125" t="str">
        <f>refinertdcruntimes&amp;" --tripid "&amp;A185&amp;" --locoid "&amp;B185&amp;" --swversion "&amp;C185&amp;" --startMP "&amp;D185&amp;" --initTime "&amp;TEXT(E185,"yyyy-mm-ddTHH:MM:SS")&amp;" --startdatetime "&amp;TEXT(F185,"yyyy-mm-ddTHH:MM:SS")&amp;" --delay "&amp;G185&amp;" --endMP "&amp;H185&amp;" --enddatetime "&amp;TEXT(I185,"yyyy-mm-ddTHH:MM:SS")&amp;" --enforcementcount "&amp;J185&amp;" &gt;&gt; "&amp;TEXT(Variables!$A$2,"yyyy-mm-dd")&amp;"-refined-runtimes.txt"</f>
        <v>"%USERPROFILE%\Documents\GitHub\eaglep3\Utilities\RefineRTDCRunTimes.py" --tripid 828-04 --locoid 4041 --swversion DE.1.0.7.0 --startMP 300:58544 --initTime 2016-08-04T16:12:35 --startdatetime 2016-08-04T16:14:28 --delay 1 --endMP 204:671 --enddatetime 2016-08-04T16:32:35 --enforcementcount 1 &gt;&gt; 2016-08-04-refined-runtimes.txt</v>
      </c>
    </row>
    <row r="186" spans="1:34" x14ac:dyDescent="0.25">
      <c r="A186" s="25" t="s">
        <v>728</v>
      </c>
      <c r="B186" s="87">
        <v>4018</v>
      </c>
      <c r="C186" s="88" t="s">
        <v>163</v>
      </c>
      <c r="D186" s="88" t="s">
        <v>729</v>
      </c>
      <c r="E186" s="89">
        <v>42586.668668981481</v>
      </c>
      <c r="F186" s="89">
        <v>42586.669710648152</v>
      </c>
      <c r="G186" s="87">
        <v>1</v>
      </c>
      <c r="H186" s="89" t="s">
        <v>710</v>
      </c>
      <c r="I186" s="89">
        <v>42586.691805555558</v>
      </c>
      <c r="J186" s="87">
        <v>0</v>
      </c>
      <c r="K186" s="114" t="str">
        <f t="shared" si="57"/>
        <v>4017/4018</v>
      </c>
      <c r="L186" s="25" t="str">
        <f>VLOOKUP(A186,'Trips&amp;Operators'!$C$1:$E$10000,3,FALSE)</f>
        <v>KILLION</v>
      </c>
      <c r="M186" s="6">
        <f t="shared" si="58"/>
        <v>2.2094907406426501E-2</v>
      </c>
      <c r="N186" s="7">
        <f t="shared" si="56"/>
        <v>31.816666665254161</v>
      </c>
      <c r="O186" s="7"/>
      <c r="P186" s="7"/>
      <c r="Q186" s="26"/>
      <c r="R186" s="26"/>
      <c r="S186" s="38">
        <f t="shared" si="59"/>
        <v>1</v>
      </c>
      <c r="T186" s="55" t="str">
        <f t="shared" si="60"/>
        <v>NorthBound</v>
      </c>
      <c r="U186" s="77">
        <f>IF(AG186="EC",COUNTIFS(Variables!$M$2:$M$19,IF(T186="NorthBound","&gt;=","&lt;=")&amp;Y186,Variables!$M$2:$M$19,IF(T186="NorthBound","&lt;=","&gt;=")&amp;Z186),COUNTIFS(Variables!$P$2:$P$19,IF(T186="NorthBound","&gt;=","&lt;=")&amp;Y186,Variables!$P$2:$P$19,IF(T186="NorthBound","&lt;=","&gt;=")&amp;Z186))</f>
        <v>1</v>
      </c>
      <c r="V186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15:02:53-0600',mode:absolute,to:'2016-08-04 17:36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86" s="57" t="str">
        <f t="shared" si="62"/>
        <v>N</v>
      </c>
      <c r="X186" s="117">
        <f t="shared" si="63"/>
        <v>1</v>
      </c>
      <c r="Y186" s="72">
        <f t="shared" si="64"/>
        <v>9.2200000000000004E-2</v>
      </c>
      <c r="Z186" s="72">
        <f t="shared" si="65"/>
        <v>5.8902999999999999</v>
      </c>
      <c r="AA186" s="72">
        <f t="shared" si="66"/>
        <v>5.7980999999999998</v>
      </c>
      <c r="AB186" s="69" t="e">
        <f>VLOOKUP(A186,Enforcements!$C$7:$J$24,8,0)</f>
        <v>#N/A</v>
      </c>
      <c r="AC186" s="65" t="e">
        <f>VLOOKUP(A186,Enforcements!$C$7:$E$24,3,0)</f>
        <v>#N/A</v>
      </c>
      <c r="AD186" s="66" t="str">
        <f t="shared" si="67"/>
        <v>0829-04</v>
      </c>
      <c r="AE186" s="124" t="str">
        <f t="shared" si="68"/>
        <v>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 &amp; aws s3 cp s3://rtdc.mdm.uploadarchive/RTDC4018/2016-08-05/ "%USERPROFILE%\AppData\Local\Temp\OnboardLogs"\RTDC4018\2016-08-05 --recursive &amp; "%USERPROFILE%\Documents\GitHub\mrs-test-scripts\Headless Mode &amp; Sideloading\WalkAndUnGZ.bat" "%USERPROFILE%\AppData\Local\Temp\OnboardLogs"\RTDC4018\2016-08-05</v>
      </c>
      <c r="AF186" s="121" t="str">
        <f t="shared" si="69"/>
        <v>"C:\Program Files (x86)\AstroGrep\AstroGrep.exe" /spath="%USERPROFILE%\AppData\Local\Temp\OnboardLogs" /stypes="*4018*20160804*" /stext=" 22:.+((SYSTEM_STATE.+slice.+state.+changed )|(ment ac)|(system.+state.+changed )|(\|lc)|(penalty)|(\[timeout)|(PRM\|1\|D)|(kpr)|(kdp))" /e /r /s</v>
      </c>
      <c r="AG186" s="1" t="str">
        <f t="shared" si="70"/>
        <v>NW</v>
      </c>
      <c r="AH186" s="125" t="str">
        <f>refinertdcruntimes&amp;" --tripid "&amp;A186&amp;" --locoid "&amp;B186&amp;" --swversion "&amp;C186&amp;" --startMP "&amp;D186&amp;" --initTime "&amp;TEXT(E186,"yyyy-mm-ddTHH:MM:SS")&amp;" --startdatetime "&amp;TEXT(F186,"yyyy-mm-ddTHH:MM:SS")&amp;" --delay "&amp;G186&amp;" --endMP "&amp;H186&amp;" --enddatetime "&amp;TEXT(I186,"yyyy-mm-ddTHH:MM:SS")&amp;" --enforcementcount "&amp;J186&amp;" &gt;&gt; "&amp;TEXT(Variables!$A$2,"yyyy-mm-dd")&amp;"-refined-runtimes.txt"</f>
        <v>"%USERPROFILE%\Documents\GitHub\eaglep3\Utilities\RefineRTDCRunTimes.py" --tripid 829-04 --locoid 4018 --swversion DE.1.0.7.0 --startMP 204:922 --initTime 2016-08-04T16:02:53 --startdatetime 2016-08-04T16:04:23 --delay 1 --endMP 300:58903 --enddatetime 2016-08-04T16:36:12 --enforcementcount 0 &gt;&gt; 2016-08-04-refined-runtimes.txt</v>
      </c>
    </row>
    <row r="187" spans="1:34" x14ac:dyDescent="0.25">
      <c r="A187" s="25" t="s">
        <v>730</v>
      </c>
      <c r="B187" s="87">
        <v>4017</v>
      </c>
      <c r="C187" s="88" t="s">
        <v>163</v>
      </c>
      <c r="D187" s="88" t="s">
        <v>731</v>
      </c>
      <c r="E187" s="89">
        <v>42586.692881944444</v>
      </c>
      <c r="F187" s="89">
        <v>42586.693865740737</v>
      </c>
      <c r="G187" s="87">
        <v>1</v>
      </c>
      <c r="H187" s="89" t="s">
        <v>732</v>
      </c>
      <c r="I187" s="89">
        <v>42586.707002314812</v>
      </c>
      <c r="J187" s="87">
        <v>0</v>
      </c>
      <c r="K187" s="114" t="str">
        <f t="shared" si="57"/>
        <v>4017/4018</v>
      </c>
      <c r="L187" s="25" t="str">
        <f>VLOOKUP(A187,'Trips&amp;Operators'!$C$1:$E$10000,3,FALSE)</f>
        <v>KILLION</v>
      </c>
      <c r="M187" s="6">
        <f t="shared" si="58"/>
        <v>1.3136574074451346E-2</v>
      </c>
      <c r="N187" s="7">
        <f t="shared" si="56"/>
        <v>18.916666667209938</v>
      </c>
      <c r="O187" s="7"/>
      <c r="P187" s="7"/>
      <c r="Q187" s="26"/>
      <c r="R187" s="26"/>
      <c r="S187" s="38">
        <f t="shared" si="59"/>
        <v>1</v>
      </c>
      <c r="T187" s="55" t="str">
        <f t="shared" si="60"/>
        <v>Southbound</v>
      </c>
      <c r="U187" s="77">
        <f>IF(AG187="EC",COUNTIFS(Variables!$M$2:$M$19,IF(T187="NorthBound","&gt;=","&lt;=")&amp;Y187,Variables!$M$2:$M$19,IF(T187="NorthBound","&lt;=","&gt;=")&amp;Z187),COUNTIFS(Variables!$P$2:$P$19,IF(T187="NorthBound","&gt;=","&lt;=")&amp;Y187,Variables!$P$2:$P$19,IF(T187="NorthBound","&lt;=","&gt;=")&amp;Z187))</f>
        <v>1</v>
      </c>
      <c r="V187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15:37:45-0600',mode:absolute,to:'2016-08-04 17:58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87" s="57" t="str">
        <f t="shared" si="62"/>
        <v>N</v>
      </c>
      <c r="X187" s="117">
        <f t="shared" si="63"/>
        <v>1</v>
      </c>
      <c r="Y187" s="72">
        <f t="shared" si="64"/>
        <v>5.8590999999999998</v>
      </c>
      <c r="Z187" s="72">
        <f t="shared" si="65"/>
        <v>6.2799999999999995E-2</v>
      </c>
      <c r="AA187" s="72">
        <f t="shared" si="66"/>
        <v>5.7962999999999996</v>
      </c>
      <c r="AB187" s="69" t="e">
        <f>VLOOKUP(A187,Enforcements!$C$7:$J$24,8,0)</f>
        <v>#N/A</v>
      </c>
      <c r="AC187" s="65" t="e">
        <f>VLOOKUP(A187,Enforcements!$C$7:$E$24,3,0)</f>
        <v>#N/A</v>
      </c>
      <c r="AD187" s="66" t="str">
        <f t="shared" si="67"/>
        <v>0830-04</v>
      </c>
      <c r="AE187" s="124" t="str">
        <f t="shared" si="68"/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AF187" s="121" t="str">
        <f t="shared" si="69"/>
        <v>"C:\Program Files (x86)\AstroGrep\AstroGrep.exe" /spath="%USERPROFILE%\AppData\Local\Temp\OnboardLogs" /stypes="*4017*20160804*" /stext=" 22:.+((SYSTEM_STATE.+slice.+state.+changed )|(ment ac)|(system.+state.+changed )|(\|lc)|(penalty)|(\[timeout)|(PRM\|1\|D)|(kpr)|(kdp))" /e /r /s</v>
      </c>
      <c r="AG187" s="1" t="str">
        <f t="shared" si="70"/>
        <v>NW</v>
      </c>
      <c r="AH187" s="125" t="str">
        <f>refinertdcruntimes&amp;" --tripid "&amp;A187&amp;" --locoid "&amp;B187&amp;" --swversion "&amp;C187&amp;" --startMP "&amp;D187&amp;" --initTime "&amp;TEXT(E187,"yyyy-mm-ddTHH:MM:SS")&amp;" --startdatetime "&amp;TEXT(F187,"yyyy-mm-ddTHH:MM:SS")&amp;" --delay "&amp;G187&amp;" --endMP "&amp;H187&amp;" --enddatetime "&amp;TEXT(I187,"yyyy-mm-ddTHH:MM:SS")&amp;" --enforcementcount "&amp;J187&amp;" &gt;&gt; "&amp;TEXT(Variables!$A$2,"yyyy-mm-dd")&amp;"-refined-runtimes.txt"</f>
        <v>"%USERPROFILE%\Documents\GitHub\eaglep3\Utilities\RefineRTDCRunTimes.py" --tripid 830-04 --locoid 4017 --swversion DE.1.0.7.0 --startMP 300:58591 --initTime 2016-08-04T16:37:45 --startdatetime 2016-08-04T16:39:10 --delay 1 --endMP 204:628 --enddatetime 2016-08-04T16:58:05 --enforcementcount 0 &gt;&gt; 2016-08-04-refined-runtimes.txt</v>
      </c>
    </row>
    <row r="188" spans="1:34" x14ac:dyDescent="0.25">
      <c r="A188" s="25" t="s">
        <v>733</v>
      </c>
      <c r="B188" s="87">
        <v>4042</v>
      </c>
      <c r="C188" s="88" t="s">
        <v>163</v>
      </c>
      <c r="D188" s="88" t="s">
        <v>734</v>
      </c>
      <c r="E188" s="89">
        <v>42586.69604166667</v>
      </c>
      <c r="F188" s="89">
        <v>42586.697060185186</v>
      </c>
      <c r="G188" s="87">
        <v>1</v>
      </c>
      <c r="H188" s="89" t="s">
        <v>735</v>
      </c>
      <c r="I188" s="89">
        <v>42586.713900462964</v>
      </c>
      <c r="J188" s="87">
        <v>0</v>
      </c>
      <c r="K188" s="114" t="str">
        <f t="shared" si="57"/>
        <v>4041/4042</v>
      </c>
      <c r="L188" s="25" t="str">
        <f>VLOOKUP(A188,'Trips&amp;Operators'!$C$1:$E$10000,3,FALSE)</f>
        <v>HAITHCOX</v>
      </c>
      <c r="M188" s="6">
        <f t="shared" si="58"/>
        <v>1.6840277778101154E-2</v>
      </c>
      <c r="N188" s="7">
        <f t="shared" si="56"/>
        <v>24.250000000465661</v>
      </c>
      <c r="O188" s="7"/>
      <c r="P188" s="7"/>
      <c r="Q188" s="26"/>
      <c r="R188" s="26"/>
      <c r="S188" s="38">
        <f t="shared" si="59"/>
        <v>1</v>
      </c>
      <c r="T188" s="55" t="str">
        <f t="shared" si="60"/>
        <v>NorthBound</v>
      </c>
      <c r="U188" s="77">
        <f>IF(AG188="EC",COUNTIFS(Variables!$M$2:$M$19,IF(T188="NorthBound","&gt;=","&lt;=")&amp;Y188,Variables!$M$2:$M$19,IF(T188="NorthBound","&lt;=","&gt;=")&amp;Z188),COUNTIFS(Variables!$P$2:$P$19,IF(T188="NorthBound","&gt;=","&lt;=")&amp;Y188,Variables!$P$2:$P$19,IF(T188="NorthBound","&lt;=","&gt;=")&amp;Z188))</f>
        <v>1</v>
      </c>
      <c r="V188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15:42:18-0600',mode:absolute,to:'2016-08-04 18:08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88" s="57" t="str">
        <f t="shared" si="62"/>
        <v>N</v>
      </c>
      <c r="X188" s="117">
        <f t="shared" si="63"/>
        <v>1</v>
      </c>
      <c r="Y188" s="72">
        <f t="shared" si="64"/>
        <v>9.5299999999999996E-2</v>
      </c>
      <c r="Z188" s="72">
        <f t="shared" si="65"/>
        <v>5.8868999999999998</v>
      </c>
      <c r="AA188" s="72">
        <f t="shared" si="66"/>
        <v>5.7915999999999999</v>
      </c>
      <c r="AB188" s="69" t="e">
        <f>VLOOKUP(A188,Enforcements!$C$7:$J$24,8,0)</f>
        <v>#N/A</v>
      </c>
      <c r="AC188" s="65" t="e">
        <f>VLOOKUP(A188,Enforcements!$C$7:$E$24,3,0)</f>
        <v>#N/A</v>
      </c>
      <c r="AD188" s="66" t="str">
        <f t="shared" si="67"/>
        <v>0831-04</v>
      </c>
      <c r="AE188" s="124" t="str">
        <f t="shared" si="68"/>
        <v>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 &amp; aws s3 cp s3://rtdc.mdm.uploadarchive/RTDC4042/2016-08-05/ "%USERPROFILE%\AppData\Local\Temp\OnboardLogs"\RTDC4042\2016-08-05 --recursive &amp; "%USERPROFILE%\Documents\GitHub\mrs-test-scripts\Headless Mode &amp; Sideloading\WalkAndUnGZ.bat" "%USERPROFILE%\AppData\Local\Temp\OnboardLogs"\RTDC4042\2016-08-05</v>
      </c>
      <c r="AF188" s="121" t="str">
        <f t="shared" si="69"/>
        <v>"C:\Program Files (x86)\AstroGrep\AstroGrep.exe" /spath="%USERPROFILE%\AppData\Local\Temp\OnboardLogs" /stypes="*4042*20160804*" /stext=" 23:.+((SYSTEM_STATE.+slice.+state.+changed )|(ment ac)|(system.+state.+changed )|(\|lc)|(penalty)|(\[timeout)|(PRM\|1\|D)|(kpr)|(kdp))" /e /r /s</v>
      </c>
      <c r="AG188" s="1" t="str">
        <f t="shared" si="70"/>
        <v>NW</v>
      </c>
      <c r="AH188" s="125" t="str">
        <f>refinertdcruntimes&amp;" --tripid "&amp;A188&amp;" --locoid "&amp;B188&amp;" --swversion "&amp;C188&amp;" --startMP "&amp;D188&amp;" --initTime "&amp;TEXT(E188,"yyyy-mm-ddTHH:MM:SS")&amp;" --startdatetime "&amp;TEXT(F188,"yyyy-mm-ddTHH:MM:SS")&amp;" --delay "&amp;G188&amp;" --endMP "&amp;H188&amp;" --enddatetime "&amp;TEXT(I188,"yyyy-mm-ddTHH:MM:SS")&amp;" --enforcementcount "&amp;J188&amp;" &gt;&gt; "&amp;TEXT(Variables!$A$2,"yyyy-mm-dd")&amp;"-refined-runtimes.txt"</f>
        <v>"%USERPROFILE%\Documents\GitHub\eaglep3\Utilities\RefineRTDCRunTimes.py" --tripid 831-04 --locoid 4042 --swversion DE.1.0.7.0 --startMP 204:953 --initTime 2016-08-04T16:42:18 --startdatetime 2016-08-04T16:43:46 --delay 1 --endMP 300:58869 --enddatetime 2016-08-04T17:08:01 --enforcementcount 0 &gt;&gt; 2016-08-04-refined-runtimes.txt</v>
      </c>
    </row>
    <row r="189" spans="1:34" x14ac:dyDescent="0.25">
      <c r="A189" s="25" t="s">
        <v>736</v>
      </c>
      <c r="B189" s="87">
        <v>4041</v>
      </c>
      <c r="C189" s="88" t="s">
        <v>163</v>
      </c>
      <c r="D189" s="88" t="s">
        <v>726</v>
      </c>
      <c r="E189" s="89">
        <v>42586.715115740742</v>
      </c>
      <c r="F189" s="89">
        <v>42586.716192129628</v>
      </c>
      <c r="G189" s="87">
        <v>1</v>
      </c>
      <c r="H189" s="89" t="s">
        <v>737</v>
      </c>
      <c r="I189" s="89">
        <v>42586.730717592596</v>
      </c>
      <c r="J189" s="87">
        <v>0</v>
      </c>
      <c r="K189" s="114" t="str">
        <f t="shared" si="57"/>
        <v>4041/4042</v>
      </c>
      <c r="L189" s="25" t="str">
        <f>VLOOKUP(A189,'Trips&amp;Operators'!$C$1:$E$10000,3,FALSE)</f>
        <v>HAITHCOX</v>
      </c>
      <c r="M189" s="6">
        <f t="shared" si="58"/>
        <v>1.4525462967867497E-2</v>
      </c>
      <c r="N189" s="7">
        <f t="shared" si="56"/>
        <v>20.916666673729196</v>
      </c>
      <c r="O189" s="7"/>
      <c r="P189" s="7"/>
      <c r="Q189" s="26"/>
      <c r="R189" s="26"/>
      <c r="S189" s="38">
        <f t="shared" si="59"/>
        <v>1</v>
      </c>
      <c r="T189" s="55" t="str">
        <f t="shared" si="60"/>
        <v>Southbound</v>
      </c>
      <c r="U189" s="77">
        <f>IF(AG189="EC",COUNTIFS(Variables!$M$2:$M$19,IF(T189="NorthBound","&gt;=","&lt;=")&amp;Y189,Variables!$M$2:$M$19,IF(T189="NorthBound","&lt;=","&gt;=")&amp;Z189),COUNTIFS(Variables!$P$2:$P$19,IF(T189="NorthBound","&gt;=","&lt;=")&amp;Y189,Variables!$P$2:$P$19,IF(T189="NorthBound","&lt;=","&gt;=")&amp;Z189))</f>
        <v>1</v>
      </c>
      <c r="V189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16:09:46-0600',mode:absolute,to:'2016-08-04 18:32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89" s="57" t="str">
        <f t="shared" si="62"/>
        <v>N</v>
      </c>
      <c r="X189" s="117">
        <f t="shared" si="63"/>
        <v>1</v>
      </c>
      <c r="Y189" s="72">
        <f t="shared" si="64"/>
        <v>5.8544</v>
      </c>
      <c r="Z189" s="72">
        <f t="shared" si="65"/>
        <v>7.3300000000000004E-2</v>
      </c>
      <c r="AA189" s="72">
        <f t="shared" si="66"/>
        <v>5.7811000000000003</v>
      </c>
      <c r="AB189" s="69" t="e">
        <f>VLOOKUP(A189,Enforcements!$C$7:$J$24,8,0)</f>
        <v>#N/A</v>
      </c>
      <c r="AC189" s="65" t="e">
        <f>VLOOKUP(A189,Enforcements!$C$7:$E$24,3,0)</f>
        <v>#N/A</v>
      </c>
      <c r="AD189" s="66" t="str">
        <f t="shared" si="67"/>
        <v>0832-04</v>
      </c>
      <c r="AE189" s="124" t="str">
        <f t="shared" si="68"/>
        <v>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 &amp; aws s3 cp s3://rtdc.mdm.uploadarchive/RTDC4041/2016-08-05/ "%USERPROFILE%\AppData\Local\Temp\OnboardLogs"\RTDC4041\2016-08-05 --recursive &amp; "%USERPROFILE%\Documents\GitHub\mrs-test-scripts\Headless Mode &amp; Sideloading\WalkAndUnGZ.bat" "%USERPROFILE%\AppData\Local\Temp\OnboardLogs"\RTDC4041\2016-08-05</v>
      </c>
      <c r="AF189" s="121" t="str">
        <f t="shared" si="69"/>
        <v>"C:\Program Files (x86)\AstroGrep\AstroGrep.exe" /spath="%USERPROFILE%\AppData\Local\Temp\OnboardLogs" /stypes="*4041*20160804*" /stext=" 23:.+((SYSTEM_STATE.+slice.+state.+changed )|(ment ac)|(system.+state.+changed )|(\|lc)|(penalty)|(\[timeout)|(PRM\|1\|D)|(kpr)|(kdp))" /e /r /s</v>
      </c>
      <c r="AG189" s="1" t="str">
        <f t="shared" si="70"/>
        <v>NW</v>
      </c>
      <c r="AH189" s="125" t="str">
        <f>refinertdcruntimes&amp;" --tripid "&amp;A189&amp;" --locoid "&amp;B189&amp;" --swversion "&amp;C189&amp;" --startMP "&amp;D189&amp;" --initTime "&amp;TEXT(E189,"yyyy-mm-ddTHH:MM:SS")&amp;" --startdatetime "&amp;TEXT(F189,"yyyy-mm-ddTHH:MM:SS")&amp;" --delay "&amp;G189&amp;" --endMP "&amp;H189&amp;" --enddatetime "&amp;TEXT(I189,"yyyy-mm-ddTHH:MM:SS")&amp;" --enforcementcount "&amp;J189&amp;" &gt;&gt; "&amp;TEXT(Variables!$A$2,"yyyy-mm-dd")&amp;"-refined-runtimes.txt"</f>
        <v>"%USERPROFILE%\Documents\GitHub\eaglep3\Utilities\RefineRTDCRunTimes.py" --tripid 832-04 --locoid 4041 --swversion DE.1.0.7.0 --startMP 300:58544 --initTime 2016-08-04T17:09:46 --startdatetime 2016-08-04T17:11:19 --delay 1 --endMP 204:733 --enddatetime 2016-08-04T17:32:14 --enforcementcount 0 &gt;&gt; 2016-08-04-refined-runtimes.txt</v>
      </c>
    </row>
    <row r="190" spans="1:34" x14ac:dyDescent="0.25">
      <c r="A190" s="25" t="s">
        <v>499</v>
      </c>
      <c r="B190" s="87">
        <v>4018</v>
      </c>
      <c r="C190" s="88" t="s">
        <v>163</v>
      </c>
      <c r="D190" s="88" t="s">
        <v>738</v>
      </c>
      <c r="E190" s="89">
        <v>42586.709305555552</v>
      </c>
      <c r="F190" s="89">
        <v>42586.710277777776</v>
      </c>
      <c r="G190" s="87">
        <v>1</v>
      </c>
      <c r="H190" s="89" t="s">
        <v>739</v>
      </c>
      <c r="I190" s="89">
        <v>42586.741018518522</v>
      </c>
      <c r="J190" s="87">
        <v>0</v>
      </c>
      <c r="K190" s="114" t="str">
        <f t="shared" si="57"/>
        <v>4017/4018</v>
      </c>
      <c r="L190" s="25" t="str">
        <f>VLOOKUP(A190,'Trips&amp;Operators'!$C$1:$E$10000,3,FALSE)</f>
        <v>KILLION</v>
      </c>
      <c r="M190" s="6">
        <f t="shared" si="58"/>
        <v>3.0740740745386574E-2</v>
      </c>
      <c r="N190" s="7"/>
      <c r="O190" s="7"/>
      <c r="P190" s="7">
        <f>24*60*SUM($M190:$M191)</f>
        <v>47.850000006146729</v>
      </c>
      <c r="Q190" s="26"/>
      <c r="R190" s="26" t="s">
        <v>843</v>
      </c>
      <c r="S190" s="38">
        <f t="shared" si="59"/>
        <v>1</v>
      </c>
      <c r="T190" s="55" t="str">
        <f t="shared" si="60"/>
        <v>NorthBound</v>
      </c>
      <c r="U190" s="77">
        <f>IF(AG190="EC",COUNTIFS(Variables!$M$2:$M$19,IF(T190="NorthBound","&gt;=","&lt;=")&amp;Y190,Variables!$M$2:$M$19,IF(T190="NorthBound","&lt;=","&gt;=")&amp;Z190),COUNTIFS(Variables!$P$2:$P$19,IF(T190="NorthBound","&gt;=","&lt;=")&amp;Y190,Variables!$P$2:$P$19,IF(T190="NorthBound","&lt;=","&gt;=")&amp;Z190))</f>
        <v>1</v>
      </c>
      <c r="V190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16:01:24-0600',mode:absolute,to:'2016-08-04 18:47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90" s="57" t="str">
        <f t="shared" si="62"/>
        <v>Y</v>
      </c>
      <c r="X190" s="117">
        <f t="shared" si="63"/>
        <v>1</v>
      </c>
      <c r="Y190" s="72">
        <f t="shared" si="64"/>
        <v>9.4399999999999998E-2</v>
      </c>
      <c r="Z190" s="72">
        <f t="shared" si="65"/>
        <v>2.6631</v>
      </c>
      <c r="AA190" s="72">
        <f t="shared" si="66"/>
        <v>2.5687000000000002</v>
      </c>
      <c r="AB190" s="69" t="e">
        <f>VLOOKUP(A190,Enforcements!$C$7:$J$24,8,0)</f>
        <v>#N/A</v>
      </c>
      <c r="AC190" s="65" t="e">
        <f>VLOOKUP(A190,Enforcements!$C$7:$E$24,3,0)</f>
        <v>#N/A</v>
      </c>
      <c r="AD190" s="66" t="str">
        <f t="shared" si="67"/>
        <v>0833-04</v>
      </c>
      <c r="AE190" s="124" t="str">
        <f t="shared" si="68"/>
        <v>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 &amp; aws s3 cp s3://rtdc.mdm.uploadarchive/RTDC4018/2016-08-05/ "%USERPROFILE%\AppData\Local\Temp\OnboardLogs"\RTDC4018\2016-08-05 --recursive &amp; "%USERPROFILE%\Documents\GitHub\mrs-test-scripts\Headless Mode &amp; Sideloading\WalkAndUnGZ.bat" "%USERPROFILE%\AppData\Local\Temp\OnboardLogs"\RTDC4018\2016-08-05</v>
      </c>
      <c r="AF190" s="121" t="str">
        <f t="shared" si="69"/>
        <v>"C:\Program Files (x86)\AstroGrep\AstroGrep.exe" /spath="%USERPROFILE%\AppData\Local\Temp\OnboardLogs" /stypes="*4018*20160804*" /stext=" 23:.+((SYSTEM_STATE.+slice.+state.+changed )|(ment ac)|(system.+state.+changed )|(\|lc)|(penalty)|(\[timeout)|(PRM\|1\|D)|(kpr)|(kdp))" /e /r /s</v>
      </c>
      <c r="AG190" s="1" t="str">
        <f t="shared" si="70"/>
        <v>NW</v>
      </c>
      <c r="AH190" s="125" t="str">
        <f>refinertdcruntimes&amp;" --tripid "&amp;A190&amp;" --locoid "&amp;B190&amp;" --swversion "&amp;C190&amp;" --startMP "&amp;D190&amp;" --initTime "&amp;TEXT(E190,"yyyy-mm-ddTHH:MM:SS")&amp;" --startdatetime "&amp;TEXT(F190,"yyyy-mm-ddTHH:MM:SS")&amp;" --delay "&amp;G190&amp;" --endMP "&amp;H190&amp;" --enddatetime "&amp;TEXT(I190,"yyyy-mm-ddTHH:MM:SS")&amp;" --enforcementcount "&amp;J190&amp;" &gt;&gt; "&amp;TEXT(Variables!$A$2,"yyyy-mm-dd")&amp;"-refined-runtimes.txt"</f>
        <v>"%USERPROFILE%\Documents\GitHub\eaglep3\Utilities\RefineRTDCRunTimes.py" --tripid 833-04 --locoid 4018 --swversion DE.1.0.7.0 --startMP 204:944 --initTime 2016-08-04T17:01:24 --startdatetime 2016-08-04T17:02:48 --delay 1 --endMP 300:26631 --enddatetime 2016-08-04T17:47:04 --enforcementcount 0 &gt;&gt; 2016-08-04-refined-runtimes.txt</v>
      </c>
    </row>
    <row r="191" spans="1:34" s="24" customFormat="1" x14ac:dyDescent="0.25">
      <c r="A191" s="25" t="s">
        <v>499</v>
      </c>
      <c r="B191" s="87">
        <v>4018</v>
      </c>
      <c r="C191" s="88" t="s">
        <v>163</v>
      </c>
      <c r="D191" s="88" t="s">
        <v>740</v>
      </c>
      <c r="E191" s="89">
        <v>42586.743414351855</v>
      </c>
      <c r="F191" s="89">
        <v>42586.744456018518</v>
      </c>
      <c r="G191" s="87">
        <v>1</v>
      </c>
      <c r="H191" s="89" t="s">
        <v>741</v>
      </c>
      <c r="I191" s="89">
        <v>42586.746944444443</v>
      </c>
      <c r="J191" s="87">
        <v>2</v>
      </c>
      <c r="K191" s="114" t="str">
        <f t="shared" si="57"/>
        <v>4017/4018</v>
      </c>
      <c r="L191" s="25" t="str">
        <f>VLOOKUP(A191,'Trips&amp;Operators'!$C$1:$E$10000,3,FALSE)</f>
        <v>KILLION</v>
      </c>
      <c r="M191" s="6">
        <f t="shared" si="58"/>
        <v>2.488425925548654E-3</v>
      </c>
      <c r="N191" s="7"/>
      <c r="O191" s="7"/>
      <c r="P191" s="7"/>
      <c r="Q191" s="26"/>
      <c r="R191" s="26"/>
      <c r="S191" s="38"/>
      <c r="T191" s="55" t="str">
        <f t="shared" si="60"/>
        <v>NorthBound</v>
      </c>
      <c r="U191" s="77">
        <f>IF(AG191="EC",COUNTIFS(Variables!$M$2:$M$19,IF(T191="NorthBound","&gt;=","&lt;=")&amp;Y191,Variables!$M$2:$M$19,IF(T191="NorthBound","&lt;=","&gt;=")&amp;Z191),COUNTIFS(Variables!$P$2:$P$19,IF(T191="NorthBound","&gt;=","&lt;=")&amp;Y191,Variables!$P$2:$P$19,IF(T191="NorthBound","&lt;=","&gt;=")&amp;Z191))</f>
        <v>0</v>
      </c>
      <c r="V191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16:50:31-0600',mode:absolute,to:'2016-08-04 18:55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91" s="57" t="str">
        <f t="shared" si="62"/>
        <v>Y</v>
      </c>
      <c r="X191" s="117">
        <f t="shared" si="63"/>
        <v>0</v>
      </c>
      <c r="Y191" s="72">
        <f t="shared" si="64"/>
        <v>2.6623999999999999</v>
      </c>
      <c r="Z191" s="72">
        <f t="shared" si="65"/>
        <v>2.8761000000000001</v>
      </c>
      <c r="AA191" s="72">
        <f t="shared" si="66"/>
        <v>0.21370000000000022</v>
      </c>
      <c r="AB191" s="69" t="e">
        <f>VLOOKUP(A191,Enforcements!$C$7:$J$24,8,0)</f>
        <v>#N/A</v>
      </c>
      <c r="AC191" s="65" t="e">
        <f>VLOOKUP(A191,Enforcements!$C$7:$E$24,3,0)</f>
        <v>#N/A</v>
      </c>
      <c r="AD191" s="66" t="str">
        <f t="shared" si="67"/>
        <v>0833-04</v>
      </c>
      <c r="AE191" s="124" t="str">
        <f t="shared" si="68"/>
        <v>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 &amp; aws s3 cp s3://rtdc.mdm.uploadarchive/RTDC4018/2016-08-05/ "%USERPROFILE%\AppData\Local\Temp\OnboardLogs"\RTDC4018\2016-08-05 --recursive &amp; "%USERPROFILE%\Documents\GitHub\mrs-test-scripts\Headless Mode &amp; Sideloading\WalkAndUnGZ.bat" "%USERPROFILE%\AppData\Local\Temp\OnboardLogs"\RTDC4018\2016-08-05</v>
      </c>
      <c r="AF191" s="121" t="str">
        <f t="shared" si="69"/>
        <v>"C:\Program Files (x86)\AstroGrep\AstroGrep.exe" /spath="%USERPROFILE%\AppData\Local\Temp\OnboardLogs" /stypes="*4018*20160804*" /stext=" 23:.+((SYSTEM_STATE.+slice.+state.+changed )|(ment ac)|(system.+state.+changed )|(\|lc)|(penalty)|(\[timeout)|(PRM\|1\|D)|(kpr)|(kdp))" /e /r /s</v>
      </c>
      <c r="AG191" s="1" t="str">
        <f t="shared" si="70"/>
        <v>NW</v>
      </c>
      <c r="AH191" s="125" t="str">
        <f>refinertdcruntimes&amp;" --tripid "&amp;A191&amp;" --locoid "&amp;B191&amp;" --swversion "&amp;C191&amp;" --startMP "&amp;D191&amp;" --initTime "&amp;TEXT(E191,"yyyy-mm-ddTHH:MM:SS")&amp;" --startdatetime "&amp;TEXT(F191,"yyyy-mm-ddTHH:MM:SS")&amp;" --delay "&amp;G191&amp;" --endMP "&amp;H191&amp;" --enddatetime "&amp;TEXT(I191,"yyyy-mm-ddTHH:MM:SS")&amp;" --enforcementcount "&amp;J191&amp;" &gt;&gt; "&amp;TEXT(Variables!$A$2,"yyyy-mm-dd")&amp;"-refined-runtimes.txt"</f>
        <v>"%USERPROFILE%\Documents\GitHub\eaglep3\Utilities\RefineRTDCRunTimes.py" --tripid 833-04 --locoid 4018 --swversion DE.1.0.7.0 --startMP 300:26624 --initTime 2016-08-04T17:50:31 --startdatetime 2016-08-04T17:52:01 --delay 1 --endMP 300:28761 --enddatetime 2016-08-04T17:55:36 --enforcementcount 2 &gt;&gt; 2016-08-04-refined-runtimes.txt</v>
      </c>
    </row>
    <row r="192" spans="1:34" s="24" customFormat="1" x14ac:dyDescent="0.25">
      <c r="A192" s="25" t="s">
        <v>500</v>
      </c>
      <c r="B192" s="87">
        <v>4017</v>
      </c>
      <c r="C192" s="88" t="s">
        <v>163</v>
      </c>
      <c r="D192" s="88" t="s">
        <v>700</v>
      </c>
      <c r="E192" s="89">
        <v>42586.753750000003</v>
      </c>
      <c r="F192" s="89">
        <v>42586.754930555559</v>
      </c>
      <c r="G192" s="87">
        <v>1</v>
      </c>
      <c r="H192" s="89" t="s">
        <v>742</v>
      </c>
      <c r="I192" s="89">
        <v>42586.755555555559</v>
      </c>
      <c r="J192" s="87">
        <v>1</v>
      </c>
      <c r="K192" s="114" t="str">
        <f t="shared" si="57"/>
        <v>4017/4018</v>
      </c>
      <c r="L192" s="25" t="str">
        <f>VLOOKUP(A192,'Trips&amp;Operators'!$C$1:$E$10000,3,FALSE)</f>
        <v>KILLION</v>
      </c>
      <c r="M192" s="6">
        <f t="shared" si="58"/>
        <v>6.2500000058207661E-4</v>
      </c>
      <c r="N192" s="7"/>
      <c r="O192" s="7"/>
      <c r="P192" s="7">
        <f t="shared" si="56"/>
        <v>0.90000000083819032</v>
      </c>
      <c r="Q192" s="26"/>
      <c r="R192" s="26" t="s">
        <v>336</v>
      </c>
      <c r="S192" s="38">
        <f t="shared" si="59"/>
        <v>0</v>
      </c>
      <c r="T192" s="55" t="str">
        <f t="shared" si="60"/>
        <v>Southbound</v>
      </c>
      <c r="U192" s="77">
        <f>IF(AG192="EC",COUNTIFS(Variables!$M$2:$M$19,IF(T192="NorthBound","&gt;=","&lt;=")&amp;Y192,Variables!$M$2:$M$19,IF(T192="NorthBound","&lt;=","&gt;=")&amp;Z192),COUNTIFS(Variables!$P$2:$P$19,IF(T192="NorthBound","&gt;=","&lt;=")&amp;Y192,Variables!$P$2:$P$19,IF(T192="NorthBound","&lt;=","&gt;=")&amp;Z192))</f>
        <v>0</v>
      </c>
      <c r="V192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17:05:24-0600',mode:absolute,to:'2016-08-04 19:08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92" s="57" t="str">
        <f t="shared" si="62"/>
        <v>Y</v>
      </c>
      <c r="X192" s="117">
        <f t="shared" si="63"/>
        <v>1</v>
      </c>
      <c r="Y192" s="72">
        <f t="shared" si="64"/>
        <v>5.8604000000000003</v>
      </c>
      <c r="Z192" s="72">
        <f t="shared" si="65"/>
        <v>5.8289</v>
      </c>
      <c r="AA192" s="72">
        <f t="shared" si="66"/>
        <v>3.1500000000000306E-2</v>
      </c>
      <c r="AB192" s="69" t="e">
        <f>VLOOKUP(A192,Enforcements!$C$7:$J$24,8,0)</f>
        <v>#N/A</v>
      </c>
      <c r="AC192" s="65" t="e">
        <f>VLOOKUP(A192,Enforcements!$C$7:$E$24,3,0)</f>
        <v>#N/A</v>
      </c>
      <c r="AD192" s="66" t="str">
        <f t="shared" si="67"/>
        <v>0834-04</v>
      </c>
      <c r="AE192" s="124" t="str">
        <f t="shared" si="68"/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AF192" s="121" t="str">
        <f t="shared" si="69"/>
        <v>"C:\Program Files (x86)\AstroGrep\AstroGrep.exe" /spath="%USERPROFILE%\AppData\Local\Temp\OnboardLogs" /stypes="*4017*20160805*" /stext=" 00:.+((SYSTEM_STATE.+slice.+state.+changed )|(ment ac)|(system.+state.+changed )|(\|lc)|(penalty)|(\[timeout)|(PRM\|1\|D)|(kpr)|(kdp))" /e /r /s</v>
      </c>
      <c r="AG192" s="1" t="str">
        <f t="shared" si="70"/>
        <v>NW</v>
      </c>
      <c r="AH192" s="125" t="str">
        <f>refinertdcruntimes&amp;" --tripid "&amp;A192&amp;" --locoid "&amp;B192&amp;" --swversion "&amp;C192&amp;" --startMP "&amp;D192&amp;" --initTime "&amp;TEXT(E192,"yyyy-mm-ddTHH:MM:SS")&amp;" --startdatetime "&amp;TEXT(F192,"yyyy-mm-ddTHH:MM:SS")&amp;" --delay "&amp;G192&amp;" --endMP "&amp;H192&amp;" --enddatetime "&amp;TEXT(I192,"yyyy-mm-ddTHH:MM:SS")&amp;" --enforcementcount "&amp;J192&amp;" &gt;&gt; "&amp;TEXT(Variables!$A$2,"yyyy-mm-dd")&amp;"-refined-runtimes.txt"</f>
        <v>"%USERPROFILE%\Documents\GitHub\eaglep3\Utilities\RefineRTDCRunTimes.py" --tripid 834-04 --locoid 4017 --swversion DE.1.0.7.0 --startMP 300:58604 --initTime 2016-08-04T18:05:24 --startdatetime 2016-08-04T18:07:06 --delay 1 --endMP 300:58289 --enddatetime 2016-08-04T18:08:00 --enforcementcount 1 &gt;&gt; 2016-08-04-refined-runtimes.txt</v>
      </c>
    </row>
    <row r="193" spans="1:34" x14ac:dyDescent="0.25">
      <c r="A193" s="25" t="s">
        <v>743</v>
      </c>
      <c r="B193" s="87">
        <v>4042</v>
      </c>
      <c r="C193" s="88" t="s">
        <v>163</v>
      </c>
      <c r="D193" s="88" t="s">
        <v>420</v>
      </c>
      <c r="E193" s="89">
        <v>42586.743252314816</v>
      </c>
      <c r="F193" s="89">
        <v>42586.744351851848</v>
      </c>
      <c r="G193" s="87">
        <v>1</v>
      </c>
      <c r="H193" s="89" t="s">
        <v>744</v>
      </c>
      <c r="I193" s="89">
        <v>42586.765115740738</v>
      </c>
      <c r="J193" s="87">
        <v>0</v>
      </c>
      <c r="K193" s="114" t="str">
        <f t="shared" si="57"/>
        <v>4041/4042</v>
      </c>
      <c r="L193" s="25" t="str">
        <f>VLOOKUP(A193,'Trips&amp;Operators'!$C$1:$E$10000,3,FALSE)</f>
        <v>HAITHCOX</v>
      </c>
      <c r="M193" s="6">
        <f t="shared" si="58"/>
        <v>2.0763888889632653E-2</v>
      </c>
      <c r="N193" s="7">
        <f t="shared" si="56"/>
        <v>29.900000001071021</v>
      </c>
      <c r="O193" s="7"/>
      <c r="P193" s="7"/>
      <c r="Q193" s="26"/>
      <c r="R193" s="26"/>
      <c r="S193" s="38">
        <f t="shared" si="59"/>
        <v>1</v>
      </c>
      <c r="T193" s="55" t="str">
        <f t="shared" si="60"/>
        <v>NorthBound</v>
      </c>
      <c r="U193" s="77">
        <f>IF(AG193="EC",COUNTIFS(Variables!$M$2:$M$19,IF(T193="NorthBound","&gt;=","&lt;=")&amp;Y193,Variables!$M$2:$M$19,IF(T193="NorthBound","&lt;=","&gt;=")&amp;Z193),COUNTIFS(Variables!$P$2:$P$19,IF(T193="NorthBound","&gt;=","&lt;=")&amp;Y193,Variables!$P$2:$P$19,IF(T193="NorthBound","&lt;=","&gt;=")&amp;Z193))</f>
        <v>1</v>
      </c>
      <c r="V193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16:50:17-0600',mode:absolute,to:'2016-08-04 19:21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93" s="57" t="str">
        <f t="shared" si="62"/>
        <v>N</v>
      </c>
      <c r="X193" s="117">
        <f t="shared" si="63"/>
        <v>1</v>
      </c>
      <c r="Y193" s="72">
        <f t="shared" si="64"/>
        <v>0.1021</v>
      </c>
      <c r="Z193" s="72">
        <f t="shared" si="65"/>
        <v>5.8867000000000003</v>
      </c>
      <c r="AA193" s="72">
        <f t="shared" si="66"/>
        <v>5.7846000000000002</v>
      </c>
      <c r="AB193" s="69" t="e">
        <f>VLOOKUP(A193,Enforcements!$C$7:$J$24,8,0)</f>
        <v>#N/A</v>
      </c>
      <c r="AC193" s="65" t="e">
        <f>VLOOKUP(A193,Enforcements!$C$7:$E$24,3,0)</f>
        <v>#N/A</v>
      </c>
      <c r="AD193" s="66" t="str">
        <f t="shared" si="67"/>
        <v>0835-04</v>
      </c>
      <c r="AE193" s="124" t="str">
        <f t="shared" si="68"/>
        <v>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 &amp; aws s3 cp s3://rtdc.mdm.uploadarchive/RTDC4042/2016-08-05/ "%USERPROFILE%\AppData\Local\Temp\OnboardLogs"\RTDC4042\2016-08-05 --recursive &amp; "%USERPROFILE%\Documents\GitHub\mrs-test-scripts\Headless Mode &amp; Sideloading\WalkAndUnGZ.bat" "%USERPROFILE%\AppData\Local\Temp\OnboardLogs"\RTDC4042\2016-08-05</v>
      </c>
      <c r="AF193" s="121" t="str">
        <f t="shared" si="69"/>
        <v>"C:\Program Files (x86)\AstroGrep\AstroGrep.exe" /spath="%USERPROFILE%\AppData\Local\Temp\OnboardLogs" /stypes="*4042*20160805*" /stext=" 00:.+((SYSTEM_STATE.+slice.+state.+changed )|(ment ac)|(system.+state.+changed )|(\|lc)|(penalty)|(\[timeout)|(PRM\|1\|D)|(kpr)|(kdp))" /e /r /s</v>
      </c>
      <c r="AG193" s="1" t="str">
        <f t="shared" si="70"/>
        <v>NW</v>
      </c>
      <c r="AH193" s="125" t="str">
        <f>refinertdcruntimes&amp;" --tripid "&amp;A193&amp;" --locoid "&amp;B193&amp;" --swversion "&amp;C193&amp;" --startMP "&amp;D193&amp;" --initTime "&amp;TEXT(E193,"yyyy-mm-ddTHH:MM:SS")&amp;" --startdatetime "&amp;TEXT(F193,"yyyy-mm-ddTHH:MM:SS")&amp;" --delay "&amp;G193&amp;" --endMP "&amp;H193&amp;" --enddatetime "&amp;TEXT(I193,"yyyy-mm-ddTHH:MM:SS")&amp;" --enforcementcount "&amp;J193&amp;" &gt;&gt; "&amp;TEXT(Variables!$A$2,"yyyy-mm-dd")&amp;"-refined-runtimes.txt"</f>
        <v>"%USERPROFILE%\Documents\GitHub\eaglep3\Utilities\RefineRTDCRunTimes.py" --tripid 835-04 --locoid 4042 --swversion DE.1.0.7.0 --startMP 204:1021 --initTime 2016-08-04T17:50:17 --startdatetime 2016-08-04T17:51:52 --delay 1 --endMP 300:58867 --enddatetime 2016-08-04T18:21:46 --enforcementcount 0 &gt;&gt; 2016-08-04-refined-runtimes.txt</v>
      </c>
    </row>
    <row r="194" spans="1:34" x14ac:dyDescent="0.25">
      <c r="A194" s="25" t="s">
        <v>745</v>
      </c>
      <c r="B194" s="87">
        <v>4041</v>
      </c>
      <c r="C194" s="88" t="s">
        <v>163</v>
      </c>
      <c r="D194" s="88" t="s">
        <v>746</v>
      </c>
      <c r="E194" s="89">
        <v>42586.76599537037</v>
      </c>
      <c r="F194" s="89">
        <v>42586.767094907409</v>
      </c>
      <c r="G194" s="87">
        <v>1</v>
      </c>
      <c r="H194" s="89" t="s">
        <v>747</v>
      </c>
      <c r="I194" s="89">
        <v>42586.779247685183</v>
      </c>
      <c r="J194" s="87">
        <v>0</v>
      </c>
      <c r="K194" s="114" t="str">
        <f t="shared" si="57"/>
        <v>4041/4042</v>
      </c>
      <c r="L194" s="25" t="str">
        <f>VLOOKUP(A194,'Trips&amp;Operators'!$C$1:$E$10000,3,FALSE)</f>
        <v>HAITHCOX</v>
      </c>
      <c r="M194" s="6">
        <f t="shared" si="58"/>
        <v>1.2152777773735579E-2</v>
      </c>
      <c r="N194" s="7">
        <f t="shared" si="56"/>
        <v>17.499999994179234</v>
      </c>
      <c r="O194" s="7"/>
      <c r="P194" s="7"/>
      <c r="Q194" s="26"/>
      <c r="R194" s="26"/>
      <c r="S194" s="38">
        <f t="shared" si="59"/>
        <v>1</v>
      </c>
      <c r="T194" s="55" t="str">
        <f t="shared" si="60"/>
        <v>Southbound</v>
      </c>
      <c r="U194" s="77">
        <f>IF(AG194="EC",COUNTIFS(Variables!$M$2:$M$19,IF(T194="NorthBound","&gt;=","&lt;=")&amp;Y194,Variables!$M$2:$M$19,IF(T194="NorthBound","&lt;=","&gt;=")&amp;Z194),COUNTIFS(Variables!$P$2:$P$19,IF(T194="NorthBound","&gt;=","&lt;=")&amp;Y194,Variables!$P$2:$P$19,IF(T194="NorthBound","&lt;=","&gt;=")&amp;Z194))</f>
        <v>1</v>
      </c>
      <c r="V194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17:23:02-0600',mode:absolute,to:'2016-08-04 19:42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94" s="57" t="str">
        <f t="shared" si="62"/>
        <v>N</v>
      </c>
      <c r="X194" s="117">
        <f t="shared" si="63"/>
        <v>1</v>
      </c>
      <c r="Y194" s="72">
        <f t="shared" si="64"/>
        <v>5.8559999999999999</v>
      </c>
      <c r="Z194" s="72">
        <f t="shared" si="65"/>
        <v>7.4499999999999997E-2</v>
      </c>
      <c r="AA194" s="72">
        <f t="shared" si="66"/>
        <v>5.7815000000000003</v>
      </c>
      <c r="AB194" s="69" t="e">
        <f>VLOOKUP(A194,Enforcements!$C$7:$J$24,8,0)</f>
        <v>#N/A</v>
      </c>
      <c r="AC194" s="65" t="e">
        <f>VLOOKUP(A194,Enforcements!$C$7:$E$24,3,0)</f>
        <v>#N/A</v>
      </c>
      <c r="AD194" s="66" t="str">
        <f t="shared" si="67"/>
        <v>0836-04</v>
      </c>
      <c r="AE194" s="124" t="str">
        <f t="shared" si="68"/>
        <v>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 &amp; aws s3 cp s3://rtdc.mdm.uploadarchive/RTDC4041/2016-08-05/ "%USERPROFILE%\AppData\Local\Temp\OnboardLogs"\RTDC4041\2016-08-05 --recursive &amp; "%USERPROFILE%\Documents\GitHub\mrs-test-scripts\Headless Mode &amp; Sideloading\WalkAndUnGZ.bat" "%USERPROFILE%\AppData\Local\Temp\OnboardLogs"\RTDC4041\2016-08-05</v>
      </c>
      <c r="AF194" s="121" t="str">
        <f t="shared" si="69"/>
        <v>"C:\Program Files (x86)\AstroGrep\AstroGrep.exe" /spath="%USERPROFILE%\AppData\Local\Temp\OnboardLogs" /stypes="*4041*20160805*" /stext=" 00:.+((SYSTEM_STATE.+slice.+state.+changed )|(ment ac)|(system.+state.+changed )|(\|lc)|(penalty)|(\[timeout)|(PRM\|1\|D)|(kpr)|(kdp))" /e /r /s</v>
      </c>
      <c r="AG194" s="1" t="str">
        <f t="shared" si="70"/>
        <v>NW</v>
      </c>
      <c r="AH194" s="125" t="str">
        <f>refinertdcruntimes&amp;" --tripid "&amp;A194&amp;" --locoid "&amp;B194&amp;" --swversion "&amp;C194&amp;" --startMP "&amp;D194&amp;" --initTime "&amp;TEXT(E194,"yyyy-mm-ddTHH:MM:SS")&amp;" --startdatetime "&amp;TEXT(F194,"yyyy-mm-ddTHH:MM:SS")&amp;" --delay "&amp;G194&amp;" --endMP "&amp;H194&amp;" --enddatetime "&amp;TEXT(I194,"yyyy-mm-ddTHH:MM:SS")&amp;" --enforcementcount "&amp;J194&amp;" &gt;&gt; "&amp;TEXT(Variables!$A$2,"yyyy-mm-dd")&amp;"-refined-runtimes.txt"</f>
        <v>"%USERPROFILE%\Documents\GitHub\eaglep3\Utilities\RefineRTDCRunTimes.py" --tripid 836-04 --locoid 4041 --swversion DE.1.0.7.0 --startMP 300:58560 --initTime 2016-08-04T18:23:02 --startdatetime 2016-08-04T18:24:37 --delay 1 --endMP 204:745 --enddatetime 2016-08-04T18:42:07 --enforcementcount 0 &gt;&gt; 2016-08-04-refined-runtimes.txt</v>
      </c>
    </row>
    <row r="195" spans="1:34" x14ac:dyDescent="0.25">
      <c r="A195" s="25" t="s">
        <v>748</v>
      </c>
      <c r="B195" s="87">
        <v>4018</v>
      </c>
      <c r="C195" s="88" t="s">
        <v>163</v>
      </c>
      <c r="D195" s="88" t="s">
        <v>749</v>
      </c>
      <c r="E195" s="89">
        <v>42586.769837962966</v>
      </c>
      <c r="F195" s="89">
        <v>42586.770729166667</v>
      </c>
      <c r="G195" s="87">
        <v>1</v>
      </c>
      <c r="H195" s="89" t="s">
        <v>706</v>
      </c>
      <c r="I195" s="89">
        <v>42586.781689814816</v>
      </c>
      <c r="J195" s="87">
        <v>0</v>
      </c>
      <c r="K195" s="114" t="str">
        <f t="shared" si="57"/>
        <v>4017/4018</v>
      </c>
      <c r="L195" s="25" t="str">
        <f>VLOOKUP(A195,'Trips&amp;Operators'!$C$1:$E$10000,3,FALSE)</f>
        <v>KILLION</v>
      </c>
      <c r="M195" s="6">
        <f t="shared" si="58"/>
        <v>1.096064814919373E-2</v>
      </c>
      <c r="N195" s="7">
        <f t="shared" si="56"/>
        <v>15.783333334838971</v>
      </c>
      <c r="O195" s="7"/>
      <c r="P195" s="7"/>
      <c r="Q195" s="26"/>
      <c r="R195" s="26"/>
      <c r="S195" s="38">
        <f t="shared" si="59"/>
        <v>1</v>
      </c>
      <c r="T195" s="55" t="str">
        <f t="shared" si="60"/>
        <v>NorthBound</v>
      </c>
      <c r="U195" s="77">
        <f>IF(AG195="EC",COUNTIFS(Variables!$M$2:$M$19,IF(T195="NorthBound","&gt;=","&lt;=")&amp;Y195,Variables!$M$2:$M$19,IF(T195="NorthBound","&lt;=","&gt;=")&amp;Z195),COUNTIFS(Variables!$P$2:$P$19,IF(T195="NorthBound","&gt;=","&lt;=")&amp;Y195,Variables!$P$2:$P$19,IF(T195="NorthBound","&lt;=","&gt;=")&amp;Z195))</f>
        <v>1</v>
      </c>
      <c r="V195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17:28:34-0600',mode:absolute,to:'2016-08-04 19:45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95" s="57" t="str">
        <f t="shared" si="62"/>
        <v>N</v>
      </c>
      <c r="X195" s="117">
        <f t="shared" si="63"/>
        <v>1</v>
      </c>
      <c r="Y195" s="72">
        <f t="shared" si="64"/>
        <v>8.9700000000000002E-2</v>
      </c>
      <c r="Z195" s="72">
        <f t="shared" si="65"/>
        <v>5.8909000000000002</v>
      </c>
      <c r="AA195" s="72">
        <f t="shared" si="66"/>
        <v>5.8012000000000006</v>
      </c>
      <c r="AB195" s="69" t="e">
        <f>VLOOKUP(A195,Enforcements!$C$7:$J$24,8,0)</f>
        <v>#N/A</v>
      </c>
      <c r="AC195" s="65" t="e">
        <f>VLOOKUP(A195,Enforcements!$C$7:$E$24,3,0)</f>
        <v>#N/A</v>
      </c>
      <c r="AD195" s="66" t="str">
        <f t="shared" si="67"/>
        <v>0837-04</v>
      </c>
      <c r="AE195" s="124" t="str">
        <f t="shared" si="68"/>
        <v>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 &amp; aws s3 cp s3://rtdc.mdm.uploadarchive/RTDC4018/2016-08-05/ "%USERPROFILE%\AppData\Local\Temp\OnboardLogs"\RTDC4018\2016-08-05 --recursive &amp; "%USERPROFILE%\Documents\GitHub\mrs-test-scripts\Headless Mode &amp; Sideloading\WalkAndUnGZ.bat" "%USERPROFILE%\AppData\Local\Temp\OnboardLogs"\RTDC4018\2016-08-05</v>
      </c>
      <c r="AF195" s="121" t="str">
        <f t="shared" si="69"/>
        <v>"C:\Program Files (x86)\AstroGrep\AstroGrep.exe" /spath="%USERPROFILE%\AppData\Local\Temp\OnboardLogs" /stypes="*4018*20160805*" /stext=" 00:.+((SYSTEM_STATE.+slice.+state.+changed )|(ment ac)|(system.+state.+changed )|(\|lc)|(penalty)|(\[timeout)|(PRM\|1\|D)|(kpr)|(kdp))" /e /r /s</v>
      </c>
      <c r="AG195" s="1" t="str">
        <f t="shared" si="70"/>
        <v>NW</v>
      </c>
      <c r="AH195" s="125" t="str">
        <f>refinertdcruntimes&amp;" --tripid "&amp;A195&amp;" --locoid "&amp;B195&amp;" --swversion "&amp;C195&amp;" --startMP "&amp;D195&amp;" --initTime "&amp;TEXT(E195,"yyyy-mm-ddTHH:MM:SS")&amp;" --startdatetime "&amp;TEXT(F195,"yyyy-mm-ddTHH:MM:SS")&amp;" --delay "&amp;G195&amp;" --endMP "&amp;H195&amp;" --enddatetime "&amp;TEXT(I195,"yyyy-mm-ddTHH:MM:SS")&amp;" --enforcementcount "&amp;J195&amp;" &gt;&gt; "&amp;TEXT(Variables!$A$2,"yyyy-mm-dd")&amp;"-refined-runtimes.txt"</f>
        <v>"%USERPROFILE%\Documents\GitHub\eaglep3\Utilities\RefineRTDCRunTimes.py" --tripid 837-04 --locoid 4018 --swversion DE.1.0.7.0 --startMP 204:897 --initTime 2016-08-04T18:28:34 --startdatetime 2016-08-04T18:29:51 --delay 1 --endMP 300:58909 --enddatetime 2016-08-04T18:45:38 --enforcementcount 0 &gt;&gt; 2016-08-04-refined-runtimes.txt</v>
      </c>
    </row>
    <row r="196" spans="1:34" x14ac:dyDescent="0.25">
      <c r="A196" s="42" t="s">
        <v>502</v>
      </c>
      <c r="B196" s="7">
        <v>4017</v>
      </c>
      <c r="C196" s="25" t="s">
        <v>163</v>
      </c>
      <c r="D196" s="25" t="s">
        <v>750</v>
      </c>
      <c r="E196" s="16">
        <v>42586.783101851855</v>
      </c>
      <c r="F196" s="16">
        <v>42586.784178240741</v>
      </c>
      <c r="G196" s="7">
        <v>1</v>
      </c>
      <c r="H196" s="16" t="s">
        <v>751</v>
      </c>
      <c r="I196" s="16">
        <v>42586.791770833333</v>
      </c>
      <c r="J196" s="7">
        <v>1</v>
      </c>
      <c r="K196" s="114" t="str">
        <f t="shared" si="57"/>
        <v>4017/4018</v>
      </c>
      <c r="L196" s="25" t="str">
        <f>VLOOKUP(A196,'Trips&amp;Operators'!$C$1:$E$10000,3,FALSE)</f>
        <v>KILLION</v>
      </c>
      <c r="M196" s="6">
        <f t="shared" si="58"/>
        <v>7.5925925921183079E-3</v>
      </c>
      <c r="N196" s="7"/>
      <c r="O196" s="7"/>
      <c r="P196" s="7">
        <f t="shared" si="56"/>
        <v>10.933333332650363</v>
      </c>
      <c r="Q196" s="26"/>
      <c r="R196" s="26" t="s">
        <v>832</v>
      </c>
      <c r="S196" s="38">
        <f t="shared" si="59"/>
        <v>1</v>
      </c>
      <c r="T196" s="55" t="str">
        <f t="shared" si="60"/>
        <v>Southbound</v>
      </c>
      <c r="U196" s="77">
        <f>IF(AG196="EC",COUNTIFS(Variables!$M$2:$M$19,IF(T196="NorthBound","&gt;=","&lt;=")&amp;Y196,Variables!$M$2:$M$19,IF(T196="NorthBound","&lt;=","&gt;=")&amp;Z196),COUNTIFS(Variables!$P$2:$P$19,IF(T196="NorthBound","&gt;=","&lt;=")&amp;Y196,Variables!$P$2:$P$19,IF(T196="NorthBound","&lt;=","&gt;=")&amp;Z196))</f>
        <v>1</v>
      </c>
      <c r="V196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17:47:40-0600',mode:absolute,to:'2016-08-04 20:00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96" s="57" t="str">
        <f t="shared" si="62"/>
        <v>Y</v>
      </c>
      <c r="X196" s="117">
        <f t="shared" si="63"/>
        <v>1</v>
      </c>
      <c r="Y196" s="72">
        <f t="shared" si="64"/>
        <v>5.8596000000000004</v>
      </c>
      <c r="Z196" s="72">
        <f t="shared" si="65"/>
        <v>1.0708</v>
      </c>
      <c r="AA196" s="72">
        <f t="shared" si="66"/>
        <v>4.7888000000000002</v>
      </c>
      <c r="AB196" s="69" t="e">
        <f>VLOOKUP(A196,Enforcements!$C$7:$J$24,8,0)</f>
        <v>#N/A</v>
      </c>
      <c r="AC196" s="65" t="e">
        <f>VLOOKUP(A196,Enforcements!$C$7:$E$24,3,0)</f>
        <v>#N/A</v>
      </c>
      <c r="AD196" s="66" t="str">
        <f t="shared" si="67"/>
        <v>0838-04</v>
      </c>
      <c r="AE196" s="124" t="str">
        <f t="shared" si="68"/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AF196" s="121" t="str">
        <f t="shared" si="69"/>
        <v>"C:\Program Files (x86)\AstroGrep\AstroGrep.exe" /spath="%USERPROFILE%\AppData\Local\Temp\OnboardLogs" /stypes="*4017*20160805*" /stext=" 01:.+((SYSTEM_STATE.+slice.+state.+changed )|(ment ac)|(system.+state.+changed )|(\|lc)|(penalty)|(\[timeout)|(PRM\|1\|D)|(kpr)|(kdp))" /e /r /s</v>
      </c>
      <c r="AG196" s="1" t="str">
        <f t="shared" si="70"/>
        <v>NW</v>
      </c>
      <c r="AH196" s="125" t="str">
        <f>refinertdcruntimes&amp;" --tripid "&amp;A196&amp;" --locoid "&amp;B196&amp;" --swversion "&amp;C196&amp;" --startMP "&amp;D196&amp;" --initTime "&amp;TEXT(E196,"yyyy-mm-ddTHH:MM:SS")&amp;" --startdatetime "&amp;TEXT(F196,"yyyy-mm-ddTHH:MM:SS")&amp;" --delay "&amp;G196&amp;" --endMP "&amp;H196&amp;" --enddatetime "&amp;TEXT(I196,"yyyy-mm-ddTHH:MM:SS")&amp;" --enforcementcount "&amp;J196&amp;" &gt;&gt; "&amp;TEXT(Variables!$A$2,"yyyy-mm-dd")&amp;"-refined-runtimes.txt"</f>
        <v>"%USERPROFILE%\Documents\GitHub\eaglep3\Utilities\RefineRTDCRunTimes.py" --tripid 838-04 --locoid 4017 --swversion DE.1.0.7.0 --startMP 300:58596 --initTime 2016-08-04T18:47:40 --startdatetime 2016-08-04T18:49:13 --delay 1 --endMP 300:10708 --enddatetime 2016-08-04T19:00:09 --enforcementcount 1 &gt;&gt; 2016-08-04-refined-runtimes.txt</v>
      </c>
    </row>
    <row r="197" spans="1:34" x14ac:dyDescent="0.25">
      <c r="A197" s="42" t="s">
        <v>752</v>
      </c>
      <c r="B197" s="7">
        <v>4042</v>
      </c>
      <c r="C197" s="25" t="s">
        <v>163</v>
      </c>
      <c r="D197" s="25" t="s">
        <v>753</v>
      </c>
      <c r="E197" s="16">
        <v>42586.781550925924</v>
      </c>
      <c r="F197" s="16">
        <v>42586.78292824074</v>
      </c>
      <c r="G197" s="7">
        <v>1</v>
      </c>
      <c r="H197" s="16" t="s">
        <v>754</v>
      </c>
      <c r="I197" s="16">
        <v>42586.796388888892</v>
      </c>
      <c r="J197" s="7">
        <v>0</v>
      </c>
      <c r="K197" s="114" t="str">
        <f t="shared" si="57"/>
        <v>4041/4042</v>
      </c>
      <c r="L197" s="25" t="str">
        <f>VLOOKUP(A197,'Trips&amp;Operators'!$C$1:$E$10000,3,FALSE)</f>
        <v>HAITHCOX</v>
      </c>
      <c r="M197" s="6">
        <f t="shared" si="58"/>
        <v>1.3460648151522037E-2</v>
      </c>
      <c r="N197" s="7">
        <f t="shared" ref="N197:N213" si="73">24*60*SUM($M197:$M197)</f>
        <v>19.383333338191733</v>
      </c>
      <c r="O197" s="7"/>
      <c r="P197" s="7"/>
      <c r="Q197" s="26"/>
      <c r="R197" s="26"/>
      <c r="S197" s="38">
        <f t="shared" si="59"/>
        <v>1</v>
      </c>
      <c r="T197" s="55" t="str">
        <f t="shared" si="60"/>
        <v>NorthBound</v>
      </c>
      <c r="U197" s="77">
        <f>IF(AG197="EC",COUNTIFS(Variables!$M$2:$M$19,IF(T197="NorthBound","&gt;=","&lt;=")&amp;Y197,Variables!$M$2:$M$19,IF(T197="NorthBound","&lt;=","&gt;=")&amp;Z197),COUNTIFS(Variables!$P$2:$P$19,IF(T197="NorthBound","&gt;=","&lt;=")&amp;Y197,Variables!$P$2:$P$19,IF(T197="NorthBound","&lt;=","&gt;=")&amp;Z197))</f>
        <v>1</v>
      </c>
      <c r="V197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17:45:26-0600',mode:absolute,to:'2016-08-04 20:06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97" s="57" t="str">
        <f t="shared" si="62"/>
        <v>N</v>
      </c>
      <c r="X197" s="117">
        <f t="shared" si="63"/>
        <v>1</v>
      </c>
      <c r="Y197" s="72">
        <f t="shared" si="64"/>
        <v>0.1014</v>
      </c>
      <c r="Z197" s="72">
        <f t="shared" si="65"/>
        <v>5.8864999999999998</v>
      </c>
      <c r="AA197" s="72">
        <f t="shared" si="66"/>
        <v>5.7850999999999999</v>
      </c>
      <c r="AB197" s="69" t="e">
        <f>VLOOKUP(A197,Enforcements!$C$7:$J$24,8,0)</f>
        <v>#N/A</v>
      </c>
      <c r="AC197" s="65" t="e">
        <f>VLOOKUP(A197,Enforcements!$C$7:$E$24,3,0)</f>
        <v>#N/A</v>
      </c>
      <c r="AD197" s="66" t="str">
        <f t="shared" si="67"/>
        <v>0839-04</v>
      </c>
      <c r="AE197" s="124" t="str">
        <f t="shared" si="68"/>
        <v>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 &amp; aws s3 cp s3://rtdc.mdm.uploadarchive/RTDC4042/2016-08-05/ "%USERPROFILE%\AppData\Local\Temp\OnboardLogs"\RTDC4042\2016-08-05 --recursive &amp; "%USERPROFILE%\Documents\GitHub\mrs-test-scripts\Headless Mode &amp; Sideloading\WalkAndUnGZ.bat" "%USERPROFILE%\AppData\Local\Temp\OnboardLogs"\RTDC4042\2016-08-05</v>
      </c>
      <c r="AF197" s="121" t="str">
        <f t="shared" si="69"/>
        <v>"C:\Program Files (x86)\AstroGrep\AstroGrep.exe" /spath="%USERPROFILE%\AppData\Local\Temp\OnboardLogs" /stypes="*4042*20160805*" /stext=" 01:.+((SYSTEM_STATE.+slice.+state.+changed )|(ment ac)|(system.+state.+changed )|(\|lc)|(penalty)|(\[timeout)|(PRM\|1\|D)|(kpr)|(kdp))" /e /r /s</v>
      </c>
      <c r="AG197" s="1" t="str">
        <f t="shared" si="70"/>
        <v>NW</v>
      </c>
      <c r="AH197" s="125" t="str">
        <f>refinertdcruntimes&amp;" --tripid "&amp;A197&amp;" --locoid "&amp;B197&amp;" --swversion "&amp;C197&amp;" --startMP "&amp;D197&amp;" --initTime "&amp;TEXT(E197,"yyyy-mm-ddTHH:MM:SS")&amp;" --startdatetime "&amp;TEXT(F197,"yyyy-mm-ddTHH:MM:SS")&amp;" --delay "&amp;G197&amp;" --endMP "&amp;H197&amp;" --enddatetime "&amp;TEXT(I197,"yyyy-mm-ddTHH:MM:SS")&amp;" --enforcementcount "&amp;J197&amp;" &gt;&gt; "&amp;TEXT(Variables!$A$2,"yyyy-mm-dd")&amp;"-refined-runtimes.txt"</f>
        <v>"%USERPROFILE%\Documents\GitHub\eaglep3\Utilities\RefineRTDCRunTimes.py" --tripid 839-04 --locoid 4042 --swversion DE.1.0.7.0 --startMP 204:1014 --initTime 2016-08-04T18:45:26 --startdatetime 2016-08-04T18:47:25 --delay 1 --endMP 300:58865 --enddatetime 2016-08-04T19:06:48 --enforcementcount 0 &gt;&gt; 2016-08-04-refined-runtimes.txt</v>
      </c>
    </row>
    <row r="198" spans="1:34" x14ac:dyDescent="0.25">
      <c r="A198" s="42" t="s">
        <v>505</v>
      </c>
      <c r="B198" s="7">
        <v>4017</v>
      </c>
      <c r="C198" s="25" t="s">
        <v>163</v>
      </c>
      <c r="D198" s="25" t="s">
        <v>750</v>
      </c>
      <c r="E198" s="16">
        <v>42586.81763888889</v>
      </c>
      <c r="F198" s="16">
        <v>42586.818726851852</v>
      </c>
      <c r="G198" s="7">
        <v>1</v>
      </c>
      <c r="H198" s="16" t="s">
        <v>755</v>
      </c>
      <c r="I198" s="16">
        <v>42586.831342592595</v>
      </c>
      <c r="J198" s="7">
        <v>1</v>
      </c>
      <c r="K198" s="114" t="str">
        <f t="shared" si="57"/>
        <v>4017/4018</v>
      </c>
      <c r="L198" s="25" t="str">
        <f>VLOOKUP(A198,'Trips&amp;Operators'!$C$1:$E$10000,3,FALSE)</f>
        <v>KILLION</v>
      </c>
      <c r="M198" s="6">
        <f t="shared" si="58"/>
        <v>1.2615740743058268E-2</v>
      </c>
      <c r="N198" s="7">
        <f t="shared" si="73"/>
        <v>18.166666670003906</v>
      </c>
      <c r="O198" s="7"/>
      <c r="P198" s="7"/>
      <c r="Q198" s="26"/>
      <c r="R198" s="26"/>
      <c r="S198" s="38">
        <f t="shared" si="59"/>
        <v>1</v>
      </c>
      <c r="T198" s="55" t="str">
        <f t="shared" si="60"/>
        <v>Southbound</v>
      </c>
      <c r="U198" s="77">
        <f>IF(AG198="EC",COUNTIFS(Variables!$M$2:$M$19,IF(T198="NorthBound","&gt;=","&lt;=")&amp;Y198,Variables!$M$2:$M$19,IF(T198="NorthBound","&lt;=","&gt;=")&amp;Z198),COUNTIFS(Variables!$P$2:$P$19,IF(T198="NorthBound","&gt;=","&lt;=")&amp;Y198,Variables!$P$2:$P$19,IF(T198="NorthBound","&lt;=","&gt;=")&amp;Z198))</f>
        <v>1</v>
      </c>
      <c r="V198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18:37:24-0600',mode:absolute,to:'2016-08-04 20:57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98" s="57" t="str">
        <f t="shared" si="62"/>
        <v>N</v>
      </c>
      <c r="X198" s="117">
        <f t="shared" si="63"/>
        <v>1</v>
      </c>
      <c r="Y198" s="72">
        <f t="shared" si="64"/>
        <v>5.8596000000000004</v>
      </c>
      <c r="Z198" s="72">
        <f t="shared" si="65"/>
        <v>6.2399999999999997E-2</v>
      </c>
      <c r="AA198" s="72">
        <f t="shared" si="66"/>
        <v>5.7972000000000001</v>
      </c>
      <c r="AB198" s="69" t="e">
        <f>VLOOKUP(A198,Enforcements!$C$7:$J$24,8,0)</f>
        <v>#N/A</v>
      </c>
      <c r="AC198" s="65" t="e">
        <f>VLOOKUP(A198,Enforcements!$C$7:$E$24,3,0)</f>
        <v>#N/A</v>
      </c>
      <c r="AD198" s="66" t="str">
        <f t="shared" si="67"/>
        <v>0840-04</v>
      </c>
      <c r="AE198" s="124" t="str">
        <f t="shared" si="68"/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AF198" s="121" t="str">
        <f t="shared" si="69"/>
        <v>"C:\Program Files (x86)\AstroGrep\AstroGrep.exe" /spath="%USERPROFILE%\AppData\Local\Temp\OnboardLogs" /stypes="*4017*20160805*" /stext=" 01:.+((SYSTEM_STATE.+slice.+state.+changed )|(ment ac)|(system.+state.+changed )|(\|lc)|(penalty)|(\[timeout)|(PRM\|1\|D)|(kpr)|(kdp))" /e /r /s</v>
      </c>
      <c r="AG198" s="1" t="str">
        <f t="shared" si="70"/>
        <v>NW</v>
      </c>
      <c r="AH198" s="125" t="str">
        <f>refinertdcruntimes&amp;" --tripid "&amp;A198&amp;" --locoid "&amp;B198&amp;" --swversion "&amp;C198&amp;" --startMP "&amp;D198&amp;" --initTime "&amp;TEXT(E198,"yyyy-mm-ddTHH:MM:SS")&amp;" --startdatetime "&amp;TEXT(F198,"yyyy-mm-ddTHH:MM:SS")&amp;" --delay "&amp;G198&amp;" --endMP "&amp;H198&amp;" --enddatetime "&amp;TEXT(I198,"yyyy-mm-ddTHH:MM:SS")&amp;" --enforcementcount "&amp;J198&amp;" &gt;&gt; "&amp;TEXT(Variables!$A$2,"yyyy-mm-dd")&amp;"-refined-runtimes.txt"</f>
        <v>"%USERPROFILE%\Documents\GitHub\eaglep3\Utilities\RefineRTDCRunTimes.py" --tripid 840-04 --locoid 4017 --swversion DE.1.0.7.0 --startMP 300:58596 --initTime 2016-08-04T19:37:24 --startdatetime 2016-08-04T19:38:58 --delay 1 --endMP 204:624 --enddatetime 2016-08-04T19:57:08 --enforcementcount 1 &gt;&gt; 2016-08-04-refined-runtimes.txt</v>
      </c>
    </row>
    <row r="199" spans="1:34" x14ac:dyDescent="0.25">
      <c r="A199" s="25" t="s">
        <v>756</v>
      </c>
      <c r="B199" s="87">
        <v>4018</v>
      </c>
      <c r="C199" s="88" t="s">
        <v>163</v>
      </c>
      <c r="D199" s="88" t="s">
        <v>757</v>
      </c>
      <c r="E199" s="89">
        <v>42586.799004629633</v>
      </c>
      <c r="F199" s="89">
        <v>42586.800439814811</v>
      </c>
      <c r="G199" s="87">
        <v>2</v>
      </c>
      <c r="H199" s="89" t="s">
        <v>706</v>
      </c>
      <c r="I199" s="89">
        <v>42586.816562499997</v>
      </c>
      <c r="J199" s="87">
        <v>0</v>
      </c>
      <c r="K199" s="114" t="str">
        <f t="shared" si="57"/>
        <v>4017/4018</v>
      </c>
      <c r="L199" s="25" t="str">
        <f>VLOOKUP(A199,'Trips&amp;Operators'!$C$1:$E$10000,3,FALSE)</f>
        <v>KILLION</v>
      </c>
      <c r="M199" s="6">
        <f t="shared" si="58"/>
        <v>1.6122685185109731E-2</v>
      </c>
      <c r="N199" s="7">
        <f t="shared" si="73"/>
        <v>23.216666666558012</v>
      </c>
      <c r="O199" s="7"/>
      <c r="P199" s="7"/>
      <c r="Q199" s="26"/>
      <c r="R199" s="26"/>
      <c r="S199" s="38">
        <f t="shared" si="59"/>
        <v>1</v>
      </c>
      <c r="T199" s="55" t="str">
        <f t="shared" si="60"/>
        <v>NorthBound</v>
      </c>
      <c r="U199" s="77">
        <f>IF(AG199="EC",COUNTIFS(Variables!$M$2:$M$19,IF(T199="NorthBound","&gt;=","&lt;=")&amp;Y199,Variables!$M$2:$M$19,IF(T199="NorthBound","&lt;=","&gt;=")&amp;Z199),COUNTIFS(Variables!$P$2:$P$19,IF(T199="NorthBound","&gt;=","&lt;=")&amp;Y199,Variables!$P$2:$P$19,IF(T199="NorthBound","&lt;=","&gt;=")&amp;Z199))</f>
        <v>1</v>
      </c>
      <c r="V199" s="131" t="str">
        <f t="shared" si="61"/>
        <v>https://search-rtdc-monitor-bjffxe2xuh6vdkpspy63sjmuny.us-east-1.es.amazonaws.com/_plugin/kibana/#/discover/Steve-Slow-Train-Analysis-(2080s-and-2083s)?_g=(refreshInterval:(display:Off,section:0,value:0),time:(from:'2016-08-04 18:10:34-0600',mode:absolute,to:'2016-08-04 20:35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99" s="57" t="str">
        <f t="shared" si="62"/>
        <v>N</v>
      </c>
      <c r="X199" s="117">
        <f t="shared" si="63"/>
        <v>1</v>
      </c>
      <c r="Y199" s="72">
        <f t="shared" si="64"/>
        <v>8.9399999999999993E-2</v>
      </c>
      <c r="Z199" s="72">
        <f t="shared" si="65"/>
        <v>5.8909000000000002</v>
      </c>
      <c r="AA199" s="72">
        <f t="shared" si="66"/>
        <v>5.8014999999999999</v>
      </c>
      <c r="AB199" s="69" t="e">
        <f>VLOOKUP(A199,Enforcements!$C$7:$J$24,8,0)</f>
        <v>#N/A</v>
      </c>
      <c r="AC199" s="65" t="e">
        <f>VLOOKUP(A199,Enforcements!$C$7:$E$24,3,0)</f>
        <v>#N/A</v>
      </c>
      <c r="AD199" s="66" t="str">
        <f t="shared" si="67"/>
        <v>0841-04</v>
      </c>
      <c r="AE199" s="124" t="str">
        <f t="shared" si="68"/>
        <v>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 &amp; aws s3 cp s3://rtdc.mdm.uploadarchive/RTDC4018/2016-08-05/ "%USERPROFILE%\AppData\Local\Temp\OnboardLogs"\RTDC4018\2016-08-05 --recursive &amp; "%USERPROFILE%\Documents\GitHub\mrs-test-scripts\Headless Mode &amp; Sideloading\WalkAndUnGZ.bat" "%USERPROFILE%\AppData\Local\Temp\OnboardLogs"\RTDC4018\2016-08-05</v>
      </c>
      <c r="AF199" s="121" t="str">
        <f t="shared" si="69"/>
        <v>"C:\Program Files (x86)\AstroGrep\AstroGrep.exe" /spath="%USERPROFILE%\AppData\Local\Temp\OnboardLogs" /stypes="*4018*20160805*" /stext=" 01:.+((SYSTEM_STATE.+slice.+state.+changed )|(ment ac)|(system.+state.+changed )|(\|lc)|(penalty)|(\[timeout)|(PRM\|1\|D)|(kpr)|(kdp))" /e /r /s</v>
      </c>
      <c r="AG199" s="1" t="str">
        <f t="shared" si="70"/>
        <v>NW</v>
      </c>
      <c r="AH199" s="125" t="str">
        <f>refinertdcruntimes&amp;" --tripid "&amp;A199&amp;" --locoid "&amp;B199&amp;" --swversion "&amp;C199&amp;" --startMP "&amp;D199&amp;" --initTime "&amp;TEXT(E199,"yyyy-mm-ddTHH:MM:SS")&amp;" --startdatetime "&amp;TEXT(F199,"yyyy-mm-ddTHH:MM:SS")&amp;" --delay "&amp;G199&amp;" --endMP "&amp;H199&amp;" --enddatetime "&amp;TEXT(I199,"yyyy-mm-ddTHH:MM:SS")&amp;" --enforcementcount "&amp;J199&amp;" &gt;&gt; "&amp;TEXT(Variables!$A$2,"yyyy-mm-dd")&amp;"-refined-runtimes.txt"</f>
        <v>"%USERPROFILE%\Documents\GitHub\eaglep3\Utilities\RefineRTDCRunTimes.py" --tripid 841-04 --locoid 4018 --swversion DE.1.0.7.0 --startMP 204:894 --initTime 2016-08-04T19:10:34 --startdatetime 2016-08-04T19:12:38 --delay 2 --endMP 300:58909 --enddatetime 2016-08-04T19:35:51 --enforcementcount 0 &gt;&gt; 2016-08-04-refined-runtimes.txt</v>
      </c>
    </row>
    <row r="200" spans="1:34" x14ac:dyDescent="0.25">
      <c r="A200" s="25" t="s">
        <v>506</v>
      </c>
      <c r="B200" s="87">
        <v>4017</v>
      </c>
      <c r="C200" s="88" t="s">
        <v>163</v>
      </c>
      <c r="D200" s="88" t="s">
        <v>423</v>
      </c>
      <c r="E200" s="89">
        <v>42586.8596875</v>
      </c>
      <c r="F200" s="89">
        <v>42586.860451388886</v>
      </c>
      <c r="G200" s="87">
        <v>1</v>
      </c>
      <c r="H200" s="89" t="s">
        <v>419</v>
      </c>
      <c r="I200" s="89">
        <v>42586.874143518522</v>
      </c>
      <c r="J200" s="87">
        <v>1</v>
      </c>
      <c r="K200" s="114" t="str">
        <f t="shared" ref="K200:K213" si="74">IF(ISEVEN(B200),(B200-1)&amp;"/"&amp;B200,B200&amp;"/"&amp;(B200+1))</f>
        <v>4017/4018</v>
      </c>
      <c r="L200" s="25" t="str">
        <f>VLOOKUP(A200,'Trips&amp;Operators'!$C$1:$E$10000,3,FALSE)</f>
        <v>KILLION</v>
      </c>
      <c r="M200" s="6">
        <f t="shared" ref="M200:M213" si="75">I200-F200</f>
        <v>1.3692129636183381E-2</v>
      </c>
      <c r="N200" s="7">
        <f t="shared" si="73"/>
        <v>19.716666676104069</v>
      </c>
      <c r="O200" s="7"/>
      <c r="P200" s="7"/>
      <c r="Q200" s="26"/>
      <c r="R200" s="26"/>
      <c r="S200" s="38">
        <f t="shared" ref="S200:S213" si="76">SUM(U200:U200)/IF(AG200="EC",12,1)</f>
        <v>1</v>
      </c>
      <c r="T200" s="55" t="str">
        <f t="shared" ref="T200:T213" si="77">IF(ISEVEN(LEFT(AD200,4)),"Southbound","NorthBound")</f>
        <v>Southbound</v>
      </c>
      <c r="U200" s="77">
        <f>IF(AG200="EC",COUNTIFS(Variables!$M$2:$M$19,IF(T200="NorthBound","&gt;=","&lt;=")&amp;Y200,Variables!$M$2:$M$19,IF(T200="NorthBound","&lt;=","&gt;=")&amp;Z200),COUNTIFS(Variables!$P$2:$P$19,IF(T200="NorthBound","&gt;=","&lt;=")&amp;Y200,Variables!$P$2:$P$19,IF(T200="NorthBound","&lt;=","&gt;=")&amp;Z200))</f>
        <v>1</v>
      </c>
      <c r="V200" s="131" t="str">
        <f t="shared" ref="V200:V213" si="78">"https://search-rtdc-monitor-bjffxe2xuh6vdkpspy63sjmuny.us-east-1.es.amazonaws.com/_plugin/kibana/#/discover/Steve-Slow-Train-Analysis-(2080s-and-2083s)?_g=(refreshInterval:(display:Off,section:0,value:0),time:(from:'"&amp;TEXT(E200-1/24,"yyyy-MM-DD hh:mm:ss")&amp;"-0600',mode:absolute,to:'"&amp;TEXT(I200+1/24,"yyyy-MM-DD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200&amp;"%22')),sort:!(Time,asc))"</f>
        <v>https://search-rtdc-monitor-bjffxe2xuh6vdkpspy63sjmuny.us-east-1.es.amazonaws.com/_plugin/kibana/#/discover/Steve-Slow-Train-Analysis-(2080s-and-2083s)?_g=(refreshInterval:(display:Off,section:0,value:0),time:(from:'2016-08-04 19:37:57-0600',mode:absolute,to:'2016-08-04 21:58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200" s="57" t="str">
        <f t="shared" ref="W200:W213" si="79">IF(AA200&lt;IF(AG200="EC",23,5.65),"Y","N")</f>
        <v>N</v>
      </c>
      <c r="X200" s="117">
        <f t="shared" ref="X200:X213" si="80">VALUE(LEFT(AD200,4))-VALUE(LEFT(AD199,4))</f>
        <v>1</v>
      </c>
      <c r="Y200" s="72">
        <f t="shared" ref="Y200:Y213" si="81">RIGHT(D200,LEN(D200)-4)/10000</f>
        <v>5.8589000000000002</v>
      </c>
      <c r="Z200" s="72">
        <f t="shared" ref="Z200:Z213" si="82">RIGHT(H200,LEN(H200)-4)/10000</f>
        <v>7.1900000000000006E-2</v>
      </c>
      <c r="AA200" s="72">
        <f t="shared" ref="AA200:AA213" si="83">ABS(Z200-Y200)</f>
        <v>5.7869999999999999</v>
      </c>
      <c r="AB200" s="69" t="e">
        <f>VLOOKUP(A200,Enforcements!$C$7:$J$24,8,0)</f>
        <v>#N/A</v>
      </c>
      <c r="AC200" s="65" t="e">
        <f>VLOOKUP(A200,Enforcements!$C$7:$E$24,3,0)</f>
        <v>#N/A</v>
      </c>
      <c r="AD200" s="66" t="str">
        <f t="shared" ref="AD200:AD213" si="84">IF(LEN(A200)=6,"0"&amp;A200,A200)</f>
        <v>0842-04</v>
      </c>
      <c r="AE200" s="124" t="str">
        <f t="shared" ref="AE200:AE213" si="85">"aws s3 cp "&amp;s3_bucket&amp;"/RTDC"&amp;B200&amp;"/"&amp;TEXT(F200,"YYYY-MM-DD")&amp;"/ "&amp;search_path&amp;"\RTDC"&amp;B200&amp;"\"&amp;TEXT(F200,"YYYY-MM-DD")&amp;" --recursive &amp; """&amp;walkandungz&amp;""" "&amp;search_path&amp;"\RTDC"&amp;B200&amp;"\"&amp;TEXT(F200,"YYYY-MM-DD")
&amp;" &amp; "&amp;"aws s3 cp "&amp;s3_bucket&amp;"/RTDC"&amp;B200&amp;"/"&amp;TEXT(F200+1,"YYYY-MM-DD")&amp;"/ "&amp;search_path&amp;"\RTDC"&amp;B200&amp;"\"&amp;TEXT(F200+1,"YYYY-MM-DD")&amp;" --recursive &amp; """&amp;walkandungz&amp;""" "&amp;search_path&amp;"\RTDC"&amp;B200&amp;"\"&amp;TEXT(F200+1,"YYYY-MM-DD")</f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AF200" s="121" t="str">
        <f t="shared" ref="AF200:AF213" si="86">astrogrep_path&amp;" /spath="&amp;search_path&amp;" /stypes=""*"&amp;B200&amp;"*"&amp;TEXT(I200-utc_offset/24,"YYYYMMDD")&amp;"*"" /stext="" "&amp;TEXT(I200-utc_offset/24,"HH")&amp;search_regexp&amp;""" /e /r /s"</f>
        <v>"C:\Program Files (x86)\AstroGrep\AstroGrep.exe" /spath="%USERPROFILE%\AppData\Local\Temp\OnboardLogs" /stypes="*4017*20160805*" /stext=" 02:.+((SYSTEM_STATE.+slice.+state.+changed )|(ment ac)|(system.+state.+changed )|(\|lc)|(penalty)|(\[timeout)|(PRM\|1\|D)|(kpr)|(kdp))" /e /r /s</v>
      </c>
      <c r="AG200" s="1" t="str">
        <f t="shared" ref="AG200:AG213" si="87">IF(VALUE(LEFT(AD200,2))&lt;=2,"EC",IF(OR(VALUE(LEFT(AD200,2))=8,VALUE(LEFT(AD200,2))=18),"NW","GL"))</f>
        <v>NW</v>
      </c>
      <c r="AH200" s="125" t="str">
        <f>refinertdcruntimes&amp;" --tripid "&amp;A200&amp;" --locoid "&amp;B200&amp;" --swversion "&amp;C200&amp;" --startMP "&amp;D200&amp;" --initTime "&amp;TEXT(E200,"yyyy-mm-ddTHH:MM:SS")&amp;" --startdatetime "&amp;TEXT(F200,"yyyy-mm-ddTHH:MM:SS")&amp;" --delay "&amp;G200&amp;" --endMP "&amp;H200&amp;" --enddatetime "&amp;TEXT(I200,"yyyy-mm-ddTHH:MM:SS")&amp;" --enforcementcount "&amp;J200&amp;" &gt;&gt; "&amp;TEXT(Variables!$A$2,"yyyy-mm-dd")&amp;"-refined-runtimes.txt"</f>
        <v>"%USERPROFILE%\Documents\GitHub\eaglep3\Utilities\RefineRTDCRunTimes.py" --tripid 842-04 --locoid 4017 --swversion DE.1.0.7.0 --startMP 300:58589 --initTime 2016-08-04T20:37:57 --startdatetime 2016-08-04T20:39:03 --delay 1 --endMP 204:719 --enddatetime 2016-08-04T20:58:46 --enforcementcount 1 &gt;&gt; 2016-08-04-refined-runtimes.txt</v>
      </c>
    </row>
    <row r="201" spans="1:34" x14ac:dyDescent="0.25">
      <c r="A201" s="25" t="s">
        <v>758</v>
      </c>
      <c r="B201" s="87">
        <v>4018</v>
      </c>
      <c r="C201" s="88" t="s">
        <v>163</v>
      </c>
      <c r="D201" s="88" t="s">
        <v>759</v>
      </c>
      <c r="E201" s="89">
        <v>42586.83829861111</v>
      </c>
      <c r="F201" s="89">
        <v>42586.83929398148</v>
      </c>
      <c r="G201" s="87">
        <v>1</v>
      </c>
      <c r="H201" s="89" t="s">
        <v>706</v>
      </c>
      <c r="I201" s="89">
        <v>42586.858136574076</v>
      </c>
      <c r="J201" s="87">
        <v>0</v>
      </c>
      <c r="K201" s="114" t="str">
        <f t="shared" si="74"/>
        <v>4017/4018</v>
      </c>
      <c r="L201" s="25" t="str">
        <f>VLOOKUP(A201,'Trips&amp;Operators'!$C$1:$E$10000,3,FALSE)</f>
        <v>KILLION</v>
      </c>
      <c r="M201" s="6">
        <f t="shared" si="75"/>
        <v>1.8842592595319729E-2</v>
      </c>
      <c r="N201" s="7">
        <f t="shared" si="73"/>
        <v>27.13333333726041</v>
      </c>
      <c r="O201" s="7"/>
      <c r="P201" s="7"/>
      <c r="Q201" s="26"/>
      <c r="R201" s="26"/>
      <c r="S201" s="38">
        <f t="shared" si="76"/>
        <v>1</v>
      </c>
      <c r="T201" s="55" t="str">
        <f t="shared" si="77"/>
        <v>NorthBound</v>
      </c>
      <c r="U201" s="77">
        <f>IF(AG201="EC",COUNTIFS(Variables!$M$2:$M$19,IF(T201="NorthBound","&gt;=","&lt;=")&amp;Y201,Variables!$M$2:$M$19,IF(T201="NorthBound","&lt;=","&gt;=")&amp;Z201),COUNTIFS(Variables!$P$2:$P$19,IF(T201="NorthBound","&gt;=","&lt;=")&amp;Y201,Variables!$P$2:$P$19,IF(T201="NorthBound","&lt;=","&gt;=")&amp;Z201))</f>
        <v>1</v>
      </c>
      <c r="V201" s="131" t="str">
        <f t="shared" si="78"/>
        <v>https://search-rtdc-monitor-bjffxe2xuh6vdkpspy63sjmuny.us-east-1.es.amazonaws.com/_plugin/kibana/#/discover/Steve-Slow-Train-Analysis-(2080s-and-2083s)?_g=(refreshInterval:(display:Off,section:0,value:0),time:(from:'2016-08-04 19:07:09-0600',mode:absolute,to:'2016-08-04 21:35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201" s="57" t="str">
        <f t="shared" si="79"/>
        <v>N</v>
      </c>
      <c r="X201" s="117">
        <f t="shared" si="80"/>
        <v>1</v>
      </c>
      <c r="Y201" s="72">
        <f t="shared" si="81"/>
        <v>9.2999999999999999E-2</v>
      </c>
      <c r="Z201" s="72">
        <f t="shared" si="82"/>
        <v>5.8909000000000002</v>
      </c>
      <c r="AA201" s="72">
        <f t="shared" si="83"/>
        <v>5.7979000000000003</v>
      </c>
      <c r="AB201" s="69" t="e">
        <f>VLOOKUP(A201,Enforcements!$C$7:$J$24,8,0)</f>
        <v>#N/A</v>
      </c>
      <c r="AC201" s="65" t="e">
        <f>VLOOKUP(A201,Enforcements!$C$7:$E$24,3,0)</f>
        <v>#N/A</v>
      </c>
      <c r="AD201" s="66" t="str">
        <f t="shared" si="84"/>
        <v>0843-04</v>
      </c>
      <c r="AE201" s="124" t="str">
        <f t="shared" si="85"/>
        <v>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 &amp; aws s3 cp s3://rtdc.mdm.uploadarchive/RTDC4018/2016-08-05/ "%USERPROFILE%\AppData\Local\Temp\OnboardLogs"\RTDC4018\2016-08-05 --recursive &amp; "%USERPROFILE%\Documents\GitHub\mrs-test-scripts\Headless Mode &amp; Sideloading\WalkAndUnGZ.bat" "%USERPROFILE%\AppData\Local\Temp\OnboardLogs"\RTDC4018\2016-08-05</v>
      </c>
      <c r="AF201" s="121" t="str">
        <f t="shared" si="86"/>
        <v>"C:\Program Files (x86)\AstroGrep\AstroGrep.exe" /spath="%USERPROFILE%\AppData\Local\Temp\OnboardLogs" /stypes="*4018*20160805*" /stext=" 02:.+((SYSTEM_STATE.+slice.+state.+changed )|(ment ac)|(system.+state.+changed )|(\|lc)|(penalty)|(\[timeout)|(PRM\|1\|D)|(kpr)|(kdp))" /e /r /s</v>
      </c>
      <c r="AG201" s="1" t="str">
        <f t="shared" si="87"/>
        <v>NW</v>
      </c>
      <c r="AH201" s="125" t="str">
        <f>refinertdcruntimes&amp;" --tripid "&amp;A201&amp;" --locoid "&amp;B201&amp;" --swversion "&amp;C201&amp;" --startMP "&amp;D201&amp;" --initTime "&amp;TEXT(E201,"yyyy-mm-ddTHH:MM:SS")&amp;" --startdatetime "&amp;TEXT(F201,"yyyy-mm-ddTHH:MM:SS")&amp;" --delay "&amp;G201&amp;" --endMP "&amp;H201&amp;" --enddatetime "&amp;TEXT(I201,"yyyy-mm-ddTHH:MM:SS")&amp;" --enforcementcount "&amp;J201&amp;" &gt;&gt; "&amp;TEXT(Variables!$A$2,"yyyy-mm-dd")&amp;"-refined-runtimes.txt"</f>
        <v>"%USERPROFILE%\Documents\GitHub\eaglep3\Utilities\RefineRTDCRunTimes.py" --tripid 843-04 --locoid 4018 --swversion DE.1.0.7.0 --startMP 204:930 --initTime 2016-08-04T20:07:09 --startdatetime 2016-08-04T20:08:35 --delay 1 --endMP 300:58909 --enddatetime 2016-08-04T20:35:43 --enforcementcount 0 &gt;&gt; 2016-08-04-refined-runtimes.txt</v>
      </c>
    </row>
    <row r="202" spans="1:34" x14ac:dyDescent="0.25">
      <c r="A202" s="25" t="s">
        <v>507</v>
      </c>
      <c r="B202" s="87">
        <v>4017</v>
      </c>
      <c r="C202" s="88" t="s">
        <v>163</v>
      </c>
      <c r="D202" s="88" t="s">
        <v>760</v>
      </c>
      <c r="E202" s="89">
        <v>42586.901342592595</v>
      </c>
      <c r="F202" s="89">
        <v>42586.902766203704</v>
      </c>
      <c r="G202" s="87">
        <v>2</v>
      </c>
      <c r="H202" s="89" t="s">
        <v>761</v>
      </c>
      <c r="I202" s="89">
        <v>42586.928472222222</v>
      </c>
      <c r="J202" s="87">
        <v>1</v>
      </c>
      <c r="K202" s="114" t="str">
        <f t="shared" si="74"/>
        <v>4017/4018</v>
      </c>
      <c r="L202" s="25" t="str">
        <f>VLOOKUP(A202,'Trips&amp;Operators'!$C$1:$E$10000,3,FALSE)</f>
        <v>STAMBAUGH</v>
      </c>
      <c r="M202" s="6">
        <f t="shared" si="75"/>
        <v>2.5706018517666962E-2</v>
      </c>
      <c r="N202" s="7">
        <f t="shared" si="73"/>
        <v>37.016666665440425</v>
      </c>
      <c r="O202" s="7"/>
      <c r="P202" s="7"/>
      <c r="Q202" s="26"/>
      <c r="R202" s="26"/>
      <c r="S202" s="38">
        <f t="shared" si="76"/>
        <v>1</v>
      </c>
      <c r="T202" s="55" t="str">
        <f t="shared" si="77"/>
        <v>Southbound</v>
      </c>
      <c r="U202" s="77">
        <f>IF(AG202="EC",COUNTIFS(Variables!$M$2:$M$19,IF(T202="NorthBound","&gt;=","&lt;=")&amp;Y202,Variables!$M$2:$M$19,IF(T202="NorthBound","&lt;=","&gt;=")&amp;Z202),COUNTIFS(Variables!$P$2:$P$19,IF(T202="NorthBound","&gt;=","&lt;=")&amp;Y202,Variables!$P$2:$P$19,IF(T202="NorthBound","&lt;=","&gt;=")&amp;Z202))</f>
        <v>1</v>
      </c>
      <c r="V202" s="131" t="str">
        <f t="shared" si="78"/>
        <v>https://search-rtdc-monitor-bjffxe2xuh6vdkpspy63sjmuny.us-east-1.es.amazonaws.com/_plugin/kibana/#/discover/Steve-Slow-Train-Analysis-(2080s-and-2083s)?_g=(refreshInterval:(display:Off,section:0,value:0),time:(from:'2016-08-04 20:37:56-0600',mode:absolute,to:'2016-08-04 23:17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202" s="57" t="str">
        <f t="shared" si="79"/>
        <v>N</v>
      </c>
      <c r="X202" s="117">
        <f t="shared" si="80"/>
        <v>1</v>
      </c>
      <c r="Y202" s="72">
        <f t="shared" si="81"/>
        <v>5.8570000000000002</v>
      </c>
      <c r="Z202" s="72">
        <f t="shared" si="82"/>
        <v>6.7000000000000004E-2</v>
      </c>
      <c r="AA202" s="72">
        <f t="shared" si="83"/>
        <v>5.79</v>
      </c>
      <c r="AB202" s="69" t="e">
        <f>VLOOKUP(A202,Enforcements!$C$7:$J$24,8,0)</f>
        <v>#N/A</v>
      </c>
      <c r="AC202" s="65" t="e">
        <f>VLOOKUP(A202,Enforcements!$C$7:$E$24,3,0)</f>
        <v>#N/A</v>
      </c>
      <c r="AD202" s="66" t="str">
        <f t="shared" si="84"/>
        <v>0844-04</v>
      </c>
      <c r="AE202" s="124" t="str">
        <f t="shared" si="85"/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AF202" s="121" t="str">
        <f t="shared" si="86"/>
        <v>"C:\Program Files (x86)\AstroGrep\AstroGrep.exe" /spath="%USERPROFILE%\AppData\Local\Temp\OnboardLogs" /stypes="*4017*20160805*" /stext=" 04:.+((SYSTEM_STATE.+slice.+state.+changed )|(ment ac)|(system.+state.+changed )|(\|lc)|(penalty)|(\[timeout)|(PRM\|1\|D)|(kpr)|(kdp))" /e /r /s</v>
      </c>
      <c r="AG202" s="1" t="str">
        <f t="shared" si="87"/>
        <v>NW</v>
      </c>
      <c r="AH202" s="125" t="str">
        <f>refinertdcruntimes&amp;" --tripid "&amp;A202&amp;" --locoid "&amp;B202&amp;" --swversion "&amp;C202&amp;" --startMP "&amp;D202&amp;" --initTime "&amp;TEXT(E202,"yyyy-mm-ddTHH:MM:SS")&amp;" --startdatetime "&amp;TEXT(F202,"yyyy-mm-ddTHH:MM:SS")&amp;" --delay "&amp;G202&amp;" --endMP "&amp;H202&amp;" --enddatetime "&amp;TEXT(I202,"yyyy-mm-ddTHH:MM:SS")&amp;" --enforcementcount "&amp;J202&amp;" &gt;&gt; "&amp;TEXT(Variables!$A$2,"yyyy-mm-dd")&amp;"-refined-runtimes.txt"</f>
        <v>"%USERPROFILE%\Documents\GitHub\eaglep3\Utilities\RefineRTDCRunTimes.py" --tripid 844-04 --locoid 4017 --swversion DE.1.0.7.0 --startMP 300:58570 --initTime 2016-08-04T21:37:56 --startdatetime 2016-08-04T21:39:59 --delay 2 --endMP 204:670 --enddatetime 2016-08-04T22:17:00 --enforcementcount 1 &gt;&gt; 2016-08-04-refined-runtimes.txt</v>
      </c>
    </row>
    <row r="203" spans="1:34" x14ac:dyDescent="0.25">
      <c r="A203" s="25" t="s">
        <v>762</v>
      </c>
      <c r="B203" s="87">
        <v>4018</v>
      </c>
      <c r="C203" s="88" t="s">
        <v>163</v>
      </c>
      <c r="D203" s="88" t="s">
        <v>763</v>
      </c>
      <c r="E203" s="89">
        <v>42586.881435185183</v>
      </c>
      <c r="F203" s="89">
        <v>42586.883842592593</v>
      </c>
      <c r="G203" s="87">
        <v>3</v>
      </c>
      <c r="H203" s="89" t="s">
        <v>764</v>
      </c>
      <c r="I203" s="89">
        <v>42586.900127314817</v>
      </c>
      <c r="J203" s="87">
        <v>0</v>
      </c>
      <c r="K203" s="114" t="str">
        <f t="shared" si="74"/>
        <v>4017/4018</v>
      </c>
      <c r="L203" s="25" t="str">
        <f>VLOOKUP(A203,'Trips&amp;Operators'!$C$1:$E$10000,3,FALSE)</f>
        <v>STAMBAUGH</v>
      </c>
      <c r="M203" s="6">
        <f t="shared" si="75"/>
        <v>1.6284722223645076E-2</v>
      </c>
      <c r="N203" s="7">
        <f t="shared" si="73"/>
        <v>23.45000000204891</v>
      </c>
      <c r="O203" s="7"/>
      <c r="P203" s="7"/>
      <c r="Q203" s="26"/>
      <c r="R203" s="26"/>
      <c r="S203" s="38">
        <f t="shared" si="76"/>
        <v>1</v>
      </c>
      <c r="T203" s="55" t="str">
        <f t="shared" si="77"/>
        <v>NorthBound</v>
      </c>
      <c r="U203" s="77">
        <f>IF(AG203="EC",COUNTIFS(Variables!$M$2:$M$19,IF(T203="NorthBound","&gt;=","&lt;=")&amp;Y203,Variables!$M$2:$M$19,IF(T203="NorthBound","&lt;=","&gt;=")&amp;Z203),COUNTIFS(Variables!$P$2:$P$19,IF(T203="NorthBound","&gt;=","&lt;=")&amp;Y203,Variables!$P$2:$P$19,IF(T203="NorthBound","&lt;=","&gt;=")&amp;Z203))</f>
        <v>1</v>
      </c>
      <c r="V203" s="131" t="str">
        <f t="shared" si="78"/>
        <v>https://search-rtdc-monitor-bjffxe2xuh6vdkpspy63sjmuny.us-east-1.es.amazonaws.com/_plugin/kibana/#/discover/Steve-Slow-Train-Analysis-(2080s-and-2083s)?_g=(refreshInterval:(display:Off,section:0,value:0),time:(from:'2016-08-04 20:09:16-0600',mode:absolute,to:'2016-08-04 22:36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203" s="57" t="str">
        <f t="shared" si="79"/>
        <v>N</v>
      </c>
      <c r="X203" s="117">
        <f t="shared" si="80"/>
        <v>1</v>
      </c>
      <c r="Y203" s="72">
        <f t="shared" si="81"/>
        <v>0.1048</v>
      </c>
      <c r="Z203" s="72">
        <f t="shared" si="82"/>
        <v>5.8894000000000002</v>
      </c>
      <c r="AA203" s="72">
        <f t="shared" si="83"/>
        <v>5.7846000000000002</v>
      </c>
      <c r="AB203" s="69" t="e">
        <f>VLOOKUP(A203,Enforcements!$C$7:$J$24,8,0)</f>
        <v>#N/A</v>
      </c>
      <c r="AC203" s="65" t="e">
        <f>VLOOKUP(A203,Enforcements!$C$7:$E$24,3,0)</f>
        <v>#N/A</v>
      </c>
      <c r="AD203" s="66" t="str">
        <f t="shared" si="84"/>
        <v>0845-04</v>
      </c>
      <c r="AE203" s="124" t="str">
        <f t="shared" si="85"/>
        <v>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 &amp; aws s3 cp s3://rtdc.mdm.uploadarchive/RTDC4018/2016-08-05/ "%USERPROFILE%\AppData\Local\Temp\OnboardLogs"\RTDC4018\2016-08-05 --recursive &amp; "%USERPROFILE%\Documents\GitHub\mrs-test-scripts\Headless Mode &amp; Sideloading\WalkAndUnGZ.bat" "%USERPROFILE%\AppData\Local\Temp\OnboardLogs"\RTDC4018\2016-08-05</v>
      </c>
      <c r="AF203" s="121" t="str">
        <f t="shared" si="86"/>
        <v>"C:\Program Files (x86)\AstroGrep\AstroGrep.exe" /spath="%USERPROFILE%\AppData\Local\Temp\OnboardLogs" /stypes="*4018*20160805*" /stext=" 03:.+((SYSTEM_STATE.+slice.+state.+changed )|(ment ac)|(system.+state.+changed )|(\|lc)|(penalty)|(\[timeout)|(PRM\|1\|D)|(kpr)|(kdp))" /e /r /s</v>
      </c>
      <c r="AG203" s="1" t="str">
        <f t="shared" si="87"/>
        <v>NW</v>
      </c>
      <c r="AH203" s="125" t="str">
        <f>refinertdcruntimes&amp;" --tripid "&amp;A203&amp;" --locoid "&amp;B203&amp;" --swversion "&amp;C203&amp;" --startMP "&amp;D203&amp;" --initTime "&amp;TEXT(E203,"yyyy-mm-ddTHH:MM:SS")&amp;" --startdatetime "&amp;TEXT(F203,"yyyy-mm-ddTHH:MM:SS")&amp;" --delay "&amp;G203&amp;" --endMP "&amp;H203&amp;" --enddatetime "&amp;TEXT(I203,"yyyy-mm-ddTHH:MM:SS")&amp;" --enforcementcount "&amp;J203&amp;" &gt;&gt; "&amp;TEXT(Variables!$A$2,"yyyy-mm-dd")&amp;"-refined-runtimes.txt"</f>
        <v>"%USERPROFILE%\Documents\GitHub\eaglep3\Utilities\RefineRTDCRunTimes.py" --tripid 845-04 --locoid 4018 --swversion DE.1.0.7.0 --startMP 204:1048 --initTime 2016-08-04T21:09:16 --startdatetime 2016-08-04T21:12:44 --delay 3 --endMP 300:58894 --enddatetime 2016-08-04T21:36:11 --enforcementcount 0 &gt;&gt; 2016-08-04-refined-runtimes.txt</v>
      </c>
    </row>
    <row r="204" spans="1:34" x14ac:dyDescent="0.25">
      <c r="A204" s="25" t="s">
        <v>765</v>
      </c>
      <c r="B204" s="87">
        <v>4018</v>
      </c>
      <c r="C204" s="88" t="s">
        <v>163</v>
      </c>
      <c r="D204" s="88" t="s">
        <v>766</v>
      </c>
      <c r="E204" s="89">
        <v>42586.927152777775</v>
      </c>
      <c r="F204" s="89">
        <v>42586.928217592591</v>
      </c>
      <c r="G204" s="87">
        <v>1</v>
      </c>
      <c r="H204" s="89" t="s">
        <v>767</v>
      </c>
      <c r="I204" s="89">
        <v>42586.943124999998</v>
      </c>
      <c r="J204" s="87">
        <v>0</v>
      </c>
      <c r="K204" s="114" t="str">
        <f t="shared" si="74"/>
        <v>4017/4018</v>
      </c>
      <c r="L204" s="25" t="str">
        <f>VLOOKUP(A204,'Trips&amp;Operators'!$C$1:$E$10000,3,FALSE)</f>
        <v>STAMBAUGH</v>
      </c>
      <c r="M204" s="6">
        <f t="shared" si="75"/>
        <v>1.4907407407008577E-2</v>
      </c>
      <c r="N204" s="7">
        <f t="shared" si="73"/>
        <v>21.466666666092351</v>
      </c>
      <c r="O204" s="7"/>
      <c r="P204" s="7"/>
      <c r="Q204" s="26"/>
      <c r="R204" s="26"/>
      <c r="S204" s="38">
        <f t="shared" si="76"/>
        <v>1</v>
      </c>
      <c r="T204" s="55" t="str">
        <f t="shared" si="77"/>
        <v>NorthBound</v>
      </c>
      <c r="U204" s="77">
        <f>IF(AG204="EC",COUNTIFS(Variables!$M$2:$M$19,IF(T204="NorthBound","&gt;=","&lt;=")&amp;Y204,Variables!$M$2:$M$19,IF(T204="NorthBound","&lt;=","&gt;=")&amp;Z204),COUNTIFS(Variables!$P$2:$P$19,IF(T204="NorthBound","&gt;=","&lt;=")&amp;Y204,Variables!$P$2:$P$19,IF(T204="NorthBound","&lt;=","&gt;=")&amp;Z204))</f>
        <v>1</v>
      </c>
      <c r="V204" s="131" t="str">
        <f t="shared" si="78"/>
        <v>https://search-rtdc-monitor-bjffxe2xuh6vdkpspy63sjmuny.us-east-1.es.amazonaws.com/_plugin/kibana/#/discover/Steve-Slow-Train-Analysis-(2080s-and-2083s)?_g=(refreshInterval:(display:Off,section:0,value:0),time:(from:'2016-08-04 21:15:06-0600',mode:absolute,to:'2016-08-04 23:38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204" s="57" t="str">
        <f t="shared" si="79"/>
        <v>N</v>
      </c>
      <c r="X204" s="117">
        <f t="shared" si="80"/>
        <v>2</v>
      </c>
      <c r="Y204" s="72">
        <f t="shared" si="81"/>
        <v>9.7100000000000006E-2</v>
      </c>
      <c r="Z204" s="72">
        <f t="shared" si="82"/>
        <v>5.8842999999999996</v>
      </c>
      <c r="AA204" s="72">
        <f t="shared" si="83"/>
        <v>5.7871999999999995</v>
      </c>
      <c r="AB204" s="69" t="e">
        <f>VLOOKUP(A204,Enforcements!$C$7:$J$24,8,0)</f>
        <v>#N/A</v>
      </c>
      <c r="AC204" s="65" t="e">
        <f>VLOOKUP(A204,Enforcements!$C$7:$E$24,3,0)</f>
        <v>#N/A</v>
      </c>
      <c r="AD204" s="66" t="str">
        <f t="shared" si="84"/>
        <v>0847-04</v>
      </c>
      <c r="AE204" s="124" t="str">
        <f t="shared" si="85"/>
        <v>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 &amp; aws s3 cp s3://rtdc.mdm.uploadarchive/RTDC4018/2016-08-05/ "%USERPROFILE%\AppData\Local\Temp\OnboardLogs"\RTDC4018\2016-08-05 --recursive &amp; "%USERPROFILE%\Documents\GitHub\mrs-test-scripts\Headless Mode &amp; Sideloading\WalkAndUnGZ.bat" "%USERPROFILE%\AppData\Local\Temp\OnboardLogs"\RTDC4018\2016-08-05</v>
      </c>
      <c r="AF204" s="121" t="str">
        <f t="shared" si="86"/>
        <v>"C:\Program Files (x86)\AstroGrep\AstroGrep.exe" /spath="%USERPROFILE%\AppData\Local\Temp\OnboardLogs" /stypes="*4018*20160805*" /stext=" 04:.+((SYSTEM_STATE.+slice.+state.+changed )|(ment ac)|(system.+state.+changed )|(\|lc)|(penalty)|(\[timeout)|(PRM\|1\|D)|(kpr)|(kdp))" /e /r /s</v>
      </c>
      <c r="AG204" s="1" t="str">
        <f t="shared" si="87"/>
        <v>NW</v>
      </c>
      <c r="AH204" s="125" t="str">
        <f>refinertdcruntimes&amp;" --tripid "&amp;A204&amp;" --locoid "&amp;B204&amp;" --swversion "&amp;C204&amp;" --startMP "&amp;D204&amp;" --initTime "&amp;TEXT(E204,"yyyy-mm-ddTHH:MM:SS")&amp;" --startdatetime "&amp;TEXT(F204,"yyyy-mm-ddTHH:MM:SS")&amp;" --delay "&amp;G204&amp;" --endMP "&amp;H204&amp;" --enddatetime "&amp;TEXT(I204,"yyyy-mm-ddTHH:MM:SS")&amp;" --enforcementcount "&amp;J204&amp;" &gt;&gt; "&amp;TEXT(Variables!$A$2,"yyyy-mm-dd")&amp;"-refined-runtimes.txt"</f>
        <v>"%USERPROFILE%\Documents\GitHub\eaglep3\Utilities\RefineRTDCRunTimes.py" --tripid 847-04 --locoid 4018 --swversion DE.1.0.7.0 --startMP 204:971 --initTime 2016-08-04T22:15:06 --startdatetime 2016-08-04T22:16:38 --delay 1 --endMP 300:58843 --enddatetime 2016-08-04T22:38:06 --enforcementcount 0 &gt;&gt; 2016-08-04-refined-runtimes.txt</v>
      </c>
    </row>
    <row r="205" spans="1:34" x14ac:dyDescent="0.25">
      <c r="A205" s="25" t="s">
        <v>669</v>
      </c>
      <c r="B205" s="87">
        <v>4025</v>
      </c>
      <c r="C205" s="88" t="s">
        <v>163</v>
      </c>
      <c r="D205" s="88" t="s">
        <v>116</v>
      </c>
      <c r="E205" s="89">
        <v>42586.776296296295</v>
      </c>
      <c r="F205" s="89">
        <v>42586.777314814812</v>
      </c>
      <c r="G205" s="87">
        <v>1</v>
      </c>
      <c r="H205" s="89" t="s">
        <v>670</v>
      </c>
      <c r="I205" s="89">
        <v>42587.222743055558</v>
      </c>
      <c r="J205" s="87">
        <v>0</v>
      </c>
      <c r="K205" s="114" t="str">
        <f t="shared" ref="K205:K211" si="88">IF(ISEVEN(B205),(B205-1)&amp;"/"&amp;B205,B205&amp;"/"&amp;(B205+1))</f>
        <v>4025/4026</v>
      </c>
      <c r="L205" s="25" t="str">
        <f>VLOOKUP(A205,'Trips&amp;Operators'!$C$1:$E$10000,3,FALSE)</f>
        <v>NEWELL</v>
      </c>
      <c r="M205" s="6">
        <f t="shared" ref="M205:M211" si="89">I205-F205</f>
        <v>0.44542824074596865</v>
      </c>
      <c r="N205" s="7">
        <f t="shared" ref="N205:N211" si="90">24*60*SUM($M205:$M205)</f>
        <v>641.41666667419486</v>
      </c>
      <c r="O205" s="7"/>
      <c r="P205" s="7"/>
      <c r="Q205" s="26"/>
      <c r="R205" s="26"/>
      <c r="S205" s="38">
        <f t="shared" ref="S205:S211" si="91">SUM(U205:U205)/IF(AG205="EC",12,1)</f>
        <v>1</v>
      </c>
      <c r="T205" s="55" t="str">
        <f t="shared" ref="T205:T211" si="92">IF(ISEVEN(LEFT(AD205,4)),"Southbound","NorthBound")</f>
        <v>NorthBound</v>
      </c>
      <c r="U205" s="77">
        <f>IF(AG205="EC",COUNTIFS(Variables!$M$2:$M$19,IF(T205="NorthBound","&gt;=","&lt;=")&amp;Y205,Variables!$M$2:$M$19,IF(T205="NorthBound","&lt;=","&gt;=")&amp;Z205),COUNTIFS(Variables!$P$2:$P$19,IF(T205="NorthBound","&gt;=","&lt;=")&amp;Y205,Variables!$P$2:$P$19,IF(T205="NorthBound","&lt;=","&gt;=")&amp;Z205))</f>
        <v>1</v>
      </c>
      <c r="V205" s="131" t="str">
        <f t="shared" ref="V205:V211" si="93">"https://search-rtdc-monitor-bjffxe2xuh6vdkpspy63sjmuny.us-east-1.es.amazonaws.com/_plugin/kibana/#/discover/Steve-Slow-Train-Analysis-(2080s-and-2083s)?_g=(refreshInterval:(display:Off,section:0,value:0),time:(from:'"&amp;TEXT(E205-1/24,"yyyy-MM-DD hh:mm:ss")&amp;"-0600',mode:absolute,to:'"&amp;TEXT(I205+1/24,"yyyy-MM-DD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205&amp;"%22')),sort:!(Time,asc))"</f>
        <v>https://search-rtdc-monitor-bjffxe2xuh6vdkpspy63sjmuny.us-east-1.es.amazonaws.com/_plugin/kibana/#/discover/Steve-Slow-Train-Analysis-(2080s-and-2083s)?_g=(refreshInterval:(display:Off,section:0,value:0),time:(from:'2016-08-04 17:37:52-0600',mode:absolute,to:'2016-08-05 06:20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05" s="57" t="str">
        <f t="shared" ref="W205:W211" si="94">IF(AA205&lt;IF(AG205="EC",23,5.65),"Y","N")</f>
        <v>Y</v>
      </c>
      <c r="X205" s="117">
        <f>VALUE(LEFT(AD205,4))-VALUE(LEFT(AD156,4))</f>
        <v>59</v>
      </c>
      <c r="Y205" s="72">
        <f t="shared" ref="Y205:Y211" si="95">RIGHT(D205,LEN(D205)-4)/10000</f>
        <v>4.58E-2</v>
      </c>
      <c r="Z205" s="72">
        <f t="shared" ref="Z205:Z211" si="96">RIGHT(H205,LEN(H205)-4)/10000</f>
        <v>1.913</v>
      </c>
      <c r="AA205" s="72">
        <f t="shared" ref="AA205:AA211" si="97">ABS(Z205-Y205)</f>
        <v>1.8672</v>
      </c>
      <c r="AB205" s="69" t="e">
        <f>VLOOKUP(A205,Enforcements!$C$7:$J$24,8,0)</f>
        <v>#N/A</v>
      </c>
      <c r="AC205" s="65" t="e">
        <f>VLOOKUP(A205,Enforcements!$C$7:$E$24,3,0)</f>
        <v>#N/A</v>
      </c>
      <c r="AD205" s="66" t="str">
        <f t="shared" ref="AD205:AD211" si="98">IF(LEN(A205)=6,"0"&amp;A205,A205)</f>
        <v>0303-04</v>
      </c>
      <c r="AE205" s="124" t="str">
        <f t="shared" ref="AE205:AE211" si="99">"aws s3 cp "&amp;s3_bucket&amp;"/RTDC"&amp;B205&amp;"/"&amp;TEXT(F205,"YYYY-MM-DD")&amp;"/ "&amp;search_path&amp;"\RTDC"&amp;B205&amp;"\"&amp;TEXT(F205,"YYYY-MM-DD")&amp;" --recursive &amp; """&amp;walkandungz&amp;""" "&amp;search_path&amp;"\RTDC"&amp;B205&amp;"\"&amp;TEXT(F205,"YYYY-MM-DD")
&amp;" &amp; "&amp;"aws s3 cp "&amp;s3_bucket&amp;"/RTDC"&amp;B205&amp;"/"&amp;TEXT(F205+1,"YYYY-MM-DD")&amp;"/ "&amp;search_path&amp;"\RTDC"&amp;B205&amp;"\"&amp;TEXT(F205+1,"YYYY-MM-DD")&amp;" --recursive &amp; """&amp;walkandungz&amp;""" "&amp;search_path&amp;"\RTDC"&amp;B205&amp;"\"&amp;TEXT(F205+1,"YYYY-MM-DD")</f>
        <v>aws s3 cp s3://rtdc.mdm.uploadarchive/RTDC4025/2016-08-04/ "%USERPROFILE%\AppData\Local\Temp\OnboardLogs"\RTDC4025\2016-08-04 --recursive &amp; "%USERPROFILE%\Documents\GitHub\mrs-test-scripts\Headless Mode &amp; Sideloading\WalkAndUnGZ.bat" "%USERPROFILE%\AppData\Local\Temp\OnboardLogs"\RTDC4025\2016-08-04 &amp; aws s3 cp s3://rtdc.mdm.uploadarchive/RTDC4025/2016-08-05/ "%USERPROFILE%\AppData\Local\Temp\OnboardLogs"\RTDC4025\2016-08-05 --recursive &amp; "%USERPROFILE%\Documents\GitHub\mrs-test-scripts\Headless Mode &amp; Sideloading\WalkAndUnGZ.bat" "%USERPROFILE%\AppData\Local\Temp\OnboardLogs"\RTDC4025\2016-08-05</v>
      </c>
      <c r="AF205" s="121" t="str">
        <f t="shared" ref="AF205:AF211" si="100">astrogrep_path&amp;" /spath="&amp;search_path&amp;" /stypes=""*"&amp;B205&amp;"*"&amp;TEXT(I205-utc_offset/24,"YYYYMMDD")&amp;"*"" /stext="" "&amp;TEXT(I205-utc_offset/24,"HH")&amp;search_regexp&amp;""" /e /r /s"</f>
        <v>"C:\Program Files (x86)\AstroGrep\AstroGrep.exe" /spath="%USERPROFILE%\AppData\Local\Temp\OnboardLogs" /stypes="*4025*20160805*" /stext=" 11:.+((SYSTEM_STATE.+slice.+state.+changed )|(ment ac)|(system.+state.+changed )|(\|lc)|(penalty)|(\[timeout)|(PRM\|1\|D)|(kpr)|(kdp))" /e /r /s</v>
      </c>
      <c r="AG205" s="1" t="str">
        <f t="shared" ref="AG205:AG211" si="101">IF(VALUE(LEFT(AD205,2))&lt;=2,"EC",IF(OR(VALUE(LEFT(AD205,2))=8,VALUE(LEFT(AD205,2))=18),"NW","GL"))</f>
        <v>GL</v>
      </c>
      <c r="AH205" s="125" t="str">
        <f>refinertdcruntimes&amp;" --tripid "&amp;A205&amp;" --locoid "&amp;B205&amp;" --swversion "&amp;C205&amp;" --startMP "&amp;D205&amp;" --initTime "&amp;TEXT(E205,"yyyy-mm-ddTHH:MM:SS")&amp;" --startdatetime "&amp;TEXT(F205,"yyyy-mm-ddTHH:MM:SS")&amp;" --delay "&amp;G205&amp;" --endMP "&amp;H205&amp;" --enddatetime "&amp;TEXT(I205,"yyyy-mm-ddTHH:MM:SS")&amp;" --enforcementcount "&amp;J205&amp;" &gt;&gt; "&amp;TEXT(Variables!$A$2,"yyyy-mm-dd")&amp;"-refined-runtimes.txt"</f>
        <v>"%USERPROFILE%\Documents\GitHub\eaglep3\Utilities\RefineRTDCRunTimes.py" --tripid 303-04 --locoid 4025 --swversion DE.1.0.7.0 --startMP 204:458 --initTime 2016-08-04T18:37:52 --startdatetime 2016-08-04T18:39:20 --delay 1 --endMP 204:19130 --enddatetime 2016-08-05T05:20:45 --enforcementcount 0 &gt;&gt; 2016-08-04-refined-runtimes.txt</v>
      </c>
    </row>
    <row r="206" spans="1:34" x14ac:dyDescent="0.25">
      <c r="A206" s="25" t="s">
        <v>671</v>
      </c>
      <c r="B206" s="87">
        <v>4031</v>
      </c>
      <c r="C206" s="88" t="s">
        <v>163</v>
      </c>
      <c r="D206" s="88" t="s">
        <v>138</v>
      </c>
      <c r="E206" s="89">
        <v>42586.796284722222</v>
      </c>
      <c r="F206" s="89">
        <v>42586.797256944446</v>
      </c>
      <c r="G206" s="87">
        <v>1</v>
      </c>
      <c r="H206" s="89" t="s">
        <v>672</v>
      </c>
      <c r="I206" s="89">
        <v>42586.802395833336</v>
      </c>
      <c r="J206" s="87">
        <v>0</v>
      </c>
      <c r="K206" s="114" t="str">
        <f t="shared" si="88"/>
        <v>4031/4032</v>
      </c>
      <c r="L206" s="25" t="str">
        <f>VLOOKUP(A206,'Trips&amp;Operators'!$C$1:$E$10000,3,FALSE)</f>
        <v>HELVIE</v>
      </c>
      <c r="M206" s="6">
        <f t="shared" si="89"/>
        <v>5.1388888896326534E-3</v>
      </c>
      <c r="N206" s="7">
        <f t="shared" si="90"/>
        <v>7.400000001071021</v>
      </c>
      <c r="O206" s="7"/>
      <c r="P206" s="7"/>
      <c r="Q206" s="26"/>
      <c r="R206" s="26"/>
      <c r="S206" s="38">
        <f t="shared" si="91"/>
        <v>1</v>
      </c>
      <c r="T206" s="55" t="str">
        <f t="shared" si="92"/>
        <v>NorthBound</v>
      </c>
      <c r="U206" s="77">
        <f>IF(AG206="EC",COUNTIFS(Variables!$M$2:$M$19,IF(T206="NorthBound","&gt;=","&lt;=")&amp;Y206,Variables!$M$2:$M$19,IF(T206="NorthBound","&lt;=","&gt;=")&amp;Z206),COUNTIFS(Variables!$P$2:$P$19,IF(T206="NorthBound","&gt;=","&lt;=")&amp;Y206,Variables!$P$2:$P$19,IF(T206="NorthBound","&lt;=","&gt;=")&amp;Z206))</f>
        <v>1</v>
      </c>
      <c r="V206" s="131" t="str">
        <f t="shared" si="93"/>
        <v>https://search-rtdc-monitor-bjffxe2xuh6vdkpspy63sjmuny.us-east-1.es.amazonaws.com/_plugin/kibana/#/discover/Steve-Slow-Train-Analysis-(2080s-and-2083s)?_g=(refreshInterval:(display:Off,section:0,value:0),time:(from:'2016-08-04 18:06:39-0600',mode:absolute,to:'2016-08-04 20:15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06" s="57" t="str">
        <f t="shared" si="94"/>
        <v>Y</v>
      </c>
      <c r="X206" s="117">
        <f t="shared" ref="X206:X211" si="102">VALUE(LEFT(AD206,4))-VALUE(LEFT(AD205,4))</f>
        <v>2</v>
      </c>
      <c r="Y206" s="72">
        <f t="shared" si="95"/>
        <v>4.6399999999999997E-2</v>
      </c>
      <c r="Z206" s="72">
        <f t="shared" si="96"/>
        <v>2.3166000000000002</v>
      </c>
      <c r="AA206" s="72">
        <f t="shared" si="97"/>
        <v>2.2702</v>
      </c>
      <c r="AB206" s="69" t="e">
        <f>VLOOKUP(A206,Enforcements!$C$7:$J$24,8,0)</f>
        <v>#N/A</v>
      </c>
      <c r="AC206" s="65" t="e">
        <f>VLOOKUP(A206,Enforcements!$C$7:$E$24,3,0)</f>
        <v>#N/A</v>
      </c>
      <c r="AD206" s="66" t="str">
        <f t="shared" si="98"/>
        <v>0305-04</v>
      </c>
      <c r="AE206" s="124" t="str">
        <f t="shared" si="99"/>
        <v>aws s3 cp s3://rtdc.mdm.uploadarchive/RTDC4031/2016-08-04/ "%USERPROFILE%\AppData\Local\Temp\OnboardLogs"\RTDC4031\2016-08-04 --recursive &amp; "%USERPROFILE%\Documents\GitHub\mrs-test-scripts\Headless Mode &amp; Sideloading\WalkAndUnGZ.bat" "%USERPROFILE%\AppData\Local\Temp\OnboardLogs"\RTDC4031\2016-08-04 &amp; aws s3 cp s3://rtdc.mdm.uploadarchive/RTDC4031/2016-08-05/ "%USERPROFILE%\AppData\Local\Temp\OnboardLogs"\RTDC4031\2016-08-05 --recursive &amp; "%USERPROFILE%\Documents\GitHub\mrs-test-scripts\Headless Mode &amp; Sideloading\WalkAndUnGZ.bat" "%USERPROFILE%\AppData\Local\Temp\OnboardLogs"\RTDC4031\2016-08-05</v>
      </c>
      <c r="AF206" s="121" t="str">
        <f t="shared" si="100"/>
        <v>"C:\Program Files (x86)\AstroGrep\AstroGrep.exe" /spath="%USERPROFILE%\AppData\Local\Temp\OnboardLogs" /stypes="*4031*20160805*" /stext=" 01:.+((SYSTEM_STATE.+slice.+state.+changed )|(ment ac)|(system.+state.+changed )|(\|lc)|(penalty)|(\[timeout)|(PRM\|1\|D)|(kpr)|(kdp))" /e /r /s</v>
      </c>
      <c r="AG206" s="1" t="str">
        <f t="shared" si="101"/>
        <v>GL</v>
      </c>
      <c r="AH206" s="125" t="str">
        <f>refinertdcruntimes&amp;" --tripid "&amp;A206&amp;" --locoid "&amp;B206&amp;" --swversion "&amp;C206&amp;" --startMP "&amp;D206&amp;" --initTime "&amp;TEXT(E206,"yyyy-mm-ddTHH:MM:SS")&amp;" --startdatetime "&amp;TEXT(F206,"yyyy-mm-ddTHH:MM:SS")&amp;" --delay "&amp;G206&amp;" --endMP "&amp;H206&amp;" --enddatetime "&amp;TEXT(I206,"yyyy-mm-ddTHH:MM:SS")&amp;" --enforcementcount "&amp;J206&amp;" &gt;&gt; "&amp;TEXT(Variables!$A$2,"yyyy-mm-dd")&amp;"-refined-runtimes.txt"</f>
        <v>"%USERPROFILE%\Documents\GitHub\eaglep3\Utilities\RefineRTDCRunTimes.py" --tripid 305-04 --locoid 4031 --swversion DE.1.0.7.0 --startMP 204:464 --initTime 2016-08-04T19:06:39 --startdatetime 2016-08-04T19:08:03 --delay 1 --endMP 300:23166 --enddatetime 2016-08-04T19:15:27 --enforcementcount 0 &gt;&gt; 2016-08-04-refined-runtimes.txt</v>
      </c>
    </row>
    <row r="207" spans="1:34" x14ac:dyDescent="0.25">
      <c r="A207" s="25" t="s">
        <v>673</v>
      </c>
      <c r="B207" s="87">
        <v>4029</v>
      </c>
      <c r="C207" s="88" t="s">
        <v>163</v>
      </c>
      <c r="D207" s="88" t="s">
        <v>365</v>
      </c>
      <c r="E207" s="89">
        <v>42586.816770833335</v>
      </c>
      <c r="F207" s="89">
        <v>42586.817708333336</v>
      </c>
      <c r="G207" s="87">
        <v>1</v>
      </c>
      <c r="H207" s="89" t="s">
        <v>674</v>
      </c>
      <c r="I207" s="89">
        <v>42586.825520833336</v>
      </c>
      <c r="J207" s="87">
        <v>0</v>
      </c>
      <c r="K207" s="114" t="str">
        <f t="shared" si="88"/>
        <v>4029/4030</v>
      </c>
      <c r="L207" s="25" t="str">
        <f>VLOOKUP(A207,'Trips&amp;Operators'!$C$1:$E$10000,3,FALSE)</f>
        <v>SWANSON</v>
      </c>
      <c r="M207" s="6">
        <f t="shared" si="89"/>
        <v>7.8125E-3</v>
      </c>
      <c r="N207" s="7">
        <f t="shared" si="90"/>
        <v>11.25</v>
      </c>
      <c r="O207" s="7"/>
      <c r="P207" s="7"/>
      <c r="Q207" s="26"/>
      <c r="R207" s="26"/>
      <c r="S207" s="38">
        <f t="shared" si="91"/>
        <v>1</v>
      </c>
      <c r="T207" s="55" t="str">
        <f t="shared" si="92"/>
        <v>NorthBound</v>
      </c>
      <c r="U207" s="77">
        <f>IF(AG207="EC",COUNTIFS(Variables!$M$2:$M$19,IF(T207="NorthBound","&gt;=","&lt;=")&amp;Y207,Variables!$M$2:$M$19,IF(T207="NorthBound","&lt;=","&gt;=")&amp;Z207),COUNTIFS(Variables!$P$2:$P$19,IF(T207="NorthBound","&gt;=","&lt;=")&amp;Y207,Variables!$P$2:$P$19,IF(T207="NorthBound","&lt;=","&gt;=")&amp;Z207))</f>
        <v>1</v>
      </c>
      <c r="V207" s="131" t="str">
        <f t="shared" si="93"/>
        <v>https://search-rtdc-monitor-bjffxe2xuh6vdkpspy63sjmuny.us-east-1.es.amazonaws.com/_plugin/kibana/#/discover/Steve-Slow-Train-Analysis-(2080s-and-2083s)?_g=(refreshInterval:(display:Off,section:0,value:0),time:(from:'2016-08-04 18:36:09-0600',mode:absolute,to:'2016-08-04 20:48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207" s="57" t="str">
        <f t="shared" si="94"/>
        <v>Y</v>
      </c>
      <c r="X207" s="117">
        <f t="shared" si="102"/>
        <v>2</v>
      </c>
      <c r="Y207" s="72">
        <f t="shared" si="95"/>
        <v>4.8800000000000003E-2</v>
      </c>
      <c r="Z207" s="72">
        <f t="shared" si="96"/>
        <v>2.3306</v>
      </c>
      <c r="AA207" s="72">
        <f t="shared" si="97"/>
        <v>2.2818000000000001</v>
      </c>
      <c r="AB207" s="69" t="e">
        <f>VLOOKUP(A207,Enforcements!$C$7:$J$24,8,0)</f>
        <v>#N/A</v>
      </c>
      <c r="AC207" s="65" t="e">
        <f>VLOOKUP(A207,Enforcements!$C$7:$E$24,3,0)</f>
        <v>#N/A</v>
      </c>
      <c r="AD207" s="66" t="str">
        <f t="shared" si="98"/>
        <v>0307-04</v>
      </c>
      <c r="AE207" s="124" t="str">
        <f t="shared" si="99"/>
        <v>aws s3 cp s3://rtdc.mdm.uploadarchive/RTDC4029/2016-08-04/ "%USERPROFILE%\AppData\Local\Temp\OnboardLogs"\RTDC4029\2016-08-04 --recursive &amp; "%USERPROFILE%\Documents\GitHub\mrs-test-scripts\Headless Mode &amp; Sideloading\WalkAndUnGZ.bat" "%USERPROFILE%\AppData\Local\Temp\OnboardLogs"\RTDC4029\2016-08-04 &amp; aws s3 cp s3://rtdc.mdm.uploadarchive/RTDC4029/2016-08-05/ "%USERPROFILE%\AppData\Local\Temp\OnboardLogs"\RTDC4029\2016-08-05 --recursive &amp; "%USERPROFILE%\Documents\GitHub\mrs-test-scripts\Headless Mode &amp; Sideloading\WalkAndUnGZ.bat" "%USERPROFILE%\AppData\Local\Temp\OnboardLogs"\RTDC4029\2016-08-05</v>
      </c>
      <c r="AF207" s="121" t="str">
        <f t="shared" si="100"/>
        <v>"C:\Program Files (x86)\AstroGrep\AstroGrep.exe" /spath="%USERPROFILE%\AppData\Local\Temp\OnboardLogs" /stypes="*4029*20160805*" /stext=" 01:.+((SYSTEM_STATE.+slice.+state.+changed )|(ment ac)|(system.+state.+changed )|(\|lc)|(penalty)|(\[timeout)|(PRM\|1\|D)|(kpr)|(kdp))" /e /r /s</v>
      </c>
      <c r="AG207" s="1" t="str">
        <f t="shared" si="101"/>
        <v>GL</v>
      </c>
      <c r="AH207" s="125" t="str">
        <f>refinertdcruntimes&amp;" --tripid "&amp;A207&amp;" --locoid "&amp;B207&amp;" --swversion "&amp;C207&amp;" --startMP "&amp;D207&amp;" --initTime "&amp;TEXT(E207,"yyyy-mm-ddTHH:MM:SS")&amp;" --startdatetime "&amp;TEXT(F207,"yyyy-mm-ddTHH:MM:SS")&amp;" --delay "&amp;G207&amp;" --endMP "&amp;H207&amp;" --enddatetime "&amp;TEXT(I207,"yyyy-mm-ddTHH:MM:SS")&amp;" --enforcementcount "&amp;J207&amp;" &gt;&gt; "&amp;TEXT(Variables!$A$2,"yyyy-mm-dd")&amp;"-refined-runtimes.txt"</f>
        <v>"%USERPROFILE%\Documents\GitHub\eaglep3\Utilities\RefineRTDCRunTimes.py" --tripid 307-04 --locoid 4029 --swversion DE.1.0.7.0 --startMP 204:488 --initTime 2016-08-04T19:36:09 --startdatetime 2016-08-04T19:37:30 --delay 1 --endMP 300:23306 --enddatetime 2016-08-04T19:48:45 --enforcementcount 0 &gt;&gt; 2016-08-04-refined-runtimes.txt</v>
      </c>
    </row>
    <row r="208" spans="1:34" x14ac:dyDescent="0.25">
      <c r="A208" s="25" t="s">
        <v>675</v>
      </c>
      <c r="B208" s="87">
        <v>4038</v>
      </c>
      <c r="C208" s="88" t="s">
        <v>163</v>
      </c>
      <c r="D208" s="88" t="s">
        <v>318</v>
      </c>
      <c r="E208" s="89">
        <v>42587.027870370373</v>
      </c>
      <c r="F208" s="89">
        <v>42587.028738425928</v>
      </c>
      <c r="G208" s="87">
        <v>1</v>
      </c>
      <c r="H208" s="89" t="s">
        <v>676</v>
      </c>
      <c r="I208" s="89">
        <v>42587.035740740743</v>
      </c>
      <c r="J208" s="87">
        <v>0</v>
      </c>
      <c r="K208" s="114" t="str">
        <f t="shared" si="88"/>
        <v>4037/4038</v>
      </c>
      <c r="L208" s="25" t="str">
        <f>VLOOKUP(A208,'Trips&amp;Operators'!$C$1:$E$10000,3,FALSE)</f>
        <v>ROBINSON</v>
      </c>
      <c r="M208" s="6">
        <f t="shared" si="89"/>
        <v>7.0023148145992309E-3</v>
      </c>
      <c r="N208" s="7">
        <f t="shared" si="90"/>
        <v>10.083333333022892</v>
      </c>
      <c r="O208" s="7"/>
      <c r="P208" s="7"/>
      <c r="Q208" s="26"/>
      <c r="R208" s="26"/>
      <c r="S208" s="38">
        <f t="shared" si="91"/>
        <v>1</v>
      </c>
      <c r="T208" s="55" t="str">
        <f t="shared" si="92"/>
        <v>NorthBound</v>
      </c>
      <c r="U208" s="77">
        <f>IF(AG208="EC",COUNTIFS(Variables!$M$2:$M$19,IF(T208="NorthBound","&gt;=","&lt;=")&amp;Y208,Variables!$M$2:$M$19,IF(T208="NorthBound","&lt;=","&gt;=")&amp;Z208),COUNTIFS(Variables!$P$2:$P$19,IF(T208="NorthBound","&gt;=","&lt;=")&amp;Y208,Variables!$P$2:$P$19,IF(T208="NorthBound","&lt;=","&gt;=")&amp;Z208))</f>
        <v>1</v>
      </c>
      <c r="V208" s="131" t="str">
        <f t="shared" si="93"/>
        <v>https://search-rtdc-monitor-bjffxe2xuh6vdkpspy63sjmuny.us-east-1.es.amazonaws.com/_plugin/kibana/#/discover/Steve-Slow-Train-Analysis-(2080s-and-2083s)?_g=(refreshInterval:(display:Off,section:0,value:0),time:(from:'2016-08-04 23:40:08-0600',mode:absolute,to:'2016-08-05 01:51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08" s="57" t="str">
        <f t="shared" si="94"/>
        <v>Y</v>
      </c>
      <c r="X208" s="117">
        <f t="shared" si="102"/>
        <v>2</v>
      </c>
      <c r="Y208" s="72">
        <f t="shared" si="95"/>
        <v>4.3499999999999997E-2</v>
      </c>
      <c r="Z208" s="72">
        <f t="shared" si="96"/>
        <v>2.2081</v>
      </c>
      <c r="AA208" s="72">
        <f t="shared" si="97"/>
        <v>2.1646000000000001</v>
      </c>
      <c r="AB208" s="69" t="e">
        <f>VLOOKUP(A208,Enforcements!$C$7:$J$24,8,0)</f>
        <v>#N/A</v>
      </c>
      <c r="AC208" s="65" t="e">
        <f>VLOOKUP(A208,Enforcements!$C$7:$E$24,3,0)</f>
        <v>#N/A</v>
      </c>
      <c r="AD208" s="66" t="str">
        <f t="shared" si="98"/>
        <v>0309-04</v>
      </c>
      <c r="AE208" s="124" t="str">
        <f t="shared" si="99"/>
        <v>aws s3 cp s3://rtdc.mdm.uploadarchive/RTDC4038/2016-08-05/ "%USERPROFILE%\AppData\Local\Temp\OnboardLogs"\RTDC4038\2016-08-05 --recursive &amp; "%USERPROFILE%\Documents\GitHub\mrs-test-scripts\Headless Mode &amp; Sideloading\WalkAndUnGZ.bat" "%USERPROFILE%\AppData\Local\Temp\OnboardLogs"\RTDC4038\2016-08-05 &amp; aws s3 cp s3://rtdc.mdm.uploadarchive/RTDC4038/2016-08-06/ "%USERPROFILE%\AppData\Local\Temp\OnboardLogs"\RTDC4038\2016-08-06 --recursive &amp; "%USERPROFILE%\Documents\GitHub\mrs-test-scripts\Headless Mode &amp; Sideloading\WalkAndUnGZ.bat" "%USERPROFILE%\AppData\Local\Temp\OnboardLogs"\RTDC4038\2016-08-06</v>
      </c>
      <c r="AF208" s="121" t="str">
        <f t="shared" si="100"/>
        <v>"C:\Program Files (x86)\AstroGrep\AstroGrep.exe" /spath="%USERPROFILE%\AppData\Local\Temp\OnboardLogs" /stypes="*4038*20160805*" /stext=" 06:.+((SYSTEM_STATE.+slice.+state.+changed )|(ment ac)|(system.+state.+changed )|(\|lc)|(penalty)|(\[timeout)|(PRM\|1\|D)|(kpr)|(kdp))" /e /r /s</v>
      </c>
      <c r="AG208" s="1" t="str">
        <f t="shared" si="101"/>
        <v>GL</v>
      </c>
      <c r="AH208" s="125" t="str">
        <f>refinertdcruntimes&amp;" --tripid "&amp;A208&amp;" --locoid "&amp;B208&amp;" --swversion "&amp;C208&amp;" --startMP "&amp;D208&amp;" --initTime "&amp;TEXT(E208,"yyyy-mm-ddTHH:MM:SS")&amp;" --startdatetime "&amp;TEXT(F208,"yyyy-mm-ddTHH:MM:SS")&amp;" --delay "&amp;G208&amp;" --endMP "&amp;H208&amp;" --enddatetime "&amp;TEXT(I208,"yyyy-mm-ddTHH:MM:SS")&amp;" --enforcementcount "&amp;J208&amp;" &gt;&gt; "&amp;TEXT(Variables!$A$2,"yyyy-mm-dd")&amp;"-refined-runtimes.txt"</f>
        <v>"%USERPROFILE%\Documents\GitHub\eaglep3\Utilities\RefineRTDCRunTimes.py" --tripid 309-04 --locoid 4038 --swversion DE.1.0.7.0 --startMP 204:435 --initTime 2016-08-05T00:40:08 --startdatetime 2016-08-05T00:41:23 --delay 1 --endMP 300:22081 --enddatetime 2016-08-05T00:51:28 --enforcementcount 0 &gt;&gt; 2016-08-04-refined-runtimes.txt</v>
      </c>
    </row>
    <row r="209" spans="1:34" x14ac:dyDescent="0.25">
      <c r="A209" s="42" t="s">
        <v>677</v>
      </c>
      <c r="B209" s="7">
        <v>4011</v>
      </c>
      <c r="C209" s="25" t="s">
        <v>163</v>
      </c>
      <c r="D209" s="25" t="s">
        <v>358</v>
      </c>
      <c r="E209" s="16">
        <v>42587.069467592592</v>
      </c>
      <c r="F209" s="16">
        <v>42587.0703587963</v>
      </c>
      <c r="G209" s="7">
        <v>1</v>
      </c>
      <c r="H209" s="16" t="s">
        <v>678</v>
      </c>
      <c r="I209" s="16">
        <v>42587.076956018522</v>
      </c>
      <c r="J209" s="7">
        <v>0</v>
      </c>
      <c r="K209" s="114" t="str">
        <f t="shared" si="88"/>
        <v>4011/4012</v>
      </c>
      <c r="L209" s="25" t="str">
        <f>VLOOKUP(A209,'Trips&amp;Operators'!$C$1:$E$10000,3,FALSE)</f>
        <v>LEVIN</v>
      </c>
      <c r="M209" s="6">
        <f t="shared" si="89"/>
        <v>6.5972222218988463E-3</v>
      </c>
      <c r="N209" s="7">
        <f t="shared" si="90"/>
        <v>9.4999999995343387</v>
      </c>
      <c r="O209" s="7"/>
      <c r="P209" s="7"/>
      <c r="Q209" s="26"/>
      <c r="R209" s="26"/>
      <c r="S209" s="38">
        <f t="shared" si="91"/>
        <v>1</v>
      </c>
      <c r="T209" s="55" t="str">
        <f t="shared" si="92"/>
        <v>NorthBound</v>
      </c>
      <c r="U209" s="77">
        <f>IF(AG209="EC",COUNTIFS(Variables!$M$2:$M$19,IF(T209="NorthBound","&gt;=","&lt;=")&amp;Y209,Variables!$M$2:$M$19,IF(T209="NorthBound","&lt;=","&gt;=")&amp;Z209),COUNTIFS(Variables!$P$2:$P$19,IF(T209="NorthBound","&gt;=","&lt;=")&amp;Y209,Variables!$P$2:$P$19,IF(T209="NorthBound","&lt;=","&gt;=")&amp;Z209))</f>
        <v>1</v>
      </c>
      <c r="V209" s="131" t="str">
        <f t="shared" si="93"/>
        <v>https://search-rtdc-monitor-bjffxe2xuh6vdkpspy63sjmuny.us-east-1.es.amazonaws.com/_plugin/kibana/#/discover/Steve-Slow-Train-Analysis-(2080s-and-2083s)?_g=(refreshInterval:(display:Off,section:0,value:0),time:(from:'2016-08-05 00:40:02-0600',mode:absolute,to:'2016-08-05 02:50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W209" s="57" t="str">
        <f t="shared" si="94"/>
        <v>Y</v>
      </c>
      <c r="X209" s="117">
        <f t="shared" si="102"/>
        <v>4</v>
      </c>
      <c r="Y209" s="72">
        <f t="shared" si="95"/>
        <v>4.7500000000000001E-2</v>
      </c>
      <c r="Z209" s="72">
        <f t="shared" si="96"/>
        <v>2.3308</v>
      </c>
      <c r="AA209" s="72">
        <f t="shared" si="97"/>
        <v>2.2833000000000001</v>
      </c>
      <c r="AB209" s="69" t="e">
        <f>VLOOKUP(A209,Enforcements!$C$7:$J$24,8,0)</f>
        <v>#N/A</v>
      </c>
      <c r="AC209" s="65" t="e">
        <f>VLOOKUP(A209,Enforcements!$C$7:$E$24,3,0)</f>
        <v>#N/A</v>
      </c>
      <c r="AD209" s="66" t="str">
        <f t="shared" si="98"/>
        <v>0313-04</v>
      </c>
      <c r="AE209" s="124" t="str">
        <f t="shared" si="99"/>
        <v>aws s3 cp s3://rtdc.mdm.uploadarchive/RTDC4011/2016-08-05/ "%USERPROFILE%\AppData\Local\Temp\OnboardLogs"\RTDC4011\2016-08-05 --recursive &amp; "%USERPROFILE%\Documents\GitHub\mrs-test-scripts\Headless Mode &amp; Sideloading\WalkAndUnGZ.bat" "%USERPROFILE%\AppData\Local\Temp\OnboardLogs"\RTDC4011\2016-08-05 &amp; aws s3 cp s3://rtdc.mdm.uploadarchive/RTDC4011/2016-08-06/ "%USERPROFILE%\AppData\Local\Temp\OnboardLogs"\RTDC4011\2016-08-06 --recursive &amp; "%USERPROFILE%\Documents\GitHub\mrs-test-scripts\Headless Mode &amp; Sideloading\WalkAndUnGZ.bat" "%USERPROFILE%\AppData\Local\Temp\OnboardLogs"\RTDC4011\2016-08-06</v>
      </c>
      <c r="AF209" s="121" t="str">
        <f t="shared" si="100"/>
        <v>"C:\Program Files (x86)\AstroGrep\AstroGrep.exe" /spath="%USERPROFILE%\AppData\Local\Temp\OnboardLogs" /stypes="*4011*20160805*" /stext=" 07:.+((SYSTEM_STATE.+slice.+state.+changed )|(ment ac)|(system.+state.+changed )|(\|lc)|(penalty)|(\[timeout)|(PRM\|1\|D)|(kpr)|(kdp))" /e /r /s</v>
      </c>
      <c r="AG209" s="1" t="str">
        <f t="shared" si="101"/>
        <v>GL</v>
      </c>
      <c r="AH209" s="125" t="str">
        <f>refinertdcruntimes&amp;" --tripid "&amp;A209&amp;" --locoid "&amp;B209&amp;" --swversion "&amp;C209&amp;" --startMP "&amp;D209&amp;" --initTime "&amp;TEXT(E209,"yyyy-mm-ddTHH:MM:SS")&amp;" --startdatetime "&amp;TEXT(F209,"yyyy-mm-ddTHH:MM:SS")&amp;" --delay "&amp;G209&amp;" --endMP "&amp;H209&amp;" --enddatetime "&amp;TEXT(I209,"yyyy-mm-ddTHH:MM:SS")&amp;" --enforcementcount "&amp;J209&amp;" &gt;&gt; "&amp;TEXT(Variables!$A$2,"yyyy-mm-dd")&amp;"-refined-runtimes.txt"</f>
        <v>"%USERPROFILE%\Documents\GitHub\eaglep3\Utilities\RefineRTDCRunTimes.py" --tripid 313-04 --locoid 4011 --swversion DE.1.0.7.0 --startMP 204:475 --initTime 2016-08-05T01:40:02 --startdatetime 2016-08-05T01:41:19 --delay 1 --endMP 300:23308 --enddatetime 2016-08-05T01:50:49 --enforcementcount 0 &gt;&gt; 2016-08-04-refined-runtimes.txt</v>
      </c>
    </row>
    <row r="210" spans="1:34" x14ac:dyDescent="0.25">
      <c r="A210" s="42" t="s">
        <v>417</v>
      </c>
      <c r="B210" s="7">
        <v>4040</v>
      </c>
      <c r="C210" s="25" t="s">
        <v>163</v>
      </c>
      <c r="D210" s="25" t="s">
        <v>365</v>
      </c>
      <c r="E210" s="16">
        <v>42586.088495370372</v>
      </c>
      <c r="F210" s="16">
        <v>42586.089618055557</v>
      </c>
      <c r="G210" s="7">
        <v>1</v>
      </c>
      <c r="H210" s="16" t="s">
        <v>418</v>
      </c>
      <c r="I210" s="16">
        <v>42586.095289351855</v>
      </c>
      <c r="J210" s="7">
        <v>0</v>
      </c>
      <c r="K210" s="114" t="str">
        <f t="shared" si="88"/>
        <v>4039/4040</v>
      </c>
      <c r="L210" s="25" t="str">
        <f>VLOOKUP(A210,'Trips&amp;Operators'!$C$1:$E$10000,3,FALSE)</f>
        <v>COOLAHAN</v>
      </c>
      <c r="M210" s="6">
        <f t="shared" si="89"/>
        <v>5.6712962978053838E-3</v>
      </c>
      <c r="N210" s="7">
        <f t="shared" si="90"/>
        <v>8.1666666688397527</v>
      </c>
      <c r="O210" s="7"/>
      <c r="P210" s="7"/>
      <c r="Q210" s="26"/>
      <c r="R210" s="26"/>
      <c r="S210" s="38">
        <f t="shared" si="91"/>
        <v>1</v>
      </c>
      <c r="T210" s="55" t="str">
        <f t="shared" si="92"/>
        <v>NorthBound</v>
      </c>
      <c r="U210" s="77">
        <f>IF(AG210="EC",COUNTIFS(Variables!$M$2:$M$19,IF(T210="NorthBound","&gt;=","&lt;=")&amp;Y210,Variables!$M$2:$M$19,IF(T210="NorthBound","&lt;=","&gt;=")&amp;Z210),COUNTIFS(Variables!$P$2:$P$19,IF(T210="NorthBound","&gt;=","&lt;=")&amp;Y210,Variables!$P$2:$P$19,IF(T210="NorthBound","&lt;=","&gt;=")&amp;Z210))</f>
        <v>1</v>
      </c>
      <c r="V210" s="131" t="str">
        <f t="shared" si="93"/>
        <v>https://search-rtdc-monitor-bjffxe2xuh6vdkpspy63sjmuny.us-east-1.es.amazonaws.com/_plugin/kibana/#/discover/Steve-Slow-Train-Analysis-(2080s-and-2083s)?_g=(refreshInterval:(display:Off,section:0,value:0),time:(from:'2016-08-04 01:07:26-0600',mode:absolute,to:'2016-08-04 03:17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210" s="57" t="str">
        <f t="shared" si="94"/>
        <v>Y</v>
      </c>
      <c r="X210" s="117">
        <f t="shared" si="102"/>
        <v>2</v>
      </c>
      <c r="Y210" s="72">
        <f t="shared" si="95"/>
        <v>4.8800000000000003E-2</v>
      </c>
      <c r="Z210" s="72">
        <f t="shared" si="96"/>
        <v>2.2282000000000002</v>
      </c>
      <c r="AA210" s="72">
        <f t="shared" si="97"/>
        <v>2.1794000000000002</v>
      </c>
      <c r="AB210" s="69" t="e">
        <f>VLOOKUP(A210,Enforcements!$C$7:$J$24,8,0)</f>
        <v>#N/A</v>
      </c>
      <c r="AC210" s="65" t="e">
        <f>VLOOKUP(A210,Enforcements!$C$7:$E$24,3,0)</f>
        <v>#N/A</v>
      </c>
      <c r="AD210" s="66" t="str">
        <f t="shared" si="98"/>
        <v>0315-03</v>
      </c>
      <c r="AE210" s="124" t="str">
        <f t="shared" si="99"/>
        <v>aws s3 cp s3://rtdc.mdm.uploadarchive/RTDC4040/2016-08-04/ "%USERPROFILE%\AppData\Local\Temp\OnboardLogs"\RTDC4040\2016-08-04 --recursive &amp; "%USERPROFILE%\Documents\GitHub\mrs-test-scripts\Headless Mode &amp; Sideloading\WalkAndUnGZ.bat" "%USERPROFILE%\AppData\Local\Temp\OnboardLogs"\RTDC4040\2016-08-04 &amp; aws s3 cp s3://rtdc.mdm.uploadarchive/RTDC4040/2016-08-05/ "%USERPROFILE%\AppData\Local\Temp\OnboardLogs"\RTDC4040\2016-08-05 --recursive &amp; "%USERPROFILE%\Documents\GitHub\mrs-test-scripts\Headless Mode &amp; Sideloading\WalkAndUnGZ.bat" "%USERPROFILE%\AppData\Local\Temp\OnboardLogs"\RTDC4040\2016-08-05</v>
      </c>
      <c r="AF210" s="121" t="str">
        <f t="shared" si="100"/>
        <v>"C:\Program Files (x86)\AstroGrep\AstroGrep.exe" /spath="%USERPROFILE%\AppData\Local\Temp\OnboardLogs" /stypes="*4040*20160804*" /stext=" 08:.+((SYSTEM_STATE.+slice.+state.+changed )|(ment ac)|(system.+state.+changed )|(\|lc)|(penalty)|(\[timeout)|(PRM\|1\|D)|(kpr)|(kdp))" /e /r /s</v>
      </c>
      <c r="AG210" s="1" t="str">
        <f t="shared" si="101"/>
        <v>GL</v>
      </c>
      <c r="AH210" s="125" t="str">
        <f>refinertdcruntimes&amp;" --tripid "&amp;A210&amp;" --locoid "&amp;B210&amp;" --swversion "&amp;C210&amp;" --startMP "&amp;D210&amp;" --initTime "&amp;TEXT(E210,"yyyy-mm-ddTHH:MM:SS")&amp;" --startdatetime "&amp;TEXT(F210,"yyyy-mm-ddTHH:MM:SS")&amp;" --delay "&amp;G210&amp;" --endMP "&amp;H210&amp;" --enddatetime "&amp;TEXT(I210,"yyyy-mm-ddTHH:MM:SS")&amp;" --enforcementcount "&amp;J210&amp;" &gt;&gt; "&amp;TEXT(Variables!$A$2,"yyyy-mm-dd")&amp;"-refined-runtimes.txt"</f>
        <v>"%USERPROFILE%\Documents\GitHub\eaglep3\Utilities\RefineRTDCRunTimes.py" --tripid 315-03 --locoid 4040 --swversion DE.1.0.7.0 --startMP 204:488 --initTime 2016-08-04T02:07:26 --startdatetime 2016-08-04T02:09:03 --delay 1 --endMP 300:22282 --enddatetime 2016-08-04T02:17:13 --enforcementcount 0 &gt;&gt; 2016-08-04-refined-runtimes.txt</v>
      </c>
    </row>
    <row r="211" spans="1:34" x14ac:dyDescent="0.25">
      <c r="A211" s="42" t="s">
        <v>679</v>
      </c>
      <c r="B211" s="7">
        <v>4007</v>
      </c>
      <c r="C211" s="25" t="s">
        <v>163</v>
      </c>
      <c r="D211" s="25" t="s">
        <v>680</v>
      </c>
      <c r="E211" s="16">
        <v>42587.091157407405</v>
      </c>
      <c r="F211" s="16">
        <v>42587.092152777775</v>
      </c>
      <c r="G211" s="7">
        <v>1</v>
      </c>
      <c r="H211" s="16" t="s">
        <v>346</v>
      </c>
      <c r="I211" s="16">
        <v>42587.100266203706</v>
      </c>
      <c r="J211" s="7">
        <v>0</v>
      </c>
      <c r="K211" s="114" t="str">
        <f t="shared" si="88"/>
        <v>4007/4008</v>
      </c>
      <c r="L211" s="25" t="str">
        <f>VLOOKUP(A211,'Trips&amp;Operators'!$C$1:$E$10000,3,FALSE)</f>
        <v>STURGEON</v>
      </c>
      <c r="M211" s="6">
        <f t="shared" si="89"/>
        <v>8.1134259307873435E-3</v>
      </c>
      <c r="N211" s="7">
        <f t="shared" si="90"/>
        <v>11.683333340333775</v>
      </c>
      <c r="O211" s="7"/>
      <c r="P211" s="7"/>
      <c r="Q211" s="26"/>
      <c r="R211" s="26"/>
      <c r="S211" s="38">
        <f t="shared" si="91"/>
        <v>1</v>
      </c>
      <c r="T211" s="55" t="str">
        <f t="shared" si="92"/>
        <v>NorthBound</v>
      </c>
      <c r="U211" s="77">
        <f>IF(AG211="EC",COUNTIFS(Variables!$M$2:$M$19,IF(T211="NorthBound","&gt;=","&lt;=")&amp;Y211,Variables!$M$2:$M$19,IF(T211="NorthBound","&lt;=","&gt;=")&amp;Z211),COUNTIFS(Variables!$P$2:$P$19,IF(T211="NorthBound","&gt;=","&lt;=")&amp;Y211,Variables!$P$2:$P$19,IF(T211="NorthBound","&lt;=","&gt;=")&amp;Z211))</f>
        <v>1</v>
      </c>
      <c r="V211" s="131" t="str">
        <f t="shared" si="93"/>
        <v>https://search-rtdc-monitor-bjffxe2xuh6vdkpspy63sjmuny.us-east-1.es.amazonaws.com/_plugin/kibana/#/discover/Steve-Slow-Train-Analysis-(2080s-and-2083s)?_g=(refreshInterval:(display:Off,section:0,value:0),time:(from:'2016-08-05 01:11:16-0600',mode:absolute,to:'2016-08-05 03:24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211" s="57" t="str">
        <f t="shared" si="94"/>
        <v>Y</v>
      </c>
      <c r="X211" s="117">
        <f t="shared" si="102"/>
        <v>0</v>
      </c>
      <c r="Y211" s="72">
        <f t="shared" si="95"/>
        <v>4.7100000000000003E-2</v>
      </c>
      <c r="Z211" s="72">
        <f t="shared" si="96"/>
        <v>2.3304</v>
      </c>
      <c r="AA211" s="72">
        <f t="shared" si="97"/>
        <v>2.2833000000000001</v>
      </c>
      <c r="AB211" s="69" t="e">
        <f>VLOOKUP(A211,Enforcements!$C$7:$J$24,8,0)</f>
        <v>#N/A</v>
      </c>
      <c r="AC211" s="65" t="e">
        <f>VLOOKUP(A211,Enforcements!$C$7:$E$24,3,0)</f>
        <v>#N/A</v>
      </c>
      <c r="AD211" s="66" t="str">
        <f t="shared" si="98"/>
        <v>0315-04</v>
      </c>
      <c r="AE211" s="124" t="str">
        <f t="shared" si="99"/>
        <v>aws s3 cp s3://rtdc.mdm.uploadarchive/RTDC4007/2016-08-05/ "%USERPROFILE%\AppData\Local\Temp\OnboardLogs"\RTDC4007\2016-08-05 --recursive &amp; "%USERPROFILE%\Documents\GitHub\mrs-test-scripts\Headless Mode &amp; Sideloading\WalkAndUnGZ.bat" "%USERPROFILE%\AppData\Local\Temp\OnboardLogs"\RTDC4007\2016-08-05 &amp; aws s3 cp s3://rtdc.mdm.uploadarchive/RTDC4007/2016-08-06/ "%USERPROFILE%\AppData\Local\Temp\OnboardLogs"\RTDC4007\2016-08-06 --recursive &amp; "%USERPROFILE%\Documents\GitHub\mrs-test-scripts\Headless Mode &amp; Sideloading\WalkAndUnGZ.bat" "%USERPROFILE%\AppData\Local\Temp\OnboardLogs"\RTDC4007\2016-08-06</v>
      </c>
      <c r="AF211" s="121" t="str">
        <f t="shared" si="100"/>
        <v>"C:\Program Files (x86)\AstroGrep\AstroGrep.exe" /spath="%USERPROFILE%\AppData\Local\Temp\OnboardLogs" /stypes="*4007*20160805*" /stext=" 08:.+((SYSTEM_STATE.+slice.+state.+changed )|(ment ac)|(system.+state.+changed )|(\|lc)|(penalty)|(\[timeout)|(PRM\|1\|D)|(kpr)|(kdp))" /e /r /s</v>
      </c>
      <c r="AG211" s="1" t="str">
        <f t="shared" si="101"/>
        <v>GL</v>
      </c>
      <c r="AH211" s="125" t="str">
        <f>refinertdcruntimes&amp;" --tripid "&amp;A211&amp;" --locoid "&amp;B211&amp;" --swversion "&amp;C211&amp;" --startMP "&amp;D211&amp;" --initTime "&amp;TEXT(E211,"yyyy-mm-ddTHH:MM:SS")&amp;" --startdatetime "&amp;TEXT(F211,"yyyy-mm-ddTHH:MM:SS")&amp;" --delay "&amp;G211&amp;" --endMP "&amp;H211&amp;" --enddatetime "&amp;TEXT(I211,"yyyy-mm-ddTHH:MM:SS")&amp;" --enforcementcount "&amp;J211&amp;" &gt;&gt; "&amp;TEXT(Variables!$A$2,"yyyy-mm-dd")&amp;"-refined-runtimes.txt"</f>
        <v>"%USERPROFILE%\Documents\GitHub\eaglep3\Utilities\RefineRTDCRunTimes.py" --tripid 315-04 --locoid 4007 --swversion DE.1.0.7.0 --startMP 204:471 --initTime 2016-08-05T02:11:16 --startdatetime 2016-08-05T02:12:42 --delay 1 --endMP 300:23304 --enddatetime 2016-08-05T02:24:23 --enforcementcount 0 &gt;&gt; 2016-08-04-refined-runtimes.txt</v>
      </c>
    </row>
    <row r="212" spans="1:34" x14ac:dyDescent="0.25">
      <c r="A212" s="42" t="s">
        <v>768</v>
      </c>
      <c r="B212" s="7">
        <v>4041</v>
      </c>
      <c r="C212" s="25" t="s">
        <v>163</v>
      </c>
      <c r="D212" s="25" t="s">
        <v>760</v>
      </c>
      <c r="E212" s="16">
        <v>42586.797465277778</v>
      </c>
      <c r="F212" s="16">
        <v>42586.798437500001</v>
      </c>
      <c r="G212" s="7">
        <v>1</v>
      </c>
      <c r="H212" s="16" t="s">
        <v>769</v>
      </c>
      <c r="I212" s="16">
        <v>42586.804849537039</v>
      </c>
      <c r="J212" s="7">
        <v>0</v>
      </c>
      <c r="K212" s="114" t="str">
        <f t="shared" si="74"/>
        <v>4041/4042</v>
      </c>
      <c r="L212" s="25" t="str">
        <f>VLOOKUP(A212,'Trips&amp;Operators'!$C$1:$E$10000,3,FALSE)</f>
        <v>HAITHCOX</v>
      </c>
      <c r="M212" s="6">
        <f t="shared" si="75"/>
        <v>6.4120370370801538E-3</v>
      </c>
      <c r="N212" s="7">
        <f t="shared" si="73"/>
        <v>9.2333333333954215</v>
      </c>
      <c r="O212" s="7"/>
      <c r="P212" s="7"/>
      <c r="Q212" s="26"/>
      <c r="R212" s="26"/>
      <c r="S212" s="38">
        <f t="shared" si="76"/>
        <v>0</v>
      </c>
      <c r="T212" s="55" t="str">
        <f t="shared" si="77"/>
        <v>Southbound</v>
      </c>
      <c r="U212" s="77">
        <f>IF(AG212="EC",COUNTIFS(Variables!$M$2:$M$19,IF(T212="NorthBound","&gt;=","&lt;=")&amp;Y212,Variables!$M$2:$M$19,IF(T212="NorthBound","&lt;=","&gt;=")&amp;Z212),COUNTIFS(Variables!$P$2:$P$19,IF(T212="NorthBound","&gt;=","&lt;=")&amp;Y212,Variables!$P$2:$P$19,IF(T212="NorthBound","&lt;=","&gt;=")&amp;Z212))</f>
        <v>0</v>
      </c>
      <c r="V212" s="131" t="str">
        <f t="shared" si="78"/>
        <v>https://search-rtdc-monitor-bjffxe2xuh6vdkpspy63sjmuny.us-east-1.es.amazonaws.com/_plugin/kibana/#/discover/Steve-Slow-Train-Analysis-(2080s-and-2083s)?_g=(refreshInterval:(display:Off,section:0,value:0),time:(from:'2016-08-04 18:08:21-0600',mode:absolute,to:'2016-08-04 20:18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212" s="57" t="str">
        <f t="shared" si="79"/>
        <v>Y</v>
      </c>
      <c r="X212" s="117">
        <f>VALUE(LEFT(AD212,4))-VALUE(LEFT(AD204,4))</f>
        <v>59</v>
      </c>
      <c r="Y212" s="72">
        <f t="shared" si="81"/>
        <v>5.8570000000000002</v>
      </c>
      <c r="Z212" s="72">
        <f t="shared" si="82"/>
        <v>2.8793000000000002</v>
      </c>
      <c r="AA212" s="72">
        <f t="shared" si="83"/>
        <v>2.9777</v>
      </c>
      <c r="AB212" s="69" t="e">
        <f>VLOOKUP(A212,Enforcements!$C$7:$J$24,8,0)</f>
        <v>#N/A</v>
      </c>
      <c r="AC212" s="65" t="e">
        <f>VLOOKUP(A212,Enforcements!$C$7:$E$24,3,0)</f>
        <v>#N/A</v>
      </c>
      <c r="AD212" s="66" t="str">
        <f t="shared" si="84"/>
        <v>0906-04</v>
      </c>
      <c r="AE212" s="124" t="str">
        <f t="shared" si="85"/>
        <v>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 &amp; aws s3 cp s3://rtdc.mdm.uploadarchive/RTDC4041/2016-08-05/ "%USERPROFILE%\AppData\Local\Temp\OnboardLogs"\RTDC4041\2016-08-05 --recursive &amp; "%USERPROFILE%\Documents\GitHub\mrs-test-scripts\Headless Mode &amp; Sideloading\WalkAndUnGZ.bat" "%USERPROFILE%\AppData\Local\Temp\OnboardLogs"\RTDC4041\2016-08-05</v>
      </c>
      <c r="AF212" s="121" t="str">
        <f t="shared" si="86"/>
        <v>"C:\Program Files (x86)\AstroGrep\AstroGrep.exe" /spath="%USERPROFILE%\AppData\Local\Temp\OnboardLogs" /stypes="*4041*20160805*" /stext=" 01:.+((SYSTEM_STATE.+slice.+state.+changed )|(ment ac)|(system.+state.+changed )|(\|lc)|(penalty)|(\[timeout)|(PRM\|1\|D)|(kpr)|(kdp))" /e /r /s</v>
      </c>
      <c r="AG212" s="1" t="str">
        <f t="shared" si="87"/>
        <v>GL</v>
      </c>
      <c r="AH212" s="125" t="str">
        <f>refinertdcruntimes&amp;" --tripid "&amp;A212&amp;" --locoid "&amp;B212&amp;" --swversion "&amp;C212&amp;" --startMP "&amp;D212&amp;" --initTime "&amp;TEXT(E212,"yyyy-mm-ddTHH:MM:SS")&amp;" --startdatetime "&amp;TEXT(F212,"yyyy-mm-ddTHH:MM:SS")&amp;" --delay "&amp;G212&amp;" --endMP "&amp;H212&amp;" --enddatetime "&amp;TEXT(I212,"yyyy-mm-ddTHH:MM:SS")&amp;" --enforcementcount "&amp;J212&amp;" &gt;&gt; "&amp;TEXT(Variables!$A$2,"yyyy-mm-dd")&amp;"-refined-runtimes.txt"</f>
        <v>"%USERPROFILE%\Documents\GitHub\eaglep3\Utilities\RefineRTDCRunTimes.py" --tripid 906-04 --locoid 4041 --swversion DE.1.0.7.0 --startMP 300:58570 --initTime 2016-08-04T19:08:21 --startdatetime 2016-08-04T19:09:45 --delay 1 --endMP 300:28793 --enddatetime 2016-08-04T19:18:59 --enforcementcount 0 &gt;&gt; 2016-08-04-refined-runtimes.txt</v>
      </c>
    </row>
    <row r="213" spans="1:34" x14ac:dyDescent="0.25">
      <c r="A213" s="25" t="s">
        <v>770</v>
      </c>
      <c r="B213" s="87">
        <v>4017</v>
      </c>
      <c r="C213" s="88" t="s">
        <v>163</v>
      </c>
      <c r="D213" s="88" t="s">
        <v>771</v>
      </c>
      <c r="E213" s="89">
        <v>42586.944340277776</v>
      </c>
      <c r="F213" s="89">
        <v>42586.945520833331</v>
      </c>
      <c r="G213" s="87">
        <v>1</v>
      </c>
      <c r="H213" s="89" t="s">
        <v>772</v>
      </c>
      <c r="I213" s="89">
        <v>42586.952152777776</v>
      </c>
      <c r="J213" s="87">
        <v>0</v>
      </c>
      <c r="K213" s="114" t="str">
        <f t="shared" si="74"/>
        <v>4017/4018</v>
      </c>
      <c r="L213" s="25" t="str">
        <f>VLOOKUP(A213,'Trips&amp;Operators'!$C$1:$E$10000,3,FALSE)</f>
        <v>STAMBAUGH</v>
      </c>
      <c r="M213" s="6">
        <f t="shared" si="75"/>
        <v>6.6319444449618459E-3</v>
      </c>
      <c r="N213" s="7">
        <f t="shared" si="73"/>
        <v>9.5500000007450581</v>
      </c>
      <c r="O213" s="7"/>
      <c r="P213" s="7"/>
      <c r="Q213" s="26"/>
      <c r="R213" s="26"/>
      <c r="S213" s="38">
        <f t="shared" si="76"/>
        <v>0</v>
      </c>
      <c r="T213" s="55" t="str">
        <f t="shared" si="77"/>
        <v>Southbound</v>
      </c>
      <c r="U213" s="77">
        <f>IF(AG213="EC",COUNTIFS(Variables!$M$2:$M$19,IF(T213="NorthBound","&gt;=","&lt;=")&amp;Y213,Variables!$M$2:$M$19,IF(T213="NorthBound","&lt;=","&gt;=")&amp;Z213),COUNTIFS(Variables!$P$2:$P$19,IF(T213="NorthBound","&gt;=","&lt;=")&amp;Y213,Variables!$P$2:$P$19,IF(T213="NorthBound","&lt;=","&gt;=")&amp;Z213))</f>
        <v>0</v>
      </c>
      <c r="V213" s="131" t="str">
        <f t="shared" si="78"/>
        <v>https://search-rtdc-monitor-bjffxe2xuh6vdkpspy63sjmuny.us-east-1.es.amazonaws.com/_plugin/kibana/#/discover/Steve-Slow-Train-Analysis-(2080s-and-2083s)?_g=(refreshInterval:(display:Off,section:0,value:0),time:(from:'2016-08-04 21:39:51-0600',mode:absolute,to:'2016-08-04 23:51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213" s="57" t="str">
        <f t="shared" si="79"/>
        <v>Y</v>
      </c>
      <c r="X213" s="117">
        <f t="shared" si="80"/>
        <v>2</v>
      </c>
      <c r="Y213" s="72">
        <f t="shared" si="81"/>
        <v>5.8522999999999996</v>
      </c>
      <c r="Z213" s="72">
        <f t="shared" si="82"/>
        <v>2.1896</v>
      </c>
      <c r="AA213" s="72">
        <f t="shared" si="83"/>
        <v>3.6626999999999996</v>
      </c>
      <c r="AB213" s="69" t="e">
        <f>VLOOKUP(A213,Enforcements!$C$7:$J$24,8,0)</f>
        <v>#N/A</v>
      </c>
      <c r="AC213" s="65" t="e">
        <f>VLOOKUP(A213,Enforcements!$C$7:$E$24,3,0)</f>
        <v>#N/A</v>
      </c>
      <c r="AD213" s="66" t="str">
        <f t="shared" si="84"/>
        <v>0908-04</v>
      </c>
      <c r="AE213" s="124" t="str">
        <f t="shared" si="85"/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AF213" s="121" t="str">
        <f t="shared" si="86"/>
        <v>"C:\Program Files (x86)\AstroGrep\AstroGrep.exe" /spath="%USERPROFILE%\AppData\Local\Temp\OnboardLogs" /stypes="*4017*20160805*" /stext=" 04:.+((SYSTEM_STATE.+slice.+state.+changed )|(ment ac)|(system.+state.+changed )|(\|lc)|(penalty)|(\[timeout)|(PRM\|1\|D)|(kpr)|(kdp))" /e /r /s</v>
      </c>
      <c r="AG213" s="1" t="str">
        <f t="shared" si="87"/>
        <v>GL</v>
      </c>
      <c r="AH213" s="125" t="str">
        <f>refinertdcruntimes&amp;" --tripid "&amp;A213&amp;" --locoid "&amp;B213&amp;" --swversion "&amp;C213&amp;" --startMP "&amp;D213&amp;" --initTime "&amp;TEXT(E213,"yyyy-mm-ddTHH:MM:SS")&amp;" --startdatetime "&amp;TEXT(F213,"yyyy-mm-ddTHH:MM:SS")&amp;" --delay "&amp;G213&amp;" --endMP "&amp;H213&amp;" --enddatetime "&amp;TEXT(I213,"yyyy-mm-ddTHH:MM:SS")&amp;" --enforcementcount "&amp;J213&amp;" &gt;&gt; "&amp;TEXT(Variables!$A$2,"yyyy-mm-dd")&amp;"-refined-runtimes.txt"</f>
        <v>"%USERPROFILE%\Documents\GitHub\eaglep3\Utilities\RefineRTDCRunTimes.py" --tripid 908-04 --locoid 4017 --swversion DE.1.0.7.0 --startMP 300:58523 --initTime 2016-08-04T22:39:51 --startdatetime 2016-08-04T22:41:33 --delay 1 --endMP 300:21896 --enddatetime 2016-08-04T22:51:06 --enforcementcount 0 &gt;&gt; 2016-08-04-refined-runtimes.txt</v>
      </c>
    </row>
  </sheetData>
  <autoFilter ref="A12:AG213"/>
  <sortState ref="A13:AC160">
    <sortCondition ref="A13:A160"/>
    <sortCondition ref="F13:F160"/>
  </sortState>
  <mergeCells count="1">
    <mergeCell ref="A11:P11"/>
  </mergeCells>
  <conditionalFormatting sqref="W11:W12 W13:X1048576">
    <cfRule type="cellIs" dxfId="14" priority="82" operator="equal">
      <formula>"Y"</formula>
    </cfRule>
  </conditionalFormatting>
  <conditionalFormatting sqref="X13:X1048576">
    <cfRule type="cellIs" dxfId="13" priority="65" operator="greaterThan">
      <formula>1</formula>
    </cfRule>
  </conditionalFormatting>
  <conditionalFormatting sqref="X12:X1048576">
    <cfRule type="cellIs" dxfId="12" priority="62" operator="equal">
      <formula>0</formula>
    </cfRule>
  </conditionalFormatting>
  <conditionalFormatting sqref="A196:J198 A188:J192 A200:J212 A13:S16 S17 A17 K17:N17 A29:J184 K29:S213 A18:S28">
    <cfRule type="expression" dxfId="11" priority="58">
      <formula>$O13&gt;0</formula>
    </cfRule>
  </conditionalFormatting>
  <conditionalFormatting sqref="A196:J198 A188:J192 A200:J212 A13:S16 S17 A17 K17:N17 A29:J184 K29:S213 A18:S28">
    <cfRule type="expression" dxfId="10" priority="57">
      <formula>$P13&gt;0</formula>
    </cfRule>
  </conditionalFormatting>
  <conditionalFormatting sqref="B17:J17 O17:R17">
    <cfRule type="expression" dxfId="9" priority="3">
      <formula>$O17&gt;0</formula>
    </cfRule>
  </conditionalFormatting>
  <conditionalFormatting sqref="B17:J17 O17:R17">
    <cfRule type="expression" dxfId="8" priority="2">
      <formula>$P17&gt;0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6" id="{07B64F47-9FD1-48B1-84DC-90BBCF0B8697}">
            <xm:f>IF($AG13="EC",$N13&gt;Variables!$C$2,$N13&gt;Variables!$D$2)</xm:f>
            <x14:dxf>
              <fill>
                <patternFill>
                  <bgColor theme="5" tint="0.79998168889431442"/>
                </patternFill>
              </fill>
            </x14:dxf>
          </x14:cfRule>
          <xm:sqref>A196:J198 A188:J192 A200:J212 A13:S16 S17 A17 K17:N17 A29:J184 K29:S213 A18:S28</xm:sqref>
        </x14:conditionalFormatting>
        <x14:conditionalFormatting xmlns:xm="http://schemas.microsoft.com/office/excel/2006/main">
          <x14:cfRule type="expression" priority="1" id="{3FA41A05-1928-484D-A1A7-7E357C8B3EA7}">
            <xm:f>IF($AG17="EC",$N17&gt;Variables!$C$2,$N17&gt;Variables!$D$2)</xm:f>
            <x14:dxf>
              <fill>
                <patternFill>
                  <bgColor theme="5" tint="0.79998168889431442"/>
                </patternFill>
              </fill>
            </x14:dxf>
          </x14:cfRule>
          <xm:sqref>B17:J17 O17:R17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opLeftCell="A4" workbookViewId="0">
      <selection activeCell="A17" sqref="A17:N25"/>
    </sheetView>
  </sheetViews>
  <sheetFormatPr defaultRowHeight="15" x14ac:dyDescent="0.25"/>
  <cols>
    <col min="1" max="1" width="17.7109375" style="8" customWidth="1"/>
    <col min="2" max="2" width="15" customWidth="1"/>
    <col min="3" max="3" width="8.28515625" customWidth="1"/>
    <col min="4" max="4" width="19.85546875" customWidth="1"/>
    <col min="5" max="5" width="21" customWidth="1"/>
    <col min="6" max="6" width="7.7109375" style="2" customWidth="1"/>
    <col min="7" max="7" width="8.28515625" style="2" customWidth="1"/>
    <col min="8" max="8" width="9" style="2" customWidth="1"/>
    <col min="9" max="9" width="11.5703125" hidden="1" customWidth="1"/>
    <col min="10" max="10" width="10.85546875" style="2" customWidth="1"/>
    <col min="11" max="11" width="7" customWidth="1"/>
    <col min="12" max="12" width="11.85546875" style="31" customWidth="1"/>
    <col min="13" max="13" width="4.28515625" customWidth="1"/>
    <col min="14" max="14" width="24.140625" customWidth="1"/>
    <col min="15" max="15" width="5" hidden="1" customWidth="1"/>
    <col min="16" max="16" width="5.7109375" style="122" customWidth="1"/>
    <col min="17" max="17" width="5.7109375" style="136" customWidth="1"/>
    <col min="18" max="18" width="6" style="119" customWidth="1"/>
    <col min="19" max="19" width="5.28515625" customWidth="1"/>
    <col min="20" max="20" width="20" style="53" bestFit="1" customWidth="1"/>
    <col min="21" max="21" width="5.28515625" customWidth="1"/>
    <col min="22" max="22" width="6.7109375" customWidth="1"/>
  </cols>
  <sheetData>
    <row r="1" spans="1:22" s="24" customFormat="1" ht="15.75" thickBot="1" x14ac:dyDescent="0.3">
      <c r="A1" s="8"/>
      <c r="F1" s="2"/>
      <c r="G1" s="2"/>
      <c r="H1" s="2"/>
      <c r="J1" s="2"/>
      <c r="L1" s="31"/>
      <c r="P1" s="122"/>
      <c r="Q1" s="136"/>
      <c r="R1" s="119"/>
      <c r="T1" s="53"/>
    </row>
    <row r="2" spans="1:22" s="24" customFormat="1" ht="30" x14ac:dyDescent="0.25">
      <c r="A2" s="8"/>
      <c r="F2" s="2"/>
      <c r="G2" s="2"/>
      <c r="H2" s="2"/>
      <c r="J2" s="2"/>
      <c r="K2" s="39" t="s">
        <v>98</v>
      </c>
      <c r="L2" s="79"/>
      <c r="M2" s="81">
        <f>COUNTIF($M$7:$M$469,"=Y")</f>
        <v>9</v>
      </c>
      <c r="P2" s="122"/>
      <c r="Q2" s="136"/>
      <c r="R2" s="119"/>
      <c r="T2" s="53"/>
    </row>
    <row r="3" spans="1:22" s="24" customFormat="1" ht="15.75" thickBot="1" x14ac:dyDescent="0.3">
      <c r="A3" s="8"/>
      <c r="F3" s="2"/>
      <c r="G3" s="2"/>
      <c r="H3" s="2"/>
      <c r="J3" s="2"/>
      <c r="K3" s="40" t="s">
        <v>99</v>
      </c>
      <c r="L3" s="80"/>
      <c r="M3" s="82">
        <f>COUNTA($M$7:$M$469)-M2</f>
        <v>39</v>
      </c>
      <c r="P3" s="122"/>
      <c r="Q3" s="136"/>
      <c r="R3" s="119"/>
      <c r="T3" s="53"/>
    </row>
    <row r="4" spans="1:22" s="24" customFormat="1" x14ac:dyDescent="0.25">
      <c r="A4" s="8"/>
      <c r="F4" s="2"/>
      <c r="G4" s="2"/>
      <c r="H4" s="2"/>
      <c r="J4" s="2"/>
      <c r="L4" s="31"/>
      <c r="P4" s="122"/>
      <c r="Q4" s="136"/>
      <c r="R4" s="119"/>
      <c r="T4" s="53"/>
    </row>
    <row r="5" spans="1:22" s="12" customFormat="1" ht="15" customHeight="1" x14ac:dyDescent="0.25">
      <c r="A5" s="144" t="str">
        <f>"Eagle P3 Braking Events - "&amp;TEXT(Variables!$A$2,"YYYY-mm-dd")</f>
        <v>Eagle P3 Braking Events - 2016-08-04</v>
      </c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3"/>
      <c r="P5" s="133"/>
      <c r="Q5" s="137"/>
      <c r="R5" s="140"/>
      <c r="T5" s="54"/>
    </row>
    <row r="6" spans="1:22" s="1" customFormat="1" ht="135" x14ac:dyDescent="0.25">
      <c r="A6" s="11" t="s">
        <v>38</v>
      </c>
      <c r="B6" s="83" t="s">
        <v>37</v>
      </c>
      <c r="C6" s="83" t="s">
        <v>36</v>
      </c>
      <c r="D6" s="83" t="s">
        <v>35</v>
      </c>
      <c r="E6" s="83" t="s">
        <v>34</v>
      </c>
      <c r="F6" s="84" t="s">
        <v>33</v>
      </c>
      <c r="G6" s="84" t="s">
        <v>32</v>
      </c>
      <c r="H6" s="84" t="s">
        <v>31</v>
      </c>
      <c r="I6" s="83" t="s">
        <v>30</v>
      </c>
      <c r="J6" s="84" t="s">
        <v>29</v>
      </c>
      <c r="K6" s="83" t="s">
        <v>28</v>
      </c>
      <c r="L6" s="17" t="s">
        <v>47</v>
      </c>
      <c r="M6" s="83" t="s">
        <v>27</v>
      </c>
      <c r="N6" s="83" t="s">
        <v>24</v>
      </c>
      <c r="O6" s="55"/>
      <c r="P6" s="134" t="s">
        <v>124</v>
      </c>
      <c r="Q6" s="138" t="s">
        <v>66</v>
      </c>
      <c r="R6" s="141" t="s">
        <v>123</v>
      </c>
      <c r="S6" s="83" t="s">
        <v>118</v>
      </c>
      <c r="T6" s="85" t="s">
        <v>119</v>
      </c>
      <c r="U6" s="55" t="s">
        <v>135</v>
      </c>
      <c r="V6" s="55" t="s">
        <v>141</v>
      </c>
    </row>
    <row r="7" spans="1:22" s="1" customFormat="1" x14ac:dyDescent="0.25">
      <c r="A7" s="41">
        <v>42586.601631944446</v>
      </c>
      <c r="B7" s="34" t="s">
        <v>155</v>
      </c>
      <c r="C7" s="34" t="s">
        <v>492</v>
      </c>
      <c r="D7" s="34" t="s">
        <v>49</v>
      </c>
      <c r="E7" s="34" t="s">
        <v>131</v>
      </c>
      <c r="F7" s="52">
        <v>0</v>
      </c>
      <c r="G7" s="52">
        <v>265</v>
      </c>
      <c r="H7" s="52">
        <v>33313</v>
      </c>
      <c r="I7" s="34" t="s">
        <v>132</v>
      </c>
      <c r="J7" s="52">
        <v>33257</v>
      </c>
      <c r="K7" s="34" t="s">
        <v>53</v>
      </c>
      <c r="L7" s="115" t="str">
        <f>VLOOKUP(C7,'Trips&amp;Operators'!$C$1:$E$9999,3,0)</f>
        <v>SHOOK</v>
      </c>
      <c r="M7" s="9" t="s">
        <v>97</v>
      </c>
      <c r="N7" s="10" t="s">
        <v>474</v>
      </c>
      <c r="O7" s="34"/>
      <c r="P7" s="135" t="str">
        <f>VLOOKUP(C7,'Train Runs'!$A$13:$AE$681,31,0)</f>
        <v>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 &amp; aws s3 cp s3://rtdc.mdm.uploadarchive/RTDC4012/2016-08-05/ "%USERPROFILE%\AppData\Local\Temp\OnboardLogs"\RTDC4012\2016-08-05 --recursive &amp; "%USERPROFILE%\Documents\GitHub\mrs-test-scripts\Headless Mode &amp; Sideloading\WalkAndUnGZ.bat" "%USERPROFILE%\AppData\Local\Temp\OnboardLogs"\RTDC4012\2016-08-05</v>
      </c>
      <c r="Q7" s="139" t="str">
        <f>VLOOKUP(C7,'Train Runs'!$A$13:$AE$681,22,0)</f>
        <v>https://search-rtdc-monitor-bjffxe2xuh6vdkpspy63sjmuny.us-east-1.es.amazonaws.com/_plugin/kibana/#/discover/Steve-Slow-Train-Analysis-(2080s-and-2083s)?_g=(refreshInterval:(display:Off,section:0,value:0),time:(from:'2016-08-04 12:49:06-0600',mode:absolute,to:'2016-08-04 15:36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7" s="142" t="str">
        <f t="shared" ref="R7:R54" si="0">astrogrep_path&amp;" /spath="&amp;search_path&amp;" /stypes=""*"&amp;S7&amp;"*"&amp;TEXT(A7-utc_offset/24,"YYYYMMDD")&amp;LEFT(TEXT(A7-utc_offset/24,"HH"),1)&amp;"*"" /stext="" "&amp;TEXT(A7-utc_offset/24,"HH")&amp;search_regexp&amp;""" /e /r /s"</f>
        <v>"C:\Program Files (x86)\AstroGrep\AstroGrep.exe" /spath="%USERPROFILE%\AppData\Local\Temp\OnboardLogs" /stypes="*4012*201608042*" /stext=" 20:.+((SYSTEM_STATE.+slice.+state.+changed )|(ment ac)|(system.+state.+changed )|(\|lc)|(penalty)|(\[timeout)|(PRM\|1\|D)|(kpr)|(kdp))" /e /r /s</v>
      </c>
      <c r="S7" s="9" t="str">
        <f t="shared" ref="S7:S54" si="1">MID(B7,13,4)</f>
        <v>4012</v>
      </c>
      <c r="T7" s="41">
        <f t="shared" ref="T7:T54" si="2">A7+6/24</f>
        <v>42586.851631944446</v>
      </c>
      <c r="U7" s="55" t="str">
        <f t="shared" ref="U7:U54" si="3">IF(VALUE(LEFT(IF(LEN(C7)=6,"0"&amp;C7,C7),2))&lt;=2,"EC",IF(OR(VALUE(LEFT(IF(LEN(C7)=6,"0"&amp;C7,C7),2))=8,VALUE(LEFT(IF(LEN(C7)=6,"0"&amp;C7,C7),2))=18),"NW","GL"))</f>
        <v>EC</v>
      </c>
      <c r="V7" s="55" t="str">
        <f t="shared" ref="V7:V54" si="4">IF(AND(E7="TRACK WARRANT AUTHORITY",G7&lt;10),"OMIT","KEEP")</f>
        <v>KEEP</v>
      </c>
    </row>
    <row r="8" spans="1:22" s="1" customFormat="1" x14ac:dyDescent="0.25">
      <c r="A8" s="41">
        <v>42586.395300925928</v>
      </c>
      <c r="B8" s="34" t="s">
        <v>112</v>
      </c>
      <c r="C8" s="34" t="s">
        <v>481</v>
      </c>
      <c r="D8" s="34" t="s">
        <v>49</v>
      </c>
      <c r="E8" s="34" t="s">
        <v>131</v>
      </c>
      <c r="F8" s="52">
        <v>230</v>
      </c>
      <c r="G8" s="52">
        <v>288</v>
      </c>
      <c r="H8" s="52">
        <v>33479</v>
      </c>
      <c r="I8" s="34" t="s">
        <v>132</v>
      </c>
      <c r="J8" s="52">
        <v>33257</v>
      </c>
      <c r="K8" s="34" t="s">
        <v>53</v>
      </c>
      <c r="L8" s="115" t="str">
        <f>VLOOKUP(C8,'Trips&amp;Operators'!$C$1:$E$9999,3,0)</f>
        <v>STRICKLAND</v>
      </c>
      <c r="M8" s="9" t="s">
        <v>97</v>
      </c>
      <c r="N8" s="10" t="s">
        <v>474</v>
      </c>
      <c r="O8" s="34"/>
      <c r="P8" s="135" t="str">
        <f>VLOOKUP(C8,'Train Runs'!$A$13:$AE$681,31,0)</f>
        <v>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 &amp; aws s3 cp s3://rtdc.mdm.uploadarchive/RTDC4008/2016-08-05/ "%USERPROFILE%\AppData\Local\Temp\OnboardLogs"\RTDC4008\2016-08-05 --recursive &amp; "%USERPROFILE%\Documents\GitHub\mrs-test-scripts\Headless Mode &amp; Sideloading\WalkAndUnGZ.bat" "%USERPROFILE%\AppData\Local\Temp\OnboardLogs"\RTDC4008\2016-08-05</v>
      </c>
      <c r="Q8" s="139" t="str">
        <f>VLOOKUP(C8,'Train Runs'!$A$13:$AE$681,22,0)</f>
        <v>https://search-rtdc-monitor-bjffxe2xuh6vdkpspy63sjmuny.us-east-1.es.amazonaws.com/_plugin/kibana/#/discover/Steve-Slow-Train-Analysis-(2080s-and-2083s)?_g=(refreshInterval:(display:Off,section:0,value:0),time:(from:'2016-08-04 07:46:23-0600',mode:absolute,to:'2016-08-04 10:39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8" s="142" t="str">
        <f t="shared" si="0"/>
        <v>"C:\Program Files (x86)\AstroGrep\AstroGrep.exe" /spath="%USERPROFILE%\AppData\Local\Temp\OnboardLogs" /stypes="*4008*201608041*" /stext=" 15:.+((SYSTEM_STATE.+slice.+state.+changed )|(ment ac)|(system.+state.+changed )|(\|lc)|(penalty)|(\[timeout)|(PRM\|1\|D)|(kpr)|(kdp))" /e /r /s</v>
      </c>
      <c r="S8" s="9" t="str">
        <f t="shared" si="1"/>
        <v>4008</v>
      </c>
      <c r="T8" s="41">
        <f t="shared" si="2"/>
        <v>42586.645300925928</v>
      </c>
      <c r="U8" s="55" t="str">
        <f t="shared" si="3"/>
        <v>EC</v>
      </c>
      <c r="V8" s="55" t="str">
        <f t="shared" si="4"/>
        <v>KEEP</v>
      </c>
    </row>
    <row r="9" spans="1:22" s="1" customFormat="1" x14ac:dyDescent="0.25">
      <c r="A9" s="41">
        <v>42586.382337962961</v>
      </c>
      <c r="B9" s="34" t="s">
        <v>155</v>
      </c>
      <c r="C9" s="34" t="s">
        <v>479</v>
      </c>
      <c r="D9" s="34" t="s">
        <v>49</v>
      </c>
      <c r="E9" s="34" t="s">
        <v>131</v>
      </c>
      <c r="F9" s="52">
        <v>0</v>
      </c>
      <c r="G9" s="52">
        <v>463</v>
      </c>
      <c r="H9" s="52">
        <v>38596</v>
      </c>
      <c r="I9" s="34" t="s">
        <v>132</v>
      </c>
      <c r="J9" s="52">
        <v>37462</v>
      </c>
      <c r="K9" s="34" t="s">
        <v>53</v>
      </c>
      <c r="L9" s="115" t="str">
        <f>VLOOKUP(C9,'Trips&amp;Operators'!$C$1:$E$9999,3,0)</f>
        <v>MALAVE</v>
      </c>
      <c r="M9" s="9" t="s">
        <v>97</v>
      </c>
      <c r="N9" s="10" t="s">
        <v>474</v>
      </c>
      <c r="O9" s="34"/>
      <c r="P9" s="135" t="str">
        <f>VLOOKUP(C9,'Train Runs'!$A$13:$AE$681,31,0)</f>
        <v>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 &amp; aws s3 cp s3://rtdc.mdm.uploadarchive/RTDC4012/2016-08-05/ "%USERPROFILE%\AppData\Local\Temp\OnboardLogs"\RTDC4012\2016-08-05 --recursive &amp; "%USERPROFILE%\Documents\GitHub\mrs-test-scripts\Headless Mode &amp; Sideloading\WalkAndUnGZ.bat" "%USERPROFILE%\AppData\Local\Temp\OnboardLogs"\RTDC4012\2016-08-05</v>
      </c>
      <c r="Q9" s="139" t="str">
        <f>VLOOKUP(C9,'Train Runs'!$A$13:$AE$681,22,0)</f>
        <v>https://search-rtdc-monitor-bjffxe2xuh6vdkpspy63sjmuny.us-east-1.es.amazonaws.com/_plugin/kibana/#/discover/Steve-Slow-Train-Analysis-(2080s-and-2083s)?_g=(refreshInterval:(display:Off,section:0,value:0),time:(from:'2016-08-04 07:38:10-0600',mode:absolute,to:'2016-08-04 10:22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9" s="142" t="str">
        <f t="shared" si="0"/>
        <v>"C:\Program Files (x86)\AstroGrep\AstroGrep.exe" /spath="%USERPROFILE%\AppData\Local\Temp\OnboardLogs" /stypes="*4012*201608041*" /stext=" 15:.+((SYSTEM_STATE.+slice.+state.+changed )|(ment ac)|(system.+state.+changed )|(\|lc)|(penalty)|(\[timeout)|(PRM\|1\|D)|(kpr)|(kdp))" /e /r /s</v>
      </c>
      <c r="S9" s="9" t="str">
        <f t="shared" si="1"/>
        <v>4012</v>
      </c>
      <c r="T9" s="41">
        <f t="shared" si="2"/>
        <v>42586.632337962961</v>
      </c>
      <c r="U9" s="55" t="str">
        <f t="shared" si="3"/>
        <v>EC</v>
      </c>
      <c r="V9" s="55" t="str">
        <f t="shared" si="4"/>
        <v>KEEP</v>
      </c>
    </row>
    <row r="10" spans="1:22" s="1" customFormat="1" x14ac:dyDescent="0.25">
      <c r="A10" s="41">
        <v>42586.347291666665</v>
      </c>
      <c r="B10" s="34" t="s">
        <v>67</v>
      </c>
      <c r="C10" s="34" t="s">
        <v>476</v>
      </c>
      <c r="D10" s="34" t="s">
        <v>49</v>
      </c>
      <c r="E10" s="34" t="s">
        <v>56</v>
      </c>
      <c r="F10" s="52">
        <v>200</v>
      </c>
      <c r="G10" s="52">
        <v>287</v>
      </c>
      <c r="H10" s="52">
        <v>6308</v>
      </c>
      <c r="I10" s="34" t="s">
        <v>57</v>
      </c>
      <c r="J10" s="52">
        <v>5457</v>
      </c>
      <c r="K10" s="34" t="s">
        <v>53</v>
      </c>
      <c r="L10" s="115" t="str">
        <f>VLOOKUP(C10,'Trips&amp;Operators'!$C$1:$E$9999,3,0)</f>
        <v>STARKS</v>
      </c>
      <c r="M10" s="9" t="s">
        <v>97</v>
      </c>
      <c r="N10" s="10"/>
      <c r="O10" s="34"/>
      <c r="P10" s="135" t="str">
        <f>VLOOKUP(C10,'Train Runs'!$A$13:$AE$681,31,0)</f>
        <v>aws s3 cp s3://rtdc.mdm.uploadarchive/RTDC4019/2016-08-04/ "%USERPROFILE%\AppData\Local\Temp\OnboardLogs"\RTDC4019\2016-08-04 --recursive &amp; "%USERPROFILE%\Documents\GitHub\mrs-test-scripts\Headless Mode &amp; Sideloading\WalkAndUnGZ.bat" "%USERPROFILE%\AppData\Local\Temp\OnboardLogs"\RTDC4019\2016-08-04 &amp; aws s3 cp s3://rtdc.mdm.uploadarchive/RTDC4019/2016-08-05/ "%USERPROFILE%\AppData\Local\Temp\OnboardLogs"\RTDC4019\2016-08-05 --recursive &amp; "%USERPROFILE%\Documents\GitHub\mrs-test-scripts\Headless Mode &amp; Sideloading\WalkAndUnGZ.bat" "%USERPROFILE%\AppData\Local\Temp\OnboardLogs"\RTDC4019\2016-08-05</v>
      </c>
      <c r="Q10" s="139" t="str">
        <f>VLOOKUP(C10,'Train Runs'!$A$13:$AE$681,22,0)</f>
        <v>https://search-rtdc-monitor-bjffxe2xuh6vdkpspy63sjmuny.us-east-1.es.amazonaws.com/_plugin/kibana/#/discover/Steve-Slow-Train-Analysis-(2080s-and-2083s)?_g=(refreshInterval:(display:Off,section:0,value:0),time:(from:'2016-08-04 06:36:27-0600',mode:absolute,to:'2016-08-04 09:21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10" s="142" t="str">
        <f t="shared" si="0"/>
        <v>"C:\Program Files (x86)\AstroGrep\AstroGrep.exe" /spath="%USERPROFILE%\AppData\Local\Temp\OnboardLogs" /stypes="*4019*201608041*" /stext=" 14:.+((SYSTEM_STATE.+slice.+state.+changed )|(ment ac)|(system.+state.+changed )|(\|lc)|(penalty)|(\[timeout)|(PRM\|1\|D)|(kpr)|(kdp))" /e /r /s</v>
      </c>
      <c r="S10" s="9" t="str">
        <f t="shared" si="1"/>
        <v>4019</v>
      </c>
      <c r="T10" s="41">
        <f t="shared" si="2"/>
        <v>42586.597291666665</v>
      </c>
      <c r="U10" s="55" t="str">
        <f t="shared" si="3"/>
        <v>EC</v>
      </c>
      <c r="V10" s="55" t="str">
        <f t="shared" si="4"/>
        <v>KEEP</v>
      </c>
    </row>
    <row r="11" spans="1:22" s="1" customFormat="1" x14ac:dyDescent="0.25">
      <c r="A11" s="41">
        <v>42586.514143518521</v>
      </c>
      <c r="B11" s="34" t="s">
        <v>106</v>
      </c>
      <c r="C11" s="34" t="s">
        <v>489</v>
      </c>
      <c r="D11" s="34" t="s">
        <v>49</v>
      </c>
      <c r="E11" s="34" t="s">
        <v>56</v>
      </c>
      <c r="F11" s="52">
        <v>200</v>
      </c>
      <c r="G11" s="52">
        <v>285</v>
      </c>
      <c r="H11" s="52">
        <v>6295</v>
      </c>
      <c r="I11" s="34" t="s">
        <v>57</v>
      </c>
      <c r="J11" s="52">
        <v>5457</v>
      </c>
      <c r="K11" s="34" t="s">
        <v>53</v>
      </c>
      <c r="L11" s="115" t="str">
        <f>VLOOKUP(C11,'Trips&amp;Operators'!$C$1:$E$9999,3,0)</f>
        <v>CLARK</v>
      </c>
      <c r="M11" s="9" t="s">
        <v>97</v>
      </c>
      <c r="N11" s="10"/>
      <c r="O11" s="34"/>
      <c r="P11" s="135" t="str">
        <f>VLOOKUP(C11,'Train Runs'!$A$13:$AE$681,31,0)</f>
        <v>aws s3 cp s3://rtdc.mdm.uploadarchive/RTDC4028/2016-08-04/ "%USERPROFILE%\AppData\Local\Temp\OnboardLogs"\RTDC4028\2016-08-04 --recursive &amp; "%USERPROFILE%\Documents\GitHub\mrs-test-scripts\Headless Mode &amp; Sideloading\WalkAndUnGZ.bat" "%USERPROFILE%\AppData\Local\Temp\OnboardLogs"\RTDC4028\2016-08-04 &amp; aws s3 cp s3://rtdc.mdm.uploadarchive/RTDC4028/2016-08-05/ "%USERPROFILE%\AppData\Local\Temp\OnboardLogs"\RTDC4028\2016-08-05 --recursive &amp; "%USERPROFILE%\Documents\GitHub\mrs-test-scripts\Headless Mode &amp; Sideloading\WalkAndUnGZ.bat" "%USERPROFILE%\AppData\Local\Temp\OnboardLogs"\RTDC4028\2016-08-05</v>
      </c>
      <c r="Q11" s="139" t="str">
        <f>VLOOKUP(C11,'Train Runs'!$A$13:$AE$681,22,0)</f>
        <v>https://search-rtdc-monitor-bjffxe2xuh6vdkpspy63sjmuny.us-east-1.es.amazonaws.com/_plugin/kibana/#/discover/Steve-Slow-Train-Analysis-(2080s-and-2083s)?_g=(refreshInterval:(display:Off,section:0,value:0),time:(from:'2016-08-04 10:37:01-0600',mode:absolute,to:'2016-08-04 13:24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11" s="142" t="str">
        <f t="shared" si="0"/>
        <v>"C:\Program Files (x86)\AstroGrep\AstroGrep.exe" /spath="%USERPROFILE%\AppData\Local\Temp\OnboardLogs" /stypes="*4028*201608041*" /stext=" 18:.+((SYSTEM_STATE.+slice.+state.+changed )|(ment ac)|(system.+state.+changed )|(\|lc)|(penalty)|(\[timeout)|(PRM\|1\|D)|(kpr)|(kdp))" /e /r /s</v>
      </c>
      <c r="S11" s="9" t="str">
        <f t="shared" si="1"/>
        <v>4028</v>
      </c>
      <c r="T11" s="41">
        <f t="shared" si="2"/>
        <v>42586.764143518521</v>
      </c>
      <c r="U11" s="55" t="str">
        <f t="shared" si="3"/>
        <v>EC</v>
      </c>
      <c r="V11" s="55" t="str">
        <f t="shared" si="4"/>
        <v>KEEP</v>
      </c>
    </row>
    <row r="12" spans="1:22" s="1" customFormat="1" x14ac:dyDescent="0.25">
      <c r="A12" s="41">
        <v>42586.414710648147</v>
      </c>
      <c r="B12" s="34" t="s">
        <v>198</v>
      </c>
      <c r="C12" s="34" t="s">
        <v>483</v>
      </c>
      <c r="D12" s="34" t="s">
        <v>49</v>
      </c>
      <c r="E12" s="34" t="s">
        <v>56</v>
      </c>
      <c r="F12" s="52">
        <v>200</v>
      </c>
      <c r="G12" s="52">
        <v>293</v>
      </c>
      <c r="H12" s="52">
        <v>31652</v>
      </c>
      <c r="I12" s="34" t="s">
        <v>57</v>
      </c>
      <c r="J12" s="52">
        <v>30562</v>
      </c>
      <c r="K12" s="34" t="s">
        <v>53</v>
      </c>
      <c r="L12" s="115" t="str">
        <f>VLOOKUP(C12,'Trips&amp;Operators'!$C$1:$E$9999,3,0)</f>
        <v>STARKS</v>
      </c>
      <c r="M12" s="9" t="s">
        <v>97</v>
      </c>
      <c r="N12" s="10"/>
      <c r="O12" s="34"/>
      <c r="P12" s="135" t="str">
        <f>VLOOKUP(C12,'Train Runs'!$A$13:$AE$681,31,0)</f>
        <v>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 &amp; aws s3 cp s3://rtdc.mdm.uploadarchive/RTDC4037/2016-08-05/ "%USERPROFILE%\AppData\Local\Temp\OnboardLogs"\RTDC4037\2016-08-05 --recursive &amp; "%USERPROFILE%\Documents\GitHub\mrs-test-scripts\Headless Mode &amp; Sideloading\WalkAndUnGZ.bat" "%USERPROFILE%\AppData\Local\Temp\OnboardLogs"\RTDC4037\2016-08-05</v>
      </c>
      <c r="Q12" s="139" t="str">
        <f>VLOOKUP(C12,'Train Runs'!$A$13:$AE$681,22,0)</f>
        <v>https://search-rtdc-monitor-bjffxe2xuh6vdkpspy63sjmuny.us-east-1.es.amazonaws.com/_plugin/kibana/#/discover/Steve-Slow-Train-Analysis-(2080s-and-2083s)?_g=(refreshInterval:(display:Off,section:0,value:0),time:(from:'2016-08-04 08:23:56-0600',mode:absolute,to:'2016-08-04 11:06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2" s="142" t="str">
        <f t="shared" si="0"/>
        <v>"C:\Program Files (x86)\AstroGrep\AstroGrep.exe" /spath="%USERPROFILE%\AppData\Local\Temp\OnboardLogs" /stypes="*4037*201608041*" /stext=" 15:.+((SYSTEM_STATE.+slice.+state.+changed )|(ment ac)|(system.+state.+changed )|(\|lc)|(penalty)|(\[timeout)|(PRM\|1\|D)|(kpr)|(kdp))" /e /r /s</v>
      </c>
      <c r="S12" s="9" t="str">
        <f t="shared" si="1"/>
        <v>4037</v>
      </c>
      <c r="T12" s="41">
        <f t="shared" si="2"/>
        <v>42586.664710648147</v>
      </c>
      <c r="U12" s="55" t="str">
        <f t="shared" si="3"/>
        <v>EC</v>
      </c>
      <c r="V12" s="55" t="str">
        <f t="shared" si="4"/>
        <v>KEEP</v>
      </c>
    </row>
    <row r="13" spans="1:22" s="1" customFormat="1" x14ac:dyDescent="0.25">
      <c r="A13" s="41">
        <v>42586.45140046296</v>
      </c>
      <c r="B13" s="34" t="s">
        <v>112</v>
      </c>
      <c r="C13" s="34" t="s">
        <v>486</v>
      </c>
      <c r="D13" s="34" t="s">
        <v>142</v>
      </c>
      <c r="E13" s="34" t="s">
        <v>56</v>
      </c>
      <c r="F13" s="52">
        <v>700</v>
      </c>
      <c r="G13" s="52">
        <v>750</v>
      </c>
      <c r="H13" s="52">
        <v>163330</v>
      </c>
      <c r="I13" s="34" t="s">
        <v>57</v>
      </c>
      <c r="J13" s="52">
        <v>183829</v>
      </c>
      <c r="K13" s="34" t="s">
        <v>53</v>
      </c>
      <c r="L13" s="115" t="str">
        <f>VLOOKUP(C13,'Trips&amp;Operators'!$C$1:$E$9999,3,0)</f>
        <v>STRICKLAND</v>
      </c>
      <c r="M13" s="9" t="s">
        <v>97</v>
      </c>
      <c r="N13" s="10"/>
      <c r="O13" s="34"/>
      <c r="P13" s="135" t="str">
        <f>VLOOKUP(C13,'Train Runs'!$A$13:$AE$681,31,0)</f>
        <v>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 &amp; aws s3 cp s3://rtdc.mdm.uploadarchive/RTDC4008/2016-08-05/ "%USERPROFILE%\AppData\Local\Temp\OnboardLogs"\RTDC4008\2016-08-05 --recursive &amp; "%USERPROFILE%\Documents\GitHub\mrs-test-scripts\Headless Mode &amp; Sideloading\WalkAndUnGZ.bat" "%USERPROFILE%\AppData\Local\Temp\OnboardLogs"\RTDC4008\2016-08-05</v>
      </c>
      <c r="Q13" s="139" t="str">
        <f>VLOOKUP(C13,'Train Runs'!$A$13:$AE$681,22,0)</f>
        <v>https://search-rtdc-monitor-bjffxe2xuh6vdkpspy63sjmuny.us-east-1.es.amazonaws.com/_plugin/kibana/#/discover/Steve-Slow-Train-Analysis-(2080s-and-2083s)?_g=(refreshInterval:(display:Off,section:0,value:0),time:(from:'2016-08-04 09:33:53-0600',mode:absolute,to:'2016-08-04 12:20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13" s="142" t="str">
        <f t="shared" si="0"/>
        <v>"C:\Program Files (x86)\AstroGrep\AstroGrep.exe" /spath="%USERPROFILE%\AppData\Local\Temp\OnboardLogs" /stypes="*4008*201608041*" /stext=" 16:.+((SYSTEM_STATE.+slice.+state.+changed )|(ment ac)|(system.+state.+changed )|(\|lc)|(penalty)|(\[timeout)|(PRM\|1\|D)|(kpr)|(kdp))" /e /r /s</v>
      </c>
      <c r="S13" s="9" t="str">
        <f t="shared" si="1"/>
        <v>4008</v>
      </c>
      <c r="T13" s="41">
        <f t="shared" si="2"/>
        <v>42586.70140046296</v>
      </c>
      <c r="U13" s="55" t="str">
        <f t="shared" si="3"/>
        <v>EC</v>
      </c>
      <c r="V13" s="55" t="str">
        <f t="shared" si="4"/>
        <v>KEEP</v>
      </c>
    </row>
    <row r="14" spans="1:22" s="1" customFormat="1" x14ac:dyDescent="0.25">
      <c r="A14" s="41">
        <v>42586.762569444443</v>
      </c>
      <c r="B14" s="34" t="s">
        <v>198</v>
      </c>
      <c r="C14" s="34" t="s">
        <v>501</v>
      </c>
      <c r="D14" s="34" t="s">
        <v>142</v>
      </c>
      <c r="E14" s="34" t="s">
        <v>56</v>
      </c>
      <c r="F14" s="52">
        <v>600</v>
      </c>
      <c r="G14" s="52">
        <v>650</v>
      </c>
      <c r="H14" s="52">
        <v>184599</v>
      </c>
      <c r="I14" s="34" t="s">
        <v>57</v>
      </c>
      <c r="J14" s="52">
        <v>190834</v>
      </c>
      <c r="K14" s="34" t="s">
        <v>53</v>
      </c>
      <c r="L14" s="115" t="str">
        <f>VLOOKUP(C14,'Trips&amp;Operators'!$C$1:$E$9999,3,0)</f>
        <v>ROBINSON</v>
      </c>
      <c r="M14" s="9" t="s">
        <v>97</v>
      </c>
      <c r="N14" s="10"/>
      <c r="O14" s="34"/>
      <c r="P14" s="135" t="str">
        <f>VLOOKUP(C14,'Train Runs'!$A$13:$AE$681,31,0)</f>
        <v>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 &amp; aws s3 cp s3://rtdc.mdm.uploadarchive/RTDC4037/2016-08-05/ "%USERPROFILE%\AppData\Local\Temp\OnboardLogs"\RTDC4037\2016-08-05 --recursive &amp; "%USERPROFILE%\Documents\GitHub\mrs-test-scripts\Headless Mode &amp; Sideloading\WalkAndUnGZ.bat" "%USERPROFILE%\AppData\Local\Temp\OnboardLogs"\RTDC4037\2016-08-05</v>
      </c>
      <c r="Q14" s="139" t="str">
        <f>VLOOKUP(C14,'Train Runs'!$A$13:$AE$681,22,0)</f>
        <v>https://search-rtdc-monitor-bjffxe2xuh6vdkpspy63sjmuny.us-east-1.es.amazonaws.com/_plugin/kibana/#/discover/Steve-Slow-Train-Analysis-(2080s-and-2083s)?_g=(refreshInterval:(display:Off,section:0,value:0),time:(from:'2016-08-04 17:01:03-0600',mode:absolute,to:'2016-08-04 19:51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4" s="142" t="str">
        <f t="shared" si="0"/>
        <v>"C:\Program Files (x86)\AstroGrep\AstroGrep.exe" /spath="%USERPROFILE%\AppData\Local\Temp\OnboardLogs" /stypes="*4037*201608050*" /stext=" 00:.+((SYSTEM_STATE.+slice.+state.+changed )|(ment ac)|(system.+state.+changed )|(\|lc)|(penalty)|(\[timeout)|(PRM\|1\|D)|(kpr)|(kdp))" /e /r /s</v>
      </c>
      <c r="S14" s="9" t="str">
        <f t="shared" si="1"/>
        <v>4037</v>
      </c>
      <c r="T14" s="41">
        <f t="shared" si="2"/>
        <v>42587.012569444443</v>
      </c>
      <c r="U14" s="55" t="str">
        <f t="shared" si="3"/>
        <v>EC</v>
      </c>
      <c r="V14" s="55" t="str">
        <f t="shared" si="4"/>
        <v>KEEP</v>
      </c>
    </row>
    <row r="15" spans="1:22" s="1" customFormat="1" x14ac:dyDescent="0.25">
      <c r="A15" s="41">
        <v>42586.287442129629</v>
      </c>
      <c r="B15" s="34" t="s">
        <v>114</v>
      </c>
      <c r="C15" s="34" t="s">
        <v>467</v>
      </c>
      <c r="D15" s="34" t="s">
        <v>49</v>
      </c>
      <c r="E15" s="34" t="s">
        <v>56</v>
      </c>
      <c r="F15" s="52">
        <v>150</v>
      </c>
      <c r="G15" s="52">
        <v>208</v>
      </c>
      <c r="H15" s="52">
        <v>229645</v>
      </c>
      <c r="I15" s="34" t="s">
        <v>57</v>
      </c>
      <c r="J15" s="52">
        <v>230436</v>
      </c>
      <c r="K15" s="34" t="s">
        <v>52</v>
      </c>
      <c r="L15" s="115" t="str">
        <f>VLOOKUP(C15,'Trips&amp;Operators'!$C$1:$E$9999,3,0)</f>
        <v>STRICKLAND</v>
      </c>
      <c r="M15" s="9" t="s">
        <v>97</v>
      </c>
      <c r="N15" s="10"/>
      <c r="O15" s="34"/>
      <c r="P15" s="135" t="str">
        <f>VLOOKUP(C15,'Train Runs'!$A$13:$AE$681,31,0)</f>
        <v>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 &amp; aws s3 cp s3://rtdc.mdm.uploadarchive/RTDC4007/2016-08-05/ "%USERPROFILE%\AppData\Local\Temp\OnboardLogs"\RTDC4007\2016-08-05 --recursive &amp; "%USERPROFILE%\Documents\GitHub\mrs-test-scripts\Headless Mode &amp; Sideloading\WalkAndUnGZ.bat" "%USERPROFILE%\AppData\Local\Temp\OnboardLogs"\RTDC4007\2016-08-05</v>
      </c>
      <c r="Q15" s="139" t="str">
        <f>VLOOKUP(C15,'Train Runs'!$A$13:$AE$681,22,0)</f>
        <v>https://search-rtdc-monitor-bjffxe2xuh6vdkpspy63sjmuny.us-east-1.es.amazonaws.com/_plugin/kibana/#/discover/Steve-Slow-Train-Analysis-(2080s-and-2083s)?_g=(refreshInterval:(display:Off,section:0,value:0),time:(from:'2016-08-04 05:11:28-0600',mode:absolute,to:'2016-08-04 07:58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15" s="142" t="str">
        <f t="shared" si="0"/>
        <v>"C:\Program Files (x86)\AstroGrep\AstroGrep.exe" /spath="%USERPROFILE%\AppData\Local\Temp\OnboardLogs" /stypes="*4007*201608041*" /stext=" 12:.+((SYSTEM_STATE.+slice.+state.+changed )|(ment ac)|(system.+state.+changed )|(\|lc)|(penalty)|(\[timeout)|(PRM\|1\|D)|(kpr)|(kdp))" /e /r /s</v>
      </c>
      <c r="S15" s="9" t="str">
        <f t="shared" si="1"/>
        <v>4007</v>
      </c>
      <c r="T15" s="41">
        <f t="shared" si="2"/>
        <v>42586.537442129629</v>
      </c>
      <c r="U15" s="55" t="str">
        <f t="shared" si="3"/>
        <v>EC</v>
      </c>
      <c r="V15" s="55" t="str">
        <f t="shared" si="4"/>
        <v>KEEP</v>
      </c>
    </row>
    <row r="16" spans="1:22" s="1" customFormat="1" x14ac:dyDescent="0.25">
      <c r="A16" s="41">
        <v>42586.431643518517</v>
      </c>
      <c r="B16" s="34" t="s">
        <v>114</v>
      </c>
      <c r="C16" s="34" t="s">
        <v>484</v>
      </c>
      <c r="D16" s="34" t="s">
        <v>49</v>
      </c>
      <c r="E16" s="34" t="s">
        <v>56</v>
      </c>
      <c r="F16" s="52">
        <v>150</v>
      </c>
      <c r="G16" s="52">
        <v>314</v>
      </c>
      <c r="H16" s="52">
        <v>228488</v>
      </c>
      <c r="I16" s="34" t="s">
        <v>57</v>
      </c>
      <c r="J16" s="52">
        <v>230436</v>
      </c>
      <c r="K16" s="34" t="s">
        <v>52</v>
      </c>
      <c r="L16" s="115" t="str">
        <f>VLOOKUP(C16,'Trips&amp;Operators'!$C$1:$E$9999,3,0)</f>
        <v>STRICKLAND</v>
      </c>
      <c r="M16" s="9" t="s">
        <v>97</v>
      </c>
      <c r="N16" s="10"/>
      <c r="O16" s="34"/>
      <c r="P16" s="135" t="str">
        <f>VLOOKUP(C16,'Train Runs'!$A$13:$AE$681,31,0)</f>
        <v>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 &amp; aws s3 cp s3://rtdc.mdm.uploadarchive/RTDC4007/2016-08-05/ "%USERPROFILE%\AppData\Local\Temp\OnboardLogs"\RTDC4007\2016-08-05 --recursive &amp; "%USERPROFILE%\Documents\GitHub\mrs-test-scripts\Headless Mode &amp; Sideloading\WalkAndUnGZ.bat" "%USERPROFILE%\AppData\Local\Temp\OnboardLogs"\RTDC4007\2016-08-05</v>
      </c>
      <c r="Q16" s="139" t="str">
        <f>VLOOKUP(C16,'Train Runs'!$A$13:$AE$681,22,0)</f>
        <v>https://search-rtdc-monitor-bjffxe2xuh6vdkpspy63sjmuny.us-east-1.es.amazonaws.com/_plugin/kibana/#/discover/Steve-Slow-Train-Analysis-(2080s-and-2083s)?_g=(refreshInterval:(display:Off,section:0,value:0),time:(from:'2016-08-04 08:41:54-0600',mode:absolute,to:'2016-08-04 11:24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16" s="142" t="str">
        <f t="shared" si="0"/>
        <v>"C:\Program Files (x86)\AstroGrep\AstroGrep.exe" /spath="%USERPROFILE%\AppData\Local\Temp\OnboardLogs" /stypes="*4007*201608041*" /stext=" 16:.+((SYSTEM_STATE.+slice.+state.+changed )|(ment ac)|(system.+state.+changed )|(\|lc)|(penalty)|(\[timeout)|(PRM\|1\|D)|(kpr)|(kdp))" /e /r /s</v>
      </c>
      <c r="S16" s="9" t="str">
        <f t="shared" si="1"/>
        <v>4007</v>
      </c>
      <c r="T16" s="41">
        <f t="shared" si="2"/>
        <v>42586.681643518517</v>
      </c>
      <c r="U16" s="55" t="str">
        <f t="shared" si="3"/>
        <v>EC</v>
      </c>
      <c r="V16" s="55" t="str">
        <f t="shared" si="4"/>
        <v>KEEP</v>
      </c>
    </row>
    <row r="17" spans="1:22" s="1" customFormat="1" x14ac:dyDescent="0.25">
      <c r="A17" s="41">
        <v>42586.466932870368</v>
      </c>
      <c r="B17" s="34" t="s">
        <v>107</v>
      </c>
      <c r="C17" s="34" t="s">
        <v>488</v>
      </c>
      <c r="D17" s="34" t="s">
        <v>49</v>
      </c>
      <c r="E17" s="34" t="s">
        <v>54</v>
      </c>
      <c r="F17" s="52">
        <v>0</v>
      </c>
      <c r="G17" s="52">
        <v>575</v>
      </c>
      <c r="H17" s="52">
        <v>42925</v>
      </c>
      <c r="I17" s="34" t="s">
        <v>55</v>
      </c>
      <c r="J17" s="52">
        <v>43651</v>
      </c>
      <c r="K17" s="34" t="s">
        <v>52</v>
      </c>
      <c r="L17" s="115" t="str">
        <f>VLOOKUP(C17,'Trips&amp;Operators'!$C$1:$E$9999,3,0)</f>
        <v>OUN</v>
      </c>
      <c r="M17" s="9" t="s">
        <v>96</v>
      </c>
      <c r="N17" s="10" t="s">
        <v>374</v>
      </c>
      <c r="O17" s="34"/>
      <c r="P17" s="135" t="str">
        <f>VLOOKUP(C17,'Train Runs'!$A$13:$AE$681,31,0)</f>
        <v>aws s3 cp s3://rtdc.mdm.uploadarchive/RTDC4029/2016-08-04/ "%USERPROFILE%\AppData\Local\Temp\OnboardLogs"\RTDC4029\2016-08-04 --recursive &amp; "%USERPROFILE%\Documents\GitHub\mrs-test-scripts\Headless Mode &amp; Sideloading\WalkAndUnGZ.bat" "%USERPROFILE%\AppData\Local\Temp\OnboardLogs"\RTDC4029\2016-08-04 &amp; aws s3 cp s3://rtdc.mdm.uploadarchive/RTDC4029/2016-08-05/ "%USERPROFILE%\AppData\Local\Temp\OnboardLogs"\RTDC4029\2016-08-05 --recursive &amp; "%USERPROFILE%\Documents\GitHub\mrs-test-scripts\Headless Mode &amp; Sideloading\WalkAndUnGZ.bat" "%USERPROFILE%\AppData\Local\Temp\OnboardLogs"\RTDC4029\2016-08-05</v>
      </c>
      <c r="Q17" s="139" t="str">
        <f>VLOOKUP(C17,'Train Runs'!$A$13:$AE$681,22,0)</f>
        <v>https://search-rtdc-monitor-bjffxe2xuh6vdkpspy63sjmuny.us-east-1.es.amazonaws.com/_plugin/kibana/#/discover/Steve-Slow-Train-Analysis-(2080s-and-2083s)?_g=(refreshInterval:(display:Off,section:0,value:0),time:(from:'2016-08-04 09:53:27-0600',mode:absolute,to:'2016-08-04 12:40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R17" s="142" t="str">
        <f t="shared" si="0"/>
        <v>"C:\Program Files (x86)\AstroGrep\AstroGrep.exe" /spath="%USERPROFILE%\AppData\Local\Temp\OnboardLogs" /stypes="*4029*201608041*" /stext=" 17:.+((SYSTEM_STATE.+slice.+state.+changed )|(ment ac)|(system.+state.+changed )|(\|lc)|(penalty)|(\[timeout)|(PRM\|1\|D)|(kpr)|(kdp))" /e /r /s</v>
      </c>
      <c r="S17" s="9" t="str">
        <f t="shared" si="1"/>
        <v>4029</v>
      </c>
      <c r="T17" s="41">
        <f t="shared" si="2"/>
        <v>42586.716932870368</v>
      </c>
      <c r="U17" s="55" t="str">
        <f t="shared" si="3"/>
        <v>EC</v>
      </c>
      <c r="V17" s="55" t="str">
        <f t="shared" si="4"/>
        <v>KEEP</v>
      </c>
    </row>
    <row r="18" spans="1:22" s="1" customFormat="1" x14ac:dyDescent="0.25">
      <c r="A18" s="41">
        <v>42586.320104166669</v>
      </c>
      <c r="B18" s="34" t="s">
        <v>103</v>
      </c>
      <c r="C18" s="34" t="s">
        <v>475</v>
      </c>
      <c r="D18" s="34" t="s">
        <v>49</v>
      </c>
      <c r="E18" s="34" t="s">
        <v>54</v>
      </c>
      <c r="F18" s="52">
        <v>0</v>
      </c>
      <c r="G18" s="52">
        <v>355</v>
      </c>
      <c r="H18" s="52">
        <v>129044</v>
      </c>
      <c r="I18" s="34" t="s">
        <v>55</v>
      </c>
      <c r="J18" s="52">
        <v>127587</v>
      </c>
      <c r="K18" s="34" t="s">
        <v>53</v>
      </c>
      <c r="L18" s="115" t="str">
        <f>VLOOKUP(C18,'Trips&amp;Operators'!$C$1:$E$9999,3,0)</f>
        <v>SANTIZO</v>
      </c>
      <c r="M18" s="9" t="s">
        <v>97</v>
      </c>
      <c r="N18" s="10" t="s">
        <v>834</v>
      </c>
      <c r="O18" s="34"/>
      <c r="P18" s="135" t="str">
        <f>VLOOKUP(C18,'Train Runs'!$A$13:$AE$681,31,0)</f>
        <v>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 &amp; aws s3 cp s3://rtdc.mdm.uploadarchive/RTDC4026/2016-08-05/ "%USERPROFILE%\AppData\Local\Temp\OnboardLogs"\RTDC4026\2016-08-05 --recursive &amp; "%USERPROFILE%\Documents\GitHub\mrs-test-scripts\Headless Mode &amp; Sideloading\WalkAndUnGZ.bat" "%USERPROFILE%\AppData\Local\Temp\OnboardLogs"\RTDC4026\2016-08-05</v>
      </c>
      <c r="Q18" s="139" t="str">
        <f>VLOOKUP(C18,'Train Runs'!$A$13:$AE$681,22,0)</f>
        <v>https://search-rtdc-monitor-bjffxe2xuh6vdkpspy63sjmuny.us-east-1.es.amazonaws.com/_plugin/kibana/#/discover/Steve-Slow-Train-Analysis-(2080s-and-2083s)?_g=(refreshInterval:(display:Off,section:0,value:0),time:(from:'2016-08-04 06:22:37-0600',mode:absolute,to:'2016-08-04 09:06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18" s="142" t="str">
        <f t="shared" si="0"/>
        <v>"C:\Program Files (x86)\AstroGrep\AstroGrep.exe" /spath="%USERPROFILE%\AppData\Local\Temp\OnboardLogs" /stypes="*4026*201608041*" /stext=" 13:.+((SYSTEM_STATE.+slice.+state.+changed )|(ment ac)|(system.+state.+changed )|(\|lc)|(penalty)|(\[timeout)|(PRM\|1\|D)|(kpr)|(kdp))" /e /r /s</v>
      </c>
      <c r="S18" s="9" t="str">
        <f t="shared" si="1"/>
        <v>4026</v>
      </c>
      <c r="T18" s="41">
        <f t="shared" si="2"/>
        <v>42586.570104166669</v>
      </c>
      <c r="U18" s="55" t="str">
        <f t="shared" si="3"/>
        <v>EC</v>
      </c>
      <c r="V18" s="55" t="str">
        <f t="shared" si="4"/>
        <v>KEEP</v>
      </c>
    </row>
    <row r="19" spans="1:22" s="1" customFormat="1" x14ac:dyDescent="0.25">
      <c r="A19" s="41">
        <v>42586.610324074078</v>
      </c>
      <c r="B19" s="34" t="s">
        <v>103</v>
      </c>
      <c r="C19" s="34" t="s">
        <v>493</v>
      </c>
      <c r="D19" s="34" t="s">
        <v>49</v>
      </c>
      <c r="E19" s="34" t="s">
        <v>54</v>
      </c>
      <c r="F19" s="52">
        <v>0</v>
      </c>
      <c r="G19" s="52">
        <v>501</v>
      </c>
      <c r="H19" s="52">
        <v>129965</v>
      </c>
      <c r="I19" s="34" t="s">
        <v>55</v>
      </c>
      <c r="J19" s="52">
        <v>127587</v>
      </c>
      <c r="K19" s="34" t="s">
        <v>53</v>
      </c>
      <c r="L19" s="115" t="str">
        <f>VLOOKUP(C19,'Trips&amp;Operators'!$C$1:$E$9999,3,0)</f>
        <v>NEWELL</v>
      </c>
      <c r="M19" s="9" t="s">
        <v>97</v>
      </c>
      <c r="N19" s="10" t="s">
        <v>834</v>
      </c>
      <c r="O19" s="34"/>
      <c r="P19" s="135" t="str">
        <f>VLOOKUP(C19,'Train Runs'!$A$13:$AE$681,31,0)</f>
        <v>aws s3 cp s3://rtdc.mdm.uploadarchive/RTDC4026/2016-08-04/ "%USERPROFILE%\AppData\Local\Temp\OnboardLogs"\RTDC4026\2016-08-04 --recursive &amp; "%USERPROFILE%\Documents\GitHub\mrs-test-scripts\Headless Mode &amp; Sideloading\WalkAndUnGZ.bat" "%USERPROFILE%\AppData\Local\Temp\OnboardLogs"\RTDC4026\2016-08-04 &amp; aws s3 cp s3://rtdc.mdm.uploadarchive/RTDC4026/2016-08-05/ "%USERPROFILE%\AppData\Local\Temp\OnboardLogs"\RTDC4026\2016-08-05 --recursive &amp; "%USERPROFILE%\Documents\GitHub\mrs-test-scripts\Headless Mode &amp; Sideloading\WalkAndUnGZ.bat" "%USERPROFILE%\AppData\Local\Temp\OnboardLogs"\RTDC4026\2016-08-05</v>
      </c>
      <c r="Q19" s="139" t="str">
        <f>VLOOKUP(C19,'Train Runs'!$A$13:$AE$681,22,0)</f>
        <v>https://search-rtdc-monitor-bjffxe2xuh6vdkpspy63sjmuny.us-east-1.es.amazonaws.com/_plugin/kibana/#/discover/Steve-Slow-Train-Analysis-(2080s-and-2083s)?_g=(refreshInterval:(display:Off,section:0,value:0),time:(from:'2016-08-04 13:07:27-0600',mode:absolute,to:'2016-08-04 16:04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19" s="142" t="str">
        <f t="shared" si="0"/>
        <v>"C:\Program Files (x86)\AstroGrep\AstroGrep.exe" /spath="%USERPROFILE%\AppData\Local\Temp\OnboardLogs" /stypes="*4026*201608042*" /stext=" 20:.+((SYSTEM_STATE.+slice.+state.+changed )|(ment ac)|(system.+state.+changed )|(\|lc)|(penalty)|(\[timeout)|(PRM\|1\|D)|(kpr)|(kdp))" /e /r /s</v>
      </c>
      <c r="S19" s="9" t="str">
        <f t="shared" si="1"/>
        <v>4026</v>
      </c>
      <c r="T19" s="41">
        <f t="shared" si="2"/>
        <v>42586.860324074078</v>
      </c>
      <c r="U19" s="55" t="str">
        <f t="shared" si="3"/>
        <v>EC</v>
      </c>
      <c r="V19" s="55" t="str">
        <f t="shared" si="4"/>
        <v>KEEP</v>
      </c>
    </row>
    <row r="20" spans="1:22" s="1" customFormat="1" x14ac:dyDescent="0.25">
      <c r="A20" s="41">
        <v>42586.269456018519</v>
      </c>
      <c r="B20" s="34" t="s">
        <v>153</v>
      </c>
      <c r="C20" s="34" t="s">
        <v>450</v>
      </c>
      <c r="D20" s="34" t="s">
        <v>49</v>
      </c>
      <c r="E20" s="34" t="s">
        <v>54</v>
      </c>
      <c r="F20" s="52">
        <v>0</v>
      </c>
      <c r="G20" s="52">
        <v>788</v>
      </c>
      <c r="H20" s="52">
        <v>148137</v>
      </c>
      <c r="I20" s="34" t="s">
        <v>55</v>
      </c>
      <c r="J20" s="52">
        <v>155600</v>
      </c>
      <c r="K20" s="34" t="s">
        <v>52</v>
      </c>
      <c r="L20" s="115" t="str">
        <f>VLOOKUP(C20,'Trips&amp;Operators'!$C$1:$E$9999,3,0)</f>
        <v>MALAVE</v>
      </c>
      <c r="M20" s="9" t="s">
        <v>97</v>
      </c>
      <c r="N20" s="10" t="s">
        <v>833</v>
      </c>
      <c r="O20" s="34"/>
      <c r="P20" s="135" t="str">
        <f>VLOOKUP(C20,'Train Runs'!$A$13:$AE$681,31,0)</f>
        <v>aws s3 cp s3://rtdc.mdm.uploadarchive/RTDC4011/2016-08-04/ "%USERPROFILE%\AppData\Local\Temp\OnboardLogs"\RTDC4011\2016-08-04 --recursive &amp; "%USERPROFILE%\Documents\GitHub\mrs-test-scripts\Headless Mode &amp; Sideloading\WalkAndUnGZ.bat" "%USERPROFILE%\AppData\Local\Temp\OnboardLogs"\RTDC4011\2016-08-04 &amp; aws s3 cp s3://rtdc.mdm.uploadarchive/RTDC4011/2016-08-05/ "%USERPROFILE%\AppData\Local\Temp\OnboardLogs"\RTDC4011\2016-08-05 --recursive &amp; "%USERPROFILE%\Documents\GitHub\mrs-test-scripts\Headless Mode &amp; Sideloading\WalkAndUnGZ.bat" "%USERPROFILE%\AppData\Local\Temp\OnboardLogs"\RTDC4011\2016-08-05</v>
      </c>
      <c r="Q20" s="139" t="str">
        <f>VLOOKUP(C20,'Train Runs'!$A$13:$AE$681,22,0)</f>
        <v>https://search-rtdc-monitor-bjffxe2xuh6vdkpspy63sjmuny.us-east-1.es.amazonaws.com/_plugin/kibana/#/discover/Steve-Slow-Train-Analysis-(2080s-and-2083s)?_g=(refreshInterval:(display:Off,section:0,value:0),time:(from:'2016-08-04 04:56:18-0600',mode:absolute,to:'2016-08-04 07:39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4011%22')),sort:!(Time,asc))</v>
      </c>
      <c r="R20" s="142" t="str">
        <f t="shared" si="0"/>
        <v>"C:\Program Files (x86)\AstroGrep\AstroGrep.exe" /spath="%USERPROFILE%\AppData\Local\Temp\OnboardLogs" /stypes="*4011*201608041*" /stext=" 12:.+((SYSTEM_STATE.+slice.+state.+changed )|(ment ac)|(system.+state.+changed )|(\|lc)|(penalty)|(\[timeout)|(PRM\|1\|D)|(kpr)|(kdp))" /e /r /s</v>
      </c>
      <c r="S20" s="9" t="str">
        <f t="shared" si="1"/>
        <v>4011</v>
      </c>
      <c r="T20" s="41">
        <f t="shared" si="2"/>
        <v>42586.519456018519</v>
      </c>
      <c r="U20" s="55" t="str">
        <f t="shared" si="3"/>
        <v>EC</v>
      </c>
      <c r="V20" s="55" t="str">
        <f t="shared" si="4"/>
        <v>KEEP</v>
      </c>
    </row>
    <row r="21" spans="1:22" s="1" customFormat="1" x14ac:dyDescent="0.25">
      <c r="A21" s="41">
        <v>42586.280555555553</v>
      </c>
      <c r="B21" s="34" t="s">
        <v>114</v>
      </c>
      <c r="C21" s="34" t="s">
        <v>467</v>
      </c>
      <c r="D21" s="34" t="s">
        <v>49</v>
      </c>
      <c r="E21" s="34" t="s">
        <v>54</v>
      </c>
      <c r="F21" s="52">
        <v>0</v>
      </c>
      <c r="G21" s="52">
        <v>468</v>
      </c>
      <c r="H21" s="52">
        <v>150766</v>
      </c>
      <c r="I21" s="34" t="s">
        <v>55</v>
      </c>
      <c r="J21" s="52">
        <v>155600</v>
      </c>
      <c r="K21" s="34" t="s">
        <v>52</v>
      </c>
      <c r="L21" s="115" t="str">
        <f>VLOOKUP(C21,'Trips&amp;Operators'!$C$1:$E$9999,3,0)</f>
        <v>STRICKLAND</v>
      </c>
      <c r="M21" s="9" t="s">
        <v>97</v>
      </c>
      <c r="N21" s="10" t="s">
        <v>833</v>
      </c>
      <c r="O21" s="34"/>
      <c r="P21" s="135" t="str">
        <f>VLOOKUP(C21,'Train Runs'!$A$13:$AE$681,31,0)</f>
        <v>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 &amp; aws s3 cp s3://rtdc.mdm.uploadarchive/RTDC4007/2016-08-05/ "%USERPROFILE%\AppData\Local\Temp\OnboardLogs"\RTDC4007\2016-08-05 --recursive &amp; "%USERPROFILE%\Documents\GitHub\mrs-test-scripts\Headless Mode &amp; Sideloading\WalkAndUnGZ.bat" "%USERPROFILE%\AppData\Local\Temp\OnboardLogs"\RTDC4007\2016-08-05</v>
      </c>
      <c r="Q21" s="139" t="str">
        <f>VLOOKUP(C21,'Train Runs'!$A$13:$AE$681,22,0)</f>
        <v>https://search-rtdc-monitor-bjffxe2xuh6vdkpspy63sjmuny.us-east-1.es.amazonaws.com/_plugin/kibana/#/discover/Steve-Slow-Train-Analysis-(2080s-and-2083s)?_g=(refreshInterval:(display:Off,section:0,value:0),time:(from:'2016-08-04 05:11:28-0600',mode:absolute,to:'2016-08-04 07:58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21" s="142" t="str">
        <f t="shared" si="0"/>
        <v>"C:\Program Files (x86)\AstroGrep\AstroGrep.exe" /spath="%USERPROFILE%\AppData\Local\Temp\OnboardLogs" /stypes="*4007*201608041*" /stext=" 12:.+((SYSTEM_STATE.+slice.+state.+changed )|(ment ac)|(system.+state.+changed )|(\|lc)|(penalty)|(\[timeout)|(PRM\|1\|D)|(kpr)|(kdp))" /e /r /s</v>
      </c>
      <c r="S21" s="9" t="str">
        <f t="shared" si="1"/>
        <v>4007</v>
      </c>
      <c r="T21" s="41">
        <f t="shared" si="2"/>
        <v>42586.530555555553</v>
      </c>
      <c r="U21" s="55" t="str">
        <f t="shared" si="3"/>
        <v>EC</v>
      </c>
      <c r="V21" s="55" t="str">
        <f t="shared" si="4"/>
        <v>KEEP</v>
      </c>
    </row>
    <row r="22" spans="1:22" s="1" customFormat="1" x14ac:dyDescent="0.25">
      <c r="A22" s="41">
        <v>42586.15965277778</v>
      </c>
      <c r="B22" s="34" t="s">
        <v>68</v>
      </c>
      <c r="C22" s="34" t="s">
        <v>455</v>
      </c>
      <c r="D22" s="34" t="s">
        <v>49</v>
      </c>
      <c r="E22" s="34" t="s">
        <v>54</v>
      </c>
      <c r="F22" s="52">
        <v>0</v>
      </c>
      <c r="G22" s="52">
        <v>346</v>
      </c>
      <c r="H22" s="52">
        <v>223830</v>
      </c>
      <c r="I22" s="34" t="s">
        <v>55</v>
      </c>
      <c r="J22" s="52">
        <v>224231</v>
      </c>
      <c r="K22" s="34" t="s">
        <v>52</v>
      </c>
      <c r="L22" s="115" t="str">
        <f>VLOOKUP(C22,'Trips&amp;Operators'!$C$1:$E$9999,3,0)</f>
        <v>MAELZER</v>
      </c>
      <c r="M22" s="9" t="s">
        <v>96</v>
      </c>
      <c r="N22" s="10" t="s">
        <v>374</v>
      </c>
      <c r="O22" s="34"/>
      <c r="P22" s="135" t="str">
        <f>VLOOKUP(C22,'Train Runs'!$A$13:$AE$681,31,0)</f>
        <v>aws s3 cp s3://rtdc.mdm.uploadarchive/RTDC4020/2016-08-04/ "%USERPROFILE%\AppData\Local\Temp\OnboardLogs"\RTDC4020\2016-08-04 --recursive &amp; "%USERPROFILE%\Documents\GitHub\mrs-test-scripts\Headless Mode &amp; Sideloading\WalkAndUnGZ.bat" "%USERPROFILE%\AppData\Local\Temp\OnboardLogs"\RTDC4020\2016-08-04 &amp; aws s3 cp s3://rtdc.mdm.uploadarchive/RTDC4020/2016-08-05/ "%USERPROFILE%\AppData\Local\Temp\OnboardLogs"\RTDC4020\2016-08-05 --recursive &amp; "%USERPROFILE%\Documents\GitHub\mrs-test-scripts\Headless Mode &amp; Sideloading\WalkAndUnGZ.bat" "%USERPROFILE%\AppData\Local\Temp\OnboardLogs"\RTDC4020\2016-08-05</v>
      </c>
      <c r="Q22" s="139" t="str">
        <f>VLOOKUP(C22,'Train Runs'!$A$13:$AE$681,22,0)</f>
        <v>https://search-rtdc-monitor-bjffxe2xuh6vdkpspy63sjmuny.us-east-1.es.amazonaws.com/_plugin/kibana/#/discover/Steve-Slow-Train-Analysis-(2080s-and-2083s)?_g=(refreshInterval:(display:Off,section:0,value:0),time:(from:'2016-08-04 02:12:01-0600',mode:absolute,to:'2016-08-04 04:55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22" s="142" t="str">
        <f t="shared" si="0"/>
        <v>"C:\Program Files (x86)\AstroGrep\AstroGrep.exe" /spath="%USERPROFILE%\AppData\Local\Temp\OnboardLogs" /stypes="*4020*201608040*" /stext=" 09:.+((SYSTEM_STATE.+slice.+state.+changed )|(ment ac)|(system.+state.+changed )|(\|lc)|(penalty)|(\[timeout)|(PRM\|1\|D)|(kpr)|(kdp))" /e /r /s</v>
      </c>
      <c r="S22" s="9" t="str">
        <f t="shared" si="1"/>
        <v>4020</v>
      </c>
      <c r="T22" s="41">
        <f t="shared" si="2"/>
        <v>42586.40965277778</v>
      </c>
      <c r="U22" s="55" t="str">
        <f t="shared" si="3"/>
        <v>EC</v>
      </c>
      <c r="V22" s="55" t="str">
        <f t="shared" si="4"/>
        <v>KEEP</v>
      </c>
    </row>
    <row r="23" spans="1:22" x14ac:dyDescent="0.25">
      <c r="A23" s="41">
        <v>42586.379479166666</v>
      </c>
      <c r="B23" s="34" t="s">
        <v>101</v>
      </c>
      <c r="C23" s="34" t="s">
        <v>478</v>
      </c>
      <c r="D23" s="34" t="s">
        <v>49</v>
      </c>
      <c r="E23" s="34" t="s">
        <v>54</v>
      </c>
      <c r="F23" s="52">
        <v>0</v>
      </c>
      <c r="G23" s="52">
        <v>549</v>
      </c>
      <c r="H23" s="52">
        <v>221057</v>
      </c>
      <c r="I23" s="34" t="s">
        <v>55</v>
      </c>
      <c r="J23" s="52">
        <v>224231</v>
      </c>
      <c r="K23" s="34" t="s">
        <v>52</v>
      </c>
      <c r="L23" s="115" t="str">
        <f>VLOOKUP(C23,'Trips&amp;Operators'!$C$1:$E$9999,3,0)</f>
        <v>STARKS</v>
      </c>
      <c r="M23" s="9" t="s">
        <v>96</v>
      </c>
      <c r="N23" s="10" t="s">
        <v>374</v>
      </c>
      <c r="O23" s="34"/>
      <c r="P23" s="135" t="str">
        <f>VLOOKUP(C23,'Train Runs'!$A$13:$AE$681,31,0)</f>
        <v>aws s3 cp s3://rtdc.mdm.uploadarchive/RTDC4038/2016-08-04/ "%USERPROFILE%\AppData\Local\Temp\OnboardLogs"\RTDC4038\2016-08-04 --recursive &amp; "%USERPROFILE%\Documents\GitHub\mrs-test-scripts\Headless Mode &amp; Sideloading\WalkAndUnGZ.bat" "%USERPROFILE%\AppData\Local\Temp\OnboardLogs"\RTDC4038\2016-08-04 &amp; aws s3 cp s3://rtdc.mdm.uploadarchive/RTDC4038/2016-08-05/ "%USERPROFILE%\AppData\Local\Temp\OnboardLogs"\RTDC4038\2016-08-05 --recursive &amp; "%USERPROFILE%\Documents\GitHub\mrs-test-scripts\Headless Mode &amp; Sideloading\WalkAndUnGZ.bat" "%USERPROFILE%\AppData\Local\Temp\OnboardLogs"\RTDC4038\2016-08-05</v>
      </c>
      <c r="Q23" s="139" t="str">
        <f>VLOOKUP(C23,'Train Runs'!$A$13:$AE$681,22,0)</f>
        <v>https://search-rtdc-monitor-bjffxe2xuh6vdkpspy63sjmuny.us-east-1.es.amazonaws.com/_plugin/kibana/#/discover/Steve-Slow-Train-Analysis-(2080s-and-2083s)?_g=(refreshInterval:(display:Off,section:0,value:0),time:(from:'2016-08-04 07:29:54-0600',mode:absolute,to:'2016-08-04 10:10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23" s="142" t="str">
        <f t="shared" si="0"/>
        <v>"C:\Program Files (x86)\AstroGrep\AstroGrep.exe" /spath="%USERPROFILE%\AppData\Local\Temp\OnboardLogs" /stypes="*4038*201608041*" /stext=" 15:.+((SYSTEM_STATE.+slice.+state.+changed )|(ment ac)|(system.+state.+changed )|(\|lc)|(penalty)|(\[timeout)|(PRM\|1\|D)|(kpr)|(kdp))" /e /r /s</v>
      </c>
      <c r="S23" s="9" t="str">
        <f t="shared" si="1"/>
        <v>4038</v>
      </c>
      <c r="T23" s="41">
        <f t="shared" si="2"/>
        <v>42586.629479166666</v>
      </c>
      <c r="U23" s="55" t="str">
        <f t="shared" si="3"/>
        <v>EC</v>
      </c>
      <c r="V23" s="55" t="str">
        <f t="shared" si="4"/>
        <v>KEEP</v>
      </c>
    </row>
    <row r="24" spans="1:22" s="1" customFormat="1" x14ac:dyDescent="0.25">
      <c r="A24" s="41">
        <v>42586.388321759259</v>
      </c>
      <c r="B24" s="34" t="s">
        <v>169</v>
      </c>
      <c r="C24" s="34" t="s">
        <v>480</v>
      </c>
      <c r="D24" s="34" t="s">
        <v>49</v>
      </c>
      <c r="E24" s="34" t="s">
        <v>54</v>
      </c>
      <c r="F24" s="52">
        <v>0</v>
      </c>
      <c r="G24" s="52">
        <v>140</v>
      </c>
      <c r="H24" s="52">
        <v>223816</v>
      </c>
      <c r="I24" s="34" t="s">
        <v>55</v>
      </c>
      <c r="J24" s="52">
        <v>224231</v>
      </c>
      <c r="K24" s="34" t="s">
        <v>52</v>
      </c>
      <c r="L24" s="115" t="str">
        <f>VLOOKUP(C24,'Trips&amp;Operators'!$C$1:$E$9999,3,0)</f>
        <v>MAELZER</v>
      </c>
      <c r="M24" s="9" t="s">
        <v>96</v>
      </c>
      <c r="N24" s="10" t="s">
        <v>374</v>
      </c>
      <c r="O24" s="34"/>
      <c r="P24" s="135" t="str">
        <f>VLOOKUP(C24,'Train Runs'!$A$13:$AE$681,31,0)</f>
        <v>aws s3 cp s3://rtdc.mdm.uploadarchive/RTDC4031/2016-08-04/ "%USERPROFILE%\AppData\Local\Temp\OnboardLogs"\RTDC4031\2016-08-04 --recursive &amp; "%USERPROFILE%\Documents\GitHub\mrs-test-scripts\Headless Mode &amp; Sideloading\WalkAndUnGZ.bat" "%USERPROFILE%\AppData\Local\Temp\OnboardLogs"\RTDC4031\2016-08-04 &amp; aws s3 cp s3://rtdc.mdm.uploadarchive/RTDC4031/2016-08-05/ "%USERPROFILE%\AppData\Local\Temp\OnboardLogs"\RTDC4031\2016-08-05 --recursive &amp; "%USERPROFILE%\Documents\GitHub\mrs-test-scripts\Headless Mode &amp; Sideloading\WalkAndUnGZ.bat" "%USERPROFILE%\AppData\Local\Temp\OnboardLogs"\RTDC4031\2016-08-05</v>
      </c>
      <c r="Q24" s="139" t="str">
        <f>VLOOKUP(C24,'Train Runs'!$A$13:$AE$681,22,0)</f>
        <v>https://search-rtdc-monitor-bjffxe2xuh6vdkpspy63sjmuny.us-east-1.es.amazonaws.com/_plugin/kibana/#/discover/Steve-Slow-Train-Analysis-(2080s-and-2083s)?_g=(refreshInterval:(display:Off,section:0,value:0),time:(from:'2016-08-04 07:43:29-0600',mode:absolute,to:'2016-08-04 10:19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24" s="142" t="str">
        <f t="shared" si="0"/>
        <v>"C:\Program Files (x86)\AstroGrep\AstroGrep.exe" /spath="%USERPROFILE%\AppData\Local\Temp\OnboardLogs" /stypes="*4031*201608041*" /stext=" 15:.+((SYSTEM_STATE.+slice.+state.+changed )|(ment ac)|(system.+state.+changed )|(\|lc)|(penalty)|(\[timeout)|(PRM\|1\|D)|(kpr)|(kdp))" /e /r /s</v>
      </c>
      <c r="S24" s="9" t="str">
        <f t="shared" si="1"/>
        <v>4031</v>
      </c>
      <c r="T24" s="41">
        <f t="shared" si="2"/>
        <v>42586.638321759259</v>
      </c>
      <c r="U24" s="55" t="str">
        <f t="shared" si="3"/>
        <v>EC</v>
      </c>
      <c r="V24" s="55" t="str">
        <f t="shared" si="4"/>
        <v>KEEP</v>
      </c>
    </row>
    <row r="25" spans="1:22" x14ac:dyDescent="0.25">
      <c r="A25" s="41">
        <v>42586.22384259259</v>
      </c>
      <c r="B25" s="34" t="s">
        <v>108</v>
      </c>
      <c r="C25" s="34" t="s">
        <v>447</v>
      </c>
      <c r="D25" s="34" t="s">
        <v>49</v>
      </c>
      <c r="E25" s="34" t="s">
        <v>334</v>
      </c>
      <c r="F25" s="52">
        <v>0</v>
      </c>
      <c r="G25" s="52">
        <v>164</v>
      </c>
      <c r="H25" s="52">
        <v>4913</v>
      </c>
      <c r="I25" s="34" t="s">
        <v>335</v>
      </c>
      <c r="J25" s="52">
        <v>4677</v>
      </c>
      <c r="K25" s="34" t="s">
        <v>53</v>
      </c>
      <c r="L25" s="115" t="str">
        <f>VLOOKUP(C25,'Trips&amp;Operators'!$C$1:$E$9999,3,0)</f>
        <v>SPECTOR</v>
      </c>
      <c r="M25" s="9" t="s">
        <v>96</v>
      </c>
      <c r="N25" s="10" t="s">
        <v>374</v>
      </c>
      <c r="O25" s="34"/>
      <c r="P25" s="135" t="str">
        <f>VLOOKUP(C25,'Train Runs'!$A$13:$AE$681,31,0)</f>
        <v>aws s3 cp s3://rtdc.mdm.uploadarchive/RTDC4030/2016-08-04/ "%USERPROFILE%\AppData\Local\Temp\OnboardLogs"\RTDC4030\2016-08-04 --recursive &amp; "%USERPROFILE%\Documents\GitHub\mrs-test-scripts\Headless Mode &amp; Sideloading\WalkAndUnGZ.bat" "%USERPROFILE%\AppData\Local\Temp\OnboardLogs"\RTDC4030\2016-08-04 &amp; aws s3 cp s3://rtdc.mdm.uploadarchive/RTDC4030/2016-08-05/ "%USERPROFILE%\AppData\Local\Temp\OnboardLogs"\RTDC4030\2016-08-05 --recursive &amp; "%USERPROFILE%\Documents\GitHub\mrs-test-scripts\Headless Mode &amp; Sideloading\WalkAndUnGZ.bat" "%USERPROFILE%\AppData\Local\Temp\OnboardLogs"\RTDC4030\2016-08-05</v>
      </c>
      <c r="Q25" s="139" t="str">
        <f>VLOOKUP(C25,'Train Runs'!$A$13:$AE$681,22,0)</f>
        <v>https://search-rtdc-monitor-bjffxe2xuh6vdkpspy63sjmuny.us-east-1.es.amazonaws.com/_plugin/kibana/#/discover/Steve-Slow-Train-Analysis-(2080s-and-2083s)?_g=(refreshInterval:(display:Off,section:0,value:0),time:(from:'2016-08-04 03:44:16-0600',mode:absolute,to:'2016-08-04 06:23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25" s="142" t="str">
        <f t="shared" si="0"/>
        <v>"C:\Program Files (x86)\AstroGrep\AstroGrep.exe" /spath="%USERPROFILE%\AppData\Local\Temp\OnboardLogs" /stypes="*4030*201608041*" /stext=" 11:.+((SYSTEM_STATE.+slice.+state.+changed )|(ment ac)|(system.+state.+changed )|(\|lc)|(penalty)|(\[timeout)|(PRM\|1\|D)|(kpr)|(kdp))" /e /r /s</v>
      </c>
      <c r="S25" s="9" t="str">
        <f t="shared" si="1"/>
        <v>4030</v>
      </c>
      <c r="T25" s="41">
        <f t="shared" si="2"/>
        <v>42586.47384259259</v>
      </c>
      <c r="U25" s="55" t="str">
        <f t="shared" si="3"/>
        <v>EC</v>
      </c>
      <c r="V25" s="55" t="str">
        <f t="shared" si="4"/>
        <v>KEEP</v>
      </c>
    </row>
    <row r="26" spans="1:22" x14ac:dyDescent="0.25">
      <c r="A26" s="41">
        <v>42586.243113425924</v>
      </c>
      <c r="B26" s="34" t="s">
        <v>198</v>
      </c>
      <c r="C26" s="34" t="s">
        <v>454</v>
      </c>
      <c r="D26" s="34" t="s">
        <v>49</v>
      </c>
      <c r="E26" s="34" t="s">
        <v>50</v>
      </c>
      <c r="F26" s="52">
        <v>0</v>
      </c>
      <c r="G26" s="52">
        <v>33</v>
      </c>
      <c r="H26" s="52">
        <v>103</v>
      </c>
      <c r="I26" s="34" t="s">
        <v>51</v>
      </c>
      <c r="J26" s="52">
        <v>1</v>
      </c>
      <c r="K26" s="34" t="s">
        <v>53</v>
      </c>
      <c r="L26" s="115" t="str">
        <f>VLOOKUP(C26,'Trips&amp;Operators'!$C$1:$E$9999,3,0)</f>
        <v>MALAVE</v>
      </c>
      <c r="M26" s="9" t="s">
        <v>97</v>
      </c>
      <c r="N26" s="10"/>
      <c r="O26" s="34"/>
      <c r="P26" s="135" t="str">
        <f>VLOOKUP(C26,'Train Runs'!$A$13:$AE$681,31,0)</f>
        <v>aws s3 cp s3://rtdc.mdm.uploadarchive/RTDC4037/2016-08-04/ "%USERPROFILE%\AppData\Local\Temp\OnboardLogs"\RTDC4037\2016-08-04 --recursive &amp; "%USERPROFILE%\Documents\GitHub\mrs-test-scripts\Headless Mode &amp; Sideloading\WalkAndUnGZ.bat" "%USERPROFILE%\AppData\Local\Temp\OnboardLogs"\RTDC4037\2016-08-04 &amp; aws s3 cp s3://rtdc.mdm.uploadarchive/RTDC4037/2016-08-05/ "%USERPROFILE%\AppData\Local\Temp\OnboardLogs"\RTDC4037\2016-08-05 --recursive &amp; "%USERPROFILE%\Documents\GitHub\mrs-test-scripts\Headless Mode &amp; Sideloading\WalkAndUnGZ.bat" "%USERPROFILE%\AppData\Local\Temp\OnboardLogs"\RTDC4037\2016-08-05</v>
      </c>
      <c r="Q26" s="139" t="str">
        <f>VLOOKUP(C26,'Train Runs'!$A$13:$AE$681,22,0)</f>
        <v>https://search-rtdc-monitor-bjffxe2xuh6vdkpspy63sjmuny.us-east-1.es.amazonaws.com/_plugin/kibana/#/discover/Steve-Slow-Train-Analysis-(2080s-and-2083s)?_g=(refreshInterval:(display:Off,section:0,value:0),time:(from:'2016-08-04 04:08:19-0600',mode:absolute,to:'2016-08-04 06:50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26" s="142" t="str">
        <f t="shared" si="0"/>
        <v>"C:\Program Files (x86)\AstroGrep\AstroGrep.exe" /spath="%USERPROFILE%\AppData\Local\Temp\OnboardLogs" /stypes="*4037*201608041*" /stext=" 11:.+((SYSTEM_STATE.+slice.+state.+changed )|(ment ac)|(system.+state.+changed )|(\|lc)|(penalty)|(\[timeout)|(PRM\|1\|D)|(kpr)|(kdp))" /e /r /s</v>
      </c>
      <c r="S26" s="9" t="str">
        <f t="shared" si="1"/>
        <v>4037</v>
      </c>
      <c r="T26" s="41">
        <f t="shared" si="2"/>
        <v>42586.493113425924</v>
      </c>
      <c r="U26" s="55" t="str">
        <f t="shared" si="3"/>
        <v>EC</v>
      </c>
      <c r="V26" s="55" t="str">
        <f t="shared" si="4"/>
        <v>KEEP</v>
      </c>
    </row>
    <row r="27" spans="1:22" x14ac:dyDescent="0.25">
      <c r="A27" s="41">
        <v>42586.462037037039</v>
      </c>
      <c r="B27" s="34" t="s">
        <v>155</v>
      </c>
      <c r="C27" s="34" t="s">
        <v>487</v>
      </c>
      <c r="D27" s="34" t="s">
        <v>49</v>
      </c>
      <c r="E27" s="34" t="s">
        <v>50</v>
      </c>
      <c r="F27" s="52">
        <v>0</v>
      </c>
      <c r="G27" s="52">
        <v>169</v>
      </c>
      <c r="H27" s="52">
        <v>713</v>
      </c>
      <c r="I27" s="34" t="s">
        <v>51</v>
      </c>
      <c r="J27" s="52">
        <v>1</v>
      </c>
      <c r="K27" s="34" t="s">
        <v>53</v>
      </c>
      <c r="L27" s="115" t="str">
        <f>VLOOKUP(C27,'Trips&amp;Operators'!$C$1:$E$9999,3,0)</f>
        <v>MALAVE</v>
      </c>
      <c r="M27" s="9" t="s">
        <v>97</v>
      </c>
      <c r="N27" s="10"/>
      <c r="O27" s="34"/>
      <c r="P27" s="135" t="str">
        <f>VLOOKUP(C27,'Train Runs'!$A$13:$AE$681,31,0)</f>
        <v>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 &amp; aws s3 cp s3://rtdc.mdm.uploadarchive/RTDC4012/2016-08-05/ "%USERPROFILE%\AppData\Local\Temp\OnboardLogs"\RTDC4012\2016-08-05 --recursive &amp; "%USERPROFILE%\Documents\GitHub\mrs-test-scripts\Headless Mode &amp; Sideloading\WalkAndUnGZ.bat" "%USERPROFILE%\AppData\Local\Temp\OnboardLogs"\RTDC4012\2016-08-05</v>
      </c>
      <c r="Q27" s="139" t="str">
        <f>VLOOKUP(C27,'Train Runs'!$A$13:$AE$681,22,0)</f>
        <v>https://search-rtdc-monitor-bjffxe2xuh6vdkpspy63sjmuny.us-east-1.es.amazonaws.com/_plugin/kibana/#/discover/Steve-Slow-Train-Analysis-(2080s-and-2083s)?_g=(refreshInterval:(display:Off,section:0,value:0),time:(from:'2016-08-04 09:24:01-0600',mode:absolute,to:'2016-08-04 12:06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27" s="142" t="str">
        <f t="shared" si="0"/>
        <v>"C:\Program Files (x86)\AstroGrep\AstroGrep.exe" /spath="%USERPROFILE%\AppData\Local\Temp\OnboardLogs" /stypes="*4012*201608041*" /stext=" 17:.+((SYSTEM_STATE.+slice.+state.+changed )|(ment ac)|(system.+state.+changed )|(\|lc)|(penalty)|(\[timeout)|(PRM\|1\|D)|(kpr)|(kdp))" /e /r /s</v>
      </c>
      <c r="S27" s="9" t="str">
        <f t="shared" si="1"/>
        <v>4012</v>
      </c>
      <c r="T27" s="41">
        <f t="shared" si="2"/>
        <v>42586.712037037039</v>
      </c>
      <c r="U27" s="55" t="str">
        <f t="shared" si="3"/>
        <v>EC</v>
      </c>
      <c r="V27" s="55" t="str">
        <f t="shared" si="4"/>
        <v>KEEP</v>
      </c>
    </row>
    <row r="28" spans="1:22" x14ac:dyDescent="0.25">
      <c r="A28" s="41">
        <v>42586.462569444448</v>
      </c>
      <c r="B28" s="34" t="s">
        <v>155</v>
      </c>
      <c r="C28" s="34" t="s">
        <v>487</v>
      </c>
      <c r="D28" s="34" t="s">
        <v>49</v>
      </c>
      <c r="E28" s="34" t="s">
        <v>50</v>
      </c>
      <c r="F28" s="52">
        <v>0</v>
      </c>
      <c r="G28" s="52">
        <v>57</v>
      </c>
      <c r="H28" s="52">
        <v>189</v>
      </c>
      <c r="I28" s="34" t="s">
        <v>51</v>
      </c>
      <c r="J28" s="52">
        <v>1</v>
      </c>
      <c r="K28" s="34" t="s">
        <v>53</v>
      </c>
      <c r="L28" s="115" t="str">
        <f>VLOOKUP(C28,'Trips&amp;Operators'!$C$1:$E$9999,3,0)</f>
        <v>MALAVE</v>
      </c>
      <c r="M28" s="9" t="s">
        <v>97</v>
      </c>
      <c r="N28" s="10"/>
      <c r="O28" s="34"/>
      <c r="P28" s="135" t="str">
        <f>VLOOKUP(C28,'Train Runs'!$A$13:$AE$681,31,0)</f>
        <v>aws s3 cp s3://rtdc.mdm.uploadarchive/RTDC4012/2016-08-04/ "%USERPROFILE%\AppData\Local\Temp\OnboardLogs"\RTDC4012\2016-08-04 --recursive &amp; "%USERPROFILE%\Documents\GitHub\mrs-test-scripts\Headless Mode &amp; Sideloading\WalkAndUnGZ.bat" "%USERPROFILE%\AppData\Local\Temp\OnboardLogs"\RTDC4012\2016-08-04 &amp; aws s3 cp s3://rtdc.mdm.uploadarchive/RTDC4012/2016-08-05/ "%USERPROFILE%\AppData\Local\Temp\OnboardLogs"\RTDC4012\2016-08-05 --recursive &amp; "%USERPROFILE%\Documents\GitHub\mrs-test-scripts\Headless Mode &amp; Sideloading\WalkAndUnGZ.bat" "%USERPROFILE%\AppData\Local\Temp\OnboardLogs"\RTDC4012\2016-08-05</v>
      </c>
      <c r="Q28" s="139" t="str">
        <f>VLOOKUP(C28,'Train Runs'!$A$13:$AE$681,22,0)</f>
        <v>https://search-rtdc-monitor-bjffxe2xuh6vdkpspy63sjmuny.us-east-1.es.amazonaws.com/_plugin/kibana/#/discover/Steve-Slow-Train-Analysis-(2080s-and-2083s)?_g=(refreshInterval:(display:Off,section:0,value:0),time:(from:'2016-08-04 09:24:01-0600',mode:absolute,to:'2016-08-04 12:06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28" s="142" t="str">
        <f t="shared" si="0"/>
        <v>"C:\Program Files (x86)\AstroGrep\AstroGrep.exe" /spath="%USERPROFILE%\AppData\Local\Temp\OnboardLogs" /stypes="*4012*201608041*" /stext=" 17:.+((SYSTEM_STATE.+slice.+state.+changed )|(ment ac)|(system.+state.+changed )|(\|lc)|(penalty)|(\[timeout)|(PRM\|1\|D)|(kpr)|(kdp))" /e /r /s</v>
      </c>
      <c r="S28" s="9" t="str">
        <f t="shared" si="1"/>
        <v>4012</v>
      </c>
      <c r="T28" s="41">
        <f t="shared" si="2"/>
        <v>42586.712569444448</v>
      </c>
      <c r="U28" s="55" t="str">
        <f t="shared" si="3"/>
        <v>EC</v>
      </c>
      <c r="V28" s="55" t="str">
        <f t="shared" si="4"/>
        <v>KEEP</v>
      </c>
    </row>
    <row r="29" spans="1:22" x14ac:dyDescent="0.25">
      <c r="A29" s="41">
        <v>42586.472754629627</v>
      </c>
      <c r="B29" s="34" t="s">
        <v>112</v>
      </c>
      <c r="C29" s="34" t="s">
        <v>486</v>
      </c>
      <c r="D29" s="34" t="s">
        <v>49</v>
      </c>
      <c r="E29" s="34" t="s">
        <v>50</v>
      </c>
      <c r="F29" s="52">
        <v>0</v>
      </c>
      <c r="G29" s="52">
        <v>75</v>
      </c>
      <c r="H29" s="52">
        <v>180</v>
      </c>
      <c r="I29" s="34" t="s">
        <v>51</v>
      </c>
      <c r="J29" s="52">
        <v>1</v>
      </c>
      <c r="K29" s="34" t="s">
        <v>53</v>
      </c>
      <c r="L29" s="115" t="str">
        <f>VLOOKUP(C29,'Trips&amp;Operators'!$C$1:$E$9999,3,0)</f>
        <v>STRICKLAND</v>
      </c>
      <c r="M29" s="9" t="s">
        <v>97</v>
      </c>
      <c r="N29" s="10"/>
      <c r="O29" s="34"/>
      <c r="P29" s="135" t="str">
        <f>VLOOKUP(C29,'Train Runs'!$A$13:$AE$681,31,0)</f>
        <v>aws s3 cp s3://rtdc.mdm.uploadarchive/RTDC4008/2016-08-04/ "%USERPROFILE%\AppData\Local\Temp\OnboardLogs"\RTDC4008\2016-08-04 --recursive &amp; "%USERPROFILE%\Documents\GitHub\mrs-test-scripts\Headless Mode &amp; Sideloading\WalkAndUnGZ.bat" "%USERPROFILE%\AppData\Local\Temp\OnboardLogs"\RTDC4008\2016-08-04 &amp; aws s3 cp s3://rtdc.mdm.uploadarchive/RTDC4008/2016-08-05/ "%USERPROFILE%\AppData\Local\Temp\OnboardLogs"\RTDC4008\2016-08-05 --recursive &amp; "%USERPROFILE%\Documents\GitHub\mrs-test-scripts\Headless Mode &amp; Sideloading\WalkAndUnGZ.bat" "%USERPROFILE%\AppData\Local\Temp\OnboardLogs"\RTDC4008\2016-08-05</v>
      </c>
      <c r="Q29" s="139" t="str">
        <f>VLOOKUP(C29,'Train Runs'!$A$13:$AE$681,22,0)</f>
        <v>https://search-rtdc-monitor-bjffxe2xuh6vdkpspy63sjmuny.us-east-1.es.amazonaws.com/_plugin/kibana/#/discover/Steve-Slow-Train-Analysis-(2080s-and-2083s)?_g=(refreshInterval:(display:Off,section:0,value:0),time:(from:'2016-08-04 09:33:53-0600',mode:absolute,to:'2016-08-04 12:20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29" s="142" t="str">
        <f t="shared" si="0"/>
        <v>"C:\Program Files (x86)\AstroGrep\AstroGrep.exe" /spath="%USERPROFILE%\AppData\Local\Temp\OnboardLogs" /stypes="*4008*201608041*" /stext=" 17:.+((SYSTEM_STATE.+slice.+state.+changed )|(ment ac)|(system.+state.+changed )|(\|lc)|(penalty)|(\[timeout)|(PRM\|1\|D)|(kpr)|(kdp))" /e /r /s</v>
      </c>
      <c r="S29" s="9" t="str">
        <f t="shared" si="1"/>
        <v>4008</v>
      </c>
      <c r="T29" s="41">
        <f t="shared" si="2"/>
        <v>42586.722754629627</v>
      </c>
      <c r="U29" s="55" t="str">
        <f t="shared" si="3"/>
        <v>EC</v>
      </c>
      <c r="V29" s="55" t="str">
        <f t="shared" si="4"/>
        <v>KEEP</v>
      </c>
    </row>
    <row r="30" spans="1:22" x14ac:dyDescent="0.25">
      <c r="A30" s="41">
        <v>42586.576805555553</v>
      </c>
      <c r="B30" s="34" t="s">
        <v>170</v>
      </c>
      <c r="C30" s="34" t="s">
        <v>490</v>
      </c>
      <c r="D30" s="34" t="s">
        <v>49</v>
      </c>
      <c r="E30" s="34" t="s">
        <v>50</v>
      </c>
      <c r="F30" s="52">
        <v>0</v>
      </c>
      <c r="G30" s="52">
        <v>90</v>
      </c>
      <c r="H30" s="52">
        <v>334</v>
      </c>
      <c r="I30" s="34" t="s">
        <v>51</v>
      </c>
      <c r="J30" s="52">
        <v>1</v>
      </c>
      <c r="K30" s="34" t="s">
        <v>53</v>
      </c>
      <c r="L30" s="115" t="str">
        <f>VLOOKUP(C30,'Trips&amp;Operators'!$C$1:$E$9999,3,0)</f>
        <v>SUR</v>
      </c>
      <c r="M30" s="9" t="s">
        <v>97</v>
      </c>
      <c r="N30" s="10"/>
      <c r="O30" s="34"/>
      <c r="P30" s="135" t="str">
        <f>VLOOKUP(C30,'Train Runs'!$A$13:$AE$681,31,0)</f>
        <v>aws s3 cp s3://rtdc.mdm.uploadarchive/RTDC4032/2016-08-04/ "%USERPROFILE%\AppData\Local\Temp\OnboardLogs"\RTDC4032\2016-08-04 --recursive &amp; "%USERPROFILE%\Documents\GitHub\mrs-test-scripts\Headless Mode &amp; Sideloading\WalkAndUnGZ.bat" "%USERPROFILE%\AppData\Local\Temp\OnboardLogs"\RTDC4032\2016-08-04 &amp; aws s3 cp s3://rtdc.mdm.uploadarchive/RTDC4032/2016-08-05/ "%USERPROFILE%\AppData\Local\Temp\OnboardLogs"\RTDC4032\2016-08-05 --recursive &amp; "%USERPROFILE%\Documents\GitHub\mrs-test-scripts\Headless Mode &amp; Sideloading\WalkAndUnGZ.bat" "%USERPROFILE%\AppData\Local\Temp\OnboardLogs"\RTDC4032\2016-08-05</v>
      </c>
      <c r="Q30" s="139" t="str">
        <f>VLOOKUP(C30,'Train Runs'!$A$13:$AE$681,22,0)</f>
        <v>https://search-rtdc-monitor-bjffxe2xuh6vdkpspy63sjmuny.us-east-1.es.amazonaws.com/_plugin/kibana/#/discover/Steve-Slow-Train-Analysis-(2080s-and-2083s)?_g=(refreshInterval:(display:Off,section:0,value:0),time:(from:'2016-08-04 11:59:01-0600',mode:absolute,to:'2016-08-04 14:50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30" s="142" t="str">
        <f t="shared" si="0"/>
        <v>"C:\Program Files (x86)\AstroGrep\AstroGrep.exe" /spath="%USERPROFILE%\AppData\Local\Temp\OnboardLogs" /stypes="*4032*201608041*" /stext=" 19:.+((SYSTEM_STATE.+slice.+state.+changed )|(ment ac)|(system.+state.+changed )|(\|lc)|(penalty)|(\[timeout)|(PRM\|1\|D)|(kpr)|(kdp))" /e /r /s</v>
      </c>
      <c r="S30" s="9" t="str">
        <f t="shared" si="1"/>
        <v>4032</v>
      </c>
      <c r="T30" s="41">
        <f t="shared" si="2"/>
        <v>42586.826805555553</v>
      </c>
      <c r="U30" s="55" t="str">
        <f t="shared" si="3"/>
        <v>EC</v>
      </c>
      <c r="V30" s="55" t="str">
        <f t="shared" si="4"/>
        <v>KEEP</v>
      </c>
    </row>
    <row r="31" spans="1:22" x14ac:dyDescent="0.25">
      <c r="A31" s="41">
        <v>42586.804537037038</v>
      </c>
      <c r="B31" s="34" t="s">
        <v>106</v>
      </c>
      <c r="C31" s="34" t="s">
        <v>503</v>
      </c>
      <c r="D31" s="34" t="s">
        <v>49</v>
      </c>
      <c r="E31" s="34" t="s">
        <v>50</v>
      </c>
      <c r="F31" s="52">
        <v>0</v>
      </c>
      <c r="G31" s="52">
        <v>71</v>
      </c>
      <c r="H31" s="52">
        <v>251</v>
      </c>
      <c r="I31" s="34" t="s">
        <v>51</v>
      </c>
      <c r="J31" s="52">
        <v>1</v>
      </c>
      <c r="K31" s="34" t="s">
        <v>53</v>
      </c>
      <c r="L31" s="115" t="str">
        <f>VLOOKUP(C31,'Trips&amp;Operators'!$C$1:$E$9999,3,0)</f>
        <v>COOLAHAN</v>
      </c>
      <c r="M31" s="9" t="s">
        <v>97</v>
      </c>
      <c r="N31" s="10"/>
      <c r="O31" s="34"/>
      <c r="P31" s="135" t="str">
        <f>VLOOKUP(C31,'Train Runs'!$A$13:$AE$681,31,0)</f>
        <v>aws s3 cp s3://rtdc.mdm.uploadarchive/RTDC4028/2016-08-04/ "%USERPROFILE%\AppData\Local\Temp\OnboardLogs"\RTDC4028\2016-08-04 --recursive &amp; "%USERPROFILE%\Documents\GitHub\mrs-test-scripts\Headless Mode &amp; Sideloading\WalkAndUnGZ.bat" "%USERPROFILE%\AppData\Local\Temp\OnboardLogs"\RTDC4028\2016-08-04 &amp; aws s3 cp s3://rtdc.mdm.uploadarchive/RTDC4028/2016-08-05/ "%USERPROFILE%\AppData\Local\Temp\OnboardLogs"\RTDC4028\2016-08-05 --recursive &amp; "%USERPROFILE%\Documents\GitHub\mrs-test-scripts\Headless Mode &amp; Sideloading\WalkAndUnGZ.bat" "%USERPROFILE%\AppData\Local\Temp\OnboardLogs"\RTDC4028\2016-08-05</v>
      </c>
      <c r="Q31" s="139" t="str">
        <f>VLOOKUP(C31,'Train Runs'!$A$13:$AE$681,22,0)</f>
        <v>https://search-rtdc-monitor-bjffxe2xuh6vdkpspy63sjmuny.us-east-1.es.amazonaws.com/_plugin/kibana/#/discover/Steve-Slow-Train-Analysis-(2080s-and-2083s)?_g=(refreshInterval:(display:Off,section:0,value:0),time:(from:'2016-08-04 17:35:48-0600',mode:absolute,to:'2016-08-04 20:18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31" s="142" t="str">
        <f t="shared" si="0"/>
        <v>"C:\Program Files (x86)\AstroGrep\AstroGrep.exe" /spath="%USERPROFILE%\AppData\Local\Temp\OnboardLogs" /stypes="*4028*201608050*" /stext=" 01:.+((SYSTEM_STATE.+slice.+state.+changed )|(ment ac)|(system.+state.+changed )|(\|lc)|(penalty)|(\[timeout)|(PRM\|1\|D)|(kpr)|(kdp))" /e /r /s</v>
      </c>
      <c r="S31" s="9" t="str">
        <f t="shared" si="1"/>
        <v>4028</v>
      </c>
      <c r="T31" s="41">
        <f t="shared" si="2"/>
        <v>42587.054537037038</v>
      </c>
      <c r="U31" s="55" t="str">
        <f t="shared" si="3"/>
        <v>EC</v>
      </c>
      <c r="V31" s="55" t="str">
        <f t="shared" si="4"/>
        <v>KEEP</v>
      </c>
    </row>
    <row r="32" spans="1:22" x14ac:dyDescent="0.25">
      <c r="A32" s="41">
        <v>42586.815810185188</v>
      </c>
      <c r="B32" s="34" t="s">
        <v>108</v>
      </c>
      <c r="C32" s="34" t="s">
        <v>504</v>
      </c>
      <c r="D32" s="34" t="s">
        <v>49</v>
      </c>
      <c r="E32" s="34" t="s">
        <v>50</v>
      </c>
      <c r="F32" s="52">
        <v>0</v>
      </c>
      <c r="G32" s="52">
        <v>55</v>
      </c>
      <c r="H32" s="52">
        <v>187</v>
      </c>
      <c r="I32" s="34" t="s">
        <v>51</v>
      </c>
      <c r="J32" s="52">
        <v>1</v>
      </c>
      <c r="K32" s="34" t="s">
        <v>53</v>
      </c>
      <c r="L32" s="115" t="str">
        <f>VLOOKUP(C32,'Trips&amp;Operators'!$C$1:$E$9999,3,0)</f>
        <v>SWANSON</v>
      </c>
      <c r="M32" s="9" t="s">
        <v>97</v>
      </c>
      <c r="N32" s="10"/>
      <c r="O32" s="34"/>
      <c r="P32" s="135" t="str">
        <f>VLOOKUP(C32,'Train Runs'!$A$13:$AE$681,31,0)</f>
        <v>aws s3 cp s3://rtdc.mdm.uploadarchive/RTDC4030/2016-08-04/ "%USERPROFILE%\AppData\Local\Temp\OnboardLogs"\RTDC4030\2016-08-04 --recursive &amp; "%USERPROFILE%\Documents\GitHub\mrs-test-scripts\Headless Mode &amp; Sideloading\WalkAndUnGZ.bat" "%USERPROFILE%\AppData\Local\Temp\OnboardLogs"\RTDC4030\2016-08-04 &amp; aws s3 cp s3://rtdc.mdm.uploadarchive/RTDC4030/2016-08-05/ "%USERPROFILE%\AppData\Local\Temp\OnboardLogs"\RTDC4030\2016-08-05 --recursive &amp; "%USERPROFILE%\Documents\GitHub\mrs-test-scripts\Headless Mode &amp; Sideloading\WalkAndUnGZ.bat" "%USERPROFILE%\AppData\Local\Temp\OnboardLogs"\RTDC4030\2016-08-05</v>
      </c>
      <c r="Q32" s="139" t="str">
        <f>VLOOKUP(C32,'Train Runs'!$A$13:$AE$681,22,0)</f>
        <v>https://search-rtdc-monitor-bjffxe2xuh6vdkpspy63sjmuny.us-east-1.es.amazonaws.com/_plugin/kibana/#/discover/Steve-Slow-Train-Analysis-(2080s-and-2083s)?_g=(refreshInterval:(display:Off,section:0,value:0),time:(from:'2016-08-04 17:46:06-0600',mode:absolute,to:'2016-08-04 20:34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32" s="142" t="str">
        <f t="shared" si="0"/>
        <v>"C:\Program Files (x86)\AstroGrep\AstroGrep.exe" /spath="%USERPROFILE%\AppData\Local\Temp\OnboardLogs" /stypes="*4030*201608050*" /stext=" 01:.+((SYSTEM_STATE.+slice.+state.+changed )|(ment ac)|(system.+state.+changed )|(\|lc)|(penalty)|(\[timeout)|(PRM\|1\|D)|(kpr)|(kdp))" /e /r /s</v>
      </c>
      <c r="S32" s="9" t="str">
        <f t="shared" si="1"/>
        <v>4030</v>
      </c>
      <c r="T32" s="41">
        <f t="shared" si="2"/>
        <v>42587.065810185188</v>
      </c>
      <c r="U32" s="55" t="str">
        <f t="shared" si="3"/>
        <v>EC</v>
      </c>
      <c r="V32" s="55" t="str">
        <f t="shared" si="4"/>
        <v>KEEP</v>
      </c>
    </row>
    <row r="33" spans="1:22" x14ac:dyDescent="0.25">
      <c r="A33" s="41">
        <v>42586.242083333331</v>
      </c>
      <c r="B33" s="34" t="s">
        <v>68</v>
      </c>
      <c r="C33" s="34" t="s">
        <v>460</v>
      </c>
      <c r="D33" s="34" t="s">
        <v>49</v>
      </c>
      <c r="E33" s="34" t="s">
        <v>50</v>
      </c>
      <c r="F33" s="52">
        <v>0</v>
      </c>
      <c r="G33" s="52">
        <v>49</v>
      </c>
      <c r="H33" s="52">
        <v>233331</v>
      </c>
      <c r="I33" s="34" t="s">
        <v>51</v>
      </c>
      <c r="J33" s="52">
        <v>233491</v>
      </c>
      <c r="K33" s="34" t="s">
        <v>52</v>
      </c>
      <c r="L33" s="115" t="str">
        <f>VLOOKUP(C33,'Trips&amp;Operators'!$C$1:$E$9999,3,0)</f>
        <v>STARKS</v>
      </c>
      <c r="M33" s="9" t="s">
        <v>97</v>
      </c>
      <c r="N33" s="10"/>
      <c r="O33" s="34"/>
      <c r="P33" s="135" t="str">
        <f>VLOOKUP(C33,'Train Runs'!$A$13:$AE$681,31,0)</f>
        <v>aws s3 cp s3://rtdc.mdm.uploadarchive/RTDC4020/2016-08-04/ "%USERPROFILE%\AppData\Local\Temp\OnboardLogs"\RTDC4020\2016-08-04 --recursive &amp; "%USERPROFILE%\Documents\GitHub\mrs-test-scripts\Headless Mode &amp; Sideloading\WalkAndUnGZ.bat" "%USERPROFILE%\AppData\Local\Temp\OnboardLogs"\RTDC4020\2016-08-04 &amp; aws s3 cp s3://rtdc.mdm.uploadarchive/RTDC4020/2016-08-05/ "%USERPROFILE%\AppData\Local\Temp\OnboardLogs"\RTDC4020\2016-08-05 --recursive &amp; "%USERPROFILE%\Documents\GitHub\mrs-test-scripts\Headless Mode &amp; Sideloading\WalkAndUnGZ.bat" "%USERPROFILE%\AppData\Local\Temp\OnboardLogs"\RTDC4020\2016-08-05</v>
      </c>
      <c r="Q33" s="139" t="str">
        <f>VLOOKUP(C33,'Train Runs'!$A$13:$AE$681,22,0)</f>
        <v>https://search-rtdc-monitor-bjffxe2xuh6vdkpspy63sjmuny.us-east-1.es.amazonaws.com/_plugin/kibana/#/discover/Steve-Slow-Train-Analysis-(2080s-and-2083s)?_g=(refreshInterval:(display:Off,section:0,value:0),time:(from:'2016-08-04 04:04:16-0600',mode:absolute,to:'2016-08-04 06:48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33" s="142" t="str">
        <f t="shared" si="0"/>
        <v>"C:\Program Files (x86)\AstroGrep\AstroGrep.exe" /spath="%USERPROFILE%\AppData\Local\Temp\OnboardLogs" /stypes="*4020*201608041*" /stext=" 11:.+((SYSTEM_STATE.+slice.+state.+changed )|(ment ac)|(system.+state.+changed )|(\|lc)|(penalty)|(\[timeout)|(PRM\|1\|D)|(kpr)|(kdp))" /e /r /s</v>
      </c>
      <c r="S33" s="9" t="str">
        <f t="shared" si="1"/>
        <v>4020</v>
      </c>
      <c r="T33" s="41">
        <f t="shared" si="2"/>
        <v>42586.492083333331</v>
      </c>
      <c r="U33" s="55" t="str">
        <f t="shared" si="3"/>
        <v>EC</v>
      </c>
      <c r="V33" s="55" t="str">
        <f t="shared" si="4"/>
        <v>KEEP</v>
      </c>
    </row>
    <row r="34" spans="1:22" x14ac:dyDescent="0.25">
      <c r="A34" s="41">
        <v>42586.289085648146</v>
      </c>
      <c r="B34" s="34" t="s">
        <v>114</v>
      </c>
      <c r="C34" s="34" t="s">
        <v>467</v>
      </c>
      <c r="D34" s="34" t="s">
        <v>49</v>
      </c>
      <c r="E34" s="34" t="s">
        <v>50</v>
      </c>
      <c r="F34" s="52">
        <v>0</v>
      </c>
      <c r="G34" s="52">
        <v>126</v>
      </c>
      <c r="H34" s="52">
        <v>232573</v>
      </c>
      <c r="I34" s="34" t="s">
        <v>51</v>
      </c>
      <c r="J34" s="52">
        <v>233491</v>
      </c>
      <c r="K34" s="34" t="s">
        <v>52</v>
      </c>
      <c r="L34" s="115" t="str">
        <f>VLOOKUP(C34,'Trips&amp;Operators'!$C$1:$E$9999,3,0)</f>
        <v>STRICKLAND</v>
      </c>
      <c r="M34" s="9" t="s">
        <v>97</v>
      </c>
      <c r="N34" s="10"/>
      <c r="O34" s="34"/>
      <c r="P34" s="135" t="str">
        <f>VLOOKUP(C34,'Train Runs'!$A$13:$AE$681,31,0)</f>
        <v>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 &amp; aws s3 cp s3://rtdc.mdm.uploadarchive/RTDC4007/2016-08-05/ "%USERPROFILE%\AppData\Local\Temp\OnboardLogs"\RTDC4007\2016-08-05 --recursive &amp; "%USERPROFILE%\Documents\GitHub\mrs-test-scripts\Headless Mode &amp; Sideloading\WalkAndUnGZ.bat" "%USERPROFILE%\AppData\Local\Temp\OnboardLogs"\RTDC4007\2016-08-05</v>
      </c>
      <c r="Q34" s="139" t="str">
        <f>VLOOKUP(C34,'Train Runs'!$A$13:$AE$681,22,0)</f>
        <v>https://search-rtdc-monitor-bjffxe2xuh6vdkpspy63sjmuny.us-east-1.es.amazonaws.com/_plugin/kibana/#/discover/Steve-Slow-Train-Analysis-(2080s-and-2083s)?_g=(refreshInterval:(display:Off,section:0,value:0),time:(from:'2016-08-04 05:11:28-0600',mode:absolute,to:'2016-08-04 07:58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34" s="142" t="str">
        <f t="shared" si="0"/>
        <v>"C:\Program Files (x86)\AstroGrep\AstroGrep.exe" /spath="%USERPROFILE%\AppData\Local\Temp\OnboardLogs" /stypes="*4007*201608041*" /stext=" 12:.+((SYSTEM_STATE.+slice.+state.+changed )|(ment ac)|(system.+state.+changed )|(\|lc)|(penalty)|(\[timeout)|(PRM\|1\|D)|(kpr)|(kdp))" /e /r /s</v>
      </c>
      <c r="S34" s="9" t="str">
        <f t="shared" si="1"/>
        <v>4007</v>
      </c>
      <c r="T34" s="41">
        <f t="shared" si="2"/>
        <v>42586.539085648146</v>
      </c>
      <c r="U34" s="55" t="str">
        <f t="shared" si="3"/>
        <v>EC</v>
      </c>
      <c r="V34" s="55" t="str">
        <f t="shared" si="4"/>
        <v>KEEP</v>
      </c>
    </row>
    <row r="35" spans="1:22" x14ac:dyDescent="0.25">
      <c r="A35" s="41">
        <v>42586.289502314816</v>
      </c>
      <c r="B35" s="34" t="s">
        <v>114</v>
      </c>
      <c r="C35" s="34" t="s">
        <v>467</v>
      </c>
      <c r="D35" s="34" t="s">
        <v>49</v>
      </c>
      <c r="E35" s="34" t="s">
        <v>50</v>
      </c>
      <c r="F35" s="52">
        <v>0</v>
      </c>
      <c r="G35" s="52">
        <v>62</v>
      </c>
      <c r="H35" s="52">
        <v>233096</v>
      </c>
      <c r="I35" s="34" t="s">
        <v>51</v>
      </c>
      <c r="J35" s="52">
        <v>233491</v>
      </c>
      <c r="K35" s="34" t="s">
        <v>52</v>
      </c>
      <c r="L35" s="115" t="str">
        <f>VLOOKUP(C35,'Trips&amp;Operators'!$C$1:$E$9999,3,0)</f>
        <v>STRICKLAND</v>
      </c>
      <c r="M35" s="9" t="s">
        <v>97</v>
      </c>
      <c r="N35" s="10"/>
      <c r="O35" s="34"/>
      <c r="P35" s="135" t="str">
        <f>VLOOKUP(C35,'Train Runs'!$A$13:$AE$681,31,0)</f>
        <v>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 &amp; aws s3 cp s3://rtdc.mdm.uploadarchive/RTDC4007/2016-08-05/ "%USERPROFILE%\AppData\Local\Temp\OnboardLogs"\RTDC4007\2016-08-05 --recursive &amp; "%USERPROFILE%\Documents\GitHub\mrs-test-scripts\Headless Mode &amp; Sideloading\WalkAndUnGZ.bat" "%USERPROFILE%\AppData\Local\Temp\OnboardLogs"\RTDC4007\2016-08-05</v>
      </c>
      <c r="Q35" s="139" t="str">
        <f>VLOOKUP(C35,'Train Runs'!$A$13:$AE$681,22,0)</f>
        <v>https://search-rtdc-monitor-bjffxe2xuh6vdkpspy63sjmuny.us-east-1.es.amazonaws.com/_plugin/kibana/#/discover/Steve-Slow-Train-Analysis-(2080s-and-2083s)?_g=(refreshInterval:(display:Off,section:0,value:0),time:(from:'2016-08-04 05:11:28-0600',mode:absolute,to:'2016-08-04 07:58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35" s="142" t="str">
        <f t="shared" si="0"/>
        <v>"C:\Program Files (x86)\AstroGrep\AstroGrep.exe" /spath="%USERPROFILE%\AppData\Local\Temp\OnboardLogs" /stypes="*4007*201608041*" /stext=" 12:.+((SYSTEM_STATE.+slice.+state.+changed )|(ment ac)|(system.+state.+changed )|(\|lc)|(penalty)|(\[timeout)|(PRM\|1\|D)|(kpr)|(kdp))" /e /r /s</v>
      </c>
      <c r="S35" s="9" t="str">
        <f t="shared" si="1"/>
        <v>4007</v>
      </c>
      <c r="T35" s="41">
        <f t="shared" si="2"/>
        <v>42586.539502314816</v>
      </c>
      <c r="U35" s="55" t="str">
        <f t="shared" si="3"/>
        <v>EC</v>
      </c>
      <c r="V35" s="55" t="str">
        <f t="shared" si="4"/>
        <v>KEEP</v>
      </c>
    </row>
    <row r="36" spans="1:22" x14ac:dyDescent="0.25">
      <c r="A36" s="41">
        <v>42586.290682870371</v>
      </c>
      <c r="B36" s="34" t="s">
        <v>114</v>
      </c>
      <c r="C36" s="34" t="s">
        <v>467</v>
      </c>
      <c r="D36" s="34" t="s">
        <v>49</v>
      </c>
      <c r="E36" s="34" t="s">
        <v>50</v>
      </c>
      <c r="F36" s="52">
        <v>0</v>
      </c>
      <c r="G36" s="52">
        <v>26</v>
      </c>
      <c r="H36" s="52">
        <v>233187</v>
      </c>
      <c r="I36" s="34" t="s">
        <v>51</v>
      </c>
      <c r="J36" s="52">
        <v>233491</v>
      </c>
      <c r="K36" s="34" t="s">
        <v>52</v>
      </c>
      <c r="L36" s="115" t="str">
        <f>VLOOKUP(C36,'Trips&amp;Operators'!$C$1:$E$9999,3,0)</f>
        <v>STRICKLAND</v>
      </c>
      <c r="M36" s="9" t="s">
        <v>97</v>
      </c>
      <c r="N36" s="10"/>
      <c r="O36" s="34"/>
      <c r="P36" s="135" t="str">
        <f>VLOOKUP(C36,'Train Runs'!$A$13:$AE$681,31,0)</f>
        <v>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 &amp; aws s3 cp s3://rtdc.mdm.uploadarchive/RTDC4007/2016-08-05/ "%USERPROFILE%\AppData\Local\Temp\OnboardLogs"\RTDC4007\2016-08-05 --recursive &amp; "%USERPROFILE%\Documents\GitHub\mrs-test-scripts\Headless Mode &amp; Sideloading\WalkAndUnGZ.bat" "%USERPROFILE%\AppData\Local\Temp\OnboardLogs"\RTDC4007\2016-08-05</v>
      </c>
      <c r="Q36" s="139" t="str">
        <f>VLOOKUP(C36,'Train Runs'!$A$13:$AE$681,22,0)</f>
        <v>https://search-rtdc-monitor-bjffxe2xuh6vdkpspy63sjmuny.us-east-1.es.amazonaws.com/_plugin/kibana/#/discover/Steve-Slow-Train-Analysis-(2080s-and-2083s)?_g=(refreshInterval:(display:Off,section:0,value:0),time:(from:'2016-08-04 05:11:28-0600',mode:absolute,to:'2016-08-04 07:58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36" s="142" t="str">
        <f t="shared" si="0"/>
        <v>"C:\Program Files (x86)\AstroGrep\AstroGrep.exe" /spath="%USERPROFILE%\AppData\Local\Temp\OnboardLogs" /stypes="*4007*201608041*" /stext=" 12:.+((SYSTEM_STATE.+slice.+state.+changed )|(ment ac)|(system.+state.+changed )|(\|lc)|(penalty)|(\[timeout)|(PRM\|1\|D)|(kpr)|(kdp))" /e /r /s</v>
      </c>
      <c r="S36" s="9" t="str">
        <f t="shared" si="1"/>
        <v>4007</v>
      </c>
      <c r="T36" s="41">
        <f t="shared" si="2"/>
        <v>42586.540682870371</v>
      </c>
      <c r="U36" s="55" t="str">
        <f t="shared" si="3"/>
        <v>EC</v>
      </c>
      <c r="V36" s="55" t="str">
        <f t="shared" si="4"/>
        <v>KEEP</v>
      </c>
    </row>
    <row r="37" spans="1:22" ht="15" customHeight="1" x14ac:dyDescent="0.25">
      <c r="A37" s="41">
        <v>42586.307071759256</v>
      </c>
      <c r="B37" s="34" t="s">
        <v>68</v>
      </c>
      <c r="C37" s="34" t="s">
        <v>470</v>
      </c>
      <c r="D37" s="34" t="s">
        <v>49</v>
      </c>
      <c r="E37" s="34" t="s">
        <v>50</v>
      </c>
      <c r="F37" s="52">
        <v>0</v>
      </c>
      <c r="G37" s="52">
        <v>47</v>
      </c>
      <c r="H37" s="52">
        <v>233351</v>
      </c>
      <c r="I37" s="34" t="s">
        <v>51</v>
      </c>
      <c r="J37" s="52">
        <v>233491</v>
      </c>
      <c r="K37" s="34" t="s">
        <v>52</v>
      </c>
      <c r="L37" s="115" t="str">
        <f>VLOOKUP(C37,'Trips&amp;Operators'!$C$1:$E$9999,3,0)</f>
        <v>STARKS</v>
      </c>
      <c r="M37" s="9" t="s">
        <v>97</v>
      </c>
      <c r="N37" s="10"/>
      <c r="O37" s="34"/>
      <c r="P37" s="135" t="str">
        <f>VLOOKUP(C37,'Train Runs'!$A$13:$AE$681,31,0)</f>
        <v>aws s3 cp s3://rtdc.mdm.uploadarchive/RTDC4020/2016-08-04/ "%USERPROFILE%\AppData\Local\Temp\OnboardLogs"\RTDC4020\2016-08-04 --recursive &amp; "%USERPROFILE%\Documents\GitHub\mrs-test-scripts\Headless Mode &amp; Sideloading\WalkAndUnGZ.bat" "%USERPROFILE%\AppData\Local\Temp\OnboardLogs"\RTDC4020\2016-08-04 &amp; aws s3 cp s3://rtdc.mdm.uploadarchive/RTDC4020/2016-08-05/ "%USERPROFILE%\AppData\Local\Temp\OnboardLogs"\RTDC4020\2016-08-05 --recursive &amp; "%USERPROFILE%\Documents\GitHub\mrs-test-scripts\Headless Mode &amp; Sideloading\WalkAndUnGZ.bat" "%USERPROFILE%\AppData\Local\Temp\OnboardLogs"\RTDC4020\2016-08-05</v>
      </c>
      <c r="Q37" s="139" t="str">
        <f>VLOOKUP(C37,'Train Runs'!$A$13:$AE$681,22,0)</f>
        <v>https://search-rtdc-monitor-bjffxe2xuh6vdkpspy63sjmuny.us-east-1.es.amazonaws.com/_plugin/kibana/#/discover/Steve-Slow-Train-Analysis-(2080s-and-2083s)?_g=(refreshInterval:(display:Off,section:0,value:0),time:(from:'2016-08-04 05:40:55-0600',mode:absolute,to:'2016-08-04 08:22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37" s="142" t="str">
        <f t="shared" si="0"/>
        <v>"C:\Program Files (x86)\AstroGrep\AstroGrep.exe" /spath="%USERPROFILE%\AppData\Local\Temp\OnboardLogs" /stypes="*4020*201608041*" /stext=" 13:.+((SYSTEM_STATE.+slice.+state.+changed )|(ment ac)|(system.+state.+changed )|(\|lc)|(penalty)|(\[timeout)|(PRM\|1\|D)|(kpr)|(kdp))" /e /r /s</v>
      </c>
      <c r="S37" s="9" t="str">
        <f t="shared" si="1"/>
        <v>4020</v>
      </c>
      <c r="T37" s="41">
        <f t="shared" si="2"/>
        <v>42586.557071759256</v>
      </c>
      <c r="U37" s="55" t="str">
        <f t="shared" si="3"/>
        <v>EC</v>
      </c>
      <c r="V37" s="55" t="str">
        <f t="shared" si="4"/>
        <v>KEEP</v>
      </c>
    </row>
    <row r="38" spans="1:22" ht="15" customHeight="1" x14ac:dyDescent="0.25">
      <c r="A38" s="41">
        <v>42586.723506944443</v>
      </c>
      <c r="B38" s="34" t="s">
        <v>114</v>
      </c>
      <c r="C38" s="34" t="s">
        <v>498</v>
      </c>
      <c r="D38" s="34" t="s">
        <v>49</v>
      </c>
      <c r="E38" s="34" t="s">
        <v>50</v>
      </c>
      <c r="F38" s="52">
        <v>0</v>
      </c>
      <c r="G38" s="52">
        <v>83</v>
      </c>
      <c r="H38" s="52">
        <v>233145</v>
      </c>
      <c r="I38" s="34" t="s">
        <v>51</v>
      </c>
      <c r="J38" s="52">
        <v>233491</v>
      </c>
      <c r="K38" s="34" t="s">
        <v>52</v>
      </c>
      <c r="L38" s="115" t="str">
        <f>VLOOKUP(C38,'Trips&amp;Operators'!$C$1:$E$9999,3,0)</f>
        <v>MOSES</v>
      </c>
      <c r="M38" s="9" t="s">
        <v>97</v>
      </c>
      <c r="N38" s="10"/>
      <c r="O38" s="34"/>
      <c r="P38" s="135" t="str">
        <f>VLOOKUP(C38,'Train Runs'!$A$13:$AE$681,31,0)</f>
        <v>aws s3 cp s3://rtdc.mdm.uploadarchive/RTDC4007/2016-08-04/ "%USERPROFILE%\AppData\Local\Temp\OnboardLogs"\RTDC4007\2016-08-04 --recursive &amp; "%USERPROFILE%\Documents\GitHub\mrs-test-scripts\Headless Mode &amp; Sideloading\WalkAndUnGZ.bat" "%USERPROFILE%\AppData\Local\Temp\OnboardLogs"\RTDC4007\2016-08-04 &amp; aws s3 cp s3://rtdc.mdm.uploadarchive/RTDC4007/2016-08-05/ "%USERPROFILE%\AppData\Local\Temp\OnboardLogs"\RTDC4007\2016-08-05 --recursive &amp; "%USERPROFILE%\Documents\GitHub\mrs-test-scripts\Headless Mode &amp; Sideloading\WalkAndUnGZ.bat" "%USERPROFILE%\AppData\Local\Temp\OnboardLogs"\RTDC4007\2016-08-05</v>
      </c>
      <c r="Q38" s="139" t="str">
        <f>VLOOKUP(C38,'Train Runs'!$A$13:$AE$681,22,0)</f>
        <v>https://search-rtdc-monitor-bjffxe2xuh6vdkpspy63sjmuny.us-east-1.es.amazonaws.com/_plugin/kibana/#/discover/Steve-Slow-Train-Analysis-(2080s-and-2083s)?_g=(refreshInterval:(display:Off,section:0,value:0),time:(from:'2016-08-04 15:40:31-0600',mode:absolute,to:'2016-08-04 18:22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38" s="142" t="str">
        <f t="shared" si="0"/>
        <v>"C:\Program Files (x86)\AstroGrep\AstroGrep.exe" /spath="%USERPROFILE%\AppData\Local\Temp\OnboardLogs" /stypes="*4007*201608042*" /stext=" 23:.+((SYSTEM_STATE.+slice.+state.+changed )|(ment ac)|(system.+state.+changed )|(\|lc)|(penalty)|(\[timeout)|(PRM\|1\|D)|(kpr)|(kdp))" /e /r /s</v>
      </c>
      <c r="S38" s="9" t="str">
        <f t="shared" si="1"/>
        <v>4007</v>
      </c>
      <c r="T38" s="41">
        <f t="shared" si="2"/>
        <v>42586.973506944443</v>
      </c>
      <c r="U38" s="55" t="str">
        <f t="shared" si="3"/>
        <v>EC</v>
      </c>
      <c r="V38" s="55" t="str">
        <f t="shared" si="4"/>
        <v>KEEP</v>
      </c>
    </row>
    <row r="39" spans="1:22" x14ac:dyDescent="0.25">
      <c r="A39" s="41">
        <v>42586.910358796296</v>
      </c>
      <c r="B39" s="34" t="s">
        <v>70</v>
      </c>
      <c r="C39" s="34" t="s">
        <v>507</v>
      </c>
      <c r="D39" s="34" t="s">
        <v>142</v>
      </c>
      <c r="E39" s="34" t="s">
        <v>56</v>
      </c>
      <c r="F39" s="52">
        <v>600</v>
      </c>
      <c r="G39" s="52">
        <v>654</v>
      </c>
      <c r="H39" s="52">
        <v>30790</v>
      </c>
      <c r="I39" s="34" t="s">
        <v>57</v>
      </c>
      <c r="J39" s="52">
        <v>37577</v>
      </c>
      <c r="K39" s="34" t="s">
        <v>53</v>
      </c>
      <c r="L39" s="115" t="str">
        <f>VLOOKUP(C39,'Trips&amp;Operators'!$C$1:$E$9999,3,0)</f>
        <v>STAMBAUGH</v>
      </c>
      <c r="M39" s="9" t="s">
        <v>97</v>
      </c>
      <c r="N39" s="10"/>
      <c r="O39" s="34"/>
      <c r="P39" s="135" t="str">
        <f>VLOOKUP(C39,'Train Runs'!$A$13:$AE$681,31,0)</f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Q39" s="139" t="str">
        <f>VLOOKUP(C39,'Train Runs'!$A$13:$AE$681,22,0)</f>
        <v>https://search-rtdc-monitor-bjffxe2xuh6vdkpspy63sjmuny.us-east-1.es.amazonaws.com/_plugin/kibana/#/discover/Steve-Slow-Train-Analysis-(2080s-and-2083s)?_g=(refreshInterval:(display:Off,section:0,value:0),time:(from:'2016-08-04 20:37:56-0600',mode:absolute,to:'2016-08-04 23:17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39" s="142" t="str">
        <f t="shared" si="0"/>
        <v>"C:\Program Files (x86)\AstroGrep\AstroGrep.exe" /spath="%USERPROFILE%\AppData\Local\Temp\OnboardLogs" /stypes="*4017*201608050*" /stext=" 03:.+((SYSTEM_STATE.+slice.+state.+changed )|(ment ac)|(system.+state.+changed )|(\|lc)|(penalty)|(\[timeout)|(PRM\|1\|D)|(kpr)|(kdp))" /e /r /s</v>
      </c>
      <c r="S39" s="9" t="str">
        <f t="shared" si="1"/>
        <v>4017</v>
      </c>
      <c r="T39" s="41">
        <f t="shared" si="2"/>
        <v>42587.160358796296</v>
      </c>
      <c r="U39" s="55" t="str">
        <f t="shared" si="3"/>
        <v>NW</v>
      </c>
      <c r="V39" s="55" t="str">
        <f t="shared" si="4"/>
        <v>KEEP</v>
      </c>
    </row>
    <row r="40" spans="1:22" ht="15" customHeight="1" x14ac:dyDescent="0.25">
      <c r="A40" s="41">
        <v>42586.438194444447</v>
      </c>
      <c r="B40" s="34" t="s">
        <v>69</v>
      </c>
      <c r="C40" s="34" t="s">
        <v>485</v>
      </c>
      <c r="D40" s="34" t="s">
        <v>142</v>
      </c>
      <c r="E40" s="34" t="s">
        <v>56</v>
      </c>
      <c r="F40" s="52">
        <v>400</v>
      </c>
      <c r="G40" s="52">
        <v>460</v>
      </c>
      <c r="H40" s="52">
        <v>43769</v>
      </c>
      <c r="I40" s="34" t="s">
        <v>57</v>
      </c>
      <c r="J40" s="52">
        <v>41797</v>
      </c>
      <c r="K40" s="34" t="s">
        <v>52</v>
      </c>
      <c r="L40" s="115" t="str">
        <f>VLOOKUP(C40,'Trips&amp;Operators'!$C$1:$E$9999,3,0)</f>
        <v>ISHMAEL</v>
      </c>
      <c r="M40" s="9" t="s">
        <v>97</v>
      </c>
      <c r="N40" s="10"/>
      <c r="O40" s="34"/>
      <c r="P40" s="135" t="str">
        <f>VLOOKUP(C40,'Train Runs'!$A$13:$AE$681,31,0)</f>
        <v>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 &amp; aws s3 cp s3://rtdc.mdm.uploadarchive/RTDC4018/2016-08-05/ "%USERPROFILE%\AppData\Local\Temp\OnboardLogs"\RTDC4018\2016-08-05 --recursive &amp; "%USERPROFILE%\Documents\GitHub\mrs-test-scripts\Headless Mode &amp; Sideloading\WalkAndUnGZ.bat" "%USERPROFILE%\AppData\Local\Temp\OnboardLogs"\RTDC4018\2016-08-05</v>
      </c>
      <c r="Q40" s="139" t="str">
        <f>VLOOKUP(C40,'Train Runs'!$A$13:$AE$681,22,0)</f>
        <v>https://search-rtdc-monitor-bjffxe2xuh6vdkpspy63sjmuny.us-east-1.es.amazonaws.com/_plugin/kibana/#/discover/Steve-Slow-Train-Analysis-(2080s-and-2083s)?_g=(refreshInterval:(display:Off,section:0,value:0),time:(from:'2016-08-04 09:12:47-0600',mode:absolute,to:'2016-08-04 11:37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40" s="142" t="str">
        <f t="shared" si="0"/>
        <v>"C:\Program Files (x86)\AstroGrep\AstroGrep.exe" /spath="%USERPROFILE%\AppData\Local\Temp\OnboardLogs" /stypes="*4018*201608041*" /stext=" 16:.+((SYSTEM_STATE.+slice.+state.+changed )|(ment ac)|(system.+state.+changed )|(\|lc)|(penalty)|(\[timeout)|(PRM\|1\|D)|(kpr)|(kdp))" /e /r /s</v>
      </c>
      <c r="S40" s="9" t="str">
        <f t="shared" si="1"/>
        <v>4018</v>
      </c>
      <c r="T40" s="41">
        <f t="shared" si="2"/>
        <v>42586.688194444447</v>
      </c>
      <c r="U40" s="55" t="str">
        <f t="shared" si="3"/>
        <v>NW</v>
      </c>
      <c r="V40" s="55" t="str">
        <f t="shared" si="4"/>
        <v>KEEP</v>
      </c>
    </row>
    <row r="41" spans="1:22" x14ac:dyDescent="0.25">
      <c r="A41" s="41">
        <v>42586.646574074075</v>
      </c>
      <c r="B41" s="34" t="s">
        <v>69</v>
      </c>
      <c r="C41" s="34" t="s">
        <v>495</v>
      </c>
      <c r="D41" s="34" t="s">
        <v>142</v>
      </c>
      <c r="E41" s="34" t="s">
        <v>56</v>
      </c>
      <c r="F41" s="52">
        <v>400</v>
      </c>
      <c r="G41" s="52">
        <v>450</v>
      </c>
      <c r="H41" s="52">
        <v>43945</v>
      </c>
      <c r="I41" s="34" t="s">
        <v>57</v>
      </c>
      <c r="J41" s="52">
        <v>41797</v>
      </c>
      <c r="K41" s="34" t="s">
        <v>52</v>
      </c>
      <c r="L41" s="115" t="str">
        <f>VLOOKUP(C41,'Trips&amp;Operators'!$C$1:$E$9999,3,0)</f>
        <v>KILLION</v>
      </c>
      <c r="M41" s="9" t="s">
        <v>97</v>
      </c>
      <c r="N41" s="10"/>
      <c r="O41" s="34"/>
      <c r="P41" s="135" t="str">
        <f>VLOOKUP(C41,'Train Runs'!$A$13:$AE$681,31,0)</f>
        <v>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 &amp; aws s3 cp s3://rtdc.mdm.uploadarchive/RTDC4018/2016-08-05/ "%USERPROFILE%\AppData\Local\Temp\OnboardLogs"\RTDC4018\2016-08-05 --recursive &amp; "%USERPROFILE%\Documents\GitHub\mrs-test-scripts\Headless Mode &amp; Sideloading\WalkAndUnGZ.bat" "%USERPROFILE%\AppData\Local\Temp\OnboardLogs"\RTDC4018\2016-08-05</v>
      </c>
      <c r="Q41" s="139" t="str">
        <f>VLOOKUP(C41,'Train Runs'!$A$13:$AE$681,22,0)</f>
        <v>https://search-rtdc-monitor-bjffxe2xuh6vdkpspy63sjmuny.us-east-1.es.amazonaws.com/_plugin/kibana/#/discover/Steve-Slow-Train-Analysis-(2080s-and-2083s)?_g=(refreshInterval:(display:Off,section:0,value:0),time:(from:'2016-08-04 14:01:13-0600',mode:absolute,to:'2016-08-04 16:37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41" s="142" t="str">
        <f t="shared" si="0"/>
        <v>"C:\Program Files (x86)\AstroGrep\AstroGrep.exe" /spath="%USERPROFILE%\AppData\Local\Temp\OnboardLogs" /stypes="*4018*201608042*" /stext=" 21:.+((SYSTEM_STATE.+slice.+state.+changed )|(ment ac)|(system.+state.+changed )|(\|lc)|(penalty)|(\[timeout)|(PRM\|1\|D)|(kpr)|(kdp))" /e /r /s</v>
      </c>
      <c r="S41" s="9" t="str">
        <f t="shared" si="1"/>
        <v>4018</v>
      </c>
      <c r="T41" s="41">
        <f t="shared" si="2"/>
        <v>42586.896574074075</v>
      </c>
      <c r="U41" s="55" t="str">
        <f t="shared" si="3"/>
        <v>NW</v>
      </c>
      <c r="V41" s="55" t="str">
        <f t="shared" si="4"/>
        <v>KEEP</v>
      </c>
    </row>
    <row r="42" spans="1:22" ht="15" customHeight="1" x14ac:dyDescent="0.25">
      <c r="A42" s="41">
        <v>42586.822743055556</v>
      </c>
      <c r="B42" s="34" t="s">
        <v>70</v>
      </c>
      <c r="C42" s="34" t="s">
        <v>505</v>
      </c>
      <c r="D42" s="34" t="s">
        <v>49</v>
      </c>
      <c r="E42" s="34" t="s">
        <v>56</v>
      </c>
      <c r="F42" s="52">
        <v>400</v>
      </c>
      <c r="G42" s="52">
        <v>499</v>
      </c>
      <c r="H42" s="52">
        <v>51374</v>
      </c>
      <c r="I42" s="34" t="s">
        <v>57</v>
      </c>
      <c r="J42" s="52">
        <v>49775</v>
      </c>
      <c r="K42" s="34" t="s">
        <v>53</v>
      </c>
      <c r="L42" s="115" t="str">
        <f>VLOOKUP(C42,'Trips&amp;Operators'!$C$1:$E$9999,3,0)</f>
        <v>KILLION</v>
      </c>
      <c r="M42" s="9" t="s">
        <v>97</v>
      </c>
      <c r="N42" s="10"/>
      <c r="O42" s="34"/>
      <c r="P42" s="135" t="str">
        <f>VLOOKUP(C42,'Train Runs'!$A$13:$AE$681,31,0)</f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Q42" s="139" t="str">
        <f>VLOOKUP(C42,'Train Runs'!$A$13:$AE$681,22,0)</f>
        <v>https://search-rtdc-monitor-bjffxe2xuh6vdkpspy63sjmuny.us-east-1.es.amazonaws.com/_plugin/kibana/#/discover/Steve-Slow-Train-Analysis-(2080s-and-2083s)?_g=(refreshInterval:(display:Off,section:0,value:0),time:(from:'2016-08-04 18:37:24-0600',mode:absolute,to:'2016-08-04 20:57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42" s="142" t="str">
        <f t="shared" si="0"/>
        <v>"C:\Program Files (x86)\AstroGrep\AstroGrep.exe" /spath="%USERPROFILE%\AppData\Local\Temp\OnboardLogs" /stypes="*4017*201608050*" /stext=" 01:.+((SYSTEM_STATE.+slice.+state.+changed )|(ment ac)|(system.+state.+changed )|(\|lc)|(penalty)|(\[timeout)|(PRM\|1\|D)|(kpr)|(kdp))" /e /r /s</v>
      </c>
      <c r="S42" s="9" t="str">
        <f t="shared" si="1"/>
        <v>4017</v>
      </c>
      <c r="T42" s="41">
        <f t="shared" si="2"/>
        <v>42587.072743055556</v>
      </c>
      <c r="U42" s="55" t="str">
        <f t="shared" si="3"/>
        <v>NW</v>
      </c>
      <c r="V42" s="55" t="str">
        <f t="shared" si="4"/>
        <v>KEEP</v>
      </c>
    </row>
    <row r="43" spans="1:22" x14ac:dyDescent="0.25">
      <c r="A43" s="41">
        <v>42586.397928240738</v>
      </c>
      <c r="B43" s="34" t="s">
        <v>69</v>
      </c>
      <c r="C43" s="34" t="s">
        <v>482</v>
      </c>
      <c r="D43" s="34" t="s">
        <v>49</v>
      </c>
      <c r="E43" s="34" t="s">
        <v>56</v>
      </c>
      <c r="F43" s="52">
        <v>150</v>
      </c>
      <c r="G43" s="52">
        <v>330</v>
      </c>
      <c r="H43" s="52">
        <v>56080</v>
      </c>
      <c r="I43" s="34" t="s">
        <v>57</v>
      </c>
      <c r="J43" s="52">
        <v>57008</v>
      </c>
      <c r="K43" s="34" t="s">
        <v>52</v>
      </c>
      <c r="L43" s="115" t="str">
        <f>VLOOKUP(C43,'Trips&amp;Operators'!$C$1:$E$9999,3,0)</f>
        <v>ISHMAEL</v>
      </c>
      <c r="M43" s="9" t="s">
        <v>97</v>
      </c>
      <c r="N43" s="10"/>
      <c r="O43" s="34"/>
      <c r="P43" s="135" t="str">
        <f>VLOOKUP(C43,'Train Runs'!$A$13:$AE$681,31,0)</f>
        <v>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 &amp; aws s3 cp s3://rtdc.mdm.uploadarchive/RTDC4018/2016-08-05/ "%USERPROFILE%\AppData\Local\Temp\OnboardLogs"\RTDC4018\2016-08-05 --recursive &amp; "%USERPROFILE%\Documents\GitHub\mrs-test-scripts\Headless Mode &amp; Sideloading\WalkAndUnGZ.bat" "%USERPROFILE%\AppData\Local\Temp\OnboardLogs"\RTDC4018\2016-08-05</v>
      </c>
      <c r="Q43" s="139" t="str">
        <f>VLOOKUP(C43,'Train Runs'!$A$13:$AE$681,22,0)</f>
        <v>https://search-rtdc-monitor-bjffxe2xuh6vdkpspy63sjmuny.us-east-1.es.amazonaws.com/_plugin/kibana/#/discover/Steve-Slow-Train-Analysis-(2080s-and-2083s)?_g=(refreshInterval:(display:Off,section:0,value:0),time:(from:'2016-08-04 08:11:31-0600',mode:absolute,to:'2016-08-04 10:36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43" s="142" t="str">
        <f t="shared" si="0"/>
        <v>"C:\Program Files (x86)\AstroGrep\AstroGrep.exe" /spath="%USERPROFILE%\AppData\Local\Temp\OnboardLogs" /stypes="*4018*201608041*" /stext=" 15:.+((SYSTEM_STATE.+slice.+state.+changed )|(ment ac)|(system.+state.+changed )|(\|lc)|(penalty)|(\[timeout)|(PRM\|1\|D)|(kpr)|(kdp))" /e /r /s</v>
      </c>
      <c r="S43" s="9" t="str">
        <f t="shared" si="1"/>
        <v>4018</v>
      </c>
      <c r="T43" s="41">
        <f t="shared" si="2"/>
        <v>42586.647928240738</v>
      </c>
      <c r="U43" s="55" t="str">
        <f t="shared" si="3"/>
        <v>NW</v>
      </c>
      <c r="V43" s="55" t="str">
        <f t="shared" si="4"/>
        <v>KEEP</v>
      </c>
    </row>
    <row r="44" spans="1:22" x14ac:dyDescent="0.25">
      <c r="A44" s="41">
        <v>42586.791307870371</v>
      </c>
      <c r="B44" s="34" t="s">
        <v>70</v>
      </c>
      <c r="C44" s="34" t="s">
        <v>502</v>
      </c>
      <c r="D44" s="34" t="s">
        <v>142</v>
      </c>
      <c r="E44" s="34" t="s">
        <v>54</v>
      </c>
      <c r="F44" s="52">
        <v>0</v>
      </c>
      <c r="G44" s="52">
        <v>107</v>
      </c>
      <c r="H44" s="52">
        <v>10994</v>
      </c>
      <c r="I44" s="34" t="s">
        <v>55</v>
      </c>
      <c r="J44" s="52">
        <v>11018</v>
      </c>
      <c r="K44" s="34" t="s">
        <v>53</v>
      </c>
      <c r="L44" s="115" t="str">
        <f>VLOOKUP(C44,'Trips&amp;Operators'!$C$1:$E$9999,3,0)</f>
        <v>KILLION</v>
      </c>
      <c r="M44" s="9" t="s">
        <v>96</v>
      </c>
      <c r="N44" s="10" t="s">
        <v>832</v>
      </c>
      <c r="O44" s="34"/>
      <c r="P44" s="135" t="str">
        <f>VLOOKUP(C44,'Train Runs'!$A$13:$AE$681,31,0)</f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Q44" s="139" t="str">
        <f>VLOOKUP(C44,'Train Runs'!$A$13:$AE$681,22,0)</f>
        <v>https://search-rtdc-monitor-bjffxe2xuh6vdkpspy63sjmuny.us-east-1.es.amazonaws.com/_plugin/kibana/#/discover/Steve-Slow-Train-Analysis-(2080s-and-2083s)?_g=(refreshInterval:(display:Off,section:0,value:0),time:(from:'2016-08-04 17:47:40-0600',mode:absolute,to:'2016-08-04 20:00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44" s="142" t="str">
        <f t="shared" si="0"/>
        <v>"C:\Program Files (x86)\AstroGrep\AstroGrep.exe" /spath="%USERPROFILE%\AppData\Local\Temp\OnboardLogs" /stypes="*4017*201608050*" /stext=" 00:.+((SYSTEM_STATE.+slice.+state.+changed )|(ment ac)|(system.+state.+changed )|(\|lc)|(penalty)|(\[timeout)|(PRM\|1\|D)|(kpr)|(kdp))" /e /r /s</v>
      </c>
      <c r="S44" s="9" t="str">
        <f t="shared" si="1"/>
        <v>4017</v>
      </c>
      <c r="T44" s="41">
        <f t="shared" si="2"/>
        <v>42587.041307870371</v>
      </c>
      <c r="U44" s="55" t="str">
        <f t="shared" si="3"/>
        <v>NW</v>
      </c>
      <c r="V44" s="55" t="str">
        <f t="shared" si="4"/>
        <v>KEEP</v>
      </c>
    </row>
    <row r="45" spans="1:22" x14ac:dyDescent="0.25">
      <c r="A45" s="41">
        <v>42586.745520833334</v>
      </c>
      <c r="B45" s="34" t="s">
        <v>69</v>
      </c>
      <c r="C45" s="34" t="s">
        <v>499</v>
      </c>
      <c r="D45" s="34" t="s">
        <v>142</v>
      </c>
      <c r="E45" s="34" t="s">
        <v>54</v>
      </c>
      <c r="F45" s="52">
        <v>200</v>
      </c>
      <c r="G45" s="52">
        <v>260</v>
      </c>
      <c r="H45" s="52">
        <v>27743</v>
      </c>
      <c r="I45" s="34" t="s">
        <v>55</v>
      </c>
      <c r="J45" s="52">
        <v>25696</v>
      </c>
      <c r="K45" s="34" t="s">
        <v>52</v>
      </c>
      <c r="L45" s="115" t="str">
        <f>VLOOKUP(C45,'Trips&amp;Operators'!$C$1:$E$9999,3,0)</f>
        <v>KILLION</v>
      </c>
      <c r="M45" s="9" t="s">
        <v>97</v>
      </c>
      <c r="N45" s="10" t="s">
        <v>836</v>
      </c>
      <c r="O45" s="34"/>
      <c r="P45" s="135" t="str">
        <f>VLOOKUP(C45,'Train Runs'!$A$13:$AE$681,31,0)</f>
        <v>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 &amp; aws s3 cp s3://rtdc.mdm.uploadarchive/RTDC4018/2016-08-05/ "%USERPROFILE%\AppData\Local\Temp\OnboardLogs"\RTDC4018\2016-08-05 --recursive &amp; "%USERPROFILE%\Documents\GitHub\mrs-test-scripts\Headless Mode &amp; Sideloading\WalkAndUnGZ.bat" "%USERPROFILE%\AppData\Local\Temp\OnboardLogs"\RTDC4018\2016-08-05</v>
      </c>
      <c r="Q45" s="139" t="str">
        <f>VLOOKUP(C45,'Train Runs'!$A$13:$AE$681,22,0)</f>
        <v>https://search-rtdc-monitor-bjffxe2xuh6vdkpspy63sjmuny.us-east-1.es.amazonaws.com/_plugin/kibana/#/discover/Steve-Slow-Train-Analysis-(2080s-and-2083s)?_g=(refreshInterval:(display:Off,section:0,value:0),time:(from:'2016-08-04 16:01:24-0600',mode:absolute,to:'2016-08-04 18:47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45" s="142" t="str">
        <f t="shared" si="0"/>
        <v>"C:\Program Files (x86)\AstroGrep\AstroGrep.exe" /spath="%USERPROFILE%\AppData\Local\Temp\OnboardLogs" /stypes="*4018*201608042*" /stext=" 23:.+((SYSTEM_STATE.+slice.+state.+changed )|(ment ac)|(system.+state.+changed )|(\|lc)|(penalty)|(\[timeout)|(PRM\|1\|D)|(kpr)|(kdp))" /e /r /s</v>
      </c>
      <c r="S45" s="9" t="str">
        <f t="shared" si="1"/>
        <v>4018</v>
      </c>
      <c r="T45" s="41">
        <f t="shared" si="2"/>
        <v>42586.995520833334</v>
      </c>
      <c r="U45" s="55" t="str">
        <f t="shared" si="3"/>
        <v>NW</v>
      </c>
      <c r="V45" s="55" t="str">
        <f t="shared" si="4"/>
        <v>KEEP</v>
      </c>
    </row>
    <row r="46" spans="1:22" x14ac:dyDescent="0.25">
      <c r="A46" s="41">
        <v>42586.612268518518</v>
      </c>
      <c r="B46" s="34" t="s">
        <v>70</v>
      </c>
      <c r="C46" s="34" t="s">
        <v>494</v>
      </c>
      <c r="D46" s="34" t="s">
        <v>142</v>
      </c>
      <c r="E46" s="34" t="s">
        <v>54</v>
      </c>
      <c r="F46" s="52">
        <v>0</v>
      </c>
      <c r="G46" s="52">
        <v>82</v>
      </c>
      <c r="H46" s="52">
        <v>58296</v>
      </c>
      <c r="I46" s="34" t="s">
        <v>55</v>
      </c>
      <c r="J46" s="52">
        <v>58472</v>
      </c>
      <c r="K46" s="34" t="s">
        <v>53</v>
      </c>
      <c r="L46" s="115" t="str">
        <f>VLOOKUP(C46,'Trips&amp;Operators'!$C$1:$E$9999,3,0)</f>
        <v>KILLION</v>
      </c>
      <c r="M46" s="9" t="s">
        <v>96</v>
      </c>
      <c r="N46" s="10" t="s">
        <v>336</v>
      </c>
      <c r="O46" s="34"/>
      <c r="P46" s="135" t="str">
        <f>VLOOKUP(C46,'Train Runs'!$A$13:$AE$681,31,0)</f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Q46" s="139" t="str">
        <f>VLOOKUP(C46,'Train Runs'!$A$13:$AE$681,22,0)</f>
        <v>https://search-rtdc-monitor-bjffxe2xuh6vdkpspy63sjmuny.us-east-1.es.amazonaws.com/_plugin/kibana/#/discover/Steve-Slow-Train-Analysis-(2080s-and-2083s)?_g=(refreshInterval:(display:Off,section:0,value:0),time:(from:'2016-08-04 13:39:39-0600',mode:absolute,to:'2016-08-04 15:42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46" s="142" t="str">
        <f t="shared" si="0"/>
        <v>"C:\Program Files (x86)\AstroGrep\AstroGrep.exe" /spath="%USERPROFILE%\AppData\Local\Temp\OnboardLogs" /stypes="*4017*201608042*" /stext=" 20:.+((SYSTEM_STATE.+slice.+state.+changed )|(ment ac)|(system.+state.+changed )|(\|lc)|(penalty)|(\[timeout)|(PRM\|1\|D)|(kpr)|(kdp))" /e /r /s</v>
      </c>
      <c r="S46" s="9" t="str">
        <f t="shared" si="1"/>
        <v>4017</v>
      </c>
      <c r="T46" s="41">
        <f t="shared" si="2"/>
        <v>42586.862268518518</v>
      </c>
      <c r="U46" s="55" t="str">
        <f t="shared" si="3"/>
        <v>NW</v>
      </c>
      <c r="V46" s="55" t="str">
        <f t="shared" si="4"/>
        <v>KEEP</v>
      </c>
    </row>
    <row r="47" spans="1:22" x14ac:dyDescent="0.25">
      <c r="A47" s="41">
        <v>42586.612858796296</v>
      </c>
      <c r="B47" s="34" t="s">
        <v>70</v>
      </c>
      <c r="C47" s="34" t="s">
        <v>494</v>
      </c>
      <c r="D47" s="34" t="s">
        <v>142</v>
      </c>
      <c r="E47" s="34" t="s">
        <v>54</v>
      </c>
      <c r="F47" s="52">
        <v>0</v>
      </c>
      <c r="G47" s="52">
        <v>2</v>
      </c>
      <c r="H47" s="52">
        <v>58189</v>
      </c>
      <c r="I47" s="34" t="s">
        <v>55</v>
      </c>
      <c r="J47" s="52">
        <v>58472</v>
      </c>
      <c r="K47" s="34" t="s">
        <v>53</v>
      </c>
      <c r="L47" s="115" t="str">
        <f>VLOOKUP(C47,'Trips&amp;Operators'!$C$1:$E$9999,3,0)</f>
        <v>KILLION</v>
      </c>
      <c r="M47" s="9" t="s">
        <v>96</v>
      </c>
      <c r="N47" s="10" t="s">
        <v>336</v>
      </c>
      <c r="O47" s="34"/>
      <c r="P47" s="135" t="str">
        <f>VLOOKUP(C47,'Train Runs'!$A$13:$AE$681,31,0)</f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Q47" s="139" t="str">
        <f>VLOOKUP(C47,'Train Runs'!$A$13:$AE$681,22,0)</f>
        <v>https://search-rtdc-monitor-bjffxe2xuh6vdkpspy63sjmuny.us-east-1.es.amazonaws.com/_plugin/kibana/#/discover/Steve-Slow-Train-Analysis-(2080s-and-2083s)?_g=(refreshInterval:(display:Off,section:0,value:0),time:(from:'2016-08-04 13:39:39-0600',mode:absolute,to:'2016-08-04 15:42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47" s="142" t="str">
        <f t="shared" si="0"/>
        <v>"C:\Program Files (x86)\AstroGrep\AstroGrep.exe" /spath="%USERPROFILE%\AppData\Local\Temp\OnboardLogs" /stypes="*4017*201608042*" /stext=" 20:.+((SYSTEM_STATE.+slice.+state.+changed )|(ment ac)|(system.+state.+changed )|(\|lc)|(penalty)|(\[timeout)|(PRM\|1\|D)|(kpr)|(kdp))" /e /r /s</v>
      </c>
      <c r="S47" s="9" t="str">
        <f t="shared" si="1"/>
        <v>4017</v>
      </c>
      <c r="T47" s="41">
        <f t="shared" si="2"/>
        <v>42586.862858796296</v>
      </c>
      <c r="U47" s="55" t="str">
        <f t="shared" si="3"/>
        <v>NW</v>
      </c>
      <c r="V47" s="55" t="str">
        <f t="shared" si="4"/>
        <v>KEEP</v>
      </c>
    </row>
    <row r="48" spans="1:22" x14ac:dyDescent="0.25">
      <c r="A48" s="41">
        <v>42586.755185185182</v>
      </c>
      <c r="B48" s="34" t="s">
        <v>70</v>
      </c>
      <c r="C48" s="34" t="s">
        <v>500</v>
      </c>
      <c r="D48" s="34" t="s">
        <v>142</v>
      </c>
      <c r="E48" s="34" t="s">
        <v>54</v>
      </c>
      <c r="F48" s="52">
        <v>0</v>
      </c>
      <c r="G48" s="52">
        <v>80</v>
      </c>
      <c r="H48" s="52">
        <v>58300</v>
      </c>
      <c r="I48" s="34" t="s">
        <v>55</v>
      </c>
      <c r="J48" s="52">
        <v>58472</v>
      </c>
      <c r="K48" s="34" t="s">
        <v>53</v>
      </c>
      <c r="L48" s="115" t="str">
        <f>VLOOKUP(C48,'Trips&amp;Operators'!$C$1:$E$9999,3,0)</f>
        <v>KILLION</v>
      </c>
      <c r="M48" s="9" t="s">
        <v>97</v>
      </c>
      <c r="N48" s="10" t="s">
        <v>835</v>
      </c>
      <c r="O48" s="34"/>
      <c r="P48" s="135" t="str">
        <f>VLOOKUP(C48,'Train Runs'!$A$13:$AE$681,31,0)</f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Q48" s="139" t="str">
        <f>VLOOKUP(C48,'Train Runs'!$A$13:$AE$681,22,0)</f>
        <v>https://search-rtdc-monitor-bjffxe2xuh6vdkpspy63sjmuny.us-east-1.es.amazonaws.com/_plugin/kibana/#/discover/Steve-Slow-Train-Analysis-(2080s-and-2083s)?_g=(refreshInterval:(display:Off,section:0,value:0),time:(from:'2016-08-04 17:05:24-0600',mode:absolute,to:'2016-08-04 19:08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48" s="142" t="str">
        <f t="shared" si="0"/>
        <v>"C:\Program Files (x86)\AstroGrep\AstroGrep.exe" /spath="%USERPROFILE%\AppData\Local\Temp\OnboardLogs" /stypes="*4017*201608050*" /stext=" 00:.+((SYSTEM_STATE.+slice.+state.+changed )|(ment ac)|(system.+state.+changed )|(\|lc)|(penalty)|(\[timeout)|(PRM\|1\|D)|(kpr)|(kdp))" /e /r /s</v>
      </c>
      <c r="S48" s="9" t="str">
        <f t="shared" si="1"/>
        <v>4017</v>
      </c>
      <c r="T48" s="41">
        <f t="shared" si="2"/>
        <v>42587.005185185182</v>
      </c>
      <c r="U48" s="55" t="str">
        <f t="shared" si="3"/>
        <v>NW</v>
      </c>
      <c r="V48" s="55" t="str">
        <f t="shared" si="4"/>
        <v>KEEP</v>
      </c>
    </row>
    <row r="49" spans="1:22" x14ac:dyDescent="0.25">
      <c r="A49" s="41">
        <v>42586.746030092596</v>
      </c>
      <c r="B49" s="34" t="s">
        <v>69</v>
      </c>
      <c r="C49" s="34" t="s">
        <v>499</v>
      </c>
      <c r="D49" s="34" t="s">
        <v>49</v>
      </c>
      <c r="E49" s="34" t="s">
        <v>334</v>
      </c>
      <c r="F49" s="52">
        <v>0</v>
      </c>
      <c r="G49" s="52">
        <v>60</v>
      </c>
      <c r="H49" s="52">
        <v>28660</v>
      </c>
      <c r="I49" s="34" t="s">
        <v>335</v>
      </c>
      <c r="J49" s="52">
        <v>28990</v>
      </c>
      <c r="K49" s="34" t="s">
        <v>52</v>
      </c>
      <c r="L49" s="115" t="str">
        <f>VLOOKUP(C49,'Trips&amp;Operators'!$C$1:$E$9999,3,0)</f>
        <v>KILLION</v>
      </c>
      <c r="M49" s="9" t="s">
        <v>96</v>
      </c>
      <c r="N49" s="10" t="s">
        <v>374</v>
      </c>
      <c r="O49" s="34"/>
      <c r="P49" s="135" t="str">
        <f>VLOOKUP(C49,'Train Runs'!$A$13:$AE$681,31,0)</f>
        <v>aws s3 cp s3://rtdc.mdm.uploadarchive/RTDC4018/2016-08-04/ "%USERPROFILE%\AppData\Local\Temp\OnboardLogs"\RTDC4018\2016-08-04 --recursive &amp; "%USERPROFILE%\Documents\GitHub\mrs-test-scripts\Headless Mode &amp; Sideloading\WalkAndUnGZ.bat" "%USERPROFILE%\AppData\Local\Temp\OnboardLogs"\RTDC4018\2016-08-04 &amp; aws s3 cp s3://rtdc.mdm.uploadarchive/RTDC4018/2016-08-05/ "%USERPROFILE%\AppData\Local\Temp\OnboardLogs"\RTDC4018\2016-08-05 --recursive &amp; "%USERPROFILE%\Documents\GitHub\mrs-test-scripts\Headless Mode &amp; Sideloading\WalkAndUnGZ.bat" "%USERPROFILE%\AppData\Local\Temp\OnboardLogs"\RTDC4018\2016-08-05</v>
      </c>
      <c r="Q49" s="139" t="str">
        <f>VLOOKUP(C49,'Train Runs'!$A$13:$AE$681,22,0)</f>
        <v>https://search-rtdc-monitor-bjffxe2xuh6vdkpspy63sjmuny.us-east-1.es.amazonaws.com/_plugin/kibana/#/discover/Steve-Slow-Train-Analysis-(2080s-and-2083s)?_g=(refreshInterval:(display:Off,section:0,value:0),time:(from:'2016-08-04 16:01:24-0600',mode:absolute,to:'2016-08-04 18:47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49" s="142" t="str">
        <f t="shared" si="0"/>
        <v>"C:\Program Files (x86)\AstroGrep\AstroGrep.exe" /spath="%USERPROFILE%\AppData\Local\Temp\OnboardLogs" /stypes="*4018*201608042*" /stext=" 23:.+((SYSTEM_STATE.+slice.+state.+changed )|(ment ac)|(system.+state.+changed )|(\|lc)|(penalty)|(\[timeout)|(PRM\|1\|D)|(kpr)|(kdp))" /e /r /s</v>
      </c>
      <c r="S49" s="9" t="str">
        <f t="shared" si="1"/>
        <v>4018</v>
      </c>
      <c r="T49" s="41">
        <f t="shared" si="2"/>
        <v>42586.996030092596</v>
      </c>
      <c r="U49" s="55" t="str">
        <f t="shared" si="3"/>
        <v>NW</v>
      </c>
      <c r="V49" s="55" t="str">
        <f t="shared" si="4"/>
        <v>KEEP</v>
      </c>
    </row>
    <row r="50" spans="1:22" x14ac:dyDescent="0.25">
      <c r="A50" s="41">
        <v>42586.368356481478</v>
      </c>
      <c r="B50" s="34" t="s">
        <v>70</v>
      </c>
      <c r="C50" s="34" t="s">
        <v>477</v>
      </c>
      <c r="D50" s="34" t="s">
        <v>49</v>
      </c>
      <c r="E50" s="34" t="s">
        <v>316</v>
      </c>
      <c r="F50" s="52">
        <v>100</v>
      </c>
      <c r="G50" s="52">
        <v>301</v>
      </c>
      <c r="H50" s="52">
        <v>12223</v>
      </c>
      <c r="I50" s="34" t="s">
        <v>132</v>
      </c>
      <c r="J50" s="52">
        <v>11000</v>
      </c>
      <c r="K50" s="34" t="s">
        <v>53</v>
      </c>
      <c r="L50" s="115" t="str">
        <f>VLOOKUP(C50,'Trips&amp;Operators'!$C$1:$E$9999,3,0)</f>
        <v>ISHMAEL</v>
      </c>
      <c r="M50" s="9" t="s">
        <v>97</v>
      </c>
      <c r="N50" s="10"/>
      <c r="O50" s="34"/>
      <c r="P50" s="135" t="str">
        <f>VLOOKUP(C50,'Train Runs'!$A$13:$AE$681,31,0)</f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Q50" s="139" t="str">
        <f>VLOOKUP(C50,'Train Runs'!$A$13:$AE$681,22,0)</f>
        <v>https://search-rtdc-monitor-bjffxe2xuh6vdkpspy63sjmuny.us-east-1.es.amazonaws.com/_plugin/kibana/#/discover/Steve-Slow-Train-Analysis-(2080s-and-2083s)?_g=(refreshInterval:(display:Off,section:0,value:0),time:(from:'2016-08-04 07:37:17-0600',mode:absolute,to:'2016-08-04 09:56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50" s="142" t="str">
        <f t="shared" si="0"/>
        <v>"C:\Program Files (x86)\AstroGrep\AstroGrep.exe" /spath="%USERPROFILE%\AppData\Local\Temp\OnboardLogs" /stypes="*4017*201608041*" /stext=" 14:.+((SYSTEM_STATE.+slice.+state.+changed )|(ment ac)|(system.+state.+changed )|(\|lc)|(penalty)|(\[timeout)|(PRM\|1\|D)|(kpr)|(kdp))" /e /r /s</v>
      </c>
      <c r="S50" s="9" t="str">
        <f t="shared" si="1"/>
        <v>4017</v>
      </c>
      <c r="T50" s="41">
        <f t="shared" si="2"/>
        <v>42586.618356481478</v>
      </c>
      <c r="U50" s="55" t="str">
        <f t="shared" si="3"/>
        <v>NW</v>
      </c>
      <c r="V50" s="55" t="str">
        <f t="shared" si="4"/>
        <v>KEEP</v>
      </c>
    </row>
    <row r="51" spans="1:22" x14ac:dyDescent="0.25">
      <c r="A51" s="41">
        <v>42586.580046296294</v>
      </c>
      <c r="B51" s="34" t="s">
        <v>70</v>
      </c>
      <c r="C51" s="34" t="s">
        <v>491</v>
      </c>
      <c r="D51" s="34" t="s">
        <v>49</v>
      </c>
      <c r="E51" s="34" t="s">
        <v>50</v>
      </c>
      <c r="F51" s="52">
        <v>0</v>
      </c>
      <c r="G51" s="52">
        <v>61</v>
      </c>
      <c r="H51" s="52">
        <v>752</v>
      </c>
      <c r="I51" s="34" t="s">
        <v>51</v>
      </c>
      <c r="J51" s="52">
        <v>575</v>
      </c>
      <c r="K51" s="34" t="s">
        <v>53</v>
      </c>
      <c r="L51" s="115" t="str">
        <f>VLOOKUP(C51,'Trips&amp;Operators'!$C$1:$E$9999,3,0)</f>
        <v>KILLION</v>
      </c>
      <c r="M51" s="9" t="s">
        <v>97</v>
      </c>
      <c r="N51" s="10"/>
      <c r="O51" s="34"/>
      <c r="P51" s="135" t="str">
        <f>VLOOKUP(C51,'Train Runs'!$A$13:$AE$681,31,0)</f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Q51" s="139" t="str">
        <f>VLOOKUP(C51,'Train Runs'!$A$13:$AE$681,22,0)</f>
        <v>https://search-rtdc-monitor-bjffxe2xuh6vdkpspy63sjmuny.us-east-1.es.amazonaws.com/_plugin/kibana/#/discover/Steve-Slow-Train-Analysis-(2080s-and-2083s)?_g=(refreshInterval:(display:Off,section:0,value:0),time:(from:'2016-08-04 12:38:17-0600',mode:absolute,to:'2016-08-04 14:57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51" s="142" t="str">
        <f t="shared" si="0"/>
        <v>"C:\Program Files (x86)\AstroGrep\AstroGrep.exe" /spath="%USERPROFILE%\AppData\Local\Temp\OnboardLogs" /stypes="*4017*201608041*" /stext=" 19:.+((SYSTEM_STATE.+slice.+state.+changed )|(ment ac)|(system.+state.+changed )|(\|lc)|(penalty)|(\[timeout)|(PRM\|1\|D)|(kpr)|(kdp))" /e /r /s</v>
      </c>
      <c r="S51" s="9" t="str">
        <f t="shared" si="1"/>
        <v>4017</v>
      </c>
      <c r="T51" s="41">
        <f t="shared" si="2"/>
        <v>42586.830046296294</v>
      </c>
      <c r="U51" s="55" t="str">
        <f t="shared" si="3"/>
        <v>NW</v>
      </c>
      <c r="V51" s="55" t="str">
        <f t="shared" si="4"/>
        <v>KEEP</v>
      </c>
    </row>
    <row r="52" spans="1:22" x14ac:dyDescent="0.25">
      <c r="A52" s="41">
        <v>42586.689189814817</v>
      </c>
      <c r="B52" s="34" t="s">
        <v>146</v>
      </c>
      <c r="C52" s="34" t="s">
        <v>497</v>
      </c>
      <c r="D52" s="34" t="s">
        <v>49</v>
      </c>
      <c r="E52" s="34" t="s">
        <v>50</v>
      </c>
      <c r="F52" s="52">
        <v>0</v>
      </c>
      <c r="G52" s="52">
        <v>32</v>
      </c>
      <c r="H52" s="52">
        <v>656</v>
      </c>
      <c r="I52" s="34" t="s">
        <v>51</v>
      </c>
      <c r="J52" s="52">
        <v>575</v>
      </c>
      <c r="K52" s="34" t="s">
        <v>53</v>
      </c>
      <c r="L52" s="115" t="str">
        <f>VLOOKUP(C52,'Trips&amp;Operators'!$C$1:$E$9999,3,0)</f>
        <v>HAITHCOX</v>
      </c>
      <c r="M52" s="9" t="s">
        <v>97</v>
      </c>
      <c r="N52" s="10"/>
      <c r="O52" s="34"/>
      <c r="P52" s="135" t="str">
        <f>VLOOKUP(C52,'Train Runs'!$A$13:$AE$681,31,0)</f>
        <v>aws s3 cp s3://rtdc.mdm.uploadarchive/RTDC4041/2016-08-04/ "%USERPROFILE%\AppData\Local\Temp\OnboardLogs"\RTDC4041\2016-08-04 --recursive &amp; "%USERPROFILE%\Documents\GitHub\mrs-test-scripts\Headless Mode &amp; Sideloading\WalkAndUnGZ.bat" "%USERPROFILE%\AppData\Local\Temp\OnboardLogs"\RTDC4041\2016-08-04 &amp; aws s3 cp s3://rtdc.mdm.uploadarchive/RTDC4041/2016-08-05/ "%USERPROFILE%\AppData\Local\Temp\OnboardLogs"\RTDC4041\2016-08-05 --recursive &amp; "%USERPROFILE%\Documents\GitHub\mrs-test-scripts\Headless Mode &amp; Sideloading\WalkAndUnGZ.bat" "%USERPROFILE%\AppData\Local\Temp\OnboardLogs"\RTDC4041\2016-08-05</v>
      </c>
      <c r="Q52" s="139" t="str">
        <f>VLOOKUP(C52,'Train Runs'!$A$13:$AE$681,22,0)</f>
        <v>https://search-rtdc-monitor-bjffxe2xuh6vdkpspy63sjmuny.us-east-1.es.amazonaws.com/_plugin/kibana/#/discover/Steve-Slow-Train-Analysis-(2080s-and-2083s)?_g=(refreshInterval:(display:Off,section:0,value:0),time:(from:'2016-08-04 15:12:35-0600',mode:absolute,to:'2016-08-04 17:32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52" s="142" t="str">
        <f t="shared" si="0"/>
        <v>"C:\Program Files (x86)\AstroGrep\AstroGrep.exe" /spath="%USERPROFILE%\AppData\Local\Temp\OnboardLogs" /stypes="*4041*201608042*" /stext=" 22:.+((SYSTEM_STATE.+slice.+state.+changed )|(ment ac)|(system.+state.+changed )|(\|lc)|(penalty)|(\[timeout)|(PRM\|1\|D)|(kpr)|(kdp))" /e /r /s</v>
      </c>
      <c r="S52" s="9" t="str">
        <f t="shared" si="1"/>
        <v>4041</v>
      </c>
      <c r="T52" s="41">
        <f t="shared" si="2"/>
        <v>42586.939189814817</v>
      </c>
      <c r="U52" s="55" t="str">
        <f t="shared" si="3"/>
        <v>NW</v>
      </c>
      <c r="V52" s="55" t="str">
        <f t="shared" si="4"/>
        <v>KEEP</v>
      </c>
    </row>
    <row r="53" spans="1:22" x14ac:dyDescent="0.25">
      <c r="A53" s="41">
        <v>42586.872523148151</v>
      </c>
      <c r="B53" s="34" t="s">
        <v>70</v>
      </c>
      <c r="C53" s="34" t="s">
        <v>506</v>
      </c>
      <c r="D53" s="34" t="s">
        <v>49</v>
      </c>
      <c r="E53" s="34" t="s">
        <v>50</v>
      </c>
      <c r="F53" s="52">
        <v>0</v>
      </c>
      <c r="G53" s="52">
        <v>78</v>
      </c>
      <c r="H53" s="52">
        <v>824</v>
      </c>
      <c r="I53" s="34" t="s">
        <v>51</v>
      </c>
      <c r="J53" s="52">
        <v>575</v>
      </c>
      <c r="K53" s="34" t="s">
        <v>53</v>
      </c>
      <c r="L53" s="115" t="str">
        <f>VLOOKUP(C53,'Trips&amp;Operators'!$C$1:$E$9999,3,0)</f>
        <v>KILLION</v>
      </c>
      <c r="M53" s="9" t="s">
        <v>97</v>
      </c>
      <c r="N53" s="10"/>
      <c r="O53" s="34"/>
      <c r="P53" s="135" t="str">
        <f>VLOOKUP(C53,'Train Runs'!$A$13:$AE$681,31,0)</f>
        <v>aws s3 cp s3://rtdc.mdm.uploadarchive/RTDC4017/2016-08-04/ "%USERPROFILE%\AppData\Local\Temp\OnboardLogs"\RTDC4017\2016-08-04 --recursive &amp; "%USERPROFILE%\Documents\GitHub\mrs-test-scripts\Headless Mode &amp; Sideloading\WalkAndUnGZ.bat" "%USERPROFILE%\AppData\Local\Temp\OnboardLogs"\RTDC4017\2016-08-04 &amp; aws s3 cp s3://rtdc.mdm.uploadarchive/RTDC4017/2016-08-05/ "%USERPROFILE%\AppData\Local\Temp\OnboardLogs"\RTDC4017\2016-08-05 --recursive &amp; "%USERPROFILE%\Documents\GitHub\mrs-test-scripts\Headless Mode &amp; Sideloading\WalkAndUnGZ.bat" "%USERPROFILE%\AppData\Local\Temp\OnboardLogs"\RTDC4017\2016-08-05</v>
      </c>
      <c r="Q53" s="139" t="str">
        <f>VLOOKUP(C53,'Train Runs'!$A$13:$AE$681,22,0)</f>
        <v>https://search-rtdc-monitor-bjffxe2xuh6vdkpspy63sjmuny.us-east-1.es.amazonaws.com/_plugin/kibana/#/discover/Steve-Slow-Train-Analysis-(2080s-and-2083s)?_g=(refreshInterval:(display:Off,section:0,value:0),time:(from:'2016-08-04 19:37:57-0600',mode:absolute,to:'2016-08-04 21:58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53" s="142" t="str">
        <f t="shared" si="0"/>
        <v>"C:\Program Files (x86)\AstroGrep\AstroGrep.exe" /spath="%USERPROFILE%\AppData\Local\Temp\OnboardLogs" /stypes="*4017*201608050*" /stext=" 02:.+((SYSTEM_STATE.+slice.+state.+changed )|(ment ac)|(system.+state.+changed )|(\|lc)|(penalty)|(\[timeout)|(PRM\|1\|D)|(kpr)|(kdp))" /e /r /s</v>
      </c>
      <c r="S53" s="9" t="str">
        <f t="shared" si="1"/>
        <v>4017</v>
      </c>
      <c r="T53" s="41">
        <f t="shared" si="2"/>
        <v>42587.122523148151</v>
      </c>
      <c r="U53" s="55" t="str">
        <f t="shared" si="3"/>
        <v>NW</v>
      </c>
      <c r="V53" s="55" t="str">
        <f t="shared" si="4"/>
        <v>KEEP</v>
      </c>
    </row>
    <row r="54" spans="1:22" x14ac:dyDescent="0.25">
      <c r="A54" s="41">
        <v>42586.674212962964</v>
      </c>
      <c r="B54" s="34" t="s">
        <v>76</v>
      </c>
      <c r="C54" s="34" t="s">
        <v>496</v>
      </c>
      <c r="D54" s="34" t="s">
        <v>49</v>
      </c>
      <c r="E54" s="34" t="s">
        <v>50</v>
      </c>
      <c r="F54" s="52">
        <v>0</v>
      </c>
      <c r="G54" s="52">
        <v>51</v>
      </c>
      <c r="H54" s="52">
        <v>58862</v>
      </c>
      <c r="I54" s="34" t="s">
        <v>51</v>
      </c>
      <c r="J54" s="52">
        <v>59048</v>
      </c>
      <c r="K54" s="34" t="s">
        <v>52</v>
      </c>
      <c r="L54" s="115" t="str">
        <f>VLOOKUP(C54,'Trips&amp;Operators'!$C$1:$E$9999,3,0)</f>
        <v>HAITHCOX</v>
      </c>
      <c r="M54" s="9" t="s">
        <v>97</v>
      </c>
      <c r="N54" s="10"/>
      <c r="O54" s="34"/>
      <c r="P54" s="135" t="str">
        <f>VLOOKUP(C54,'Train Runs'!$A$13:$AE$681,31,0)</f>
        <v>aws s3 cp s3://rtdc.mdm.uploadarchive/RTDC4042/2016-08-04/ "%USERPROFILE%\AppData\Local\Temp\OnboardLogs"\RTDC4042\2016-08-04 --recursive &amp; "%USERPROFILE%\Documents\GitHub\mrs-test-scripts\Headless Mode &amp; Sideloading\WalkAndUnGZ.bat" "%USERPROFILE%\AppData\Local\Temp\OnboardLogs"\RTDC4042\2016-08-04 &amp; aws s3 cp s3://rtdc.mdm.uploadarchive/RTDC4042/2016-08-05/ "%USERPROFILE%\AppData\Local\Temp\OnboardLogs"\RTDC4042\2016-08-05 --recursive &amp; "%USERPROFILE%\Documents\GitHub\mrs-test-scripts\Headless Mode &amp; Sideloading\WalkAndUnGZ.bat" "%USERPROFILE%\AppData\Local\Temp\OnboardLogs"\RTDC4042\2016-08-05</v>
      </c>
      <c r="Q54" s="139" t="str">
        <f>VLOOKUP(C54,'Train Runs'!$A$13:$AE$681,22,0)</f>
        <v>https://search-rtdc-monitor-bjffxe2xuh6vdkpspy63sjmuny.us-east-1.es.amazonaws.com/_plugin/kibana/#/discover/Steve-Slow-Train-Analysis-(2080s-and-2083s)?_g=(refreshInterval:(display:Off,section:0,value:0),time:(from:'2016-08-04 14:52:25-0600',mode:absolute,to:'2016-08-04 17:11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54" s="142" t="str">
        <f t="shared" si="0"/>
        <v>"C:\Program Files (x86)\AstroGrep\AstroGrep.exe" /spath="%USERPROFILE%\AppData\Local\Temp\OnboardLogs" /stypes="*4042*201608042*" /stext=" 22:.+((SYSTEM_STATE.+slice.+state.+changed )|(ment ac)|(system.+state.+changed )|(\|lc)|(penalty)|(\[timeout)|(PRM\|1\|D)|(kpr)|(kdp))" /e /r /s</v>
      </c>
      <c r="S54" s="9" t="str">
        <f t="shared" si="1"/>
        <v>4042</v>
      </c>
      <c r="T54" s="41">
        <f t="shared" si="2"/>
        <v>42586.924212962964</v>
      </c>
      <c r="U54" s="55" t="str">
        <f t="shared" si="3"/>
        <v>NW</v>
      </c>
      <c r="V54" s="55" t="str">
        <f t="shared" si="4"/>
        <v>KEEP</v>
      </c>
    </row>
  </sheetData>
  <autoFilter ref="A6:V54"/>
  <sortState ref="A7:V83">
    <sortCondition ref="U7:U83"/>
    <sortCondition ref="E7:E83"/>
    <sortCondition ref="J7:J83"/>
    <sortCondition ref="C7:C83"/>
    <sortCondition ref="F7:F83"/>
  </sortState>
  <mergeCells count="1">
    <mergeCell ref="A5:M5"/>
  </mergeCells>
  <conditionalFormatting sqref="M6:N6 P6 M7:M1048576">
    <cfRule type="cellIs" dxfId="5" priority="14" operator="equal">
      <formula>"Y"</formula>
    </cfRule>
  </conditionalFormatting>
  <conditionalFormatting sqref="A7:N54">
    <cfRule type="expression" dxfId="4" priority="7">
      <formula>$M7="Y"</formula>
    </cfRule>
  </conditionalFormatting>
  <conditionalFormatting sqref="M2:M3">
    <cfRule type="cellIs" dxfId="3" priority="5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>
      <selection activeCell="D3" sqref="D3"/>
    </sheetView>
  </sheetViews>
  <sheetFormatPr defaultRowHeight="15" x14ac:dyDescent="0.25"/>
  <cols>
    <col min="1" max="1" width="9.140625" style="75" customWidth="1"/>
    <col min="2" max="2" width="8" style="92" bestFit="1" customWidth="1"/>
    <col min="3" max="3" width="9.85546875" style="94" bestFit="1" customWidth="1"/>
    <col min="4" max="4" width="45.140625" bestFit="1" customWidth="1"/>
    <col min="5" max="5" width="18.140625" customWidth="1"/>
    <col min="6" max="6" width="17" customWidth="1"/>
    <col min="7" max="7" width="14.140625" customWidth="1"/>
    <col min="8" max="9" width="9.140625" customWidth="1"/>
  </cols>
  <sheetData>
    <row r="1" spans="1:10" s="24" customFormat="1" x14ac:dyDescent="0.25">
      <c r="A1" s="145" t="str">
        <f>"Trips that did not appear in PTC Data "&amp;TEXT(Variables!$A$2,"YYYY-mm-dd")</f>
        <v>Trips that did not appear in PTC Data 2016-08-04</v>
      </c>
      <c r="B1" s="145"/>
      <c r="C1" s="145"/>
      <c r="D1" s="145"/>
      <c r="E1" s="145"/>
    </row>
    <row r="2" spans="1:10" s="27" customFormat="1" ht="45" x14ac:dyDescent="0.25">
      <c r="A2" s="132" t="s">
        <v>73</v>
      </c>
      <c r="B2" s="90" t="s">
        <v>74</v>
      </c>
      <c r="C2" s="93" t="s">
        <v>75</v>
      </c>
      <c r="D2" s="27" t="s">
        <v>71</v>
      </c>
      <c r="E2" s="27" t="s">
        <v>72</v>
      </c>
      <c r="F2" s="27" t="s">
        <v>77</v>
      </c>
      <c r="G2" s="32" t="s">
        <v>78</v>
      </c>
      <c r="H2" s="32" t="s">
        <v>296</v>
      </c>
    </row>
    <row r="3" spans="1:10" x14ac:dyDescent="0.25">
      <c r="A3" s="77" t="s">
        <v>839</v>
      </c>
      <c r="B3" s="91"/>
      <c r="C3" s="91"/>
      <c r="D3" s="34" t="s">
        <v>842</v>
      </c>
      <c r="E3" s="25" t="e">
        <f>VLOOKUP(A3,'Trips&amp;Operators'!$C$2:$E$10000,3,FALSE)</f>
        <v>#N/A</v>
      </c>
      <c r="F3" s="25" t="e">
        <f>VLOOKUP(A3,'Trips&amp;Operators'!$C$1:$F$10000,4,FALSE)</f>
        <v>#N/A</v>
      </c>
      <c r="G3" s="33" t="e">
        <f>VLOOKUP(A3,'Trips&amp;Operators'!$C$1:$H$10000,5,FALSE)</f>
        <v>#N/A</v>
      </c>
      <c r="H3" s="32" t="str">
        <f t="shared" ref="H3:H6" si="0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3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22846-04%22)),sort:!(Time,asc))</v>
      </c>
      <c r="I3" s="24"/>
      <c r="J3" s="24"/>
    </row>
    <row r="4" spans="1:10" x14ac:dyDescent="0.25">
      <c r="A4" s="91"/>
      <c r="B4" s="91"/>
      <c r="C4" s="91"/>
      <c r="D4" s="34"/>
      <c r="E4" s="25" t="e">
        <f>VLOOKUP(A4,'Trips&amp;Operators'!$C$2:$E$10000,3,FALSE)</f>
        <v>#N/A</v>
      </c>
      <c r="F4" s="25" t="e">
        <f>VLOOKUP(A4,'Trips&amp;Operators'!$C$1:$F$10000,4,FALSE)</f>
        <v>#N/A</v>
      </c>
      <c r="G4" s="33" t="e">
        <f>VLOOKUP(A4,'Trips&amp;Operators'!$C$1:$H$10000,5,FALSE)</f>
        <v>#N/A</v>
      </c>
      <c r="H4" s="32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4" s="24"/>
      <c r="J4" s="24"/>
    </row>
    <row r="5" spans="1:10" x14ac:dyDescent="0.25">
      <c r="A5" s="91"/>
      <c r="B5" s="91"/>
      <c r="C5" s="91"/>
      <c r="D5" s="34"/>
      <c r="E5" s="25" t="e">
        <f>VLOOKUP(A5,'Trips&amp;Operators'!$C$2:$E$10000,3,FALSE)</f>
        <v>#N/A</v>
      </c>
      <c r="F5" s="25" t="e">
        <f>VLOOKUP(A5,'Trips&amp;Operators'!$C$1:$F$10000,4,FALSE)</f>
        <v>#N/A</v>
      </c>
      <c r="G5" s="33" t="e">
        <f>VLOOKUP(A5,'Trips&amp;Operators'!$C$1:$H$10000,5,FALSE)</f>
        <v>#N/A</v>
      </c>
      <c r="H5" s="32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5" s="24"/>
      <c r="J5" s="24"/>
    </row>
    <row r="6" spans="1:10" x14ac:dyDescent="0.25">
      <c r="A6" s="91"/>
      <c r="B6" s="91"/>
      <c r="C6" s="91"/>
      <c r="D6" s="34"/>
      <c r="E6" s="25" t="e">
        <f>VLOOKUP(A6,'Trips&amp;Operators'!$C$2:$E$10000,3,FALSE)</f>
        <v>#N/A</v>
      </c>
      <c r="F6" s="25" t="e">
        <f>VLOOKUP(A6,'Trips&amp;Operators'!$C$1:$F$10000,4,FALSE)</f>
        <v>#N/A</v>
      </c>
      <c r="G6" s="33" t="e">
        <f>VLOOKUP(A6,'Trips&amp;Operators'!$C$1:$H$10000,5,FALSE)</f>
        <v>#N/A</v>
      </c>
      <c r="H6" s="32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6" s="24"/>
      <c r="J6" s="24"/>
    </row>
    <row r="7" spans="1:10" x14ac:dyDescent="0.25">
      <c r="B7" s="75"/>
      <c r="C7" s="75"/>
      <c r="H7" s="24"/>
      <c r="I7" s="24"/>
      <c r="J7" s="24"/>
    </row>
    <row r="8" spans="1:10" x14ac:dyDescent="0.25">
      <c r="B8" s="75"/>
      <c r="C8" s="75"/>
      <c r="H8" s="24"/>
      <c r="I8" s="24"/>
      <c r="J8" s="24"/>
    </row>
    <row r="9" spans="1:10" x14ac:dyDescent="0.25">
      <c r="B9" s="75"/>
      <c r="C9" s="75"/>
      <c r="H9" s="24"/>
      <c r="I9" s="24"/>
      <c r="J9" s="24"/>
    </row>
    <row r="10" spans="1:10" x14ac:dyDescent="0.25">
      <c r="B10" s="75"/>
      <c r="C10" s="75"/>
      <c r="H10" s="24"/>
      <c r="I10" s="24"/>
      <c r="J10" s="24"/>
    </row>
    <row r="11" spans="1:10" x14ac:dyDescent="0.25">
      <c r="B11" s="75"/>
      <c r="C11" s="75"/>
      <c r="H11" s="24"/>
      <c r="I11" s="24"/>
      <c r="J11" s="24"/>
    </row>
    <row r="12" spans="1:10" x14ac:dyDescent="0.25">
      <c r="B12" s="75"/>
      <c r="C12" s="75"/>
      <c r="H12" s="24"/>
      <c r="I12" s="24"/>
      <c r="J12" s="24"/>
    </row>
    <row r="13" spans="1:10" x14ac:dyDescent="0.25">
      <c r="B13" s="75"/>
      <c r="C13" s="75"/>
      <c r="H13" s="24"/>
      <c r="I13" s="24"/>
      <c r="J13" s="24"/>
    </row>
    <row r="14" spans="1:10" x14ac:dyDescent="0.25">
      <c r="B14" s="75"/>
      <c r="C14" s="75"/>
      <c r="H14" s="24"/>
      <c r="I14" s="24"/>
      <c r="J14" s="24"/>
    </row>
    <row r="15" spans="1:10" x14ac:dyDescent="0.25">
      <c r="B15" s="75"/>
      <c r="C15" s="75"/>
      <c r="H15" s="24"/>
      <c r="I15" s="24"/>
      <c r="J15" s="24"/>
    </row>
    <row r="16" spans="1:10" x14ac:dyDescent="0.25">
      <c r="B16" s="75"/>
      <c r="C16" s="75"/>
      <c r="H16" s="24"/>
      <c r="I16" s="24"/>
      <c r="J16" s="24"/>
    </row>
    <row r="17" spans="2:10" x14ac:dyDescent="0.25">
      <c r="B17" s="75"/>
      <c r="C17" s="75"/>
      <c r="H17" s="24"/>
      <c r="I17" s="24"/>
      <c r="J17" s="24"/>
    </row>
    <row r="18" spans="2:10" x14ac:dyDescent="0.25">
      <c r="B18" s="75"/>
      <c r="C18" s="75"/>
      <c r="H18" s="24"/>
      <c r="I18" s="24"/>
      <c r="J18" s="24"/>
    </row>
    <row r="19" spans="2:10" x14ac:dyDescent="0.25">
      <c r="B19" s="75"/>
      <c r="C19" s="75"/>
      <c r="H19" s="24"/>
      <c r="I19" s="24"/>
      <c r="J19" s="24"/>
    </row>
    <row r="20" spans="2:10" x14ac:dyDescent="0.25">
      <c r="B20" s="75"/>
      <c r="C20" s="75"/>
      <c r="H20" s="24"/>
      <c r="I20" s="24"/>
      <c r="J20" s="24"/>
    </row>
    <row r="21" spans="2:10" x14ac:dyDescent="0.25">
      <c r="B21" s="75"/>
      <c r="C21" s="75"/>
      <c r="H21" s="24"/>
      <c r="I21" s="24"/>
      <c r="J21" s="24"/>
    </row>
    <row r="22" spans="2:10" x14ac:dyDescent="0.25">
      <c r="B22" s="75"/>
      <c r="C22" s="75"/>
      <c r="H22" s="24"/>
      <c r="I22" s="24"/>
      <c r="J22" s="24"/>
    </row>
    <row r="23" spans="2:10" x14ac:dyDescent="0.25">
      <c r="B23" s="75"/>
      <c r="C23" s="75"/>
      <c r="H23" s="24"/>
      <c r="I23" s="24"/>
      <c r="J23" s="24"/>
    </row>
    <row r="24" spans="2:10" x14ac:dyDescent="0.25">
      <c r="B24" s="75"/>
      <c r="C24" s="75"/>
      <c r="H24" s="24"/>
      <c r="I24" s="24"/>
      <c r="J24" s="24"/>
    </row>
    <row r="25" spans="2:10" x14ac:dyDescent="0.25">
      <c r="B25" s="75"/>
      <c r="C25" s="75"/>
      <c r="H25" s="24"/>
      <c r="I25" s="24"/>
      <c r="J25" s="24"/>
    </row>
    <row r="26" spans="2:10" x14ac:dyDescent="0.25">
      <c r="B26" s="75"/>
      <c r="C26" s="75"/>
      <c r="H26" s="24"/>
      <c r="I26" s="24"/>
      <c r="J26" s="24"/>
    </row>
    <row r="27" spans="2:10" x14ac:dyDescent="0.25">
      <c r="B27" s="75"/>
      <c r="C27" s="75"/>
      <c r="H27" s="24"/>
      <c r="I27" s="24"/>
      <c r="J27" s="24"/>
    </row>
    <row r="28" spans="2:10" x14ac:dyDescent="0.25">
      <c r="B28" s="75"/>
      <c r="C28" s="75"/>
      <c r="H28" s="24"/>
      <c r="I28" s="24"/>
      <c r="J28" s="24"/>
    </row>
    <row r="29" spans="2:10" x14ac:dyDescent="0.25">
      <c r="B29" s="75"/>
      <c r="C29" s="75"/>
      <c r="H29" s="24"/>
      <c r="I29" s="24"/>
      <c r="J29" s="24"/>
    </row>
    <row r="30" spans="2:10" x14ac:dyDescent="0.25">
      <c r="B30" s="75"/>
      <c r="C30" s="75"/>
      <c r="H30" s="24"/>
      <c r="I30" s="24"/>
      <c r="J30" s="24"/>
    </row>
    <row r="31" spans="2:10" x14ac:dyDescent="0.25">
      <c r="B31" s="75"/>
      <c r="C31" s="75"/>
      <c r="H31" s="24"/>
      <c r="I31" s="24"/>
      <c r="J31" s="24"/>
    </row>
    <row r="32" spans="2:10" x14ac:dyDescent="0.25">
      <c r="B32" s="75"/>
      <c r="C32" s="75"/>
      <c r="H32" s="24"/>
      <c r="I32" s="24"/>
      <c r="J32" s="24"/>
    </row>
    <row r="33" spans="2:10" x14ac:dyDescent="0.25">
      <c r="B33" s="75"/>
      <c r="C33" s="75"/>
      <c r="H33" s="24"/>
      <c r="I33" s="24"/>
      <c r="J33" s="24"/>
    </row>
    <row r="34" spans="2:10" x14ac:dyDescent="0.25">
      <c r="B34" s="75"/>
      <c r="C34" s="75"/>
      <c r="H34" s="24"/>
      <c r="I34" s="24"/>
      <c r="J34" s="24"/>
    </row>
    <row r="35" spans="2:10" x14ac:dyDescent="0.25">
      <c r="B35" s="75"/>
      <c r="C35" s="75"/>
      <c r="H35" s="24"/>
      <c r="I35" s="24"/>
      <c r="J35" s="24"/>
    </row>
    <row r="36" spans="2:10" x14ac:dyDescent="0.25">
      <c r="B36" s="75"/>
      <c r="C36" s="75"/>
      <c r="H36" s="24"/>
      <c r="I36" s="24"/>
      <c r="J36" s="24"/>
    </row>
    <row r="37" spans="2:10" x14ac:dyDescent="0.25">
      <c r="B37" s="75"/>
      <c r="C37" s="75"/>
      <c r="H37" s="24"/>
      <c r="I37" s="24"/>
      <c r="J37" s="24"/>
    </row>
    <row r="38" spans="2:10" x14ac:dyDescent="0.25">
      <c r="B38" s="75"/>
      <c r="C38" s="75"/>
      <c r="H38" s="24"/>
      <c r="I38" s="24"/>
      <c r="J38" s="24"/>
    </row>
    <row r="39" spans="2:10" x14ac:dyDescent="0.25">
      <c r="B39" s="75"/>
      <c r="C39" s="75"/>
      <c r="H39" s="24"/>
      <c r="I39" s="24"/>
      <c r="J39" s="24"/>
    </row>
    <row r="40" spans="2:10" x14ac:dyDescent="0.25">
      <c r="B40" s="75"/>
      <c r="C40" s="75"/>
      <c r="H40" s="24"/>
      <c r="I40" s="24"/>
      <c r="J40" s="24"/>
    </row>
    <row r="41" spans="2:10" x14ac:dyDescent="0.25">
      <c r="B41" s="75"/>
      <c r="C41" s="75"/>
      <c r="H41" s="24"/>
      <c r="I41" s="24"/>
      <c r="J41" s="24"/>
    </row>
    <row r="42" spans="2:10" x14ac:dyDescent="0.25">
      <c r="B42" s="75"/>
      <c r="C42" s="75"/>
      <c r="H42" s="24"/>
      <c r="I42" s="24"/>
      <c r="J42" s="24"/>
    </row>
    <row r="43" spans="2:10" x14ac:dyDescent="0.25">
      <c r="B43" s="75"/>
      <c r="C43" s="75"/>
      <c r="H43" s="24"/>
      <c r="I43" s="24"/>
      <c r="J43" s="24"/>
    </row>
    <row r="44" spans="2:10" x14ac:dyDescent="0.25">
      <c r="B44" s="75"/>
      <c r="C44" s="75"/>
      <c r="H44" s="24"/>
      <c r="I44" s="24"/>
      <c r="J44" s="24"/>
    </row>
    <row r="45" spans="2:10" x14ac:dyDescent="0.25">
      <c r="B45" s="75"/>
      <c r="C45" s="75"/>
      <c r="H45" s="24"/>
      <c r="I45" s="24"/>
      <c r="J45" s="24"/>
    </row>
    <row r="46" spans="2:10" x14ac:dyDescent="0.25">
      <c r="B46" s="75"/>
      <c r="C46" s="75"/>
      <c r="H46" s="24"/>
      <c r="I46" s="24"/>
      <c r="J46" s="24"/>
    </row>
    <row r="47" spans="2:10" x14ac:dyDescent="0.25">
      <c r="B47" s="75"/>
      <c r="C47" s="75"/>
      <c r="H47" s="24"/>
      <c r="I47" s="24"/>
      <c r="J47" s="24"/>
    </row>
    <row r="48" spans="2:10" x14ac:dyDescent="0.25">
      <c r="B48" s="75"/>
      <c r="C48" s="75"/>
      <c r="H48" s="24"/>
      <c r="I48" s="24"/>
      <c r="J48" s="24"/>
    </row>
    <row r="49" spans="2:10" x14ac:dyDescent="0.25">
      <c r="B49" s="75"/>
      <c r="C49" s="75"/>
      <c r="H49" s="24"/>
      <c r="I49" s="24"/>
      <c r="J49" s="24"/>
    </row>
    <row r="50" spans="2:10" x14ac:dyDescent="0.25">
      <c r="B50" s="75"/>
      <c r="C50" s="75"/>
      <c r="H50" s="24"/>
      <c r="I50" s="24"/>
      <c r="J50" s="24"/>
    </row>
    <row r="51" spans="2:10" x14ac:dyDescent="0.25">
      <c r="B51" s="75"/>
      <c r="C51" s="75"/>
      <c r="H51" s="24"/>
      <c r="I51" s="24"/>
      <c r="J51" s="24"/>
    </row>
    <row r="52" spans="2:10" x14ac:dyDescent="0.25">
      <c r="B52" s="75"/>
      <c r="C52" s="75"/>
      <c r="H52" s="24"/>
      <c r="I52" s="24"/>
      <c r="J52" s="24"/>
    </row>
    <row r="53" spans="2:10" x14ac:dyDescent="0.25">
      <c r="B53" s="75"/>
      <c r="C53" s="75"/>
      <c r="H53" s="24"/>
      <c r="I53" s="24"/>
      <c r="J53" s="24"/>
    </row>
    <row r="54" spans="2:10" x14ac:dyDescent="0.25">
      <c r="B54" s="75"/>
      <c r="C54" s="75"/>
      <c r="H54" s="24"/>
      <c r="I54" s="24"/>
      <c r="J54" s="24"/>
    </row>
    <row r="55" spans="2:10" x14ac:dyDescent="0.25">
      <c r="B55" s="75"/>
      <c r="C55" s="75"/>
      <c r="H55" s="24"/>
      <c r="I55" s="24"/>
      <c r="J55" s="24"/>
    </row>
    <row r="56" spans="2:10" x14ac:dyDescent="0.25">
      <c r="B56" s="75"/>
      <c r="C56" s="75"/>
      <c r="H56" s="24"/>
      <c r="I56" s="24"/>
      <c r="J56" s="24"/>
    </row>
    <row r="57" spans="2:10" x14ac:dyDescent="0.25">
      <c r="B57" s="75"/>
      <c r="C57" s="75"/>
      <c r="H57" s="24"/>
      <c r="I57" s="24"/>
      <c r="J57" s="24"/>
    </row>
    <row r="58" spans="2:10" x14ac:dyDescent="0.25">
      <c r="B58" s="75"/>
      <c r="C58" s="75"/>
      <c r="H58" s="24"/>
      <c r="I58" s="24"/>
      <c r="J58" s="24"/>
    </row>
    <row r="59" spans="2:10" x14ac:dyDescent="0.25">
      <c r="B59" s="75"/>
      <c r="C59" s="75"/>
      <c r="H59" s="24"/>
      <c r="I59" s="24"/>
      <c r="J59" s="24"/>
    </row>
    <row r="60" spans="2:10" x14ac:dyDescent="0.25">
      <c r="B60" s="75"/>
      <c r="C60" s="75"/>
      <c r="H60" s="24"/>
      <c r="I60" s="24"/>
      <c r="J60" s="24"/>
    </row>
    <row r="61" spans="2:10" x14ac:dyDescent="0.25">
      <c r="B61" s="75"/>
      <c r="C61" s="75"/>
      <c r="H61" s="24"/>
      <c r="I61" s="24"/>
      <c r="J61" s="24"/>
    </row>
    <row r="62" spans="2:10" x14ac:dyDescent="0.25">
      <c r="B62" s="75"/>
      <c r="C62" s="75"/>
      <c r="H62" s="24"/>
      <c r="I62" s="24"/>
      <c r="J62" s="24"/>
    </row>
    <row r="63" spans="2:10" x14ac:dyDescent="0.25">
      <c r="B63" s="75"/>
      <c r="C63" s="75"/>
      <c r="H63" s="24"/>
      <c r="I63" s="24"/>
      <c r="J63" s="24"/>
    </row>
    <row r="64" spans="2:10" x14ac:dyDescent="0.25">
      <c r="B64" s="75"/>
      <c r="C64" s="75"/>
      <c r="H64" s="24"/>
      <c r="I64" s="24"/>
      <c r="J64" s="24"/>
    </row>
    <row r="65" spans="2:10" x14ac:dyDescent="0.25">
      <c r="B65" s="75"/>
      <c r="C65" s="75"/>
      <c r="H65" s="24"/>
      <c r="I65" s="24"/>
      <c r="J65" s="24"/>
    </row>
    <row r="66" spans="2:10" x14ac:dyDescent="0.25">
      <c r="B66" s="75"/>
      <c r="C66" s="75"/>
      <c r="H66" s="24"/>
      <c r="I66" s="24"/>
      <c r="J66" s="24"/>
    </row>
    <row r="67" spans="2:10" x14ac:dyDescent="0.25">
      <c r="B67" s="75"/>
      <c r="C67" s="75"/>
      <c r="H67" s="24"/>
      <c r="I67" s="24"/>
      <c r="J67" s="24"/>
    </row>
    <row r="68" spans="2:10" x14ac:dyDescent="0.25">
      <c r="B68" s="75"/>
      <c r="C68" s="75"/>
      <c r="H68" s="24"/>
      <c r="I68" s="24"/>
      <c r="J68" s="24"/>
    </row>
    <row r="69" spans="2:10" x14ac:dyDescent="0.25">
      <c r="B69" s="75"/>
      <c r="C69" s="75"/>
      <c r="H69" s="24"/>
      <c r="I69" s="24"/>
      <c r="J69" s="24"/>
    </row>
    <row r="70" spans="2:10" x14ac:dyDescent="0.25">
      <c r="B70" s="75"/>
      <c r="C70" s="75"/>
      <c r="H70" s="24"/>
      <c r="I70" s="24"/>
      <c r="J70" s="24"/>
    </row>
    <row r="71" spans="2:10" x14ac:dyDescent="0.25">
      <c r="B71" s="75"/>
      <c r="C71" s="75"/>
      <c r="H71" s="24"/>
      <c r="I71" s="24"/>
      <c r="J71" s="24"/>
    </row>
    <row r="72" spans="2:10" x14ac:dyDescent="0.25">
      <c r="B72" s="75"/>
      <c r="C72" s="75"/>
      <c r="H72" s="24"/>
      <c r="I72" s="24"/>
      <c r="J72" s="24"/>
    </row>
    <row r="73" spans="2:10" x14ac:dyDescent="0.25">
      <c r="B73" s="75"/>
      <c r="C73" s="75"/>
      <c r="H73" s="24"/>
      <c r="I73" s="24"/>
      <c r="J73" s="24"/>
    </row>
    <row r="74" spans="2:10" x14ac:dyDescent="0.25">
      <c r="B74" s="75"/>
      <c r="C74" s="75"/>
      <c r="H74" s="24"/>
      <c r="I74" s="24"/>
      <c r="J74" s="24"/>
    </row>
    <row r="75" spans="2:10" x14ac:dyDescent="0.25">
      <c r="B75" s="75"/>
      <c r="C75" s="75"/>
      <c r="H75" s="24"/>
      <c r="I75" s="24"/>
      <c r="J75" s="24"/>
    </row>
    <row r="76" spans="2:10" x14ac:dyDescent="0.25">
      <c r="B76" s="75"/>
      <c r="C76" s="75"/>
      <c r="H76" s="24"/>
      <c r="I76" s="24"/>
      <c r="J76" s="24"/>
    </row>
    <row r="77" spans="2:10" x14ac:dyDescent="0.25">
      <c r="B77" s="75"/>
      <c r="C77" s="75"/>
      <c r="H77" s="24"/>
      <c r="I77" s="24"/>
      <c r="J77" s="24"/>
    </row>
    <row r="78" spans="2:10" x14ac:dyDescent="0.25">
      <c r="B78" s="75"/>
      <c r="C78" s="75"/>
      <c r="H78" s="24"/>
      <c r="I78" s="24"/>
      <c r="J78" s="24"/>
    </row>
    <row r="79" spans="2:10" x14ac:dyDescent="0.25">
      <c r="B79" s="75"/>
      <c r="C79" s="75"/>
      <c r="H79" s="24"/>
      <c r="I79" s="24"/>
      <c r="J79" s="24"/>
    </row>
    <row r="80" spans="2:10" x14ac:dyDescent="0.25">
      <c r="B80" s="75"/>
      <c r="C80" s="75"/>
      <c r="H80" s="24"/>
      <c r="I80" s="24"/>
      <c r="J80" s="24"/>
    </row>
    <row r="81" spans="2:10" x14ac:dyDescent="0.25">
      <c r="B81" s="75"/>
      <c r="C81" s="75"/>
      <c r="H81" s="24"/>
      <c r="I81" s="24"/>
      <c r="J81" s="24"/>
    </row>
    <row r="82" spans="2:10" x14ac:dyDescent="0.25">
      <c r="B82" s="75"/>
      <c r="C82" s="75"/>
      <c r="H82" s="24"/>
      <c r="I82" s="24"/>
      <c r="J82" s="24"/>
    </row>
    <row r="83" spans="2:10" x14ac:dyDescent="0.25">
      <c r="B83" s="75"/>
      <c r="C83" s="75"/>
      <c r="H83" s="24"/>
      <c r="I83" s="24"/>
      <c r="J83" s="24"/>
    </row>
    <row r="84" spans="2:10" x14ac:dyDescent="0.25">
      <c r="B84" s="75"/>
      <c r="C84" s="75"/>
      <c r="H84" s="24"/>
      <c r="I84" s="24"/>
      <c r="J84" s="24"/>
    </row>
    <row r="85" spans="2:10" x14ac:dyDescent="0.25">
      <c r="B85" s="75"/>
      <c r="C85" s="75"/>
      <c r="H85" s="24"/>
      <c r="I85" s="24"/>
      <c r="J85" s="24"/>
    </row>
    <row r="86" spans="2:10" x14ac:dyDescent="0.25">
      <c r="B86" s="75"/>
      <c r="C86" s="75"/>
      <c r="H86" s="24"/>
      <c r="I86" s="24"/>
      <c r="J86" s="24"/>
    </row>
    <row r="87" spans="2:10" x14ac:dyDescent="0.25">
      <c r="B87" s="75"/>
      <c r="C87" s="75"/>
      <c r="H87" s="24"/>
      <c r="I87" s="24"/>
      <c r="J87" s="24"/>
    </row>
    <row r="88" spans="2:10" x14ac:dyDescent="0.25">
      <c r="B88" s="75"/>
      <c r="C88" s="75"/>
      <c r="H88" s="24"/>
      <c r="I88" s="24"/>
      <c r="J88" s="24"/>
    </row>
    <row r="89" spans="2:10" x14ac:dyDescent="0.25">
      <c r="B89" s="75"/>
      <c r="C89" s="75"/>
      <c r="H89" s="24"/>
      <c r="I89" s="24"/>
      <c r="J89" s="24"/>
    </row>
    <row r="90" spans="2:10" x14ac:dyDescent="0.25">
      <c r="B90" s="75"/>
      <c r="C90" s="75"/>
      <c r="H90" s="24"/>
      <c r="I90" s="24"/>
      <c r="J90" s="24"/>
    </row>
    <row r="91" spans="2:10" x14ac:dyDescent="0.25">
      <c r="B91" s="75"/>
      <c r="C91" s="75"/>
      <c r="H91" s="24"/>
      <c r="I91" s="24"/>
      <c r="J91" s="24"/>
    </row>
    <row r="92" spans="2:10" x14ac:dyDescent="0.25">
      <c r="B92" s="75"/>
      <c r="C92" s="75"/>
      <c r="H92" s="24"/>
      <c r="I92" s="24"/>
      <c r="J92" s="24"/>
    </row>
    <row r="93" spans="2:10" x14ac:dyDescent="0.25">
      <c r="B93" s="75"/>
      <c r="C93" s="75"/>
      <c r="H93" s="24"/>
      <c r="I93" s="24"/>
      <c r="J93" s="24"/>
    </row>
    <row r="94" spans="2:10" x14ac:dyDescent="0.25">
      <c r="B94" s="75"/>
      <c r="C94" s="75"/>
      <c r="H94" s="24"/>
      <c r="I94" s="24"/>
      <c r="J94" s="24"/>
    </row>
    <row r="95" spans="2:10" x14ac:dyDescent="0.25">
      <c r="B95" s="75"/>
      <c r="C95" s="75"/>
      <c r="H95" s="24"/>
      <c r="I95" s="24"/>
      <c r="J95" s="24"/>
    </row>
    <row r="96" spans="2:10" x14ac:dyDescent="0.25">
      <c r="B96" s="75"/>
      <c r="C96" s="75"/>
      <c r="H96" s="24"/>
      <c r="I96" s="24"/>
      <c r="J96" s="24"/>
    </row>
    <row r="97" spans="2:10" x14ac:dyDescent="0.25">
      <c r="B97" s="75"/>
      <c r="C97" s="75"/>
      <c r="H97" s="24"/>
      <c r="I97" s="24"/>
      <c r="J97" s="24"/>
    </row>
    <row r="98" spans="2:10" x14ac:dyDescent="0.25">
      <c r="B98" s="75"/>
      <c r="C98" s="75"/>
      <c r="H98" s="24"/>
      <c r="I98" s="24"/>
      <c r="J98" s="24"/>
    </row>
    <row r="99" spans="2:10" x14ac:dyDescent="0.25">
      <c r="B99" s="75"/>
      <c r="C99" s="75"/>
      <c r="H99" s="24"/>
      <c r="I99" s="24"/>
      <c r="J99" s="24"/>
    </row>
    <row r="100" spans="2:10" x14ac:dyDescent="0.25">
      <c r="B100" s="75"/>
      <c r="C100" s="75"/>
      <c r="H100" s="24"/>
      <c r="I100" s="24"/>
      <c r="J100" s="24"/>
    </row>
    <row r="101" spans="2:10" x14ac:dyDescent="0.25">
      <c r="B101" s="75"/>
      <c r="C101" s="75"/>
      <c r="H101" s="24"/>
      <c r="I101" s="24"/>
      <c r="J101" s="24"/>
    </row>
    <row r="102" spans="2:10" x14ac:dyDescent="0.25">
      <c r="B102" s="75"/>
      <c r="C102" s="75"/>
      <c r="H102" s="24"/>
      <c r="I102" s="24"/>
      <c r="J102" s="24"/>
    </row>
    <row r="103" spans="2:10" x14ac:dyDescent="0.25">
      <c r="B103" s="75"/>
      <c r="C103" s="75"/>
      <c r="H103" s="24"/>
      <c r="I103" s="24"/>
      <c r="J103" s="24"/>
    </row>
    <row r="104" spans="2:10" x14ac:dyDescent="0.25">
      <c r="B104" s="75"/>
      <c r="C104" s="75"/>
      <c r="H104" s="24"/>
      <c r="I104" s="24"/>
      <c r="J104" s="24"/>
    </row>
    <row r="105" spans="2:10" x14ac:dyDescent="0.25">
      <c r="B105" s="75"/>
      <c r="C105" s="75"/>
      <c r="H105" s="24"/>
      <c r="I105" s="24"/>
      <c r="J105" s="24"/>
    </row>
    <row r="106" spans="2:10" x14ac:dyDescent="0.25">
      <c r="B106" s="75"/>
      <c r="C106" s="75"/>
      <c r="H106" s="24"/>
      <c r="I106" s="24"/>
      <c r="J106" s="24"/>
    </row>
    <row r="107" spans="2:10" x14ac:dyDescent="0.25">
      <c r="B107" s="75"/>
      <c r="C107" s="75"/>
      <c r="H107" s="24"/>
      <c r="I107" s="24"/>
      <c r="J107" s="24"/>
    </row>
    <row r="108" spans="2:10" x14ac:dyDescent="0.25">
      <c r="B108" s="75"/>
      <c r="C108" s="75"/>
      <c r="H108" s="24"/>
      <c r="I108" s="24"/>
      <c r="J108" s="24"/>
    </row>
    <row r="109" spans="2:10" x14ac:dyDescent="0.25">
      <c r="B109" s="75"/>
      <c r="C109" s="75"/>
      <c r="H109" s="24"/>
      <c r="I109" s="24"/>
      <c r="J109" s="24"/>
    </row>
    <row r="110" spans="2:10" x14ac:dyDescent="0.25">
      <c r="B110" s="75"/>
      <c r="C110" s="75"/>
      <c r="H110" s="24"/>
      <c r="I110" s="24"/>
      <c r="J110" s="24"/>
    </row>
    <row r="111" spans="2:10" x14ac:dyDescent="0.25">
      <c r="B111" s="75"/>
      <c r="C111" s="75"/>
      <c r="H111" s="24"/>
      <c r="I111" s="24"/>
      <c r="J111" s="24"/>
    </row>
    <row r="112" spans="2:10" x14ac:dyDescent="0.25">
      <c r="H112" s="24"/>
      <c r="I112" s="24"/>
      <c r="J112" s="24"/>
    </row>
  </sheetData>
  <autoFilter ref="A2:H2"/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543"/>
  <sheetViews>
    <sheetView workbookViewId="0"/>
  </sheetViews>
  <sheetFormatPr defaultRowHeight="15" x14ac:dyDescent="0.25"/>
  <cols>
    <col min="1" max="1" width="18.28515625" style="8" bestFit="1" customWidth="1"/>
    <col min="2" max="2" width="17" bestFit="1" customWidth="1"/>
    <col min="3" max="3" width="10.140625" bestFit="1" customWidth="1"/>
    <col min="4" max="4" width="8" bestFit="1" customWidth="1"/>
    <col min="5" max="5" width="12.140625" bestFit="1" customWidth="1"/>
    <col min="6" max="6" width="17" style="24" bestFit="1" customWidth="1"/>
    <col min="7" max="7" width="18.28515625" style="8" bestFit="1" customWidth="1"/>
  </cols>
  <sheetData>
    <row r="1" spans="1:7" s="24" customFormat="1" x14ac:dyDescent="0.25">
      <c r="A1" s="8">
        <v>42585.870486111111</v>
      </c>
      <c r="B1" s="24" t="s">
        <v>105</v>
      </c>
      <c r="C1" s="24" t="s">
        <v>398</v>
      </c>
      <c r="D1" s="24">
        <v>1480000</v>
      </c>
      <c r="E1" s="24" t="s">
        <v>102</v>
      </c>
      <c r="F1" s="24" t="str">
        <f>B1</f>
        <v>rtdc.l.rtdc.4025:itc</v>
      </c>
      <c r="G1" s="8">
        <f>A1</f>
        <v>42585.870486111111</v>
      </c>
    </row>
    <row r="2" spans="1:7" x14ac:dyDescent="0.25">
      <c r="A2" s="8">
        <v>42586.887569444443</v>
      </c>
      <c r="B2" s="24" t="s">
        <v>112</v>
      </c>
      <c r="C2" s="24" t="s">
        <v>651</v>
      </c>
      <c r="D2" s="24">
        <v>1480000</v>
      </c>
      <c r="E2" s="24" t="s">
        <v>102</v>
      </c>
      <c r="F2" s="24" t="str">
        <f t="shared" ref="F2:F65" si="0">B2</f>
        <v>rtdc.l.rtdc.4008:itc</v>
      </c>
      <c r="G2" s="8">
        <f t="shared" ref="G2:G65" si="1">A2</f>
        <v>42586.887569444443</v>
      </c>
    </row>
    <row r="3" spans="1:7" x14ac:dyDescent="0.25">
      <c r="A3" s="8">
        <v>42587.048067129632</v>
      </c>
      <c r="B3" s="24" t="s">
        <v>109</v>
      </c>
      <c r="C3" s="24" t="s">
        <v>774</v>
      </c>
      <c r="D3" s="24">
        <v>1290000</v>
      </c>
      <c r="E3" s="24" t="s">
        <v>151</v>
      </c>
      <c r="F3" s="24" t="str">
        <f t="shared" si="0"/>
        <v>rtdc.l.rtdc.4027:itc</v>
      </c>
      <c r="G3" s="8">
        <f t="shared" si="1"/>
        <v>42587.048067129632</v>
      </c>
    </row>
    <row r="4" spans="1:7" x14ac:dyDescent="0.25">
      <c r="A4" s="8">
        <v>42586.682928240742</v>
      </c>
      <c r="B4" s="24" t="s">
        <v>153</v>
      </c>
      <c r="C4" s="24" t="s">
        <v>619</v>
      </c>
      <c r="D4" s="24">
        <v>2020000</v>
      </c>
      <c r="E4" s="24" t="s">
        <v>775</v>
      </c>
      <c r="F4" s="24" t="str">
        <f t="shared" si="0"/>
        <v>rtdc.l.rtdc.4011:itc</v>
      </c>
      <c r="G4" s="8">
        <f t="shared" si="1"/>
        <v>42586.682928240742</v>
      </c>
    </row>
    <row r="5" spans="1:7" x14ac:dyDescent="0.25">
      <c r="A5" s="8">
        <v>42586.797847222224</v>
      </c>
      <c r="B5" s="24" t="s">
        <v>146</v>
      </c>
      <c r="C5" s="24" t="s">
        <v>768</v>
      </c>
      <c r="D5" s="24">
        <v>2090000</v>
      </c>
      <c r="E5" s="24" t="s">
        <v>347</v>
      </c>
      <c r="F5" s="24" t="str">
        <f t="shared" si="0"/>
        <v>rtdc.l.rtdc.4041:itc</v>
      </c>
      <c r="G5" s="8">
        <f t="shared" si="1"/>
        <v>42586.797847222224</v>
      </c>
    </row>
    <row r="6" spans="1:7" x14ac:dyDescent="0.25">
      <c r="A6" s="8">
        <v>42586.756874999999</v>
      </c>
      <c r="B6" s="24" t="s">
        <v>153</v>
      </c>
      <c r="C6" s="24" t="s">
        <v>635</v>
      </c>
      <c r="D6" s="24">
        <v>1300000</v>
      </c>
      <c r="E6" s="24" t="s">
        <v>148</v>
      </c>
      <c r="F6" s="24" t="str">
        <f t="shared" si="0"/>
        <v>rtdc.l.rtdc.4011:itc</v>
      </c>
      <c r="G6" s="8">
        <f t="shared" si="1"/>
        <v>42586.756874999999</v>
      </c>
    </row>
    <row r="7" spans="1:7" x14ac:dyDescent="0.25">
      <c r="A7" s="8">
        <v>42586.86010416667</v>
      </c>
      <c r="B7" s="24" t="s">
        <v>70</v>
      </c>
      <c r="C7" s="24" t="s">
        <v>506</v>
      </c>
      <c r="D7" s="24">
        <v>2030000</v>
      </c>
      <c r="E7" s="24" t="s">
        <v>436</v>
      </c>
      <c r="F7" s="24" t="str">
        <f t="shared" si="0"/>
        <v>rtdc.l.rtdc.4017:itc</v>
      </c>
      <c r="G7" s="8">
        <f t="shared" si="1"/>
        <v>42586.86010416667</v>
      </c>
    </row>
    <row r="8" spans="1:7" x14ac:dyDescent="0.25">
      <c r="A8" s="8">
        <v>42587.132789351854</v>
      </c>
      <c r="B8" s="24" t="s">
        <v>349</v>
      </c>
      <c r="C8" s="24" t="s">
        <v>776</v>
      </c>
      <c r="D8" s="24">
        <v>2010000</v>
      </c>
      <c r="E8" s="24" t="s">
        <v>285</v>
      </c>
      <c r="F8" s="24" t="str">
        <f t="shared" si="0"/>
        <v>rtdc.l.rtdc.4044:itc</v>
      </c>
      <c r="G8" s="8">
        <f t="shared" si="1"/>
        <v>42587.132789351854</v>
      </c>
    </row>
    <row r="9" spans="1:7" ht="15.75" thickBot="1" x14ac:dyDescent="0.3">
      <c r="A9" s="28">
        <v>42587.260775462964</v>
      </c>
      <c r="B9" s="24" t="s">
        <v>134</v>
      </c>
      <c r="C9" s="24" t="s">
        <v>777</v>
      </c>
      <c r="D9" s="24">
        <v>1830000</v>
      </c>
      <c r="E9" s="24" t="s">
        <v>305</v>
      </c>
      <c r="F9" s="24" t="str">
        <f t="shared" si="0"/>
        <v>rtdc.l.rtdc.4016:itc</v>
      </c>
      <c r="G9" s="8">
        <f t="shared" si="1"/>
        <v>42587.260775462964</v>
      </c>
    </row>
    <row r="10" spans="1:7" x14ac:dyDescent="0.25">
      <c r="A10" s="8">
        <v>42587.278773148151</v>
      </c>
      <c r="B10" s="24" t="s">
        <v>349</v>
      </c>
      <c r="C10" s="24" t="s">
        <v>778</v>
      </c>
      <c r="D10" s="24">
        <v>1360000</v>
      </c>
      <c r="E10" s="24" t="s">
        <v>283</v>
      </c>
      <c r="F10" s="24" t="str">
        <f t="shared" si="0"/>
        <v>rtdc.l.rtdc.4044:itc</v>
      </c>
      <c r="G10" s="8">
        <f t="shared" si="1"/>
        <v>42587.278773148151</v>
      </c>
    </row>
    <row r="11" spans="1:7" x14ac:dyDescent="0.25">
      <c r="A11" s="8">
        <v>42586.74728009259</v>
      </c>
      <c r="B11" s="24" t="s">
        <v>107</v>
      </c>
      <c r="C11" s="24" t="s">
        <v>634</v>
      </c>
      <c r="D11" s="24">
        <v>2150000</v>
      </c>
      <c r="E11" s="24" t="s">
        <v>304</v>
      </c>
      <c r="F11" s="24" t="str">
        <f t="shared" si="0"/>
        <v>rtdc.l.rtdc.4029:itc</v>
      </c>
      <c r="G11" s="8">
        <f t="shared" si="1"/>
        <v>42586.74728009259</v>
      </c>
    </row>
    <row r="12" spans="1:7" x14ac:dyDescent="0.25">
      <c r="A12" s="8">
        <v>42586.69222222222</v>
      </c>
      <c r="B12" s="24" t="s">
        <v>351</v>
      </c>
      <c r="C12" s="24" t="s">
        <v>628</v>
      </c>
      <c r="D12" s="24">
        <v>2140000</v>
      </c>
      <c r="E12" s="24" t="s">
        <v>352</v>
      </c>
      <c r="F12" s="24" t="str">
        <f t="shared" si="0"/>
        <v>rtdc.l.rtdc.4039:itc</v>
      </c>
      <c r="G12" s="8">
        <f t="shared" si="1"/>
        <v>42586.69222222222</v>
      </c>
    </row>
    <row r="13" spans="1:7" x14ac:dyDescent="0.25">
      <c r="A13" s="8">
        <v>42586.713553240741</v>
      </c>
      <c r="B13" s="24" t="s">
        <v>101</v>
      </c>
      <c r="C13" s="24" t="s">
        <v>628</v>
      </c>
      <c r="D13" s="24">
        <v>1540000</v>
      </c>
      <c r="E13" s="24" t="s">
        <v>180</v>
      </c>
      <c r="F13" s="24" t="str">
        <f t="shared" si="0"/>
        <v>rtdc.l.rtdc.4038:itc</v>
      </c>
      <c r="G13" s="8">
        <f t="shared" si="1"/>
        <v>42586.713553240741</v>
      </c>
    </row>
    <row r="14" spans="1:7" x14ac:dyDescent="0.25">
      <c r="A14" s="8">
        <v>42586.927824074075</v>
      </c>
      <c r="B14" s="24" t="s">
        <v>69</v>
      </c>
      <c r="C14" s="24" t="s">
        <v>765</v>
      </c>
      <c r="D14" s="24">
        <v>2000000</v>
      </c>
      <c r="E14" s="24" t="s">
        <v>324</v>
      </c>
      <c r="F14" s="24" t="str">
        <f t="shared" si="0"/>
        <v>rtdc.l.rtdc.4018:itc</v>
      </c>
      <c r="G14" s="8">
        <f t="shared" si="1"/>
        <v>42586.927824074075</v>
      </c>
    </row>
    <row r="15" spans="1:7" x14ac:dyDescent="0.25">
      <c r="A15" s="8">
        <v>42586.644293981481</v>
      </c>
      <c r="B15" s="24" t="s">
        <v>101</v>
      </c>
      <c r="C15" s="24" t="s">
        <v>610</v>
      </c>
      <c r="D15" s="24">
        <v>1540000</v>
      </c>
      <c r="E15" s="24" t="s">
        <v>180</v>
      </c>
      <c r="F15" s="24" t="str">
        <f t="shared" si="0"/>
        <v>rtdc.l.rtdc.4038:itc</v>
      </c>
      <c r="G15" s="8">
        <f t="shared" si="1"/>
        <v>42586.644293981481</v>
      </c>
    </row>
    <row r="16" spans="1:7" x14ac:dyDescent="0.25">
      <c r="A16" s="8">
        <v>42587.06863425926</v>
      </c>
      <c r="B16" s="24" t="s">
        <v>153</v>
      </c>
      <c r="C16" s="24" t="s">
        <v>677</v>
      </c>
      <c r="D16" s="24">
        <v>1300000</v>
      </c>
      <c r="E16" s="24" t="s">
        <v>148</v>
      </c>
      <c r="F16" s="24" t="str">
        <f t="shared" si="0"/>
        <v>rtdc.l.rtdc.4011:itc</v>
      </c>
      <c r="G16" s="8">
        <f t="shared" si="1"/>
        <v>42587.06863425926</v>
      </c>
    </row>
    <row r="17" spans="1:7" x14ac:dyDescent="0.25">
      <c r="A17" s="8">
        <v>42587.255960648145</v>
      </c>
      <c r="B17" s="24" t="s">
        <v>103</v>
      </c>
      <c r="C17" s="24" t="s">
        <v>779</v>
      </c>
      <c r="D17" s="24">
        <v>2010000</v>
      </c>
      <c r="E17" s="24" t="s">
        <v>285</v>
      </c>
      <c r="F17" s="24" t="str">
        <f t="shared" si="0"/>
        <v>rtdc.l.rtdc.4026:itc</v>
      </c>
      <c r="G17" s="8">
        <f t="shared" si="1"/>
        <v>42587.255960648145</v>
      </c>
    </row>
    <row r="18" spans="1:7" x14ac:dyDescent="0.25">
      <c r="A18" s="8">
        <v>42587.193240740744</v>
      </c>
      <c r="B18" s="24" t="s">
        <v>109</v>
      </c>
      <c r="C18" s="24" t="s">
        <v>780</v>
      </c>
      <c r="D18" s="24">
        <v>2100000</v>
      </c>
      <c r="E18" s="24" t="s">
        <v>348</v>
      </c>
      <c r="F18" s="24" t="str">
        <f t="shared" si="0"/>
        <v>rtdc.l.rtdc.4027:itc</v>
      </c>
      <c r="G18" s="8">
        <f t="shared" si="1"/>
        <v>42587.193240740744</v>
      </c>
    </row>
    <row r="19" spans="1:7" x14ac:dyDescent="0.25">
      <c r="A19" s="8">
        <v>42587.215497685182</v>
      </c>
      <c r="B19" s="24" t="s">
        <v>170</v>
      </c>
      <c r="C19" s="24" t="s">
        <v>781</v>
      </c>
      <c r="D19" s="24">
        <v>1310000</v>
      </c>
      <c r="E19" s="24" t="s">
        <v>442</v>
      </c>
      <c r="F19" s="24" t="str">
        <f t="shared" si="0"/>
        <v>rtdc.l.rtdc.4032:itc</v>
      </c>
      <c r="G19" s="8">
        <f t="shared" si="1"/>
        <v>42587.215497685182</v>
      </c>
    </row>
    <row r="20" spans="1:7" x14ac:dyDescent="0.25">
      <c r="A20" s="8">
        <v>42587.287442129629</v>
      </c>
      <c r="B20" s="24" t="s">
        <v>105</v>
      </c>
      <c r="C20" s="24" t="s">
        <v>782</v>
      </c>
      <c r="D20" s="24">
        <v>2010000</v>
      </c>
      <c r="E20" s="24" t="s">
        <v>285</v>
      </c>
      <c r="F20" s="24" t="str">
        <f t="shared" si="0"/>
        <v>rtdc.l.rtdc.4025:itc</v>
      </c>
      <c r="G20" s="8">
        <f t="shared" si="1"/>
        <v>42587.287442129629</v>
      </c>
    </row>
    <row r="21" spans="1:7" x14ac:dyDescent="0.25">
      <c r="A21" s="8">
        <v>42587.015543981484</v>
      </c>
      <c r="B21" s="24" t="s">
        <v>106</v>
      </c>
      <c r="C21" s="24" t="s">
        <v>664</v>
      </c>
      <c r="D21" s="24">
        <v>1290000</v>
      </c>
      <c r="E21" s="24" t="s">
        <v>151</v>
      </c>
      <c r="F21" s="24" t="str">
        <f t="shared" si="0"/>
        <v>rtdc.l.rtdc.4028:itc</v>
      </c>
      <c r="G21" s="8">
        <f t="shared" si="1"/>
        <v>42587.015543981484</v>
      </c>
    </row>
    <row r="22" spans="1:7" x14ac:dyDescent="0.25">
      <c r="A22" s="30">
        <v>42587.347187500003</v>
      </c>
      <c r="B22" s="24" t="s">
        <v>108</v>
      </c>
      <c r="C22" s="24" t="s">
        <v>783</v>
      </c>
      <c r="D22" s="24">
        <v>1990000</v>
      </c>
      <c r="E22" s="24" t="s">
        <v>202</v>
      </c>
      <c r="F22" s="24" t="str">
        <f t="shared" si="0"/>
        <v>rtdc.l.rtdc.4030:itc</v>
      </c>
      <c r="G22" s="8">
        <f t="shared" si="1"/>
        <v>42587.347187500003</v>
      </c>
    </row>
    <row r="23" spans="1:7" x14ac:dyDescent="0.25">
      <c r="A23" s="8">
        <v>42586.827314814815</v>
      </c>
      <c r="B23" s="24" t="s">
        <v>153</v>
      </c>
      <c r="C23" s="24" t="s">
        <v>647</v>
      </c>
      <c r="D23" s="24">
        <v>1300000</v>
      </c>
      <c r="E23" s="24" t="s">
        <v>148</v>
      </c>
      <c r="F23" s="24" t="str">
        <f t="shared" si="0"/>
        <v>rtdc.l.rtdc.4011:itc</v>
      </c>
      <c r="G23" s="8">
        <f t="shared" si="1"/>
        <v>42586.827314814815</v>
      </c>
    </row>
    <row r="24" spans="1:7" x14ac:dyDescent="0.25">
      <c r="A24" s="8">
        <v>42586.693344907406</v>
      </c>
      <c r="B24" s="24" t="s">
        <v>70</v>
      </c>
      <c r="C24" s="24" t="s">
        <v>730</v>
      </c>
      <c r="D24" s="24">
        <v>2030000</v>
      </c>
      <c r="E24" s="24" t="s">
        <v>436</v>
      </c>
      <c r="F24" s="24" t="str">
        <f t="shared" si="0"/>
        <v>rtdc.l.rtdc.4017:itc</v>
      </c>
      <c r="G24" s="8">
        <f t="shared" si="1"/>
        <v>42586.693344907406</v>
      </c>
    </row>
    <row r="25" spans="1:7" x14ac:dyDescent="0.25">
      <c r="A25" s="8">
        <v>42586.72047453704</v>
      </c>
      <c r="B25" s="24" t="s">
        <v>155</v>
      </c>
      <c r="C25" s="24" t="s">
        <v>621</v>
      </c>
      <c r="D25" s="24">
        <v>2020000</v>
      </c>
      <c r="E25" s="24" t="s">
        <v>775</v>
      </c>
      <c r="F25" s="24" t="str">
        <f t="shared" si="0"/>
        <v>rtdc.l.rtdc.4012:itc</v>
      </c>
      <c r="G25" s="8">
        <f t="shared" si="1"/>
        <v>42586.72047453704</v>
      </c>
    </row>
    <row r="26" spans="1:7" x14ac:dyDescent="0.25">
      <c r="A26" s="8">
        <v>42586.950601851851</v>
      </c>
      <c r="B26" s="24" t="s">
        <v>101</v>
      </c>
      <c r="C26" s="24" t="s">
        <v>661</v>
      </c>
      <c r="D26" s="24">
        <v>2140000</v>
      </c>
      <c r="E26" s="24" t="s">
        <v>352</v>
      </c>
      <c r="F26" s="24" t="str">
        <f t="shared" si="0"/>
        <v>rtdc.l.rtdc.4038:itc</v>
      </c>
      <c r="G26" s="8">
        <f t="shared" si="1"/>
        <v>42586.950601851851</v>
      </c>
    </row>
    <row r="27" spans="1:7" x14ac:dyDescent="0.25">
      <c r="A27" s="8">
        <v>42586.695439814815</v>
      </c>
      <c r="B27" s="24" t="s">
        <v>106</v>
      </c>
      <c r="C27" s="24" t="s">
        <v>615</v>
      </c>
      <c r="D27" s="24">
        <v>2150000</v>
      </c>
      <c r="E27" s="24" t="s">
        <v>304</v>
      </c>
      <c r="F27" s="24" t="str">
        <f t="shared" si="0"/>
        <v>rtdc.l.rtdc.4028:itc</v>
      </c>
      <c r="G27" s="8">
        <f t="shared" si="1"/>
        <v>42586.695439814815</v>
      </c>
    </row>
    <row r="28" spans="1:7" x14ac:dyDescent="0.25">
      <c r="A28" s="8">
        <v>42587.049479166664</v>
      </c>
      <c r="B28" s="24" t="s">
        <v>109</v>
      </c>
      <c r="C28" s="24" t="s">
        <v>774</v>
      </c>
      <c r="D28" s="24">
        <v>1290000</v>
      </c>
      <c r="E28" s="24" t="s">
        <v>151</v>
      </c>
      <c r="F28" s="24" t="str">
        <f t="shared" si="0"/>
        <v>rtdc.l.rtdc.4027:itc</v>
      </c>
      <c r="G28" s="8">
        <f t="shared" si="1"/>
        <v>42587.049479166664</v>
      </c>
    </row>
    <row r="29" spans="1:7" x14ac:dyDescent="0.25">
      <c r="A29" s="8">
        <v>42586.576157407406</v>
      </c>
      <c r="B29" s="24" t="s">
        <v>155</v>
      </c>
      <c r="C29" s="24" t="s">
        <v>492</v>
      </c>
      <c r="D29" s="24">
        <v>2020000</v>
      </c>
      <c r="E29" s="24" t="s">
        <v>775</v>
      </c>
      <c r="F29" s="24" t="str">
        <f t="shared" si="0"/>
        <v>rtdc.l.rtdc.4012:itc</v>
      </c>
      <c r="G29" s="8">
        <f t="shared" si="1"/>
        <v>42586.576157407406</v>
      </c>
    </row>
    <row r="30" spans="1:7" x14ac:dyDescent="0.25">
      <c r="A30" s="8">
        <v>42587.235671296294</v>
      </c>
      <c r="B30" s="24" t="s">
        <v>107</v>
      </c>
      <c r="C30" s="24" t="s">
        <v>784</v>
      </c>
      <c r="D30" s="24">
        <v>1990000</v>
      </c>
      <c r="E30" s="24" t="s">
        <v>202</v>
      </c>
      <c r="F30" s="24" t="str">
        <f t="shared" si="0"/>
        <v>rtdc.l.rtdc.4029:itc</v>
      </c>
      <c r="G30" s="8">
        <f t="shared" si="1"/>
        <v>42587.235671296294</v>
      </c>
    </row>
    <row r="31" spans="1:7" x14ac:dyDescent="0.25">
      <c r="A31" s="8">
        <v>42586.521493055552</v>
      </c>
      <c r="B31" s="24" t="s">
        <v>109</v>
      </c>
      <c r="C31" s="24" t="s">
        <v>580</v>
      </c>
      <c r="D31" s="24">
        <v>2150000</v>
      </c>
      <c r="E31" s="24" t="s">
        <v>304</v>
      </c>
      <c r="F31" s="24" t="str">
        <f t="shared" si="0"/>
        <v>rtdc.l.rtdc.4027:itc</v>
      </c>
      <c r="G31" s="8">
        <f t="shared" si="1"/>
        <v>42586.521493055552</v>
      </c>
    </row>
    <row r="32" spans="1:7" x14ac:dyDescent="0.25">
      <c r="A32" s="8">
        <v>42585.907326388886</v>
      </c>
      <c r="B32" s="24" t="s">
        <v>349</v>
      </c>
      <c r="C32" s="24" t="s">
        <v>403</v>
      </c>
      <c r="D32" s="24">
        <v>1300000</v>
      </c>
      <c r="E32" s="24" t="s">
        <v>148</v>
      </c>
      <c r="F32" s="24" t="str">
        <f t="shared" si="0"/>
        <v>rtdc.l.rtdc.4044:itc</v>
      </c>
      <c r="G32" s="8">
        <f t="shared" si="1"/>
        <v>42585.907326388886</v>
      </c>
    </row>
    <row r="33" spans="1:7" x14ac:dyDescent="0.25">
      <c r="A33" s="8">
        <v>42586.509328703702</v>
      </c>
      <c r="B33" s="24" t="s">
        <v>69</v>
      </c>
      <c r="C33" s="24" t="s">
        <v>713</v>
      </c>
      <c r="D33" s="24">
        <v>2100000</v>
      </c>
      <c r="E33" s="24" t="s">
        <v>348</v>
      </c>
      <c r="F33" s="24" t="str">
        <f t="shared" si="0"/>
        <v>rtdc.l.rtdc.4018:itc</v>
      </c>
      <c r="G33" s="8">
        <f t="shared" si="1"/>
        <v>42586.509328703702</v>
      </c>
    </row>
    <row r="34" spans="1:7" x14ac:dyDescent="0.25">
      <c r="A34" s="8">
        <v>42585.972280092596</v>
      </c>
      <c r="B34" s="24" t="s">
        <v>351</v>
      </c>
      <c r="C34" s="24" t="s">
        <v>405</v>
      </c>
      <c r="D34" s="24">
        <v>1290000</v>
      </c>
      <c r="E34" s="24" t="s">
        <v>151</v>
      </c>
      <c r="F34" s="24" t="str">
        <f t="shared" si="0"/>
        <v>rtdc.l.rtdc.4039:itc</v>
      </c>
      <c r="G34" s="8">
        <f t="shared" si="1"/>
        <v>42585.972280092596</v>
      </c>
    </row>
    <row r="35" spans="1:7" x14ac:dyDescent="0.25">
      <c r="A35" s="8">
        <v>42586.500243055554</v>
      </c>
      <c r="B35" s="24" t="s">
        <v>101</v>
      </c>
      <c r="C35" s="24" t="s">
        <v>574</v>
      </c>
      <c r="D35" s="24">
        <v>1540000</v>
      </c>
      <c r="E35" s="24" t="s">
        <v>180</v>
      </c>
      <c r="F35" s="24" t="str">
        <f t="shared" si="0"/>
        <v>rtdc.l.rtdc.4038:itc</v>
      </c>
      <c r="G35" s="8">
        <f t="shared" si="1"/>
        <v>42586.500243055554</v>
      </c>
    </row>
    <row r="36" spans="1:7" x14ac:dyDescent="0.25">
      <c r="A36" s="8">
        <v>42586.015104166669</v>
      </c>
      <c r="B36" s="24" t="s">
        <v>104</v>
      </c>
      <c r="C36" s="24" t="s">
        <v>410</v>
      </c>
      <c r="D36" s="24">
        <v>2090000</v>
      </c>
      <c r="E36" s="24" t="s">
        <v>347</v>
      </c>
      <c r="F36" s="24" t="str">
        <f t="shared" si="0"/>
        <v>rtdc.l.rtdc.4013:itc</v>
      </c>
      <c r="G36" s="8">
        <f t="shared" si="1"/>
        <v>42586.015104166669</v>
      </c>
    </row>
    <row r="37" spans="1:7" x14ac:dyDescent="0.25">
      <c r="A37" s="8">
        <v>42586.487696759257</v>
      </c>
      <c r="B37" s="24" t="s">
        <v>105</v>
      </c>
      <c r="C37" s="24" t="s">
        <v>571</v>
      </c>
      <c r="D37" s="24">
        <v>1810000</v>
      </c>
      <c r="E37" s="24" t="s">
        <v>174</v>
      </c>
      <c r="F37" s="24" t="str">
        <f t="shared" si="0"/>
        <v>rtdc.l.rtdc.4025:itc</v>
      </c>
      <c r="G37" s="8">
        <f t="shared" si="1"/>
        <v>42586.487696759257</v>
      </c>
    </row>
    <row r="38" spans="1:7" x14ac:dyDescent="0.25">
      <c r="A38" s="8">
        <v>42586.046388888892</v>
      </c>
      <c r="B38" s="24" t="s">
        <v>162</v>
      </c>
      <c r="C38" s="24" t="s">
        <v>416</v>
      </c>
      <c r="D38" s="24">
        <v>2090000</v>
      </c>
      <c r="E38" s="24" t="s">
        <v>347</v>
      </c>
      <c r="F38" s="24" t="str">
        <f t="shared" si="0"/>
        <v>rtdc.l.rtdc.4014:itc</v>
      </c>
      <c r="G38" s="8">
        <f t="shared" si="1"/>
        <v>42586.046388888892</v>
      </c>
    </row>
    <row r="39" spans="1:7" x14ac:dyDescent="0.25">
      <c r="A39" s="8">
        <v>42586.484502314815</v>
      </c>
      <c r="B39" s="24" t="s">
        <v>106</v>
      </c>
      <c r="C39" s="24" t="s">
        <v>489</v>
      </c>
      <c r="D39" s="24">
        <v>930000</v>
      </c>
      <c r="E39" s="24" t="s">
        <v>444</v>
      </c>
      <c r="F39" s="24" t="str">
        <f t="shared" si="0"/>
        <v>rtdc.l.rtdc.4028:itc</v>
      </c>
      <c r="G39" s="8">
        <f t="shared" si="1"/>
        <v>42586.484502314815</v>
      </c>
    </row>
    <row r="40" spans="1:7" x14ac:dyDescent="0.25">
      <c r="A40" s="8">
        <v>42586.067974537036</v>
      </c>
      <c r="B40" s="29" t="s">
        <v>349</v>
      </c>
      <c r="C40" s="24" t="s">
        <v>448</v>
      </c>
      <c r="D40" s="24">
        <v>1300000</v>
      </c>
      <c r="E40" s="24" t="s">
        <v>148</v>
      </c>
      <c r="F40" s="24" t="str">
        <f t="shared" si="0"/>
        <v>rtdc.l.rtdc.4044:itc</v>
      </c>
      <c r="G40" s="8">
        <f t="shared" si="1"/>
        <v>42586.067974537036</v>
      </c>
    </row>
    <row r="41" spans="1:7" x14ac:dyDescent="0.25">
      <c r="A41" s="8">
        <v>42586.46733796296</v>
      </c>
      <c r="B41" s="24" t="s">
        <v>69</v>
      </c>
      <c r="C41" s="24" t="s">
        <v>709</v>
      </c>
      <c r="D41" s="24">
        <v>2100000</v>
      </c>
      <c r="E41" s="24" t="s">
        <v>348</v>
      </c>
      <c r="F41" s="24" t="str">
        <f t="shared" si="0"/>
        <v>rtdc.l.rtdc.4018:itc</v>
      </c>
      <c r="G41" s="8">
        <f t="shared" si="1"/>
        <v>42586.46733796296</v>
      </c>
    </row>
    <row r="42" spans="1:7" x14ac:dyDescent="0.25">
      <c r="A42" s="8">
        <v>42586.239270833335</v>
      </c>
      <c r="B42" s="24" t="s">
        <v>109</v>
      </c>
      <c r="C42" s="24" t="s">
        <v>449</v>
      </c>
      <c r="D42" s="24">
        <v>1190000</v>
      </c>
      <c r="E42" s="24" t="s">
        <v>145</v>
      </c>
      <c r="F42" s="24" t="str">
        <f t="shared" si="0"/>
        <v>rtdc.l.rtdc.4027:itc</v>
      </c>
      <c r="G42" s="8">
        <f t="shared" si="1"/>
        <v>42586.239270833335</v>
      </c>
    </row>
    <row r="43" spans="1:7" x14ac:dyDescent="0.25">
      <c r="A43" s="8">
        <v>42586.466631944444</v>
      </c>
      <c r="B43" s="24" t="s">
        <v>153</v>
      </c>
      <c r="C43" s="24" t="s">
        <v>564</v>
      </c>
      <c r="D43" s="24">
        <v>2020000</v>
      </c>
      <c r="E43" s="24" t="s">
        <v>775</v>
      </c>
      <c r="F43" s="24" t="str">
        <f t="shared" si="0"/>
        <v>rtdc.l.rtdc.4011:itc</v>
      </c>
      <c r="G43" s="8">
        <f t="shared" si="1"/>
        <v>42586.466631944444</v>
      </c>
    </row>
    <row r="44" spans="1:7" x14ac:dyDescent="0.25">
      <c r="A44" s="8">
        <v>42586.248136574075</v>
      </c>
      <c r="B44" s="24" t="s">
        <v>153</v>
      </c>
      <c r="C44" s="24" t="s">
        <v>450</v>
      </c>
      <c r="D44" s="24">
        <v>1310000</v>
      </c>
      <c r="E44" s="24" t="s">
        <v>442</v>
      </c>
      <c r="F44" s="24" t="str">
        <f t="shared" si="0"/>
        <v>rtdc.l.rtdc.4011:itc</v>
      </c>
      <c r="G44" s="8">
        <f t="shared" si="1"/>
        <v>42586.248136574075</v>
      </c>
    </row>
    <row r="45" spans="1:7" x14ac:dyDescent="0.25">
      <c r="A45" s="8">
        <v>42586.440694444442</v>
      </c>
      <c r="B45" s="24" t="s">
        <v>112</v>
      </c>
      <c r="C45" s="24" t="s">
        <v>486</v>
      </c>
      <c r="D45" s="24">
        <v>1760000</v>
      </c>
      <c r="E45" s="24" t="s">
        <v>372</v>
      </c>
      <c r="F45" s="24" t="str">
        <f t="shared" si="0"/>
        <v>rtdc.l.rtdc.4008:itc</v>
      </c>
      <c r="G45" s="8">
        <f t="shared" si="1"/>
        <v>42586.440694444442</v>
      </c>
    </row>
    <row r="46" spans="1:7" x14ac:dyDescent="0.25">
      <c r="A46" s="8">
        <v>42586.254884259259</v>
      </c>
      <c r="B46" s="24" t="s">
        <v>146</v>
      </c>
      <c r="C46" s="24" t="s">
        <v>451</v>
      </c>
      <c r="D46" s="24">
        <v>1830000</v>
      </c>
      <c r="E46" s="24" t="s">
        <v>305</v>
      </c>
      <c r="F46" s="24" t="str">
        <f t="shared" si="0"/>
        <v>rtdc.l.rtdc.4041:itc</v>
      </c>
      <c r="G46" s="8">
        <f t="shared" si="1"/>
        <v>42586.254884259259</v>
      </c>
    </row>
    <row r="47" spans="1:7" x14ac:dyDescent="0.25">
      <c r="A47" s="8">
        <v>42586.433611111112</v>
      </c>
      <c r="B47" s="24" t="s">
        <v>155</v>
      </c>
      <c r="C47" s="24" t="s">
        <v>487</v>
      </c>
      <c r="D47" s="24">
        <v>1310000</v>
      </c>
      <c r="E47" s="24" t="s">
        <v>442</v>
      </c>
      <c r="F47" s="24" t="str">
        <f t="shared" si="0"/>
        <v>rtdc.l.rtdc.4012:itc</v>
      </c>
      <c r="G47" s="8">
        <f t="shared" si="1"/>
        <v>42586.433611111112</v>
      </c>
    </row>
    <row r="48" spans="1:7" x14ac:dyDescent="0.25">
      <c r="A48" s="8">
        <v>42586.296122685184</v>
      </c>
      <c r="B48" s="24" t="s">
        <v>112</v>
      </c>
      <c r="C48" s="24" t="s">
        <v>452</v>
      </c>
      <c r="D48" s="24">
        <v>1760000</v>
      </c>
      <c r="E48" s="24" t="s">
        <v>372</v>
      </c>
      <c r="F48" s="24" t="str">
        <f t="shared" si="0"/>
        <v>rtdc.l.rtdc.4008:itc</v>
      </c>
      <c r="G48" s="8">
        <f t="shared" si="1"/>
        <v>42586.296122685184</v>
      </c>
    </row>
    <row r="49" spans="1:7" x14ac:dyDescent="0.25">
      <c r="A49" s="8">
        <v>42586.425983796296</v>
      </c>
      <c r="B49" s="24" t="s">
        <v>69</v>
      </c>
      <c r="C49" s="24" t="s">
        <v>485</v>
      </c>
      <c r="D49" s="24">
        <v>2100000</v>
      </c>
      <c r="E49" s="24" t="s">
        <v>348</v>
      </c>
      <c r="F49" s="24" t="str">
        <f t="shared" si="0"/>
        <v>rtdc.l.rtdc.4018:itc</v>
      </c>
      <c r="G49" s="8">
        <f t="shared" si="1"/>
        <v>42586.425983796296</v>
      </c>
    </row>
    <row r="50" spans="1:7" x14ac:dyDescent="0.25">
      <c r="A50" s="8">
        <v>42586.322094907409</v>
      </c>
      <c r="B50" s="24" t="s">
        <v>153</v>
      </c>
      <c r="C50" s="24" t="s">
        <v>536</v>
      </c>
      <c r="D50" s="24">
        <v>1310000</v>
      </c>
      <c r="E50" s="24" t="s">
        <v>442</v>
      </c>
      <c r="F50" s="24" t="str">
        <f t="shared" si="0"/>
        <v>rtdc.l.rtdc.4011:itc</v>
      </c>
      <c r="G50" s="8">
        <f t="shared" si="1"/>
        <v>42586.322094907409</v>
      </c>
    </row>
    <row r="51" spans="1:7" x14ac:dyDescent="0.25">
      <c r="A51" s="8">
        <v>42586.418449074074</v>
      </c>
      <c r="B51" s="24" t="s">
        <v>108</v>
      </c>
      <c r="C51" s="24" t="s">
        <v>547</v>
      </c>
      <c r="D51" s="24">
        <v>1090000</v>
      </c>
      <c r="E51" s="24" t="s">
        <v>111</v>
      </c>
      <c r="F51" s="24" t="str">
        <f t="shared" si="0"/>
        <v>rtdc.l.rtdc.4030:itc</v>
      </c>
      <c r="G51" s="8">
        <f t="shared" si="1"/>
        <v>42586.418449074074</v>
      </c>
    </row>
    <row r="52" spans="1:7" x14ac:dyDescent="0.25">
      <c r="A52" s="8">
        <v>42586.394699074073</v>
      </c>
      <c r="B52" s="24" t="s">
        <v>153</v>
      </c>
      <c r="C52" s="24" t="s">
        <v>548</v>
      </c>
      <c r="D52" s="24">
        <v>1310000</v>
      </c>
      <c r="E52" s="24" t="s">
        <v>442</v>
      </c>
      <c r="F52" s="24" t="str">
        <f t="shared" si="0"/>
        <v>rtdc.l.rtdc.4011:itc</v>
      </c>
      <c r="G52" s="8">
        <f t="shared" si="1"/>
        <v>42586.394699074073</v>
      </c>
    </row>
    <row r="53" spans="1:7" x14ac:dyDescent="0.25">
      <c r="A53" s="8">
        <v>42586.399965277778</v>
      </c>
      <c r="B53" s="24" t="s">
        <v>170</v>
      </c>
      <c r="C53" s="24" t="s">
        <v>541</v>
      </c>
      <c r="D53" s="24">
        <v>2010000</v>
      </c>
      <c r="E53" s="24" t="s">
        <v>285</v>
      </c>
      <c r="F53" s="24" t="str">
        <f t="shared" si="0"/>
        <v>rtdc.l.rtdc.4032:itc</v>
      </c>
      <c r="G53" s="8">
        <f t="shared" si="1"/>
        <v>42586.399965277778</v>
      </c>
    </row>
    <row r="54" spans="1:7" x14ac:dyDescent="0.25">
      <c r="A54" s="8">
        <v>42586.413506944446</v>
      </c>
      <c r="B54" s="24" t="s">
        <v>105</v>
      </c>
      <c r="C54" s="24" t="s">
        <v>552</v>
      </c>
      <c r="D54" s="24">
        <v>1360000</v>
      </c>
      <c r="E54" s="24" t="s">
        <v>283</v>
      </c>
      <c r="F54" s="24" t="str">
        <f t="shared" si="0"/>
        <v>rtdc.l.rtdc.4025:itc</v>
      </c>
      <c r="G54" s="8">
        <f t="shared" si="1"/>
        <v>42586.413506944446</v>
      </c>
    </row>
    <row r="55" spans="1:7" x14ac:dyDescent="0.25">
      <c r="A55" s="8">
        <v>42586.371307870373</v>
      </c>
      <c r="B55" s="24" t="s">
        <v>109</v>
      </c>
      <c r="C55" s="24" t="s">
        <v>543</v>
      </c>
      <c r="D55" s="24">
        <v>930000</v>
      </c>
      <c r="E55" s="24" t="s">
        <v>444</v>
      </c>
      <c r="F55" s="24" t="str">
        <f t="shared" si="0"/>
        <v>rtdc.l.rtdc.4027:itc</v>
      </c>
      <c r="G55" s="8">
        <f t="shared" si="1"/>
        <v>42586.371307870373</v>
      </c>
    </row>
    <row r="56" spans="1:7" x14ac:dyDescent="0.25">
      <c r="A56" s="8">
        <v>42586.433715277781</v>
      </c>
      <c r="B56" s="24" t="s">
        <v>169</v>
      </c>
      <c r="C56" s="24" t="s">
        <v>557</v>
      </c>
      <c r="D56" s="24">
        <v>1830000</v>
      </c>
      <c r="E56" s="24" t="s">
        <v>305</v>
      </c>
      <c r="F56" s="24" t="str">
        <f t="shared" si="0"/>
        <v>rtdc.l.rtdc.4031:itc</v>
      </c>
      <c r="G56" s="8">
        <f t="shared" si="1"/>
        <v>42586.433715277781</v>
      </c>
    </row>
    <row r="57" spans="1:7" x14ac:dyDescent="0.25">
      <c r="A57" s="8">
        <v>42586.36042824074</v>
      </c>
      <c r="B57" s="24" t="s">
        <v>155</v>
      </c>
      <c r="C57" s="24" t="s">
        <v>479</v>
      </c>
      <c r="D57" s="24">
        <v>1310000</v>
      </c>
      <c r="E57" s="24" t="s">
        <v>442</v>
      </c>
      <c r="F57" s="24" t="str">
        <f t="shared" si="0"/>
        <v>rtdc.l.rtdc.4012:itc</v>
      </c>
      <c r="G57" s="8">
        <f t="shared" si="1"/>
        <v>42586.36042824074</v>
      </c>
    </row>
    <row r="58" spans="1:7" x14ac:dyDescent="0.25">
      <c r="A58" s="8">
        <v>42586.443668981483</v>
      </c>
      <c r="B58" s="24" t="s">
        <v>70</v>
      </c>
      <c r="C58" s="24" t="s">
        <v>707</v>
      </c>
      <c r="D58" s="24">
        <v>2100000</v>
      </c>
      <c r="E58" s="24" t="s">
        <v>348</v>
      </c>
      <c r="F58" s="24" t="str">
        <f t="shared" si="0"/>
        <v>rtdc.l.rtdc.4017:itc</v>
      </c>
      <c r="G58" s="8">
        <f t="shared" si="1"/>
        <v>42586.443668981483</v>
      </c>
    </row>
    <row r="59" spans="1:7" x14ac:dyDescent="0.25">
      <c r="A59" s="8">
        <v>42586.354953703703</v>
      </c>
      <c r="B59" s="24" t="s">
        <v>101</v>
      </c>
      <c r="C59" s="24" t="s">
        <v>478</v>
      </c>
      <c r="D59" s="24">
        <v>1110000</v>
      </c>
      <c r="E59" s="24" t="s">
        <v>117</v>
      </c>
      <c r="F59" s="24" t="str">
        <f t="shared" si="0"/>
        <v>rtdc.l.rtdc.4038:itc</v>
      </c>
      <c r="G59" s="8">
        <f t="shared" si="1"/>
        <v>42586.354953703703</v>
      </c>
    </row>
    <row r="60" spans="1:7" x14ac:dyDescent="0.25">
      <c r="A60" s="8">
        <v>42586.454421296294</v>
      </c>
      <c r="B60" s="24" t="s">
        <v>107</v>
      </c>
      <c r="C60" s="24" t="s">
        <v>488</v>
      </c>
      <c r="D60" s="24">
        <v>2110000</v>
      </c>
      <c r="E60" s="24" t="s">
        <v>350</v>
      </c>
      <c r="F60" s="24" t="str">
        <f t="shared" si="0"/>
        <v>rtdc.l.rtdc.4029:itc</v>
      </c>
      <c r="G60" s="8">
        <f t="shared" si="1"/>
        <v>42586.454421296294</v>
      </c>
    </row>
    <row r="61" spans="1:7" x14ac:dyDescent="0.25">
      <c r="A61" s="8">
        <v>42586.346574074072</v>
      </c>
      <c r="B61" s="24" t="s">
        <v>108</v>
      </c>
      <c r="C61" s="24" t="s">
        <v>534</v>
      </c>
      <c r="D61" s="24">
        <v>1090000</v>
      </c>
      <c r="E61" s="24" t="s">
        <v>111</v>
      </c>
      <c r="F61" s="24" t="str">
        <f t="shared" si="0"/>
        <v>rtdc.l.rtdc.4030:itc</v>
      </c>
      <c r="G61" s="8">
        <f t="shared" si="1"/>
        <v>42586.346574074072</v>
      </c>
    </row>
    <row r="62" spans="1:7" x14ac:dyDescent="0.25">
      <c r="A62" s="8">
        <v>42586.464305555557</v>
      </c>
      <c r="B62" s="24" t="s">
        <v>198</v>
      </c>
      <c r="C62" s="24" t="s">
        <v>556</v>
      </c>
      <c r="D62" s="24">
        <v>1110000</v>
      </c>
      <c r="E62" s="24" t="s">
        <v>117</v>
      </c>
      <c r="F62" s="24" t="str">
        <f t="shared" si="0"/>
        <v>rtdc.l.rtdc.4037:itc</v>
      </c>
      <c r="G62" s="8">
        <f t="shared" si="1"/>
        <v>42586.464305555557</v>
      </c>
    </row>
    <row r="63" spans="1:7" x14ac:dyDescent="0.25">
      <c r="A63" s="8">
        <v>42586.336365740739</v>
      </c>
      <c r="B63" s="24" t="s">
        <v>106</v>
      </c>
      <c r="C63" s="24" t="s">
        <v>532</v>
      </c>
      <c r="D63" s="24">
        <v>930000</v>
      </c>
      <c r="E63" s="24" t="s">
        <v>444</v>
      </c>
      <c r="F63" s="24" t="str">
        <f t="shared" si="0"/>
        <v>rtdc.l.rtdc.4028:itc</v>
      </c>
      <c r="G63" s="8">
        <f t="shared" si="1"/>
        <v>42586.336365740739</v>
      </c>
    </row>
    <row r="64" spans="1:7" x14ac:dyDescent="0.25">
      <c r="A64" s="30">
        <v>42586.466643518521</v>
      </c>
      <c r="B64" s="24" t="s">
        <v>170</v>
      </c>
      <c r="C64" s="24" t="s">
        <v>559</v>
      </c>
      <c r="D64" s="24">
        <v>1830000</v>
      </c>
      <c r="E64" s="24" t="s">
        <v>305</v>
      </c>
      <c r="F64" s="24" t="str">
        <f t="shared" si="0"/>
        <v>rtdc.l.rtdc.4032:itc</v>
      </c>
      <c r="G64" s="8">
        <f t="shared" si="1"/>
        <v>42586.466643518521</v>
      </c>
    </row>
    <row r="65" spans="1:7" x14ac:dyDescent="0.25">
      <c r="A65" s="8">
        <v>42586.329861111109</v>
      </c>
      <c r="B65" s="24" t="s">
        <v>114</v>
      </c>
      <c r="C65" s="24" t="s">
        <v>537</v>
      </c>
      <c r="D65" s="24">
        <v>1760000</v>
      </c>
      <c r="E65" s="24" t="s">
        <v>372</v>
      </c>
      <c r="F65" s="24" t="str">
        <f t="shared" si="0"/>
        <v>rtdc.l.rtdc.4007:itc</v>
      </c>
      <c r="G65" s="8">
        <f t="shared" si="1"/>
        <v>42586.329861111109</v>
      </c>
    </row>
    <row r="66" spans="1:7" x14ac:dyDescent="0.25">
      <c r="A66" s="8">
        <v>42586.588912037034</v>
      </c>
      <c r="B66" s="24" t="s">
        <v>103</v>
      </c>
      <c r="C66" s="24" t="s">
        <v>493</v>
      </c>
      <c r="D66" s="24">
        <v>1810000</v>
      </c>
      <c r="E66" s="24" t="s">
        <v>174</v>
      </c>
      <c r="F66" s="24" t="str">
        <f t="shared" ref="F66:F129" si="2">B66</f>
        <v>rtdc.l.rtdc.4026:itc</v>
      </c>
      <c r="G66" s="8">
        <f t="shared" ref="G66:G129" si="3">A66</f>
        <v>42586.588912037034</v>
      </c>
    </row>
    <row r="67" spans="1:7" x14ac:dyDescent="0.25">
      <c r="A67" s="8">
        <v>42586.323425925926</v>
      </c>
      <c r="B67" s="24" t="s">
        <v>170</v>
      </c>
      <c r="C67" s="24" t="s">
        <v>530</v>
      </c>
      <c r="D67" s="24">
        <v>2010000</v>
      </c>
      <c r="E67" s="24" t="s">
        <v>285</v>
      </c>
      <c r="F67" s="24" t="str">
        <f t="shared" si="2"/>
        <v>rtdc.l.rtdc.4032:itc</v>
      </c>
      <c r="G67" s="8">
        <f t="shared" si="3"/>
        <v>42586.323425925926</v>
      </c>
    </row>
    <row r="68" spans="1:7" x14ac:dyDescent="0.25">
      <c r="A68" s="8">
        <v>42586.799849537034</v>
      </c>
      <c r="B68" s="24" t="s">
        <v>69</v>
      </c>
      <c r="C68" s="24" t="s">
        <v>756</v>
      </c>
      <c r="D68" s="24">
        <v>2030000</v>
      </c>
      <c r="E68" s="24" t="s">
        <v>436</v>
      </c>
      <c r="F68" s="24" t="str">
        <f t="shared" si="2"/>
        <v>rtdc.l.rtdc.4018:itc</v>
      </c>
      <c r="G68" s="8">
        <f t="shared" si="3"/>
        <v>42586.799849537034</v>
      </c>
    </row>
    <row r="69" spans="1:7" x14ac:dyDescent="0.25">
      <c r="A69" s="8">
        <v>42586.307986111111</v>
      </c>
      <c r="B69" s="24" t="s">
        <v>103</v>
      </c>
      <c r="C69" s="24" t="s">
        <v>475</v>
      </c>
      <c r="D69" s="24">
        <v>1360000</v>
      </c>
      <c r="E69" s="24" t="s">
        <v>283</v>
      </c>
      <c r="F69" s="24" t="str">
        <f t="shared" si="2"/>
        <v>rtdc.l.rtdc.4026:itc</v>
      </c>
      <c r="G69" s="8">
        <f t="shared" si="3"/>
        <v>42586.307986111111</v>
      </c>
    </row>
    <row r="70" spans="1:7" x14ac:dyDescent="0.25">
      <c r="A70" s="8">
        <v>42586.81832175926</v>
      </c>
      <c r="B70" s="24" t="s">
        <v>70</v>
      </c>
      <c r="C70" s="24" t="s">
        <v>505</v>
      </c>
      <c r="D70" s="24">
        <v>2030000</v>
      </c>
      <c r="E70" s="24" t="s">
        <v>436</v>
      </c>
      <c r="F70" s="24" t="str">
        <f t="shared" si="2"/>
        <v>rtdc.l.rtdc.4017:itc</v>
      </c>
      <c r="G70" s="8">
        <f t="shared" si="3"/>
        <v>42586.81832175926</v>
      </c>
    </row>
    <row r="71" spans="1:7" x14ac:dyDescent="0.25">
      <c r="A71" s="8">
        <v>42586.287534722222</v>
      </c>
      <c r="B71" s="24" t="s">
        <v>155</v>
      </c>
      <c r="C71" s="24" t="s">
        <v>441</v>
      </c>
      <c r="D71" s="24">
        <v>1310000</v>
      </c>
      <c r="E71" s="24" t="s">
        <v>442</v>
      </c>
      <c r="F71" s="24" t="str">
        <f t="shared" si="2"/>
        <v>rtdc.l.rtdc.4012:itc</v>
      </c>
      <c r="G71" s="8">
        <f t="shared" si="3"/>
        <v>42586.287534722222</v>
      </c>
    </row>
    <row r="72" spans="1:7" x14ac:dyDescent="0.25">
      <c r="A72" s="8">
        <v>42586.838773148149</v>
      </c>
      <c r="B72" s="24" t="s">
        <v>69</v>
      </c>
      <c r="C72" s="24" t="s">
        <v>758</v>
      </c>
      <c r="D72" s="24">
        <v>2030000</v>
      </c>
      <c r="E72" s="24" t="s">
        <v>436</v>
      </c>
      <c r="F72" s="24" t="str">
        <f t="shared" si="2"/>
        <v>rtdc.l.rtdc.4018:itc</v>
      </c>
      <c r="G72" s="8">
        <f t="shared" si="3"/>
        <v>42586.838773148149</v>
      </c>
    </row>
    <row r="73" spans="1:7" x14ac:dyDescent="0.25">
      <c r="A73" s="8">
        <v>42586.286423611113</v>
      </c>
      <c r="B73" s="24" t="s">
        <v>155</v>
      </c>
      <c r="C73" s="24" t="s">
        <v>441</v>
      </c>
      <c r="D73" s="24">
        <v>1310000</v>
      </c>
      <c r="E73" s="24" t="s">
        <v>442</v>
      </c>
      <c r="F73" s="24" t="str">
        <f t="shared" si="2"/>
        <v>rtdc.l.rtdc.4012:itc</v>
      </c>
      <c r="G73" s="8">
        <f t="shared" si="3"/>
        <v>42586.286423611113</v>
      </c>
    </row>
    <row r="74" spans="1:7" x14ac:dyDescent="0.25">
      <c r="A74" s="8">
        <v>42587.169965277775</v>
      </c>
      <c r="B74" s="24" t="s">
        <v>143</v>
      </c>
      <c r="C74" s="24" t="s">
        <v>785</v>
      </c>
      <c r="D74" s="24">
        <v>1990000</v>
      </c>
      <c r="E74" s="24" t="s">
        <v>202</v>
      </c>
      <c r="F74" s="24" t="str">
        <f t="shared" si="2"/>
        <v>rtdc.l.rtdc.4009:itc</v>
      </c>
      <c r="G74" s="8">
        <f t="shared" si="3"/>
        <v>42587.169965277775</v>
      </c>
    </row>
    <row r="75" spans="1:7" x14ac:dyDescent="0.25">
      <c r="A75" s="8">
        <v>42586.278657407405</v>
      </c>
      <c r="B75" s="24" t="s">
        <v>108</v>
      </c>
      <c r="C75" s="24" t="s">
        <v>440</v>
      </c>
      <c r="D75" s="24">
        <v>1090000</v>
      </c>
      <c r="E75" s="24" t="s">
        <v>111</v>
      </c>
      <c r="F75" s="24" t="str">
        <f t="shared" si="2"/>
        <v>rtdc.l.rtdc.4030:itc</v>
      </c>
      <c r="G75" s="8">
        <f t="shared" si="3"/>
        <v>42586.278657407405</v>
      </c>
    </row>
    <row r="76" spans="1:7" x14ac:dyDescent="0.25">
      <c r="A76" s="8">
        <v>42587.240439814814</v>
      </c>
      <c r="B76" s="24" t="s">
        <v>69</v>
      </c>
      <c r="C76" s="24" t="s">
        <v>786</v>
      </c>
      <c r="D76" s="24">
        <v>1760000</v>
      </c>
      <c r="E76" s="24" t="s">
        <v>372</v>
      </c>
      <c r="F76" s="24" t="str">
        <f t="shared" si="2"/>
        <v>rtdc.l.rtdc.4018:itc</v>
      </c>
      <c r="G76" s="8">
        <f t="shared" si="3"/>
        <v>42587.240439814814</v>
      </c>
    </row>
    <row r="77" spans="1:7" x14ac:dyDescent="0.25">
      <c r="A77" s="8">
        <v>42586.267581018517</v>
      </c>
      <c r="B77" s="24" t="s">
        <v>105</v>
      </c>
      <c r="C77" s="24" t="s">
        <v>439</v>
      </c>
      <c r="D77" s="24">
        <v>1360000</v>
      </c>
      <c r="E77" s="24" t="s">
        <v>283</v>
      </c>
      <c r="F77" s="24" t="str">
        <f t="shared" si="2"/>
        <v>rtdc.l.rtdc.4025:itc</v>
      </c>
      <c r="G77" s="8">
        <f t="shared" si="3"/>
        <v>42586.267581018517</v>
      </c>
    </row>
    <row r="78" spans="1:7" x14ac:dyDescent="0.25">
      <c r="A78" s="8">
        <v>42587.288206018522</v>
      </c>
      <c r="B78" s="24" t="s">
        <v>67</v>
      </c>
      <c r="C78" s="24" t="s">
        <v>787</v>
      </c>
      <c r="D78" s="24">
        <v>1310000</v>
      </c>
      <c r="E78" s="24" t="s">
        <v>442</v>
      </c>
      <c r="F78" s="24" t="str">
        <f t="shared" si="2"/>
        <v>rtdc.l.rtdc.4019:itc</v>
      </c>
      <c r="G78" s="8">
        <f t="shared" si="3"/>
        <v>42587.288206018522</v>
      </c>
    </row>
    <row r="79" spans="1:7" x14ac:dyDescent="0.25">
      <c r="A79" s="8">
        <v>42586.264907407407</v>
      </c>
      <c r="B79" s="24" t="s">
        <v>69</v>
      </c>
      <c r="C79" s="24" t="s">
        <v>438</v>
      </c>
      <c r="D79" s="24">
        <v>2100000</v>
      </c>
      <c r="E79" s="24" t="s">
        <v>348</v>
      </c>
      <c r="F79" s="24" t="str">
        <f t="shared" si="2"/>
        <v>rtdc.l.rtdc.4018:itc</v>
      </c>
      <c r="G79" s="8">
        <f t="shared" si="3"/>
        <v>42586.264907407407</v>
      </c>
    </row>
    <row r="80" spans="1:7" x14ac:dyDescent="0.25">
      <c r="A80" s="8">
        <v>42587.291527777779</v>
      </c>
      <c r="B80" s="24" t="s">
        <v>134</v>
      </c>
      <c r="C80" s="24" t="s">
        <v>788</v>
      </c>
      <c r="D80" s="24">
        <v>1830000</v>
      </c>
      <c r="E80" s="24" t="s">
        <v>305</v>
      </c>
      <c r="F80" s="24" t="str">
        <f t="shared" si="2"/>
        <v>rtdc.l.rtdc.4016:itc</v>
      </c>
      <c r="G80" s="8">
        <f t="shared" si="3"/>
        <v>42587.291527777779</v>
      </c>
    </row>
    <row r="81" spans="1:7" x14ac:dyDescent="0.25">
      <c r="A81" s="8">
        <v>42586.216168981482</v>
      </c>
      <c r="B81" s="24" t="s">
        <v>169</v>
      </c>
      <c r="C81" s="24" t="s">
        <v>437</v>
      </c>
      <c r="D81" s="24">
        <v>2010000</v>
      </c>
      <c r="E81" s="24" t="s">
        <v>285</v>
      </c>
      <c r="F81" s="24" t="str">
        <f t="shared" si="2"/>
        <v>rtdc.l.rtdc.4031:itc</v>
      </c>
      <c r="G81" s="8">
        <f t="shared" si="3"/>
        <v>42586.216168981482</v>
      </c>
    </row>
    <row r="82" spans="1:7" x14ac:dyDescent="0.25">
      <c r="A82" s="8">
        <v>42587.344224537039</v>
      </c>
      <c r="B82" s="24" t="s">
        <v>134</v>
      </c>
      <c r="C82" s="24" t="s">
        <v>789</v>
      </c>
      <c r="D82" s="24">
        <v>1830000</v>
      </c>
      <c r="E82" s="24" t="s">
        <v>305</v>
      </c>
      <c r="F82" s="24" t="str">
        <f t="shared" si="2"/>
        <v>rtdc.l.rtdc.4016:itc</v>
      </c>
      <c r="G82" s="8">
        <f t="shared" si="3"/>
        <v>42587.344224537039</v>
      </c>
    </row>
    <row r="83" spans="1:7" x14ac:dyDescent="0.25">
      <c r="A83" s="8">
        <v>42586.169305555559</v>
      </c>
      <c r="B83" s="24" t="s">
        <v>112</v>
      </c>
      <c r="C83" s="24" t="s">
        <v>435</v>
      </c>
      <c r="D83" s="24">
        <v>1760000</v>
      </c>
      <c r="E83" s="24" t="s">
        <v>372</v>
      </c>
      <c r="F83" s="24" t="str">
        <f t="shared" si="2"/>
        <v>rtdc.l.rtdc.4008:itc</v>
      </c>
      <c r="G83" s="8">
        <f t="shared" si="3"/>
        <v>42586.169305555559</v>
      </c>
    </row>
    <row r="84" spans="1:7" x14ac:dyDescent="0.25">
      <c r="A84" s="8">
        <v>42586.5075</v>
      </c>
      <c r="B84" s="24" t="s">
        <v>169</v>
      </c>
      <c r="C84" s="24" t="s">
        <v>577</v>
      </c>
      <c r="D84" s="24">
        <v>910000</v>
      </c>
      <c r="E84" s="24" t="s">
        <v>790</v>
      </c>
      <c r="F84" s="24" t="str">
        <f t="shared" si="2"/>
        <v>rtdc.l.rtdc.4031:itc</v>
      </c>
      <c r="G84" s="8">
        <f t="shared" si="3"/>
        <v>42586.5075</v>
      </c>
    </row>
    <row r="85" spans="1:7" x14ac:dyDescent="0.25">
      <c r="A85" s="8">
        <v>42586.057812500003</v>
      </c>
      <c r="B85" s="24" t="s">
        <v>351</v>
      </c>
      <c r="C85" s="24" t="s">
        <v>414</v>
      </c>
      <c r="D85" s="24">
        <v>1290000</v>
      </c>
      <c r="E85" s="24" t="s">
        <v>151</v>
      </c>
      <c r="F85" s="24" t="str">
        <f t="shared" si="2"/>
        <v>rtdc.l.rtdc.4039:itc</v>
      </c>
      <c r="G85" s="8">
        <f t="shared" si="3"/>
        <v>42586.057812500003</v>
      </c>
    </row>
    <row r="86" spans="1:7" x14ac:dyDescent="0.25">
      <c r="A86" s="8">
        <v>42586.768263888887</v>
      </c>
      <c r="B86" s="24" t="s">
        <v>114</v>
      </c>
      <c r="C86" s="24" t="s">
        <v>638</v>
      </c>
      <c r="D86" s="24">
        <v>1480000</v>
      </c>
      <c r="E86" s="24" t="s">
        <v>102</v>
      </c>
      <c r="F86" s="24" t="str">
        <f t="shared" si="2"/>
        <v>rtdc.l.rtdc.4007:itc</v>
      </c>
      <c r="G86" s="8">
        <f t="shared" si="3"/>
        <v>42586.768263888887</v>
      </c>
    </row>
    <row r="87" spans="1:7" x14ac:dyDescent="0.25">
      <c r="A87" s="8">
        <v>42586.028287037036</v>
      </c>
      <c r="B87" s="24" t="s">
        <v>105</v>
      </c>
      <c r="C87" s="24" t="s">
        <v>415</v>
      </c>
      <c r="D87" s="24">
        <v>1480000</v>
      </c>
      <c r="E87" s="24" t="s">
        <v>102</v>
      </c>
      <c r="F87" s="24" t="str">
        <f t="shared" si="2"/>
        <v>rtdc.l.rtdc.4025:itc</v>
      </c>
      <c r="G87" s="8">
        <f t="shared" si="3"/>
        <v>42586.028287037036</v>
      </c>
    </row>
    <row r="88" spans="1:7" x14ac:dyDescent="0.25">
      <c r="A88" s="8">
        <v>42586.944872685184</v>
      </c>
      <c r="B88" s="24" t="s">
        <v>70</v>
      </c>
      <c r="C88" s="24" t="s">
        <v>770</v>
      </c>
      <c r="D88" s="24">
        <v>2000000</v>
      </c>
      <c r="E88" s="24" t="s">
        <v>324</v>
      </c>
      <c r="F88" s="24" t="str">
        <f t="shared" si="2"/>
        <v>rtdc.l.rtdc.4017:itc</v>
      </c>
      <c r="G88" s="8">
        <f t="shared" si="3"/>
        <v>42586.944872685184</v>
      </c>
    </row>
    <row r="89" spans="1:7" x14ac:dyDescent="0.25">
      <c r="A89" s="8">
        <v>42585.988067129627</v>
      </c>
      <c r="B89" s="24" t="s">
        <v>349</v>
      </c>
      <c r="C89" s="24" t="s">
        <v>411</v>
      </c>
      <c r="D89" s="24">
        <v>1300000</v>
      </c>
      <c r="E89" s="24" t="s">
        <v>148</v>
      </c>
      <c r="F89" s="24" t="str">
        <f t="shared" si="2"/>
        <v>rtdc.l.rtdc.4044:itc</v>
      </c>
      <c r="G89" s="8">
        <f t="shared" si="3"/>
        <v>42585.988067129627</v>
      </c>
    </row>
    <row r="90" spans="1:7" x14ac:dyDescent="0.25">
      <c r="A90" s="8">
        <v>42587.01662037037</v>
      </c>
      <c r="B90" s="24" t="s">
        <v>114</v>
      </c>
      <c r="C90" s="24" t="s">
        <v>667</v>
      </c>
      <c r="D90" s="24">
        <v>1480000</v>
      </c>
      <c r="E90" s="24" t="s">
        <v>102</v>
      </c>
      <c r="F90" s="24" t="str">
        <f t="shared" si="2"/>
        <v>rtdc.l.rtdc.4007:itc</v>
      </c>
      <c r="G90" s="8">
        <f t="shared" si="3"/>
        <v>42587.01662037037</v>
      </c>
    </row>
    <row r="91" spans="1:7" x14ac:dyDescent="0.25">
      <c r="A91" s="8">
        <v>42585.950983796298</v>
      </c>
      <c r="B91" s="24" t="s">
        <v>105</v>
      </c>
      <c r="C91" s="24" t="s">
        <v>406</v>
      </c>
      <c r="D91" s="24">
        <v>1480000</v>
      </c>
      <c r="E91" s="24" t="s">
        <v>102</v>
      </c>
      <c r="F91" s="24" t="str">
        <f t="shared" si="2"/>
        <v>rtdc.l.rtdc.4025:itc</v>
      </c>
      <c r="G91" s="8">
        <f t="shared" si="3"/>
        <v>42585.950983796298</v>
      </c>
    </row>
    <row r="92" spans="1:7" x14ac:dyDescent="0.25">
      <c r="A92" s="8">
        <v>42587.234375</v>
      </c>
      <c r="B92" s="24" t="s">
        <v>107</v>
      </c>
      <c r="C92" s="24" t="s">
        <v>784</v>
      </c>
      <c r="D92" s="24">
        <v>1990000</v>
      </c>
      <c r="E92" s="24" t="s">
        <v>202</v>
      </c>
      <c r="F92" s="24" t="str">
        <f t="shared" si="2"/>
        <v>rtdc.l.rtdc.4029:itc</v>
      </c>
      <c r="G92" s="8">
        <f t="shared" si="3"/>
        <v>42587.234375</v>
      </c>
    </row>
    <row r="93" spans="1:7" x14ac:dyDescent="0.25">
      <c r="A93" s="8">
        <v>42585.945567129631</v>
      </c>
      <c r="B93" s="24" t="s">
        <v>112</v>
      </c>
      <c r="C93" s="24" t="s">
        <v>432</v>
      </c>
      <c r="D93" s="24">
        <v>2140000</v>
      </c>
      <c r="E93" s="24" t="s">
        <v>352</v>
      </c>
      <c r="F93" s="24" t="str">
        <f t="shared" si="2"/>
        <v>rtdc.l.rtdc.4008:itc</v>
      </c>
      <c r="G93" s="8">
        <f t="shared" si="3"/>
        <v>42585.945567129631</v>
      </c>
    </row>
    <row r="94" spans="1:7" x14ac:dyDescent="0.25">
      <c r="A94" s="8">
        <v>42587.301030092596</v>
      </c>
      <c r="B94" s="24" t="s">
        <v>106</v>
      </c>
      <c r="C94" s="24" t="s">
        <v>791</v>
      </c>
      <c r="D94" s="24">
        <v>2100000</v>
      </c>
      <c r="E94" s="24" t="s">
        <v>348</v>
      </c>
      <c r="F94" s="24" t="str">
        <f t="shared" si="2"/>
        <v>rtdc.l.rtdc.4028:itc</v>
      </c>
      <c r="G94" s="8">
        <f t="shared" si="3"/>
        <v>42587.301030092596</v>
      </c>
    </row>
    <row r="95" spans="1:7" x14ac:dyDescent="0.25">
      <c r="A95" s="8">
        <v>42585.930706018517</v>
      </c>
      <c r="B95" s="24" t="s">
        <v>104</v>
      </c>
      <c r="C95" s="24" t="s">
        <v>402</v>
      </c>
      <c r="D95" s="24">
        <v>2090000</v>
      </c>
      <c r="E95" s="24" t="s">
        <v>347</v>
      </c>
      <c r="F95" s="24" t="str">
        <f t="shared" si="2"/>
        <v>rtdc.l.rtdc.4013:itc</v>
      </c>
      <c r="G95" s="8">
        <f t="shared" si="3"/>
        <v>42585.930706018517</v>
      </c>
    </row>
    <row r="96" spans="1:7" x14ac:dyDescent="0.25">
      <c r="A96" s="8">
        <v>42587.31045138889</v>
      </c>
      <c r="B96" s="24" t="s">
        <v>107</v>
      </c>
      <c r="C96" s="24" t="s">
        <v>792</v>
      </c>
      <c r="D96" s="24">
        <v>1990000</v>
      </c>
      <c r="E96" s="24" t="s">
        <v>202</v>
      </c>
      <c r="F96" s="24" t="str">
        <f t="shared" si="2"/>
        <v>rtdc.l.rtdc.4029:itc</v>
      </c>
      <c r="G96" s="8">
        <f t="shared" si="3"/>
        <v>42587.31045138889</v>
      </c>
    </row>
    <row r="97" spans="1:7" x14ac:dyDescent="0.25">
      <c r="A97" s="8">
        <v>42585.892835648148</v>
      </c>
      <c r="B97" s="24" t="s">
        <v>162</v>
      </c>
      <c r="C97" s="24" t="s">
        <v>401</v>
      </c>
      <c r="D97" s="24">
        <v>2090000</v>
      </c>
      <c r="E97" s="24" t="s">
        <v>347</v>
      </c>
      <c r="F97" s="24" t="str">
        <f t="shared" si="2"/>
        <v>rtdc.l.rtdc.4014:itc</v>
      </c>
      <c r="G97" s="8">
        <f t="shared" si="3"/>
        <v>42585.892835648148</v>
      </c>
    </row>
    <row r="98" spans="1:7" x14ac:dyDescent="0.25">
      <c r="A98" s="8">
        <v>42586.65252314815</v>
      </c>
      <c r="B98" s="24" t="s">
        <v>70</v>
      </c>
      <c r="C98" s="24" t="s">
        <v>722</v>
      </c>
      <c r="D98" s="24">
        <v>2030000</v>
      </c>
      <c r="E98" s="24" t="s">
        <v>436</v>
      </c>
      <c r="F98" s="24" t="str">
        <f t="shared" si="2"/>
        <v>rtdc.l.rtdc.4017:itc</v>
      </c>
      <c r="G98" s="8">
        <f t="shared" si="3"/>
        <v>42586.65252314815</v>
      </c>
    </row>
    <row r="99" spans="1:7" x14ac:dyDescent="0.25">
      <c r="A99" s="8">
        <v>42587.339409722219</v>
      </c>
      <c r="B99" s="24" t="s">
        <v>109</v>
      </c>
      <c r="C99" s="24" t="s">
        <v>793</v>
      </c>
      <c r="D99" s="24">
        <v>2100000</v>
      </c>
      <c r="E99" s="24" t="s">
        <v>348</v>
      </c>
      <c r="F99" s="24" t="str">
        <f t="shared" si="2"/>
        <v>rtdc.l.rtdc.4027:itc</v>
      </c>
      <c r="G99" s="8">
        <f t="shared" si="3"/>
        <v>42587.339409722219</v>
      </c>
    </row>
    <row r="100" spans="1:7" x14ac:dyDescent="0.25">
      <c r="A100" s="8">
        <v>42586.661793981482</v>
      </c>
      <c r="B100" s="24" t="s">
        <v>109</v>
      </c>
      <c r="C100" s="24" t="s">
        <v>614</v>
      </c>
      <c r="D100" s="24">
        <v>2150000</v>
      </c>
      <c r="E100" s="24" t="s">
        <v>304</v>
      </c>
      <c r="F100" s="24" t="str">
        <f t="shared" si="2"/>
        <v>rtdc.l.rtdc.4027:itc</v>
      </c>
      <c r="G100" s="8">
        <f t="shared" si="3"/>
        <v>42586.661793981482</v>
      </c>
    </row>
    <row r="101" spans="1:7" x14ac:dyDescent="0.25">
      <c r="A101" s="8">
        <v>42587.212951388887</v>
      </c>
      <c r="B101" s="24" t="s">
        <v>70</v>
      </c>
      <c r="C101" s="24" t="s">
        <v>794</v>
      </c>
      <c r="D101" s="24">
        <v>1760000</v>
      </c>
      <c r="E101" s="24" t="s">
        <v>372</v>
      </c>
      <c r="F101" s="24" t="str">
        <f t="shared" si="2"/>
        <v>rtdc.l.rtdc.4017:itc</v>
      </c>
      <c r="G101" s="8">
        <f t="shared" si="3"/>
        <v>42587.212951388887</v>
      </c>
    </row>
    <row r="102" spans="1:7" x14ac:dyDescent="0.25">
      <c r="A102" s="8">
        <v>42586.770266203705</v>
      </c>
      <c r="B102" s="24" t="s">
        <v>69</v>
      </c>
      <c r="C102" s="24" t="s">
        <v>748</v>
      </c>
      <c r="D102" s="24">
        <v>2030000</v>
      </c>
      <c r="E102" s="24" t="s">
        <v>436</v>
      </c>
      <c r="F102" s="24" t="str">
        <f t="shared" si="2"/>
        <v>rtdc.l.rtdc.4018:itc</v>
      </c>
      <c r="G102" s="8">
        <f t="shared" si="3"/>
        <v>42586.770266203705</v>
      </c>
    </row>
    <row r="103" spans="1:7" x14ac:dyDescent="0.25">
      <c r="A103" s="8">
        <v>42586.973391203705</v>
      </c>
      <c r="B103" s="24" t="s">
        <v>112</v>
      </c>
      <c r="C103" s="24" t="s">
        <v>659</v>
      </c>
      <c r="D103" s="24">
        <v>1480000</v>
      </c>
      <c r="E103" s="24" t="s">
        <v>102</v>
      </c>
      <c r="F103" s="24" t="str">
        <f t="shared" si="2"/>
        <v>rtdc.l.rtdc.4008:itc</v>
      </c>
      <c r="G103" s="8">
        <f t="shared" si="3"/>
        <v>42586.973391203705</v>
      </c>
    </row>
    <row r="104" spans="1:7" x14ac:dyDescent="0.25">
      <c r="A104" s="8">
        <v>42586.776736111111</v>
      </c>
      <c r="B104" s="24" t="s">
        <v>105</v>
      </c>
      <c r="C104" s="24" t="s">
        <v>669</v>
      </c>
      <c r="D104" s="24">
        <v>1810000</v>
      </c>
      <c r="E104" s="24" t="s">
        <v>174</v>
      </c>
      <c r="F104" s="24" t="str">
        <f t="shared" si="2"/>
        <v>rtdc.l.rtdc.4025:itc</v>
      </c>
      <c r="G104" s="8">
        <f t="shared" si="3"/>
        <v>42586.776736111111</v>
      </c>
    </row>
    <row r="105" spans="1:7" x14ac:dyDescent="0.25">
      <c r="A105" s="8">
        <v>42586.763599537036</v>
      </c>
      <c r="B105" s="24" t="s">
        <v>170</v>
      </c>
      <c r="C105" s="24" t="s">
        <v>631</v>
      </c>
      <c r="D105" s="24">
        <v>1540000</v>
      </c>
      <c r="E105" s="24" t="s">
        <v>180</v>
      </c>
      <c r="F105" s="24" t="str">
        <f t="shared" si="2"/>
        <v>rtdc.l.rtdc.4032:itc</v>
      </c>
      <c r="G105" s="8">
        <f t="shared" si="3"/>
        <v>42586.763599537036</v>
      </c>
    </row>
    <row r="106" spans="1:7" x14ac:dyDescent="0.25">
      <c r="A106" s="8">
        <v>42586.782488425924</v>
      </c>
      <c r="B106" s="24" t="s">
        <v>108</v>
      </c>
      <c r="C106" s="24" t="s">
        <v>504</v>
      </c>
      <c r="D106" s="24">
        <v>2150000</v>
      </c>
      <c r="E106" s="24" t="s">
        <v>304</v>
      </c>
      <c r="F106" s="24" t="str">
        <f t="shared" si="2"/>
        <v>rtdc.l.rtdc.4030:itc</v>
      </c>
      <c r="G106" s="8">
        <f t="shared" si="3"/>
        <v>42586.782488425924</v>
      </c>
    </row>
    <row r="107" spans="1:7" x14ac:dyDescent="0.25">
      <c r="A107" s="8">
        <v>42586.709780092591</v>
      </c>
      <c r="B107" s="24" t="s">
        <v>69</v>
      </c>
      <c r="C107" s="24" t="s">
        <v>499</v>
      </c>
      <c r="D107" s="24">
        <v>2030000</v>
      </c>
      <c r="E107" s="24" t="s">
        <v>436</v>
      </c>
      <c r="F107" s="24" t="str">
        <f t="shared" si="2"/>
        <v>rtdc.l.rtdc.4018:itc</v>
      </c>
      <c r="G107" s="8">
        <f t="shared" si="3"/>
        <v>42586.709780092591</v>
      </c>
    </row>
    <row r="108" spans="1:7" x14ac:dyDescent="0.25">
      <c r="A108" s="8">
        <v>42586.783564814818</v>
      </c>
      <c r="B108" s="24" t="s">
        <v>70</v>
      </c>
      <c r="C108" s="24" t="s">
        <v>502</v>
      </c>
      <c r="D108" s="24">
        <v>2030000</v>
      </c>
      <c r="E108" s="24" t="s">
        <v>436</v>
      </c>
      <c r="F108" s="24" t="str">
        <f t="shared" si="2"/>
        <v>rtdc.l.rtdc.4017:itc</v>
      </c>
      <c r="G108" s="8">
        <f t="shared" si="3"/>
        <v>42586.783564814818</v>
      </c>
    </row>
    <row r="109" spans="1:7" x14ac:dyDescent="0.25">
      <c r="A109" s="8">
        <v>42586.4768287037</v>
      </c>
      <c r="B109" s="24" t="s">
        <v>114</v>
      </c>
      <c r="C109" s="24" t="s">
        <v>569</v>
      </c>
      <c r="D109" s="24">
        <v>2040000</v>
      </c>
      <c r="E109" s="24" t="s">
        <v>433</v>
      </c>
      <c r="F109" s="24" t="str">
        <f t="shared" si="2"/>
        <v>rtdc.l.rtdc.4007:itc</v>
      </c>
      <c r="G109" s="8">
        <f t="shared" si="3"/>
        <v>42586.4768287037</v>
      </c>
    </row>
    <row r="110" spans="1:7" x14ac:dyDescent="0.25">
      <c r="A110" s="8">
        <v>42586.796666666669</v>
      </c>
      <c r="B110" s="24" t="s">
        <v>169</v>
      </c>
      <c r="C110" s="24" t="s">
        <v>671</v>
      </c>
      <c r="D110" s="24">
        <v>1540000</v>
      </c>
      <c r="E110" s="24" t="s">
        <v>180</v>
      </c>
      <c r="F110" s="24" t="str">
        <f t="shared" si="2"/>
        <v>rtdc.l.rtdc.4031:itc</v>
      </c>
      <c r="G110" s="8">
        <f t="shared" si="3"/>
        <v>42586.796666666669</v>
      </c>
    </row>
    <row r="111" spans="1:7" x14ac:dyDescent="0.25">
      <c r="A111" s="8">
        <v>42586.317361111112</v>
      </c>
      <c r="B111" s="24" t="s">
        <v>67</v>
      </c>
      <c r="C111" s="24" t="s">
        <v>476</v>
      </c>
      <c r="D111" s="24">
        <v>1110000</v>
      </c>
      <c r="E111" s="24" t="s">
        <v>117</v>
      </c>
      <c r="F111" s="24" t="str">
        <f t="shared" si="2"/>
        <v>rtdc.l.rtdc.4019:itc</v>
      </c>
      <c r="G111" s="8">
        <f t="shared" si="3"/>
        <v>42586.317361111112</v>
      </c>
    </row>
    <row r="112" spans="1:7" x14ac:dyDescent="0.25">
      <c r="A112" s="8">
        <v>42586.866620370369</v>
      </c>
      <c r="B112" s="24" t="s">
        <v>155</v>
      </c>
      <c r="C112" s="24" t="s">
        <v>648</v>
      </c>
      <c r="D112" s="24">
        <v>1300000</v>
      </c>
      <c r="E112" s="24" t="s">
        <v>148</v>
      </c>
      <c r="F112" s="24" t="str">
        <f t="shared" si="2"/>
        <v>rtdc.l.rtdc.4012:itc</v>
      </c>
      <c r="G112" s="8">
        <f t="shared" si="3"/>
        <v>42586.866620370369</v>
      </c>
    </row>
    <row r="113" spans="1:7" x14ac:dyDescent="0.25">
      <c r="A113" s="8">
        <v>42587.257789351854</v>
      </c>
      <c r="B113" s="24" t="s">
        <v>101</v>
      </c>
      <c r="C113" s="24" t="s">
        <v>795</v>
      </c>
      <c r="D113" s="24">
        <v>1240000</v>
      </c>
      <c r="E113" s="24" t="s">
        <v>113</v>
      </c>
      <c r="F113" s="24" t="str">
        <f t="shared" si="2"/>
        <v>rtdc.l.rtdc.4038:itc</v>
      </c>
      <c r="G113" s="8">
        <f t="shared" si="3"/>
        <v>42587.257789351854</v>
      </c>
    </row>
    <row r="114" spans="1:7" x14ac:dyDescent="0.25">
      <c r="A114" s="8">
        <v>42587.198796296296</v>
      </c>
      <c r="B114" s="24" t="s">
        <v>69</v>
      </c>
      <c r="C114" s="24" t="s">
        <v>796</v>
      </c>
      <c r="D114" s="24">
        <v>1760000</v>
      </c>
      <c r="E114" s="24" t="s">
        <v>372</v>
      </c>
      <c r="F114" s="24" t="str">
        <f t="shared" si="2"/>
        <v>rtdc.l.rtdc.4018:itc</v>
      </c>
      <c r="G114" s="8">
        <f t="shared" si="3"/>
        <v>42587.198796296296</v>
      </c>
    </row>
    <row r="115" spans="1:7" x14ac:dyDescent="0.25">
      <c r="A115" s="8">
        <v>42587.210219907407</v>
      </c>
      <c r="B115" s="24" t="s">
        <v>349</v>
      </c>
      <c r="C115" s="24" t="s">
        <v>797</v>
      </c>
      <c r="D115" s="24">
        <v>1360000</v>
      </c>
      <c r="E115" s="24" t="s">
        <v>283</v>
      </c>
      <c r="F115" s="24" t="str">
        <f t="shared" si="2"/>
        <v>rtdc.l.rtdc.4044:itc</v>
      </c>
      <c r="G115" s="8">
        <f t="shared" si="3"/>
        <v>42587.210219907407</v>
      </c>
    </row>
    <row r="116" spans="1:7" x14ac:dyDescent="0.25">
      <c r="A116" s="8">
        <v>42587.322256944448</v>
      </c>
      <c r="B116" s="24" t="s">
        <v>103</v>
      </c>
      <c r="C116" s="24" t="s">
        <v>798</v>
      </c>
      <c r="D116" s="24">
        <v>2010000</v>
      </c>
      <c r="E116" s="24" t="s">
        <v>285</v>
      </c>
      <c r="F116" s="24" t="str">
        <f t="shared" si="2"/>
        <v>rtdc.l.rtdc.4026:itc</v>
      </c>
      <c r="G116" s="8">
        <f t="shared" si="3"/>
        <v>42587.322256944448</v>
      </c>
    </row>
    <row r="117" spans="1:7" x14ac:dyDescent="0.25">
      <c r="A117" s="8">
        <v>42587.028252314813</v>
      </c>
      <c r="B117" s="24" t="s">
        <v>101</v>
      </c>
      <c r="C117" s="24" t="s">
        <v>675</v>
      </c>
      <c r="D117" s="24">
        <v>2140000</v>
      </c>
      <c r="E117" s="24" t="s">
        <v>352</v>
      </c>
      <c r="F117" s="24" t="str">
        <f t="shared" si="2"/>
        <v>rtdc.l.rtdc.4038:itc</v>
      </c>
      <c r="G117" s="8">
        <f t="shared" si="3"/>
        <v>42587.028252314813</v>
      </c>
    </row>
    <row r="118" spans="1:7" x14ac:dyDescent="0.25">
      <c r="A118" s="8">
        <v>42587.322222222225</v>
      </c>
      <c r="B118" s="24" t="s">
        <v>68</v>
      </c>
      <c r="C118" s="24" t="s">
        <v>799</v>
      </c>
      <c r="D118" s="24">
        <v>1310000</v>
      </c>
      <c r="E118" s="24" t="s">
        <v>442</v>
      </c>
      <c r="F118" s="24" t="str">
        <f t="shared" si="2"/>
        <v>rtdc.l.rtdc.4020:itc</v>
      </c>
      <c r="G118" s="8">
        <f t="shared" si="3"/>
        <v>42587.322222222225</v>
      </c>
    </row>
    <row r="119" spans="1:7" x14ac:dyDescent="0.25">
      <c r="A119" s="8">
        <v>42586.817083333335</v>
      </c>
      <c r="B119" s="24" t="s">
        <v>107</v>
      </c>
      <c r="C119" s="24" t="s">
        <v>673</v>
      </c>
      <c r="D119" s="24">
        <v>2150000</v>
      </c>
      <c r="E119" s="24" t="s">
        <v>304</v>
      </c>
      <c r="F119" s="24" t="str">
        <f t="shared" si="2"/>
        <v>rtdc.l.rtdc.4029:itc</v>
      </c>
      <c r="G119" s="8">
        <f t="shared" si="3"/>
        <v>42586.817083333335</v>
      </c>
    </row>
    <row r="120" spans="1:7" x14ac:dyDescent="0.25">
      <c r="A120" s="8">
        <v>42586.590891203705</v>
      </c>
      <c r="B120" s="24" t="s">
        <v>109</v>
      </c>
      <c r="C120" s="24" t="s">
        <v>597</v>
      </c>
      <c r="D120" s="24">
        <v>2150000</v>
      </c>
      <c r="E120" s="24" t="s">
        <v>304</v>
      </c>
      <c r="F120" s="24" t="str">
        <f t="shared" si="2"/>
        <v>rtdc.l.rtdc.4027:itc</v>
      </c>
      <c r="G120" s="8">
        <f t="shared" si="3"/>
        <v>42586.590891203705</v>
      </c>
    </row>
    <row r="121" spans="1:7" x14ac:dyDescent="0.25">
      <c r="A121" s="8">
        <v>42586.781921296293</v>
      </c>
      <c r="B121" s="24" t="s">
        <v>76</v>
      </c>
      <c r="C121" s="24" t="s">
        <v>752</v>
      </c>
      <c r="D121" s="24">
        <v>2090000</v>
      </c>
      <c r="E121" s="24" t="s">
        <v>347</v>
      </c>
      <c r="F121" s="24" t="str">
        <f t="shared" si="2"/>
        <v>rtdc.l.rtdc.4042:itc</v>
      </c>
      <c r="G121" s="8">
        <f t="shared" si="3"/>
        <v>42586.781921296293</v>
      </c>
    </row>
    <row r="122" spans="1:7" x14ac:dyDescent="0.25">
      <c r="A122" s="8">
        <v>42586.609166666669</v>
      </c>
      <c r="B122" s="29" t="s">
        <v>198</v>
      </c>
      <c r="C122" s="24" t="s">
        <v>593</v>
      </c>
      <c r="D122" s="24">
        <v>1540000</v>
      </c>
      <c r="E122" s="24" t="s">
        <v>180</v>
      </c>
      <c r="F122" s="24" t="str">
        <f t="shared" si="2"/>
        <v>rtdc.l.rtdc.4037:itc</v>
      </c>
      <c r="G122" s="8">
        <f t="shared" si="3"/>
        <v>42586.609166666669</v>
      </c>
    </row>
    <row r="123" spans="1:7" x14ac:dyDescent="0.25">
      <c r="A123" s="8">
        <v>42586.588935185187</v>
      </c>
      <c r="B123" s="24" t="s">
        <v>112</v>
      </c>
      <c r="C123" s="24" t="s">
        <v>589</v>
      </c>
      <c r="D123" s="24">
        <v>2040000</v>
      </c>
      <c r="E123" s="24" t="s">
        <v>433</v>
      </c>
      <c r="F123" s="24" t="str">
        <f t="shared" si="2"/>
        <v>rtdc.l.rtdc.4008:itc</v>
      </c>
      <c r="G123" s="8">
        <f t="shared" si="3"/>
        <v>42586.588935185187</v>
      </c>
    </row>
    <row r="124" spans="1:7" x14ac:dyDescent="0.25">
      <c r="A124" s="8">
        <v>42586.711539351854</v>
      </c>
      <c r="B124" s="24" t="s">
        <v>108</v>
      </c>
      <c r="C124" s="24" t="s">
        <v>618</v>
      </c>
      <c r="D124" s="24">
        <v>2110000</v>
      </c>
      <c r="E124" s="24" t="s">
        <v>350</v>
      </c>
      <c r="F124" s="24" t="str">
        <f t="shared" si="2"/>
        <v>rtdc.l.rtdc.4030:itc</v>
      </c>
      <c r="G124" s="8">
        <f t="shared" si="3"/>
        <v>42586.711539351854</v>
      </c>
    </row>
    <row r="125" spans="1:7" x14ac:dyDescent="0.25">
      <c r="A125" s="8">
        <v>42586.565844907411</v>
      </c>
      <c r="B125" s="24" t="s">
        <v>108</v>
      </c>
      <c r="C125" s="24" t="s">
        <v>584</v>
      </c>
      <c r="D125" s="24">
        <v>2110000</v>
      </c>
      <c r="E125" s="24" t="s">
        <v>350</v>
      </c>
      <c r="F125" s="24" t="str">
        <f t="shared" si="2"/>
        <v>rtdc.l.rtdc.4030:itc</v>
      </c>
      <c r="G125" s="8">
        <f t="shared" si="3"/>
        <v>42586.565844907411</v>
      </c>
    </row>
    <row r="126" spans="1:7" x14ac:dyDescent="0.25">
      <c r="A126" s="8">
        <v>42587.090451388889</v>
      </c>
      <c r="B126" s="24" t="s">
        <v>114</v>
      </c>
      <c r="C126" s="24" t="s">
        <v>679</v>
      </c>
      <c r="D126" s="24">
        <v>1480000</v>
      </c>
      <c r="E126" s="24" t="s">
        <v>102</v>
      </c>
      <c r="F126" s="24" t="str">
        <f t="shared" si="2"/>
        <v>rtdc.l.rtdc.4007:itc</v>
      </c>
      <c r="G126" s="8">
        <f t="shared" si="3"/>
        <v>42587.090451388889</v>
      </c>
    </row>
    <row r="127" spans="1:7" x14ac:dyDescent="0.25">
      <c r="A127" s="8">
        <v>42586.302129629628</v>
      </c>
      <c r="B127" s="24" t="s">
        <v>109</v>
      </c>
      <c r="C127" s="24" t="s">
        <v>443</v>
      </c>
      <c r="D127" s="24">
        <v>930000</v>
      </c>
      <c r="E127" s="24" t="s">
        <v>444</v>
      </c>
      <c r="F127" s="24" t="str">
        <f t="shared" si="2"/>
        <v>rtdc.l.rtdc.4027:itc</v>
      </c>
      <c r="G127" s="8">
        <f t="shared" si="3"/>
        <v>42586.302129629628</v>
      </c>
    </row>
    <row r="128" spans="1:7" x14ac:dyDescent="0.25">
      <c r="A128" s="8">
        <v>42587.105567129627</v>
      </c>
      <c r="B128" s="24" t="s">
        <v>800</v>
      </c>
      <c r="C128" s="24" t="s">
        <v>801</v>
      </c>
      <c r="D128" s="24">
        <v>1410000</v>
      </c>
      <c r="E128" s="24" t="s">
        <v>802</v>
      </c>
      <c r="F128" s="24" t="str">
        <f t="shared" si="2"/>
        <v>rtdc.l.rtdc.4006:itc</v>
      </c>
      <c r="G128" s="8">
        <f t="shared" si="3"/>
        <v>42587.105567129627</v>
      </c>
    </row>
    <row r="129" spans="1:7" x14ac:dyDescent="0.25">
      <c r="A129" s="8">
        <v>42587.235069444447</v>
      </c>
      <c r="B129" s="24" t="s">
        <v>106</v>
      </c>
      <c r="C129" s="24" t="s">
        <v>803</v>
      </c>
      <c r="D129" s="24">
        <v>2100000</v>
      </c>
      <c r="E129" s="24" t="s">
        <v>348</v>
      </c>
      <c r="F129" s="24" t="str">
        <f t="shared" si="2"/>
        <v>rtdc.l.rtdc.4028:itc</v>
      </c>
      <c r="G129" s="8">
        <f t="shared" si="3"/>
        <v>42587.235069444447</v>
      </c>
    </row>
    <row r="130" spans="1:7" x14ac:dyDescent="0.25">
      <c r="A130" s="8">
        <v>42587.171805555554</v>
      </c>
      <c r="B130" s="24" t="s">
        <v>103</v>
      </c>
      <c r="C130" s="24" t="s">
        <v>804</v>
      </c>
      <c r="D130" s="24">
        <v>2010000</v>
      </c>
      <c r="E130" s="24" t="s">
        <v>285</v>
      </c>
      <c r="F130" s="24" t="str">
        <f t="shared" ref="F130:F193" si="4">B130</f>
        <v>rtdc.l.rtdc.4026:itc</v>
      </c>
      <c r="G130" s="8">
        <f t="shared" ref="G130:G193" si="5">A130</f>
        <v>42587.171805555554</v>
      </c>
    </row>
    <row r="131" spans="1:7" x14ac:dyDescent="0.25">
      <c r="A131" s="8">
        <v>42587.195439814815</v>
      </c>
      <c r="B131" s="24" t="s">
        <v>108</v>
      </c>
      <c r="C131" s="24" t="s">
        <v>805</v>
      </c>
      <c r="D131" s="24">
        <v>1990000</v>
      </c>
      <c r="E131" s="24" t="s">
        <v>202</v>
      </c>
      <c r="F131" s="24" t="str">
        <f t="shared" si="4"/>
        <v>rtdc.l.rtdc.4030:itc</v>
      </c>
      <c r="G131" s="8">
        <f t="shared" si="5"/>
        <v>42587.195439814815</v>
      </c>
    </row>
    <row r="132" spans="1:7" x14ac:dyDescent="0.25">
      <c r="A132" s="8">
        <v>42587.317418981482</v>
      </c>
      <c r="B132" s="24" t="s">
        <v>133</v>
      </c>
      <c r="C132" s="24" t="s">
        <v>806</v>
      </c>
      <c r="D132" s="24">
        <v>1830000</v>
      </c>
      <c r="E132" s="24" t="s">
        <v>305</v>
      </c>
      <c r="F132" s="24" t="str">
        <f t="shared" si="4"/>
        <v>rtdc.l.rtdc.4015:itc</v>
      </c>
      <c r="G132" s="8">
        <f t="shared" si="5"/>
        <v>42587.317418981482</v>
      </c>
    </row>
    <row r="133" spans="1:7" x14ac:dyDescent="0.25">
      <c r="A133" s="8">
        <v>42587.184791666667</v>
      </c>
      <c r="B133" s="24" t="s">
        <v>101</v>
      </c>
      <c r="C133" s="24" t="s">
        <v>807</v>
      </c>
      <c r="D133" s="24">
        <v>1240000</v>
      </c>
      <c r="E133" s="24" t="s">
        <v>113</v>
      </c>
      <c r="F133" s="24" t="str">
        <f t="shared" si="4"/>
        <v>rtdc.l.rtdc.4038:itc</v>
      </c>
      <c r="G133" s="8">
        <f t="shared" si="5"/>
        <v>42587.184791666667</v>
      </c>
    </row>
    <row r="134" spans="1:7" x14ac:dyDescent="0.25">
      <c r="A134" s="8">
        <v>42586.676064814812</v>
      </c>
      <c r="B134" s="24" t="s">
        <v>146</v>
      </c>
      <c r="C134" s="24" t="s">
        <v>497</v>
      </c>
      <c r="D134" s="24">
        <v>2090000</v>
      </c>
      <c r="E134" s="24" t="s">
        <v>347</v>
      </c>
      <c r="F134" s="24" t="str">
        <f t="shared" si="4"/>
        <v>rtdc.l.rtdc.4041:itc</v>
      </c>
      <c r="G134" s="8">
        <f t="shared" si="5"/>
        <v>42586.676064814812</v>
      </c>
    </row>
    <row r="135" spans="1:7" x14ac:dyDescent="0.25">
      <c r="A135" s="8">
        <v>42587.033460648148</v>
      </c>
      <c r="B135" s="24" t="s">
        <v>155</v>
      </c>
      <c r="C135" s="24" t="s">
        <v>666</v>
      </c>
      <c r="D135" s="24">
        <v>1300000</v>
      </c>
      <c r="E135" s="24" t="s">
        <v>148</v>
      </c>
      <c r="F135" s="24" t="str">
        <f t="shared" si="4"/>
        <v>rtdc.l.rtdc.4012:itc</v>
      </c>
      <c r="G135" s="8">
        <f t="shared" si="5"/>
        <v>42587.033460648148</v>
      </c>
    </row>
    <row r="136" spans="1:7" x14ac:dyDescent="0.25">
      <c r="A136" s="8">
        <v>42586.72457175926</v>
      </c>
      <c r="B136" s="24" t="s">
        <v>169</v>
      </c>
      <c r="C136" s="24" t="s">
        <v>629</v>
      </c>
      <c r="D136" s="24">
        <v>1540000</v>
      </c>
      <c r="E136" s="24" t="s">
        <v>180</v>
      </c>
      <c r="F136" s="24" t="str">
        <f t="shared" si="4"/>
        <v>rtdc.l.rtdc.4031:itc</v>
      </c>
      <c r="G136" s="8">
        <f t="shared" si="5"/>
        <v>42586.72457175926</v>
      </c>
    </row>
    <row r="137" spans="1:7" x14ac:dyDescent="0.25">
      <c r="A137" s="8">
        <v>42586.669189814813</v>
      </c>
      <c r="B137" s="24" t="s">
        <v>69</v>
      </c>
      <c r="C137" s="24" t="s">
        <v>728</v>
      </c>
      <c r="D137" s="24">
        <v>2030000</v>
      </c>
      <c r="E137" s="24" t="s">
        <v>436</v>
      </c>
      <c r="F137" s="24" t="str">
        <f t="shared" si="4"/>
        <v>rtdc.l.rtdc.4018:itc</v>
      </c>
      <c r="G137" s="8">
        <f t="shared" si="5"/>
        <v>42586.669189814813</v>
      </c>
    </row>
    <row r="138" spans="1:7" x14ac:dyDescent="0.25">
      <c r="A138" s="8">
        <v>42586.844837962963</v>
      </c>
      <c r="B138" s="24" t="s">
        <v>114</v>
      </c>
      <c r="C138" s="24" t="s">
        <v>649</v>
      </c>
      <c r="D138" s="24">
        <v>1480000</v>
      </c>
      <c r="E138" s="24" t="s">
        <v>102</v>
      </c>
      <c r="F138" s="24" t="str">
        <f t="shared" si="4"/>
        <v>rtdc.l.rtdc.4007:itc</v>
      </c>
      <c r="G138" s="8">
        <f t="shared" si="5"/>
        <v>42586.844837962963</v>
      </c>
    </row>
    <row r="139" spans="1:7" x14ac:dyDescent="0.25">
      <c r="A139" s="8">
        <v>42586.659398148149</v>
      </c>
      <c r="B139" s="24" t="s">
        <v>76</v>
      </c>
      <c r="C139" s="24" t="s">
        <v>496</v>
      </c>
      <c r="D139" s="24">
        <v>2090000</v>
      </c>
      <c r="E139" s="24" t="s">
        <v>347</v>
      </c>
      <c r="F139" s="24" t="str">
        <f t="shared" si="4"/>
        <v>rtdc.l.rtdc.4042:itc</v>
      </c>
      <c r="G139" s="8">
        <f t="shared" si="5"/>
        <v>42586.659398148149</v>
      </c>
    </row>
    <row r="140" spans="1:7" x14ac:dyDescent="0.25">
      <c r="A140" s="8">
        <v>42586.894618055558</v>
      </c>
      <c r="B140" s="24" t="s">
        <v>109</v>
      </c>
      <c r="C140" s="24" t="s">
        <v>654</v>
      </c>
      <c r="D140" s="24">
        <v>1290000</v>
      </c>
      <c r="E140" s="24" t="s">
        <v>151</v>
      </c>
      <c r="F140" s="24" t="str">
        <f t="shared" si="4"/>
        <v>rtdc.l.rtdc.4027:itc</v>
      </c>
      <c r="G140" s="8">
        <f t="shared" si="5"/>
        <v>42586.894618055558</v>
      </c>
    </row>
    <row r="141" spans="1:7" x14ac:dyDescent="0.25">
      <c r="A141" s="8">
        <v>42586.542881944442</v>
      </c>
      <c r="B141" s="24" t="s">
        <v>69</v>
      </c>
      <c r="C141" s="24" t="s">
        <v>716</v>
      </c>
      <c r="D141" s="24">
        <v>2030000</v>
      </c>
      <c r="E141" s="24" t="s">
        <v>436</v>
      </c>
      <c r="F141" s="24" t="str">
        <f t="shared" si="4"/>
        <v>rtdc.l.rtdc.4018:itc</v>
      </c>
      <c r="G141" s="8">
        <f t="shared" si="5"/>
        <v>42586.542881944442</v>
      </c>
    </row>
    <row r="142" spans="1:7" x14ac:dyDescent="0.25">
      <c r="A142" s="8">
        <v>42586.907939814817</v>
      </c>
      <c r="B142" s="24" t="s">
        <v>198</v>
      </c>
      <c r="C142" s="24" t="s">
        <v>653</v>
      </c>
      <c r="D142" s="24">
        <v>2140000</v>
      </c>
      <c r="E142" s="24" t="s">
        <v>352</v>
      </c>
      <c r="F142" s="24" t="str">
        <f t="shared" si="4"/>
        <v>rtdc.l.rtdc.4037:itc</v>
      </c>
      <c r="G142" s="8">
        <f t="shared" si="5"/>
        <v>42586.907939814817</v>
      </c>
    </row>
    <row r="143" spans="1:7" x14ac:dyDescent="0.25">
      <c r="A143" s="8">
        <v>42586.491030092591</v>
      </c>
      <c r="B143" s="24" t="s">
        <v>108</v>
      </c>
      <c r="C143" s="24" t="s">
        <v>563</v>
      </c>
      <c r="D143" s="24">
        <v>2110000</v>
      </c>
      <c r="E143" s="24" t="s">
        <v>350</v>
      </c>
      <c r="F143" s="24" t="str">
        <f t="shared" si="4"/>
        <v>rtdc.l.rtdc.4030:itc</v>
      </c>
      <c r="G143" s="8">
        <f t="shared" si="5"/>
        <v>42586.491030092591</v>
      </c>
    </row>
    <row r="144" spans="1:7" x14ac:dyDescent="0.25">
      <c r="A144" s="8">
        <v>42587.248761574076</v>
      </c>
      <c r="B144" s="24" t="s">
        <v>68</v>
      </c>
      <c r="C144" s="24" t="s">
        <v>808</v>
      </c>
      <c r="D144" s="24">
        <v>1310000</v>
      </c>
      <c r="E144" s="24" t="s">
        <v>442</v>
      </c>
      <c r="F144" s="24" t="str">
        <f t="shared" si="4"/>
        <v>rtdc.l.rtdc.4020:itc</v>
      </c>
      <c r="G144" s="8">
        <f t="shared" si="5"/>
        <v>42587.248761574076</v>
      </c>
    </row>
    <row r="145" spans="1:7" x14ac:dyDescent="0.25">
      <c r="A145" s="8">
        <v>42586.338356481479</v>
      </c>
      <c r="B145" s="24" t="s">
        <v>146</v>
      </c>
      <c r="C145" s="24" t="s">
        <v>696</v>
      </c>
      <c r="D145" s="24">
        <v>1830000</v>
      </c>
      <c r="E145" s="24" t="s">
        <v>305</v>
      </c>
      <c r="F145" s="24" t="str">
        <f t="shared" si="4"/>
        <v>rtdc.l.rtdc.4041:itc</v>
      </c>
      <c r="G145" s="8">
        <f t="shared" si="5"/>
        <v>42586.338356481479</v>
      </c>
    </row>
    <row r="146" spans="1:7" x14ac:dyDescent="0.25">
      <c r="A146" s="8">
        <v>42587.280381944445</v>
      </c>
      <c r="B146" s="24" t="s">
        <v>69</v>
      </c>
      <c r="C146" s="24" t="s">
        <v>809</v>
      </c>
      <c r="D146" s="24">
        <v>1760000</v>
      </c>
      <c r="E146" s="24" t="s">
        <v>372</v>
      </c>
      <c r="F146" s="24" t="str">
        <f t="shared" si="4"/>
        <v>rtdc.l.rtdc.4018:itc</v>
      </c>
      <c r="G146" s="8">
        <f t="shared" si="5"/>
        <v>42587.280381944445</v>
      </c>
    </row>
    <row r="147" spans="1:7" x14ac:dyDescent="0.25">
      <c r="A147" s="8">
        <v>42586.335532407407</v>
      </c>
      <c r="B147" s="24" t="s">
        <v>106</v>
      </c>
      <c r="C147" s="24" t="s">
        <v>532</v>
      </c>
      <c r="D147" s="24">
        <v>930000</v>
      </c>
      <c r="E147" s="24" t="s">
        <v>444</v>
      </c>
      <c r="F147" s="24" t="str">
        <f t="shared" si="4"/>
        <v>rtdc.l.rtdc.4028:itc</v>
      </c>
      <c r="G147" s="8">
        <f t="shared" si="5"/>
        <v>42586.335532407407</v>
      </c>
    </row>
    <row r="148" spans="1:7" x14ac:dyDescent="0.25">
      <c r="A148" s="8">
        <v>42586.648854166669</v>
      </c>
      <c r="B148" s="24" t="s">
        <v>155</v>
      </c>
      <c r="C148" s="24" t="s">
        <v>604</v>
      </c>
      <c r="D148" s="24">
        <v>2020000</v>
      </c>
      <c r="E148" s="24" t="s">
        <v>775</v>
      </c>
      <c r="F148" s="24" t="str">
        <f t="shared" si="4"/>
        <v>rtdc.l.rtdc.4012:itc</v>
      </c>
      <c r="G148" s="8">
        <f t="shared" si="5"/>
        <v>42586.648854166669</v>
      </c>
    </row>
    <row r="149" spans="1:7" x14ac:dyDescent="0.25">
      <c r="A149" s="8">
        <v>42586.278414351851</v>
      </c>
      <c r="B149" s="24" t="s">
        <v>70</v>
      </c>
      <c r="C149" s="24" t="s">
        <v>445</v>
      </c>
      <c r="D149" s="24">
        <v>2100000</v>
      </c>
      <c r="E149" s="24" t="s">
        <v>348</v>
      </c>
      <c r="F149" s="24" t="str">
        <f t="shared" si="4"/>
        <v>rtdc.l.rtdc.4017:itc</v>
      </c>
      <c r="G149" s="8">
        <f t="shared" si="5"/>
        <v>42586.278414351851</v>
      </c>
    </row>
    <row r="150" spans="1:7" x14ac:dyDescent="0.25">
      <c r="A150" s="8">
        <v>42586.662141203706</v>
      </c>
      <c r="B150" s="24" t="s">
        <v>103</v>
      </c>
      <c r="C150" s="24" t="s">
        <v>609</v>
      </c>
      <c r="D150" s="24">
        <v>1810000</v>
      </c>
      <c r="E150" s="24" t="s">
        <v>174</v>
      </c>
      <c r="F150" s="24" t="str">
        <f t="shared" si="4"/>
        <v>rtdc.l.rtdc.4026:itc</v>
      </c>
      <c r="G150" s="8">
        <f t="shared" si="5"/>
        <v>42586.662141203706</v>
      </c>
    </row>
    <row r="151" spans="1:7" x14ac:dyDescent="0.25">
      <c r="A151" s="8">
        <v>42587.069780092592</v>
      </c>
      <c r="B151" s="24" t="s">
        <v>153</v>
      </c>
      <c r="C151" s="24" t="s">
        <v>677</v>
      </c>
      <c r="D151" s="24">
        <v>1300000</v>
      </c>
      <c r="E151" s="24" t="s">
        <v>148</v>
      </c>
      <c r="F151" s="24" t="str">
        <f t="shared" si="4"/>
        <v>rtdc.l.rtdc.4011:itc</v>
      </c>
      <c r="G151" s="8">
        <f t="shared" si="5"/>
        <v>42587.069780092592</v>
      </c>
    </row>
    <row r="152" spans="1:7" x14ac:dyDescent="0.25">
      <c r="A152" s="8">
        <v>42586.754212962966</v>
      </c>
      <c r="B152" s="24" t="s">
        <v>70</v>
      </c>
      <c r="C152" s="24" t="s">
        <v>500</v>
      </c>
      <c r="D152" s="24">
        <v>2030000</v>
      </c>
      <c r="E152" s="24" t="s">
        <v>436</v>
      </c>
      <c r="F152" s="24" t="str">
        <f t="shared" si="4"/>
        <v>rtdc.l.rtdc.4017:itc</v>
      </c>
      <c r="G152" s="8">
        <f t="shared" si="5"/>
        <v>42586.754212962966</v>
      </c>
    </row>
    <row r="153" spans="1:7" x14ac:dyDescent="0.25">
      <c r="A153" s="8">
        <v>42586.975868055553</v>
      </c>
      <c r="B153" s="24" t="s">
        <v>109</v>
      </c>
      <c r="C153" s="24" t="s">
        <v>663</v>
      </c>
      <c r="D153" s="24">
        <v>1290000</v>
      </c>
      <c r="E153" s="24" t="s">
        <v>151</v>
      </c>
      <c r="F153" s="24" t="str">
        <f t="shared" si="4"/>
        <v>rtdc.l.rtdc.4027:itc</v>
      </c>
      <c r="G153" s="8">
        <f t="shared" si="5"/>
        <v>42586.975868055553</v>
      </c>
    </row>
    <row r="154" spans="1:7" x14ac:dyDescent="0.25">
      <c r="A154" s="8">
        <v>42586.793182870373</v>
      </c>
      <c r="B154" s="24" t="s">
        <v>155</v>
      </c>
      <c r="C154" s="24" t="s">
        <v>637</v>
      </c>
      <c r="D154" s="24">
        <v>1300000</v>
      </c>
      <c r="E154" s="24" t="s">
        <v>148</v>
      </c>
      <c r="F154" s="24" t="str">
        <f t="shared" si="4"/>
        <v>rtdc.l.rtdc.4012:itc</v>
      </c>
      <c r="G154" s="8">
        <f t="shared" si="5"/>
        <v>42586.793182870373</v>
      </c>
    </row>
    <row r="155" spans="1:7" x14ac:dyDescent="0.25">
      <c r="A155" s="8">
        <v>42586.787928240738</v>
      </c>
      <c r="B155" s="24" t="s">
        <v>101</v>
      </c>
      <c r="C155" s="24" t="s">
        <v>641</v>
      </c>
      <c r="D155" s="24">
        <v>1540000</v>
      </c>
      <c r="E155" s="24" t="s">
        <v>180</v>
      </c>
      <c r="F155" s="24" t="str">
        <f t="shared" si="4"/>
        <v>rtdc.l.rtdc.4038:itc</v>
      </c>
      <c r="G155" s="8">
        <f t="shared" si="5"/>
        <v>42586.787928240738</v>
      </c>
    </row>
    <row r="156" spans="1:7" x14ac:dyDescent="0.25">
      <c r="A156" s="8">
        <v>42587.229687500003</v>
      </c>
      <c r="B156" s="24" t="s">
        <v>143</v>
      </c>
      <c r="C156" s="24" t="s">
        <v>810</v>
      </c>
      <c r="D156" s="24">
        <v>900000</v>
      </c>
      <c r="E156" s="24" t="s">
        <v>199</v>
      </c>
      <c r="F156" s="24" t="str">
        <f t="shared" si="4"/>
        <v>rtdc.l.rtdc.4009:itc</v>
      </c>
      <c r="G156" s="8">
        <f t="shared" si="5"/>
        <v>42587.229687500003</v>
      </c>
    </row>
    <row r="157" spans="1:7" x14ac:dyDescent="0.25">
      <c r="A157" s="8">
        <v>42587.340358796297</v>
      </c>
      <c r="B157" s="24" t="s">
        <v>144</v>
      </c>
      <c r="C157" s="24" t="s">
        <v>811</v>
      </c>
      <c r="D157" s="24">
        <v>900000</v>
      </c>
      <c r="E157" s="24" t="s">
        <v>199</v>
      </c>
      <c r="F157" s="24" t="str">
        <f t="shared" si="4"/>
        <v>rtdc.l.rtdc.4010:itc</v>
      </c>
      <c r="G157" s="8">
        <f t="shared" si="5"/>
        <v>42587.340358796297</v>
      </c>
    </row>
    <row r="158" spans="1:7" x14ac:dyDescent="0.25">
      <c r="A158" s="8">
        <v>42587.295937499999</v>
      </c>
      <c r="B158" s="24" t="s">
        <v>143</v>
      </c>
      <c r="C158" s="24" t="s">
        <v>812</v>
      </c>
      <c r="D158" s="24">
        <v>900000</v>
      </c>
      <c r="E158" s="24" t="s">
        <v>199</v>
      </c>
      <c r="F158" s="24" t="str">
        <f t="shared" si="4"/>
        <v>rtdc.l.rtdc.4009:itc</v>
      </c>
      <c r="G158" s="8">
        <f t="shared" si="5"/>
        <v>42587.295937499999</v>
      </c>
    </row>
    <row r="159" spans="1:7" x14ac:dyDescent="0.25">
      <c r="A159" s="8">
        <v>42587.267881944441</v>
      </c>
      <c r="B159" s="24" t="s">
        <v>144</v>
      </c>
      <c r="C159" s="24" t="s">
        <v>813</v>
      </c>
      <c r="D159" s="24">
        <v>900000</v>
      </c>
      <c r="E159" s="24" t="s">
        <v>199</v>
      </c>
      <c r="F159" s="24" t="str">
        <f t="shared" si="4"/>
        <v>rtdc.l.rtdc.4010:itc</v>
      </c>
      <c r="G159" s="8">
        <f t="shared" si="5"/>
        <v>42587.267881944441</v>
      </c>
    </row>
    <row r="160" spans="1:7" x14ac:dyDescent="0.25">
      <c r="A160" s="8">
        <v>42585.861689814818</v>
      </c>
      <c r="B160" s="24" t="s">
        <v>112</v>
      </c>
      <c r="C160" s="24" t="s">
        <v>378</v>
      </c>
      <c r="D160" s="24">
        <v>2040000</v>
      </c>
      <c r="E160" s="24" t="s">
        <v>433</v>
      </c>
      <c r="F160" s="24" t="str">
        <f t="shared" si="4"/>
        <v>rtdc.l.rtdc.4008:itc</v>
      </c>
      <c r="G160" s="8">
        <f t="shared" si="5"/>
        <v>42585.861689814818</v>
      </c>
    </row>
    <row r="161" spans="1:7" x14ac:dyDescent="0.25">
      <c r="A161" s="8">
        <v>42587.232812499999</v>
      </c>
      <c r="B161" s="24" t="s">
        <v>69</v>
      </c>
      <c r="C161" s="24" t="s">
        <v>786</v>
      </c>
      <c r="D161" s="24">
        <v>1760000</v>
      </c>
      <c r="E161" s="24" t="s">
        <v>372</v>
      </c>
      <c r="F161" s="24" t="str">
        <f t="shared" si="4"/>
        <v>rtdc.l.rtdc.4018:itc</v>
      </c>
      <c r="G161" s="8">
        <f t="shared" si="5"/>
        <v>42587.232812499999</v>
      </c>
    </row>
    <row r="162" spans="1:7" x14ac:dyDescent="0.25">
      <c r="A162" s="8">
        <v>42585.879641203705</v>
      </c>
      <c r="B162" s="24" t="s">
        <v>114</v>
      </c>
      <c r="C162" s="24" t="s">
        <v>429</v>
      </c>
      <c r="D162" s="24">
        <v>2140000</v>
      </c>
      <c r="E162" s="24" t="s">
        <v>352</v>
      </c>
      <c r="F162" s="24" t="str">
        <f t="shared" si="4"/>
        <v>rtdc.l.rtdc.4007:itc</v>
      </c>
      <c r="G162" s="8">
        <f t="shared" si="5"/>
        <v>42585.879641203705</v>
      </c>
    </row>
    <row r="163" spans="1:7" x14ac:dyDescent="0.25">
      <c r="A163" s="8">
        <v>42587.216215277775</v>
      </c>
      <c r="B163" s="24" t="s">
        <v>70</v>
      </c>
      <c r="C163" s="24" t="s">
        <v>794</v>
      </c>
      <c r="D163" s="24">
        <v>1760000</v>
      </c>
      <c r="E163" s="24" t="s">
        <v>372</v>
      </c>
      <c r="F163" s="24" t="str">
        <f t="shared" si="4"/>
        <v>rtdc.l.rtdc.4017:itc</v>
      </c>
      <c r="G163" s="8">
        <f t="shared" si="5"/>
        <v>42587.216215277775</v>
      </c>
    </row>
    <row r="164" spans="1:7" x14ac:dyDescent="0.25">
      <c r="A164" s="8">
        <v>42585.902731481481</v>
      </c>
      <c r="B164" s="24" t="s">
        <v>112</v>
      </c>
      <c r="C164" s="24" t="s">
        <v>428</v>
      </c>
      <c r="D164" s="24">
        <v>2140000</v>
      </c>
      <c r="E164" s="24" t="s">
        <v>352</v>
      </c>
      <c r="F164" s="24" t="str">
        <f t="shared" si="4"/>
        <v>rtdc.l.rtdc.4008:itc</v>
      </c>
      <c r="G164" s="8">
        <f t="shared" si="5"/>
        <v>42585.902731481481</v>
      </c>
    </row>
    <row r="165" spans="1:7" x14ac:dyDescent="0.25">
      <c r="A165" s="8">
        <v>42586.91033564815</v>
      </c>
      <c r="B165" s="24" t="s">
        <v>153</v>
      </c>
      <c r="C165" s="24" t="s">
        <v>656</v>
      </c>
      <c r="D165" s="24">
        <v>1300000</v>
      </c>
      <c r="E165" s="24" t="s">
        <v>148</v>
      </c>
      <c r="F165" s="24" t="str">
        <f t="shared" si="4"/>
        <v>rtdc.l.rtdc.4011:itc</v>
      </c>
      <c r="G165" s="8">
        <f t="shared" si="5"/>
        <v>42586.91033564815</v>
      </c>
    </row>
    <row r="166" spans="1:7" x14ac:dyDescent="0.25">
      <c r="A166" s="8">
        <v>42585.924641203703</v>
      </c>
      <c r="B166" s="24" t="s">
        <v>114</v>
      </c>
      <c r="C166" s="24" t="s">
        <v>431</v>
      </c>
      <c r="D166" s="24">
        <v>2140000</v>
      </c>
      <c r="E166" s="24" t="s">
        <v>352</v>
      </c>
      <c r="F166" s="24" t="str">
        <f t="shared" si="4"/>
        <v>rtdc.l.rtdc.4007:itc</v>
      </c>
      <c r="G166" s="8">
        <f t="shared" si="5"/>
        <v>42585.924641203703</v>
      </c>
    </row>
    <row r="167" spans="1:7" x14ac:dyDescent="0.25">
      <c r="A167" s="8">
        <v>42586.734814814816</v>
      </c>
      <c r="B167" s="24" t="s">
        <v>103</v>
      </c>
      <c r="C167" s="24" t="s">
        <v>627</v>
      </c>
      <c r="D167" s="24">
        <v>1810000</v>
      </c>
      <c r="E167" s="24" t="s">
        <v>174</v>
      </c>
      <c r="F167" s="24" t="str">
        <f t="shared" si="4"/>
        <v>rtdc.l.rtdc.4026:itc</v>
      </c>
      <c r="G167" s="8">
        <f t="shared" si="5"/>
        <v>42586.734814814816</v>
      </c>
    </row>
    <row r="168" spans="1:7" x14ac:dyDescent="0.25">
      <c r="A168" s="8">
        <v>42585.991574074076</v>
      </c>
      <c r="B168" s="24" t="s">
        <v>103</v>
      </c>
      <c r="C168" s="24" t="s">
        <v>407</v>
      </c>
      <c r="D168" s="24">
        <v>1480000</v>
      </c>
      <c r="E168" s="24" t="s">
        <v>102</v>
      </c>
      <c r="F168" s="24" t="str">
        <f t="shared" si="4"/>
        <v>rtdc.l.rtdc.4026:itc</v>
      </c>
      <c r="G168" s="8">
        <f t="shared" si="5"/>
        <v>42585.991574074076</v>
      </c>
    </row>
    <row r="169" spans="1:7" x14ac:dyDescent="0.25">
      <c r="A169" s="8">
        <v>42586.696493055555</v>
      </c>
      <c r="B169" s="24" t="s">
        <v>76</v>
      </c>
      <c r="C169" s="24" t="s">
        <v>733</v>
      </c>
      <c r="D169" s="24">
        <v>2090000</v>
      </c>
      <c r="E169" s="24" t="s">
        <v>347</v>
      </c>
      <c r="F169" s="24" t="str">
        <f t="shared" si="4"/>
        <v>rtdc.l.rtdc.4042:itc</v>
      </c>
      <c r="G169" s="8">
        <f t="shared" si="5"/>
        <v>42586.696493055555</v>
      </c>
    </row>
    <row r="170" spans="1:7" x14ac:dyDescent="0.25">
      <c r="A170" s="8">
        <v>42586.031111111108</v>
      </c>
      <c r="B170" s="24" t="s">
        <v>306</v>
      </c>
      <c r="C170" s="24" t="s">
        <v>412</v>
      </c>
      <c r="D170" s="24">
        <v>1300000</v>
      </c>
      <c r="E170" s="24" t="s">
        <v>148</v>
      </c>
      <c r="F170" s="24" t="str">
        <f t="shared" si="4"/>
        <v>rtdc.l.rtdc.4043:itc</v>
      </c>
      <c r="G170" s="8">
        <f t="shared" si="5"/>
        <v>42586.031111111108</v>
      </c>
    </row>
    <row r="171" spans="1:7" x14ac:dyDescent="0.25">
      <c r="A171" s="8">
        <v>42586.610636574071</v>
      </c>
      <c r="B171" s="24" t="s">
        <v>153</v>
      </c>
      <c r="C171" s="24" t="s">
        <v>602</v>
      </c>
      <c r="D171" s="24">
        <v>2020000</v>
      </c>
      <c r="E171" s="24" t="s">
        <v>775</v>
      </c>
      <c r="F171" s="24" t="str">
        <f t="shared" si="4"/>
        <v>rtdc.l.rtdc.4011:itc</v>
      </c>
      <c r="G171" s="8">
        <f t="shared" si="5"/>
        <v>42586.610636574071</v>
      </c>
    </row>
    <row r="172" spans="1:7" x14ac:dyDescent="0.25">
      <c r="A172" s="8">
        <v>42586.068969907406</v>
      </c>
      <c r="B172" s="24" t="s">
        <v>349</v>
      </c>
      <c r="C172" s="24" t="s">
        <v>448</v>
      </c>
      <c r="D172" s="24">
        <v>1300000</v>
      </c>
      <c r="E172" s="24" t="s">
        <v>148</v>
      </c>
      <c r="F172" s="24" t="str">
        <f t="shared" si="4"/>
        <v>rtdc.l.rtdc.4044:itc</v>
      </c>
      <c r="G172" s="8">
        <f t="shared" si="5"/>
        <v>42586.068969907406</v>
      </c>
    </row>
    <row r="173" spans="1:7" x14ac:dyDescent="0.25">
      <c r="A173" s="8">
        <v>42586.443680555552</v>
      </c>
      <c r="B173" s="24" t="s">
        <v>103</v>
      </c>
      <c r="C173" s="24" t="s">
        <v>553</v>
      </c>
      <c r="D173" s="24">
        <v>1360000</v>
      </c>
      <c r="E173" s="24" t="s">
        <v>283</v>
      </c>
      <c r="F173" s="24" t="str">
        <f t="shared" si="4"/>
        <v>rtdc.l.rtdc.4026:itc</v>
      </c>
      <c r="G173" s="8">
        <f t="shared" si="5"/>
        <v>42586.443680555552</v>
      </c>
    </row>
    <row r="174" spans="1:7" x14ac:dyDescent="0.25">
      <c r="A174" s="8">
        <v>42586.118738425925</v>
      </c>
      <c r="B174" s="24" t="s">
        <v>170</v>
      </c>
      <c r="C174" s="24" t="s">
        <v>456</v>
      </c>
      <c r="D174" s="24">
        <v>2010000</v>
      </c>
      <c r="E174" s="24" t="s">
        <v>285</v>
      </c>
      <c r="F174" s="24" t="str">
        <f t="shared" si="4"/>
        <v>rtdc.l.rtdc.4032:itc</v>
      </c>
      <c r="G174" s="8">
        <f t="shared" si="5"/>
        <v>42586.118738425925</v>
      </c>
    </row>
    <row r="175" spans="1:7" x14ac:dyDescent="0.25">
      <c r="A175" s="8">
        <v>42587.322222222225</v>
      </c>
      <c r="B175" s="24" t="s">
        <v>69</v>
      </c>
      <c r="C175" s="24" t="s">
        <v>814</v>
      </c>
      <c r="D175" s="24">
        <v>1760000</v>
      </c>
      <c r="E175" s="24" t="s">
        <v>372</v>
      </c>
      <c r="F175" s="24" t="str">
        <f t="shared" si="4"/>
        <v>rtdc.l.rtdc.4018:itc</v>
      </c>
      <c r="G175" s="8">
        <f t="shared" si="5"/>
        <v>42587.322222222225</v>
      </c>
    </row>
    <row r="176" spans="1:7" x14ac:dyDescent="0.25">
      <c r="A176" s="8">
        <v>42586.133726851855</v>
      </c>
      <c r="B176" s="24" t="s">
        <v>68</v>
      </c>
      <c r="C176" s="24" t="s">
        <v>455</v>
      </c>
      <c r="D176" s="24">
        <v>2010000</v>
      </c>
      <c r="E176" s="24" t="s">
        <v>285</v>
      </c>
      <c r="F176" s="24" t="str">
        <f t="shared" si="4"/>
        <v>rtdc.l.rtdc.4020:itc</v>
      </c>
      <c r="G176" s="8">
        <f t="shared" si="5"/>
        <v>42586.133726851855</v>
      </c>
    </row>
    <row r="177" spans="1:7" x14ac:dyDescent="0.25">
      <c r="A177" s="8">
        <v>42586.869305555556</v>
      </c>
      <c r="B177" s="24" t="s">
        <v>101</v>
      </c>
      <c r="C177" s="24" t="s">
        <v>652</v>
      </c>
      <c r="D177" s="24">
        <v>1540000</v>
      </c>
      <c r="E177" s="24" t="s">
        <v>180</v>
      </c>
      <c r="F177" s="24" t="str">
        <f t="shared" si="4"/>
        <v>rtdc.l.rtdc.4038:itc</v>
      </c>
      <c r="G177" s="8">
        <f t="shared" si="5"/>
        <v>42586.869305555556</v>
      </c>
    </row>
    <row r="178" spans="1:7" x14ac:dyDescent="0.25">
      <c r="A178" s="8">
        <v>42586.170023148145</v>
      </c>
      <c r="B178" s="24" t="s">
        <v>170</v>
      </c>
      <c r="C178" s="24" t="s">
        <v>457</v>
      </c>
      <c r="D178" s="24">
        <v>2010000</v>
      </c>
      <c r="E178" s="24" t="s">
        <v>285</v>
      </c>
      <c r="F178" s="24" t="str">
        <f t="shared" si="4"/>
        <v>rtdc.l.rtdc.4032:itc</v>
      </c>
      <c r="G178" s="8">
        <f t="shared" si="5"/>
        <v>42586.170023148145</v>
      </c>
    </row>
    <row r="179" spans="1:7" x14ac:dyDescent="0.25">
      <c r="A179" s="8">
        <v>42586.516585648147</v>
      </c>
      <c r="B179" s="24" t="s">
        <v>103</v>
      </c>
      <c r="C179" s="24" t="s">
        <v>572</v>
      </c>
      <c r="D179" s="24">
        <v>1810000</v>
      </c>
      <c r="E179" s="24" t="s">
        <v>174</v>
      </c>
      <c r="F179" s="24" t="str">
        <f t="shared" si="4"/>
        <v>rtdc.l.rtdc.4026:itc</v>
      </c>
      <c r="G179" s="8">
        <f t="shared" si="5"/>
        <v>42586.516585648147</v>
      </c>
    </row>
    <row r="180" spans="1:7" x14ac:dyDescent="0.25">
      <c r="A180" s="8">
        <v>42586.185196759259</v>
      </c>
      <c r="B180" s="24" t="s">
        <v>114</v>
      </c>
      <c r="C180" s="24" t="s">
        <v>458</v>
      </c>
      <c r="D180" s="24">
        <v>1760000</v>
      </c>
      <c r="E180" s="24" t="s">
        <v>372</v>
      </c>
      <c r="F180" s="24" t="str">
        <f t="shared" si="4"/>
        <v>rtdc.l.rtdc.4007:itc</v>
      </c>
      <c r="G180" s="8">
        <f t="shared" si="5"/>
        <v>42586.185196759259</v>
      </c>
    </row>
    <row r="181" spans="1:7" x14ac:dyDescent="0.25">
      <c r="A181" s="8">
        <v>42586.484432870369</v>
      </c>
      <c r="B181" s="24" t="s">
        <v>70</v>
      </c>
      <c r="C181" s="24" t="s">
        <v>711</v>
      </c>
      <c r="D181" s="24">
        <v>2100000</v>
      </c>
      <c r="E181" s="24" t="s">
        <v>348</v>
      </c>
      <c r="F181" s="24" t="str">
        <f t="shared" si="4"/>
        <v>rtdc.l.rtdc.4017:itc</v>
      </c>
      <c r="G181" s="8">
        <f t="shared" si="5"/>
        <v>42586.484432870369</v>
      </c>
    </row>
    <row r="182" spans="1:7" x14ac:dyDescent="0.25">
      <c r="A182" s="8">
        <v>42586.194004629629</v>
      </c>
      <c r="B182" s="24" t="s">
        <v>105</v>
      </c>
      <c r="C182" s="24" t="s">
        <v>459</v>
      </c>
      <c r="D182" s="24">
        <v>1360000</v>
      </c>
      <c r="E182" s="24" t="s">
        <v>283</v>
      </c>
      <c r="F182" s="24" t="str">
        <f t="shared" si="4"/>
        <v>rtdc.l.rtdc.4025:itc</v>
      </c>
      <c r="G182" s="8">
        <f t="shared" si="5"/>
        <v>42586.194004629629</v>
      </c>
    </row>
    <row r="183" spans="1:7" x14ac:dyDescent="0.25">
      <c r="A183" s="8">
        <v>42586.381979166668</v>
      </c>
      <c r="B183" s="24" t="s">
        <v>107</v>
      </c>
      <c r="C183" s="24" t="s">
        <v>545</v>
      </c>
      <c r="D183" s="24">
        <v>1090000</v>
      </c>
      <c r="E183" s="24" t="s">
        <v>111</v>
      </c>
      <c r="F183" s="24" t="str">
        <f t="shared" si="4"/>
        <v>rtdc.l.rtdc.4029:itc</v>
      </c>
      <c r="G183" s="8">
        <f t="shared" si="5"/>
        <v>42586.381979166668</v>
      </c>
    </row>
    <row r="184" spans="1:7" x14ac:dyDescent="0.25">
      <c r="A184" s="8">
        <v>42586.19771990741</v>
      </c>
      <c r="B184" s="24" t="s">
        <v>108</v>
      </c>
      <c r="C184" s="24" t="s">
        <v>447</v>
      </c>
      <c r="D184" s="24">
        <v>1090000</v>
      </c>
      <c r="E184" s="24" t="s">
        <v>111</v>
      </c>
      <c r="F184" s="24" t="str">
        <f t="shared" si="4"/>
        <v>rtdc.l.rtdc.4030:itc</v>
      </c>
      <c r="G184" s="8">
        <f t="shared" si="5"/>
        <v>42586.19771990741</v>
      </c>
    </row>
    <row r="185" spans="1:7" x14ac:dyDescent="0.25">
      <c r="A185" s="8">
        <v>42586.317731481482</v>
      </c>
      <c r="B185" s="24" t="s">
        <v>70</v>
      </c>
      <c r="C185" s="24" t="s">
        <v>693</v>
      </c>
      <c r="D185" s="24">
        <v>2100000</v>
      </c>
      <c r="E185" s="24" t="s">
        <v>348</v>
      </c>
      <c r="F185" s="24" t="str">
        <f t="shared" si="4"/>
        <v>rtdc.l.rtdc.4017:itc</v>
      </c>
      <c r="G185" s="8">
        <f t="shared" si="5"/>
        <v>42586.317731481482</v>
      </c>
    </row>
    <row r="186" spans="1:7" x14ac:dyDescent="0.25">
      <c r="A186" s="8">
        <v>42586.21199074074</v>
      </c>
      <c r="B186" s="24" t="s">
        <v>68</v>
      </c>
      <c r="C186" s="24" t="s">
        <v>460</v>
      </c>
      <c r="D186" s="24">
        <v>1110000</v>
      </c>
      <c r="E186" s="24" t="s">
        <v>117</v>
      </c>
      <c r="F186" s="24" t="str">
        <f t="shared" si="4"/>
        <v>rtdc.l.rtdc.4020:itc</v>
      </c>
      <c r="G186" s="8">
        <f t="shared" si="5"/>
        <v>42586.21199074074</v>
      </c>
    </row>
    <row r="187" spans="1:7" x14ac:dyDescent="0.25">
      <c r="A187" s="8">
        <v>42586.214849537035</v>
      </c>
      <c r="B187" s="24" t="s">
        <v>146</v>
      </c>
      <c r="C187" s="24" t="s">
        <v>446</v>
      </c>
      <c r="D187" s="24">
        <v>1830000</v>
      </c>
      <c r="E187" s="24" t="s">
        <v>305</v>
      </c>
      <c r="F187" s="24" t="str">
        <f t="shared" si="4"/>
        <v>rtdc.l.rtdc.4041:itc</v>
      </c>
      <c r="G187" s="8">
        <f t="shared" si="5"/>
        <v>42586.214849537035</v>
      </c>
    </row>
    <row r="188" spans="1:7" x14ac:dyDescent="0.25">
      <c r="A188" s="8">
        <v>42586.215057870373</v>
      </c>
      <c r="B188" s="24" t="s">
        <v>169</v>
      </c>
      <c r="C188" s="24" t="s">
        <v>437</v>
      </c>
      <c r="D188" s="24">
        <v>2010000</v>
      </c>
      <c r="E188" s="24" t="s">
        <v>285</v>
      </c>
      <c r="F188" s="24" t="str">
        <f t="shared" si="4"/>
        <v>rtdc.l.rtdc.4031:itc</v>
      </c>
      <c r="G188" s="8">
        <f t="shared" si="5"/>
        <v>42586.215057870373</v>
      </c>
    </row>
    <row r="189" spans="1:7" x14ac:dyDescent="0.25">
      <c r="A189" s="8">
        <v>42586.196331018517</v>
      </c>
      <c r="B189" s="24" t="s">
        <v>108</v>
      </c>
      <c r="C189" s="24" t="s">
        <v>447</v>
      </c>
      <c r="D189" s="24">
        <v>1090000</v>
      </c>
      <c r="E189" s="24" t="s">
        <v>111</v>
      </c>
      <c r="F189" s="24" t="str">
        <f t="shared" si="4"/>
        <v>rtdc.l.rtdc.4030:itc</v>
      </c>
      <c r="G189" s="8">
        <f t="shared" si="5"/>
        <v>42586.196331018517</v>
      </c>
    </row>
    <row r="190" spans="1:7" x14ac:dyDescent="0.25">
      <c r="A190" s="8">
        <v>42586.223854166667</v>
      </c>
      <c r="B190" s="24" t="s">
        <v>112</v>
      </c>
      <c r="C190" s="24" t="s">
        <v>461</v>
      </c>
      <c r="D190" s="24">
        <v>1760000</v>
      </c>
      <c r="E190" s="24" t="s">
        <v>372</v>
      </c>
      <c r="F190" s="24" t="str">
        <f t="shared" si="4"/>
        <v>rtdc.l.rtdc.4008:itc</v>
      </c>
      <c r="G190" s="8">
        <f t="shared" si="5"/>
        <v>42586.223854166667</v>
      </c>
    </row>
    <row r="191" spans="1:7" x14ac:dyDescent="0.25">
      <c r="A191" s="8">
        <v>42585.977048611108</v>
      </c>
      <c r="B191" s="24" t="s">
        <v>162</v>
      </c>
      <c r="C191" s="24" t="s">
        <v>409</v>
      </c>
      <c r="D191" s="24">
        <v>2090000</v>
      </c>
      <c r="E191" s="24" t="s">
        <v>347</v>
      </c>
      <c r="F191" s="24" t="str">
        <f t="shared" si="4"/>
        <v>rtdc.l.rtdc.4014:itc</v>
      </c>
      <c r="G191" s="8">
        <f t="shared" si="5"/>
        <v>42585.977048611108</v>
      </c>
    </row>
    <row r="192" spans="1:7" x14ac:dyDescent="0.25">
      <c r="A192" s="8">
        <v>42586.225787037038</v>
      </c>
      <c r="B192" s="24" t="s">
        <v>103</v>
      </c>
      <c r="C192" s="24" t="s">
        <v>462</v>
      </c>
      <c r="D192" s="24">
        <v>1360000</v>
      </c>
      <c r="E192" s="24" t="s">
        <v>283</v>
      </c>
      <c r="F192" s="24" t="str">
        <f t="shared" si="4"/>
        <v>rtdc.l.rtdc.4026:itc</v>
      </c>
      <c r="G192" s="8">
        <f t="shared" si="5"/>
        <v>42586.225787037038</v>
      </c>
    </row>
    <row r="193" spans="1:7" x14ac:dyDescent="0.25">
      <c r="A193" s="8">
        <v>42585.949560185189</v>
      </c>
      <c r="B193" s="24" t="s">
        <v>306</v>
      </c>
      <c r="C193" s="24" t="s">
        <v>379</v>
      </c>
      <c r="D193" s="24">
        <v>1300000</v>
      </c>
      <c r="E193" s="24" t="s">
        <v>148</v>
      </c>
      <c r="F193" s="24" t="str">
        <f t="shared" si="4"/>
        <v>rtdc.l.rtdc.4043:itc</v>
      </c>
      <c r="G193" s="8">
        <f t="shared" si="5"/>
        <v>42585.949560185189</v>
      </c>
    </row>
    <row r="194" spans="1:7" x14ac:dyDescent="0.25">
      <c r="A194" s="8">
        <v>42586.230671296296</v>
      </c>
      <c r="B194" s="24" t="s">
        <v>76</v>
      </c>
      <c r="C194" s="24" t="s">
        <v>463</v>
      </c>
      <c r="D194" s="24">
        <v>1830000</v>
      </c>
      <c r="E194" s="24" t="s">
        <v>305</v>
      </c>
      <c r="F194" s="24" t="str">
        <f t="shared" ref="F194:F235" si="6">B194</f>
        <v>rtdc.l.rtdc.4042:itc</v>
      </c>
      <c r="G194" s="8">
        <f t="shared" ref="G194:G235" si="7">A194</f>
        <v>42586.230671296296</v>
      </c>
    </row>
    <row r="195" spans="1:7" x14ac:dyDescent="0.25">
      <c r="A195" s="8">
        <v>42585.865254629629</v>
      </c>
      <c r="B195" s="24" t="s">
        <v>306</v>
      </c>
      <c r="C195" s="24" t="s">
        <v>395</v>
      </c>
      <c r="D195" s="24">
        <v>1300000</v>
      </c>
      <c r="E195" s="24" t="s">
        <v>148</v>
      </c>
      <c r="F195" s="24" t="str">
        <f t="shared" si="6"/>
        <v>rtdc.l.rtdc.4043:itc</v>
      </c>
      <c r="G195" s="8">
        <f t="shared" si="7"/>
        <v>42585.865254629629</v>
      </c>
    </row>
    <row r="196" spans="1:7" x14ac:dyDescent="0.25">
      <c r="A196" s="8">
        <v>42586.236793981479</v>
      </c>
      <c r="B196" s="24" t="s">
        <v>107</v>
      </c>
      <c r="C196" s="24" t="s">
        <v>464</v>
      </c>
      <c r="D196" s="24">
        <v>1090000</v>
      </c>
      <c r="E196" s="24" t="s">
        <v>111</v>
      </c>
      <c r="F196" s="24" t="str">
        <f t="shared" si="6"/>
        <v>rtdc.l.rtdc.4029:itc</v>
      </c>
      <c r="G196" s="8">
        <f t="shared" si="7"/>
        <v>42586.236793981479</v>
      </c>
    </row>
    <row r="197" spans="1:7" x14ac:dyDescent="0.25">
      <c r="A197" s="8">
        <v>42587.34170138889</v>
      </c>
      <c r="B197" s="24" t="s">
        <v>70</v>
      </c>
      <c r="C197" s="24" t="s">
        <v>815</v>
      </c>
      <c r="D197" s="24">
        <v>1760000</v>
      </c>
      <c r="E197" s="24" t="s">
        <v>372</v>
      </c>
      <c r="F197" s="24" t="str">
        <f t="shared" si="6"/>
        <v>rtdc.l.rtdc.4017:itc</v>
      </c>
      <c r="G197" s="8">
        <f t="shared" si="7"/>
        <v>42587.34170138889</v>
      </c>
    </row>
    <row r="198" spans="1:7" x14ac:dyDescent="0.25">
      <c r="A198" s="8">
        <v>42586.245740740742</v>
      </c>
      <c r="B198" s="24" t="s">
        <v>67</v>
      </c>
      <c r="C198" s="24" t="s">
        <v>465</v>
      </c>
      <c r="D198" s="24">
        <v>1110000</v>
      </c>
      <c r="E198" s="24" t="s">
        <v>117</v>
      </c>
      <c r="F198" s="24" t="str">
        <f t="shared" si="6"/>
        <v>rtdc.l.rtdc.4019:itc</v>
      </c>
      <c r="G198" s="8">
        <f t="shared" si="7"/>
        <v>42586.245740740742</v>
      </c>
    </row>
    <row r="199" spans="1:7" x14ac:dyDescent="0.25">
      <c r="A199" s="8">
        <v>42587.258773148147</v>
      </c>
      <c r="B199" s="24" t="s">
        <v>70</v>
      </c>
      <c r="C199" s="24" t="s">
        <v>816</v>
      </c>
      <c r="D199" s="24">
        <v>1760000</v>
      </c>
      <c r="E199" s="24" t="s">
        <v>372</v>
      </c>
      <c r="F199" s="24" t="str">
        <f t="shared" si="6"/>
        <v>rtdc.l.rtdc.4017:itc</v>
      </c>
      <c r="G199" s="8">
        <f t="shared" si="7"/>
        <v>42587.258773148147</v>
      </c>
    </row>
    <row r="200" spans="1:7" x14ac:dyDescent="0.25">
      <c r="A200" s="8">
        <v>42586.251805555556</v>
      </c>
      <c r="B200" s="24" t="s">
        <v>170</v>
      </c>
      <c r="C200" s="24" t="s">
        <v>466</v>
      </c>
      <c r="D200" s="24">
        <v>2010000</v>
      </c>
      <c r="E200" s="24" t="s">
        <v>285</v>
      </c>
      <c r="F200" s="24" t="str">
        <f t="shared" si="6"/>
        <v>rtdc.l.rtdc.4032:itc</v>
      </c>
      <c r="G200" s="8">
        <f t="shared" si="7"/>
        <v>42586.251805555556</v>
      </c>
    </row>
    <row r="201" spans="1:7" x14ac:dyDescent="0.25">
      <c r="A201" s="8">
        <v>42587.233530092592</v>
      </c>
      <c r="B201" s="24" t="s">
        <v>107</v>
      </c>
      <c r="C201" s="24" t="s">
        <v>784</v>
      </c>
      <c r="D201" s="24">
        <v>1990000</v>
      </c>
      <c r="E201" s="24" t="s">
        <v>202</v>
      </c>
      <c r="F201" s="24" t="str">
        <f t="shared" si="6"/>
        <v>rtdc.l.rtdc.4029:itc</v>
      </c>
      <c r="G201" s="8">
        <f t="shared" si="7"/>
        <v>42587.233530092592</v>
      </c>
    </row>
    <row r="202" spans="1:7" x14ac:dyDescent="0.25">
      <c r="A202" s="30">
        <v>42586.258761574078</v>
      </c>
      <c r="B202" s="24" t="s">
        <v>114</v>
      </c>
      <c r="C202" s="24" t="s">
        <v>467</v>
      </c>
      <c r="D202" s="24">
        <v>1760000</v>
      </c>
      <c r="E202" s="24" t="s">
        <v>372</v>
      </c>
      <c r="F202" s="24" t="str">
        <f t="shared" si="6"/>
        <v>rtdc.l.rtdc.4007:itc</v>
      </c>
      <c r="G202" s="8">
        <f t="shared" si="7"/>
        <v>42586.258761574078</v>
      </c>
    </row>
    <row r="203" spans="1:7" x14ac:dyDescent="0.25">
      <c r="A203" s="8">
        <v>42586.704930555556</v>
      </c>
      <c r="B203" s="24" t="s">
        <v>105</v>
      </c>
      <c r="C203" s="24" t="s">
        <v>626</v>
      </c>
      <c r="D203" s="24">
        <v>1810000</v>
      </c>
      <c r="E203" s="24" t="s">
        <v>174</v>
      </c>
      <c r="F203" s="24" t="str">
        <f t="shared" si="6"/>
        <v>rtdc.l.rtdc.4025:itc</v>
      </c>
      <c r="G203" s="8">
        <f t="shared" si="7"/>
        <v>42586.704930555556</v>
      </c>
    </row>
    <row r="204" spans="1:7" x14ac:dyDescent="0.25">
      <c r="A204" s="8">
        <v>42586.269976851851</v>
      </c>
      <c r="B204" s="24" t="s">
        <v>106</v>
      </c>
      <c r="C204" s="24" t="s">
        <v>469</v>
      </c>
      <c r="D204" s="24">
        <v>930000</v>
      </c>
      <c r="E204" s="24" t="s">
        <v>444</v>
      </c>
      <c r="F204" s="24" t="str">
        <f t="shared" si="6"/>
        <v>rtdc.l.rtdc.4028:itc</v>
      </c>
      <c r="G204" s="8">
        <f t="shared" si="7"/>
        <v>42586.269976851851</v>
      </c>
    </row>
    <row r="205" spans="1:7" x14ac:dyDescent="0.25">
      <c r="A205" s="8">
        <v>42586.695821759262</v>
      </c>
      <c r="B205" s="24" t="s">
        <v>114</v>
      </c>
      <c r="C205" s="24" t="s">
        <v>498</v>
      </c>
      <c r="D205" s="24">
        <v>2040000</v>
      </c>
      <c r="E205" s="24" t="s">
        <v>433</v>
      </c>
      <c r="F205" s="24" t="str">
        <f t="shared" si="6"/>
        <v>rtdc.l.rtdc.4007:itc</v>
      </c>
      <c r="G205" s="8">
        <f t="shared" si="7"/>
        <v>42586.695821759262</v>
      </c>
    </row>
    <row r="206" spans="1:7" x14ac:dyDescent="0.25">
      <c r="A206" s="8">
        <v>42586.269548611112</v>
      </c>
      <c r="B206" s="24" t="s">
        <v>76</v>
      </c>
      <c r="C206" s="24" t="s">
        <v>468</v>
      </c>
      <c r="D206" s="24">
        <v>1830000</v>
      </c>
      <c r="E206" s="24" t="s">
        <v>305</v>
      </c>
      <c r="F206" s="24" t="str">
        <f t="shared" si="6"/>
        <v>rtdc.l.rtdc.4042:itc</v>
      </c>
      <c r="G206" s="8">
        <f t="shared" si="7"/>
        <v>42586.269548611112</v>
      </c>
    </row>
    <row r="207" spans="1:7" x14ac:dyDescent="0.25">
      <c r="A207" s="8">
        <v>42586.444178240738</v>
      </c>
      <c r="B207" s="24" t="s">
        <v>109</v>
      </c>
      <c r="C207" s="24" t="s">
        <v>560</v>
      </c>
      <c r="D207" s="24">
        <v>930000</v>
      </c>
      <c r="E207" s="24" t="s">
        <v>444</v>
      </c>
      <c r="F207" s="24" t="str">
        <f t="shared" si="6"/>
        <v>rtdc.l.rtdc.4027:itc</v>
      </c>
      <c r="G207" s="8">
        <f t="shared" si="7"/>
        <v>42586.444178240738</v>
      </c>
    </row>
    <row r="208" spans="1:7" x14ac:dyDescent="0.25">
      <c r="A208" s="8">
        <v>42586.279050925928</v>
      </c>
      <c r="B208" s="24" t="s">
        <v>68</v>
      </c>
      <c r="C208" s="24" t="s">
        <v>470</v>
      </c>
      <c r="D208" s="24">
        <v>1110000</v>
      </c>
      <c r="E208" s="24" t="s">
        <v>117</v>
      </c>
      <c r="F208" s="24" t="str">
        <f t="shared" si="6"/>
        <v>rtdc.l.rtdc.4020:itc</v>
      </c>
      <c r="G208" s="8">
        <f t="shared" si="7"/>
        <v>42586.279050925928</v>
      </c>
    </row>
    <row r="209" spans="1:7" x14ac:dyDescent="0.25">
      <c r="A209" s="8">
        <v>42587.296493055554</v>
      </c>
      <c r="B209" s="24" t="s">
        <v>198</v>
      </c>
      <c r="C209" s="24" t="s">
        <v>817</v>
      </c>
      <c r="D209" s="24">
        <v>1240000</v>
      </c>
      <c r="E209" s="24" t="s">
        <v>113</v>
      </c>
      <c r="F209" s="24" t="str">
        <f t="shared" si="6"/>
        <v>rtdc.l.rtdc.4037:itc</v>
      </c>
      <c r="G209" s="8">
        <f t="shared" si="7"/>
        <v>42587.296493055554</v>
      </c>
    </row>
    <row r="210" spans="1:7" x14ac:dyDescent="0.25">
      <c r="A210" s="8">
        <v>42586.28979166667</v>
      </c>
      <c r="B210" s="24" t="s">
        <v>169</v>
      </c>
      <c r="C210" s="24" t="s">
        <v>471</v>
      </c>
      <c r="D210" s="24">
        <v>2010000</v>
      </c>
      <c r="E210" s="24" t="s">
        <v>285</v>
      </c>
      <c r="F210" s="24" t="str">
        <f t="shared" si="6"/>
        <v>rtdc.l.rtdc.4031:itc</v>
      </c>
      <c r="G210" s="8">
        <f t="shared" si="7"/>
        <v>42586.28979166667</v>
      </c>
    </row>
    <row r="211" spans="1:7" x14ac:dyDescent="0.25">
      <c r="A211" s="8">
        <v>42587.214930555558</v>
      </c>
      <c r="B211" s="24" t="s">
        <v>105</v>
      </c>
      <c r="C211" s="24" t="s">
        <v>818</v>
      </c>
      <c r="D211" s="24">
        <v>2010000</v>
      </c>
      <c r="E211" s="24" t="s">
        <v>285</v>
      </c>
      <c r="F211" s="24" t="str">
        <f t="shared" si="6"/>
        <v>rtdc.l.rtdc.4025:itc</v>
      </c>
      <c r="G211" s="8">
        <f t="shared" si="7"/>
        <v>42587.214930555558</v>
      </c>
    </row>
    <row r="212" spans="1:7" x14ac:dyDescent="0.25">
      <c r="A212" s="8">
        <v>42586.30190972222</v>
      </c>
      <c r="B212" s="24" t="s">
        <v>69</v>
      </c>
      <c r="C212" s="24" t="s">
        <v>472</v>
      </c>
      <c r="D212" s="24">
        <v>2100000</v>
      </c>
      <c r="E212" s="24" t="s">
        <v>348</v>
      </c>
      <c r="F212" s="24" t="str">
        <f t="shared" si="6"/>
        <v>rtdc.l.rtdc.4018:itc</v>
      </c>
      <c r="G212" s="8">
        <f t="shared" si="7"/>
        <v>42586.30190972222</v>
      </c>
    </row>
    <row r="213" spans="1:7" x14ac:dyDescent="0.25">
      <c r="A213" s="8">
        <v>42587.091585648152</v>
      </c>
      <c r="B213" s="24" t="s">
        <v>114</v>
      </c>
      <c r="C213" s="24" t="s">
        <v>679</v>
      </c>
      <c r="D213" s="24">
        <v>1480000</v>
      </c>
      <c r="E213" s="24" t="s">
        <v>102</v>
      </c>
      <c r="F213" s="24" t="str">
        <f t="shared" si="6"/>
        <v>rtdc.l.rtdc.4007:itc</v>
      </c>
      <c r="G213" s="8">
        <f t="shared" si="7"/>
        <v>42587.091585648152</v>
      </c>
    </row>
    <row r="214" spans="1:7" x14ac:dyDescent="0.25">
      <c r="A214" s="8">
        <v>42586.310567129629</v>
      </c>
      <c r="B214" s="24" t="s">
        <v>76</v>
      </c>
      <c r="C214" s="24" t="s">
        <v>694</v>
      </c>
      <c r="D214" s="24">
        <v>1830000</v>
      </c>
      <c r="E214" s="24" t="s">
        <v>305</v>
      </c>
      <c r="F214" s="24" t="str">
        <f t="shared" si="6"/>
        <v>rtdc.l.rtdc.4042:itc</v>
      </c>
      <c r="G214" s="8">
        <f t="shared" si="7"/>
        <v>42586.310567129629</v>
      </c>
    </row>
    <row r="215" spans="1:7" x14ac:dyDescent="0.25">
      <c r="A215" s="8">
        <v>42586.639710648145</v>
      </c>
      <c r="B215" s="24" t="s">
        <v>108</v>
      </c>
      <c r="C215" s="24" t="s">
        <v>601</v>
      </c>
      <c r="D215" s="24">
        <v>2110000</v>
      </c>
      <c r="E215" s="24" t="s">
        <v>350</v>
      </c>
      <c r="F215" s="24" t="str">
        <f t="shared" si="6"/>
        <v>rtdc.l.rtdc.4030:itc</v>
      </c>
      <c r="G215" s="8">
        <f t="shared" si="7"/>
        <v>42586.639710648145</v>
      </c>
    </row>
    <row r="216" spans="1:7" x14ac:dyDescent="0.25">
      <c r="A216" s="8">
        <v>42586.341423611113</v>
      </c>
      <c r="B216" s="24" t="s">
        <v>105</v>
      </c>
      <c r="C216" s="24" t="s">
        <v>538</v>
      </c>
      <c r="D216" s="24">
        <v>1360000</v>
      </c>
      <c r="E216" s="24" t="s">
        <v>283</v>
      </c>
      <c r="F216" s="24" t="str">
        <f t="shared" si="6"/>
        <v>rtdc.l.rtdc.4025:itc</v>
      </c>
      <c r="G216" s="8">
        <f t="shared" si="7"/>
        <v>42586.341423611113</v>
      </c>
    </row>
    <row r="217" spans="1:7" x14ac:dyDescent="0.25">
      <c r="A217" s="8">
        <v>42586.600081018521</v>
      </c>
      <c r="B217" s="24" t="s">
        <v>107</v>
      </c>
      <c r="C217" s="24" t="s">
        <v>600</v>
      </c>
      <c r="D217" s="24">
        <v>2110000</v>
      </c>
      <c r="E217" s="24" t="s">
        <v>350</v>
      </c>
      <c r="F217" s="24" t="str">
        <f t="shared" si="6"/>
        <v>rtdc.l.rtdc.4029:itc</v>
      </c>
      <c r="G217" s="8">
        <f t="shared" si="7"/>
        <v>42586.600081018521</v>
      </c>
    </row>
    <row r="218" spans="1:7" x14ac:dyDescent="0.25">
      <c r="A218" s="8">
        <v>42586.342685185184</v>
      </c>
      <c r="B218" s="24" t="s">
        <v>69</v>
      </c>
      <c r="C218" s="24" t="s">
        <v>698</v>
      </c>
      <c r="D218" s="24">
        <v>2100000</v>
      </c>
      <c r="E218" s="24" t="s">
        <v>348</v>
      </c>
      <c r="F218" s="24" t="str">
        <f t="shared" si="6"/>
        <v>rtdc.l.rtdc.4018:itc</v>
      </c>
      <c r="G218" s="8">
        <f t="shared" si="7"/>
        <v>42586.342685185184</v>
      </c>
    </row>
    <row r="219" spans="1:7" x14ac:dyDescent="0.25">
      <c r="A219" s="8">
        <v>42586.401782407411</v>
      </c>
      <c r="B219" s="24" t="s">
        <v>70</v>
      </c>
      <c r="C219" s="24" t="s">
        <v>703</v>
      </c>
      <c r="D219" s="24">
        <v>2100000</v>
      </c>
      <c r="E219" s="24" t="s">
        <v>348</v>
      </c>
      <c r="F219" s="24" t="str">
        <f t="shared" si="6"/>
        <v>rtdc.l.rtdc.4017:itc</v>
      </c>
      <c r="G219" s="8">
        <f t="shared" si="7"/>
        <v>42586.401782407411</v>
      </c>
    </row>
    <row r="220" spans="1:7" x14ac:dyDescent="0.25">
      <c r="A220" s="8">
        <v>42586.383657407408</v>
      </c>
      <c r="B220" s="24" t="s">
        <v>69</v>
      </c>
      <c r="C220" s="24" t="s">
        <v>482</v>
      </c>
      <c r="D220" s="24">
        <v>2100000</v>
      </c>
      <c r="E220" s="24" t="s">
        <v>348</v>
      </c>
      <c r="F220" s="24" t="str">
        <f t="shared" si="6"/>
        <v>rtdc.l.rtdc.4018:itc</v>
      </c>
      <c r="G220" s="8">
        <f t="shared" si="7"/>
        <v>42586.383657407408</v>
      </c>
    </row>
    <row r="221" spans="1:7" x14ac:dyDescent="0.25">
      <c r="A221" s="8">
        <v>42586.366006944445</v>
      </c>
      <c r="B221" s="24" t="s">
        <v>112</v>
      </c>
      <c r="C221" s="24" t="s">
        <v>481</v>
      </c>
      <c r="D221" s="24">
        <v>1760000</v>
      </c>
      <c r="E221" s="24" t="s">
        <v>372</v>
      </c>
      <c r="F221" s="24" t="str">
        <f t="shared" si="6"/>
        <v>rtdc.l.rtdc.4008:itc</v>
      </c>
      <c r="G221" s="8">
        <f t="shared" si="7"/>
        <v>42586.366006944445</v>
      </c>
    </row>
    <row r="222" spans="1:7" x14ac:dyDescent="0.25">
      <c r="A222" s="8">
        <v>42586.550752314812</v>
      </c>
      <c r="B222" s="24" t="s">
        <v>114</v>
      </c>
      <c r="C222" s="24" t="s">
        <v>588</v>
      </c>
      <c r="D222" s="24">
        <v>2040000</v>
      </c>
      <c r="E222" s="24" t="s">
        <v>433</v>
      </c>
      <c r="F222" s="24" t="str">
        <f t="shared" si="6"/>
        <v>rtdc.l.rtdc.4007:itc</v>
      </c>
      <c r="G222" s="8">
        <f t="shared" si="7"/>
        <v>42586.550752314812</v>
      </c>
    </row>
    <row r="223" spans="1:7" x14ac:dyDescent="0.25">
      <c r="A223" s="8">
        <v>42587.308738425927</v>
      </c>
      <c r="B223" s="24" t="s">
        <v>306</v>
      </c>
      <c r="C223" s="24" t="s">
        <v>819</v>
      </c>
      <c r="D223" s="24">
        <v>1360000</v>
      </c>
      <c r="E223" s="24" t="s">
        <v>283</v>
      </c>
      <c r="F223" s="24" t="str">
        <f t="shared" si="6"/>
        <v>rtdc.l.rtdc.4043:itc</v>
      </c>
      <c r="G223" s="8">
        <f t="shared" si="7"/>
        <v>42587.308738425927</v>
      </c>
    </row>
    <row r="224" spans="1:7" x14ac:dyDescent="0.25">
      <c r="A224" s="8">
        <v>42586.570532407408</v>
      </c>
      <c r="B224" t="s">
        <v>101</v>
      </c>
      <c r="C224" t="s">
        <v>592</v>
      </c>
      <c r="D224">
        <v>1540000</v>
      </c>
      <c r="E224" t="s">
        <v>180</v>
      </c>
      <c r="F224" s="24" t="str">
        <f t="shared" si="6"/>
        <v>rtdc.l.rtdc.4038:itc</v>
      </c>
      <c r="G224" s="8">
        <f t="shared" si="7"/>
        <v>42586.570532407408</v>
      </c>
    </row>
    <row r="225" spans="1:7" x14ac:dyDescent="0.25">
      <c r="A225" s="8">
        <v>42586.809594907405</v>
      </c>
      <c r="B225" t="s">
        <v>109</v>
      </c>
      <c r="C225" t="s">
        <v>644</v>
      </c>
      <c r="D225">
        <v>1290000</v>
      </c>
      <c r="E225" t="s">
        <v>151</v>
      </c>
      <c r="F225" s="24" t="str">
        <f t="shared" si="6"/>
        <v>rtdc.l.rtdc.4027:itc</v>
      </c>
      <c r="G225" s="8">
        <f t="shared" si="7"/>
        <v>42586.809594907405</v>
      </c>
    </row>
    <row r="226" spans="1:7" x14ac:dyDescent="0.25">
      <c r="A226" s="8">
        <v>42586.616180555553</v>
      </c>
      <c r="B226" t="s">
        <v>170</v>
      </c>
      <c r="C226" t="s">
        <v>596</v>
      </c>
      <c r="D226">
        <v>910000</v>
      </c>
      <c r="E226" t="s">
        <v>790</v>
      </c>
      <c r="F226" s="24" t="str">
        <f t="shared" si="6"/>
        <v>rtdc.l.rtdc.4032:itc</v>
      </c>
      <c r="G226" s="8">
        <f t="shared" si="7"/>
        <v>42586.616180555553</v>
      </c>
    </row>
    <row r="227" spans="1:7" x14ac:dyDescent="0.25">
      <c r="A227" s="8">
        <v>42586.687384259261</v>
      </c>
      <c r="B227" t="s">
        <v>170</v>
      </c>
      <c r="C227" t="s">
        <v>613</v>
      </c>
      <c r="D227">
        <v>910000</v>
      </c>
      <c r="E227" t="s">
        <v>790</v>
      </c>
      <c r="F227" s="24" t="str">
        <f t="shared" si="6"/>
        <v>rtdc.l.rtdc.4032:itc</v>
      </c>
      <c r="G227" s="8">
        <f t="shared" si="7"/>
        <v>42586.687384259261</v>
      </c>
    </row>
    <row r="228" spans="1:7" x14ac:dyDescent="0.25">
      <c r="A228" s="8">
        <v>42586.902291666665</v>
      </c>
      <c r="B228" t="s">
        <v>70</v>
      </c>
      <c r="C228" t="s">
        <v>507</v>
      </c>
      <c r="D228">
        <v>2000000</v>
      </c>
      <c r="E228" t="s">
        <v>324</v>
      </c>
      <c r="F228" s="24" t="str">
        <f t="shared" si="6"/>
        <v>rtdc.l.rtdc.4017:itc</v>
      </c>
      <c r="G228" s="8">
        <f t="shared" si="7"/>
        <v>42586.902291666665</v>
      </c>
    </row>
    <row r="229" spans="1:7" x14ac:dyDescent="0.25">
      <c r="A229" s="8">
        <v>42586.672118055554</v>
      </c>
      <c r="B229" t="s">
        <v>103</v>
      </c>
      <c r="C229" t="s">
        <v>609</v>
      </c>
      <c r="D229">
        <v>1810000</v>
      </c>
      <c r="E229" t="s">
        <v>174</v>
      </c>
      <c r="F229" s="24" t="str">
        <f t="shared" si="6"/>
        <v>rtdc.l.rtdc.4026:itc</v>
      </c>
      <c r="G229" s="8">
        <f t="shared" si="7"/>
        <v>42586.672118055554</v>
      </c>
    </row>
    <row r="230" spans="1:7" x14ac:dyDescent="0.25">
      <c r="A230" s="8">
        <v>42587.157835648148</v>
      </c>
      <c r="B230" t="s">
        <v>143</v>
      </c>
      <c r="C230" t="s">
        <v>785</v>
      </c>
      <c r="D230">
        <v>1990000</v>
      </c>
      <c r="E230" t="s">
        <v>202</v>
      </c>
      <c r="F230" s="24" t="str">
        <f t="shared" si="6"/>
        <v>rtdc.l.rtdc.4009:itc</v>
      </c>
      <c r="G230" s="8">
        <f t="shared" si="7"/>
        <v>42587.157835648148</v>
      </c>
    </row>
    <row r="231" spans="1:7" x14ac:dyDescent="0.25">
      <c r="A231" s="8">
        <v>42586.660914351851</v>
      </c>
      <c r="B231" t="s">
        <v>112</v>
      </c>
      <c r="C231" t="s">
        <v>607</v>
      </c>
      <c r="D231">
        <v>2040000</v>
      </c>
      <c r="E231" t="s">
        <v>433</v>
      </c>
      <c r="F231" s="24" t="str">
        <f t="shared" si="6"/>
        <v>rtdc.l.rtdc.4008:itc</v>
      </c>
      <c r="G231" s="8">
        <f t="shared" si="7"/>
        <v>42586.660914351851</v>
      </c>
    </row>
    <row r="232" spans="1:7" x14ac:dyDescent="0.25">
      <c r="A232" s="8">
        <v>42587.205150462964</v>
      </c>
      <c r="B232" t="s">
        <v>69</v>
      </c>
      <c r="C232" t="s">
        <v>796</v>
      </c>
      <c r="D232">
        <v>1760000</v>
      </c>
      <c r="E232" t="s">
        <v>372</v>
      </c>
      <c r="F232" s="24" t="str">
        <f t="shared" si="6"/>
        <v>rtdc.l.rtdc.4018:itc</v>
      </c>
      <c r="G232" s="8">
        <f t="shared" si="7"/>
        <v>42587.205150462964</v>
      </c>
    </row>
    <row r="233" spans="1:7" x14ac:dyDescent="0.25">
      <c r="A233" s="8">
        <v>42586.359594907408</v>
      </c>
      <c r="B233" t="s">
        <v>70</v>
      </c>
      <c r="C233" t="s">
        <v>477</v>
      </c>
      <c r="D233">
        <v>2100000</v>
      </c>
      <c r="E233" t="s">
        <v>348</v>
      </c>
      <c r="F233" s="24" t="str">
        <f t="shared" si="6"/>
        <v>rtdc.l.rtdc.4017:itc</v>
      </c>
      <c r="G233" s="8">
        <f t="shared" si="7"/>
        <v>42586.359594907408</v>
      </c>
    </row>
    <row r="234" spans="1:7" x14ac:dyDescent="0.25">
      <c r="A234" s="8">
        <v>42586.363877314812</v>
      </c>
      <c r="B234" t="s">
        <v>169</v>
      </c>
      <c r="C234" t="s">
        <v>480</v>
      </c>
      <c r="D234">
        <v>2010000</v>
      </c>
      <c r="E234" t="s">
        <v>285</v>
      </c>
      <c r="F234" s="24" t="str">
        <f t="shared" si="6"/>
        <v>rtdc.l.rtdc.4031:itc</v>
      </c>
      <c r="G234" s="8">
        <f t="shared" si="7"/>
        <v>42586.363877314812</v>
      </c>
    </row>
    <row r="235" spans="1:7" x14ac:dyDescent="0.25">
      <c r="A235" s="8">
        <v>42587.186990740738</v>
      </c>
      <c r="B235" t="s">
        <v>103</v>
      </c>
      <c r="C235" t="s">
        <v>804</v>
      </c>
      <c r="D235">
        <v>2010000</v>
      </c>
      <c r="E235" t="s">
        <v>285</v>
      </c>
      <c r="F235" s="24" t="str">
        <f t="shared" si="6"/>
        <v>rtdc.l.rtdc.4026:itc</v>
      </c>
      <c r="G235" s="8">
        <f t="shared" si="7"/>
        <v>42587.186990740738</v>
      </c>
    </row>
    <row r="236" spans="1:7" x14ac:dyDescent="0.25">
      <c r="A236" s="8">
        <v>42586.392233796294</v>
      </c>
      <c r="B236" t="s">
        <v>198</v>
      </c>
      <c r="C236" t="s">
        <v>483</v>
      </c>
      <c r="D236">
        <v>1110000</v>
      </c>
      <c r="E236" t="s">
        <v>117</v>
      </c>
      <c r="F236" s="24" t="str">
        <f t="shared" ref="F236:F265" si="8">B236</f>
        <v>rtdc.l.rtdc.4037:itc</v>
      </c>
      <c r="G236" s="8">
        <f t="shared" ref="G236:G265" si="9">A236</f>
        <v>42586.392233796294</v>
      </c>
    </row>
    <row r="237" spans="1:7" x14ac:dyDescent="0.25">
      <c r="A237" s="8">
        <v>42586.948703703703</v>
      </c>
      <c r="B237" t="s">
        <v>155</v>
      </c>
      <c r="C237" t="s">
        <v>657</v>
      </c>
      <c r="D237">
        <v>1300000</v>
      </c>
      <c r="E237" t="s">
        <v>148</v>
      </c>
      <c r="F237" s="24" t="str">
        <f t="shared" si="8"/>
        <v>rtdc.l.rtdc.4012:itc</v>
      </c>
      <c r="G237" s="8">
        <f t="shared" si="9"/>
        <v>42586.948703703703</v>
      </c>
    </row>
    <row r="238" spans="1:7" x14ac:dyDescent="0.25">
      <c r="A238" s="8">
        <v>42586.515625</v>
      </c>
      <c r="B238" t="s">
        <v>112</v>
      </c>
      <c r="C238" t="s">
        <v>570</v>
      </c>
      <c r="D238">
        <v>2040000</v>
      </c>
      <c r="E238" t="s">
        <v>433</v>
      </c>
      <c r="F238" s="24" t="str">
        <f t="shared" si="8"/>
        <v>rtdc.l.rtdc.4008:itc</v>
      </c>
      <c r="G238" s="8">
        <f t="shared" si="9"/>
        <v>42586.515625</v>
      </c>
    </row>
    <row r="239" spans="1:7" x14ac:dyDescent="0.25">
      <c r="A239" s="8">
        <v>42586.848460648151</v>
      </c>
      <c r="B239" t="s">
        <v>106</v>
      </c>
      <c r="C239" t="s">
        <v>646</v>
      </c>
      <c r="D239">
        <v>1290000</v>
      </c>
      <c r="E239" t="s">
        <v>151</v>
      </c>
      <c r="F239" s="24" t="str">
        <f t="shared" si="8"/>
        <v>rtdc.l.rtdc.4028:itc</v>
      </c>
      <c r="G239" s="8">
        <f t="shared" si="9"/>
        <v>42586.848460648151</v>
      </c>
    </row>
    <row r="240" spans="1:7" x14ac:dyDescent="0.25">
      <c r="A240" s="8">
        <v>42586.621759259258</v>
      </c>
      <c r="B240" t="s">
        <v>114</v>
      </c>
      <c r="C240" t="s">
        <v>606</v>
      </c>
      <c r="D240">
        <v>2040000</v>
      </c>
      <c r="E240" t="s">
        <v>433</v>
      </c>
      <c r="F240" s="24" t="str">
        <f t="shared" si="8"/>
        <v>rtdc.l.rtdc.4007:itc</v>
      </c>
      <c r="G240" s="8">
        <f t="shared" si="9"/>
        <v>42586.621759259258</v>
      </c>
    </row>
    <row r="241" spans="1:7" x14ac:dyDescent="0.25">
      <c r="A241" s="8">
        <v>42586.626261574071</v>
      </c>
      <c r="B241" t="s">
        <v>69</v>
      </c>
      <c r="C241" t="s">
        <v>495</v>
      </c>
      <c r="D241">
        <v>2030000</v>
      </c>
      <c r="E241" t="s">
        <v>436</v>
      </c>
      <c r="F241" s="24" t="str">
        <f t="shared" si="8"/>
        <v>rtdc.l.rtdc.4018:itc</v>
      </c>
      <c r="G241" s="8">
        <f t="shared" si="9"/>
        <v>42586.626261574071</v>
      </c>
    </row>
    <row r="242" spans="1:7" x14ac:dyDescent="0.25">
      <c r="A242" s="8">
        <v>42586.80296296296</v>
      </c>
      <c r="B242" t="s">
        <v>112</v>
      </c>
      <c r="C242" t="s">
        <v>639</v>
      </c>
      <c r="D242">
        <v>1480000</v>
      </c>
      <c r="E242" t="s">
        <v>102</v>
      </c>
      <c r="F242" s="24" t="str">
        <f t="shared" si="8"/>
        <v>rtdc.l.rtdc.4008:itc</v>
      </c>
      <c r="G242" s="8">
        <f t="shared" si="9"/>
        <v>42586.80296296296</v>
      </c>
    </row>
    <row r="243" spans="1:7" x14ac:dyDescent="0.25">
      <c r="A243" s="8">
        <v>42586.579027777778</v>
      </c>
      <c r="B243" t="s">
        <v>169</v>
      </c>
      <c r="C243" t="s">
        <v>594</v>
      </c>
      <c r="D243">
        <v>910000</v>
      </c>
      <c r="E243" t="s">
        <v>790</v>
      </c>
      <c r="F243" s="24" t="str">
        <f t="shared" si="8"/>
        <v>rtdc.l.rtdc.4031:itc</v>
      </c>
      <c r="G243" s="8">
        <f t="shared" si="9"/>
        <v>42586.579027777778</v>
      </c>
    </row>
    <row r="244" spans="1:7" x14ac:dyDescent="0.25">
      <c r="A244" s="8">
        <v>42586.808969907404</v>
      </c>
      <c r="B244" t="s">
        <v>109</v>
      </c>
      <c r="C244" t="s">
        <v>503</v>
      </c>
      <c r="D244">
        <v>1290000</v>
      </c>
      <c r="E244" t="s">
        <v>151</v>
      </c>
      <c r="F244" s="24" t="str">
        <f t="shared" si="8"/>
        <v>rtdc.l.rtdc.4027:itc</v>
      </c>
      <c r="G244" s="8">
        <f t="shared" si="9"/>
        <v>42586.808969907404</v>
      </c>
    </row>
    <row r="245" spans="1:7" x14ac:dyDescent="0.25">
      <c r="A245" s="8">
        <v>42586.410937499997</v>
      </c>
      <c r="B245" t="s">
        <v>106</v>
      </c>
      <c r="C245" t="s">
        <v>544</v>
      </c>
      <c r="D245">
        <v>930000</v>
      </c>
      <c r="E245" t="s">
        <v>444</v>
      </c>
      <c r="F245" s="24" t="str">
        <f t="shared" si="8"/>
        <v>rtdc.l.rtdc.4028:itc</v>
      </c>
      <c r="G245" s="8">
        <f t="shared" si="9"/>
        <v>42586.410937499997</v>
      </c>
    </row>
    <row r="246" spans="1:7" x14ac:dyDescent="0.25">
      <c r="A246" s="8">
        <v>42586.995289351849</v>
      </c>
      <c r="B246" t="s">
        <v>153</v>
      </c>
      <c r="C246" t="s">
        <v>665</v>
      </c>
      <c r="D246">
        <v>1300000</v>
      </c>
      <c r="E246" t="s">
        <v>148</v>
      </c>
      <c r="F246" s="24" t="str">
        <f t="shared" si="8"/>
        <v>rtdc.l.rtdc.4011:itc</v>
      </c>
      <c r="G246" s="8">
        <f t="shared" si="9"/>
        <v>42586.995289351849</v>
      </c>
    </row>
    <row r="247" spans="1:7" x14ac:dyDescent="0.25">
      <c r="A247" s="8">
        <v>42587.301562499997</v>
      </c>
      <c r="B247" t="s">
        <v>70</v>
      </c>
      <c r="C247" t="s">
        <v>820</v>
      </c>
      <c r="D247">
        <v>1760000</v>
      </c>
      <c r="E247" t="s">
        <v>372</v>
      </c>
      <c r="F247" s="24" t="str">
        <f t="shared" si="8"/>
        <v>rtdc.l.rtdc.4017:itc</v>
      </c>
      <c r="G247" s="8">
        <f t="shared" si="9"/>
        <v>42587.301562499997</v>
      </c>
    </row>
    <row r="248" spans="1:7" x14ac:dyDescent="0.25">
      <c r="A248" s="8">
        <v>42587.238576388889</v>
      </c>
      <c r="B248" t="s">
        <v>306</v>
      </c>
      <c r="C248" t="s">
        <v>821</v>
      </c>
      <c r="D248">
        <v>1360000</v>
      </c>
      <c r="E248" t="s">
        <v>283</v>
      </c>
      <c r="F248" s="24" t="str">
        <f t="shared" si="8"/>
        <v>rtdc.l.rtdc.4043:itc</v>
      </c>
      <c r="G248" s="8">
        <f t="shared" si="9"/>
        <v>42587.238576388889</v>
      </c>
    </row>
    <row r="249" spans="1:7" x14ac:dyDescent="0.25">
      <c r="A249" s="8">
        <v>42587.27579861111</v>
      </c>
      <c r="B249" t="s">
        <v>133</v>
      </c>
      <c r="C249" t="s">
        <v>822</v>
      </c>
      <c r="D249">
        <v>1830000</v>
      </c>
      <c r="E249" t="s">
        <v>305</v>
      </c>
      <c r="F249" s="24" t="str">
        <f t="shared" si="8"/>
        <v>rtdc.l.rtdc.4015:itc</v>
      </c>
      <c r="G249" s="8">
        <f t="shared" si="9"/>
        <v>42587.27579861111</v>
      </c>
    </row>
    <row r="250" spans="1:7" x14ac:dyDescent="0.25">
      <c r="A250" s="8">
        <v>42586.370787037034</v>
      </c>
      <c r="B250" t="s">
        <v>103</v>
      </c>
      <c r="C250" t="s">
        <v>539</v>
      </c>
      <c r="D250">
        <v>1360000</v>
      </c>
      <c r="E250" t="s">
        <v>283</v>
      </c>
      <c r="F250" s="24" t="str">
        <f t="shared" si="8"/>
        <v>rtdc.l.rtdc.4026:itc</v>
      </c>
      <c r="G250" s="8">
        <f t="shared" si="9"/>
        <v>42586.370787037034</v>
      </c>
    </row>
    <row r="251" spans="1:7" x14ac:dyDescent="0.25">
      <c r="A251" s="8">
        <v>42587.224293981482</v>
      </c>
      <c r="B251" t="s">
        <v>198</v>
      </c>
      <c r="C251" t="s">
        <v>823</v>
      </c>
      <c r="D251">
        <v>1240000</v>
      </c>
      <c r="E251" t="s">
        <v>113</v>
      </c>
      <c r="F251" s="24" t="str">
        <f t="shared" si="8"/>
        <v>rtdc.l.rtdc.4037:itc</v>
      </c>
      <c r="G251" s="8">
        <f t="shared" si="9"/>
        <v>42587.224293981482</v>
      </c>
    </row>
    <row r="252" spans="1:7" x14ac:dyDescent="0.25">
      <c r="A252" s="8">
        <v>42586.525879629633</v>
      </c>
      <c r="B252" t="s">
        <v>107</v>
      </c>
      <c r="C252" t="s">
        <v>582</v>
      </c>
      <c r="D252">
        <v>2110000</v>
      </c>
      <c r="E252" t="s">
        <v>350</v>
      </c>
      <c r="F252" s="24" t="str">
        <f t="shared" si="8"/>
        <v>rtdc.l.rtdc.4029:itc</v>
      </c>
      <c r="G252" s="8">
        <f t="shared" si="9"/>
        <v>42586.525879629633</v>
      </c>
    </row>
    <row r="253" spans="1:7" x14ac:dyDescent="0.25">
      <c r="A253" s="8">
        <v>42586.929224537038</v>
      </c>
      <c r="B253" t="s">
        <v>114</v>
      </c>
      <c r="C253" t="s">
        <v>658</v>
      </c>
      <c r="D253">
        <v>1480000</v>
      </c>
      <c r="E253" t="s">
        <v>102</v>
      </c>
      <c r="F253" s="24" t="str">
        <f t="shared" si="8"/>
        <v>rtdc.l.rtdc.4007:itc</v>
      </c>
      <c r="G253" s="8">
        <f t="shared" si="9"/>
        <v>42586.929224537038</v>
      </c>
    </row>
    <row r="254" spans="1:7" x14ac:dyDescent="0.25">
      <c r="A254" s="8">
        <v>42586.526307870372</v>
      </c>
      <c r="B254" t="s">
        <v>70</v>
      </c>
      <c r="C254" t="s">
        <v>714</v>
      </c>
      <c r="D254">
        <v>2100000</v>
      </c>
      <c r="E254" t="s">
        <v>348</v>
      </c>
      <c r="F254" s="24" t="str">
        <f t="shared" si="8"/>
        <v>rtdc.l.rtdc.4017:itc</v>
      </c>
      <c r="G254" s="8">
        <f t="shared" si="9"/>
        <v>42586.526307870372</v>
      </c>
    </row>
    <row r="255" spans="1:7" x14ac:dyDescent="0.25">
      <c r="A255" s="8">
        <v>42586.751342592594</v>
      </c>
      <c r="B255" t="s">
        <v>198</v>
      </c>
      <c r="C255" t="s">
        <v>501</v>
      </c>
      <c r="D255">
        <v>2140000</v>
      </c>
      <c r="E255" t="s">
        <v>352</v>
      </c>
      <c r="F255" s="24" t="str">
        <f t="shared" si="8"/>
        <v>rtdc.l.rtdc.4037:itc</v>
      </c>
      <c r="G255" s="8">
        <f t="shared" si="9"/>
        <v>42586.751342592594</v>
      </c>
    </row>
    <row r="256" spans="1:7" x14ac:dyDescent="0.25">
      <c r="A256" s="8">
        <v>42586.534942129627</v>
      </c>
      <c r="B256" t="s">
        <v>198</v>
      </c>
      <c r="C256" t="s">
        <v>576</v>
      </c>
      <c r="D256">
        <v>1540000</v>
      </c>
      <c r="E256" t="s">
        <v>180</v>
      </c>
      <c r="F256" s="24" t="str">
        <f t="shared" si="8"/>
        <v>rtdc.l.rtdc.4037:itc</v>
      </c>
      <c r="G256" s="8">
        <f t="shared" si="9"/>
        <v>42586.534942129627</v>
      </c>
    </row>
    <row r="257" spans="1:7" x14ac:dyDescent="0.25">
      <c r="A257" s="8">
        <v>42586.675000000003</v>
      </c>
      <c r="B257" t="s">
        <v>107</v>
      </c>
      <c r="C257" t="s">
        <v>616</v>
      </c>
      <c r="D257">
        <v>2110000</v>
      </c>
      <c r="E257" t="s">
        <v>350</v>
      </c>
      <c r="F257" s="24" t="str">
        <f t="shared" si="8"/>
        <v>rtdc.l.rtdc.4029:itc</v>
      </c>
      <c r="G257" s="8">
        <f t="shared" si="9"/>
        <v>42586.675000000003</v>
      </c>
    </row>
    <row r="258" spans="1:7" x14ac:dyDescent="0.25">
      <c r="A258" s="8">
        <v>42586.568854166668</v>
      </c>
      <c r="B258" t="s">
        <v>70</v>
      </c>
      <c r="C258" t="s">
        <v>491</v>
      </c>
      <c r="D258">
        <v>2030000</v>
      </c>
      <c r="E258" t="s">
        <v>436</v>
      </c>
      <c r="F258" s="24" t="str">
        <f t="shared" si="8"/>
        <v>rtdc.l.rtdc.4017:itc</v>
      </c>
      <c r="G258" s="8">
        <f t="shared" si="9"/>
        <v>42586.568854166668</v>
      </c>
    </row>
    <row r="259" spans="1:7" x14ac:dyDescent="0.25">
      <c r="A259" s="8">
        <v>42586.652384259258</v>
      </c>
      <c r="B259" t="s">
        <v>169</v>
      </c>
      <c r="C259" t="s">
        <v>612</v>
      </c>
      <c r="D259">
        <v>910000</v>
      </c>
      <c r="E259" t="s">
        <v>790</v>
      </c>
      <c r="F259" s="24" t="str">
        <f t="shared" si="8"/>
        <v>rtdc.l.rtdc.4031:itc</v>
      </c>
      <c r="G259" s="8">
        <f t="shared" si="9"/>
        <v>42586.652384259258</v>
      </c>
    </row>
    <row r="260" spans="1:7" x14ac:dyDescent="0.25">
      <c r="A260" s="8">
        <v>42587.144016203703</v>
      </c>
      <c r="B260" t="s">
        <v>349</v>
      </c>
      <c r="C260" t="s">
        <v>776</v>
      </c>
      <c r="D260">
        <v>2010000</v>
      </c>
      <c r="E260" t="s">
        <v>285</v>
      </c>
      <c r="F260" s="24" t="str">
        <f t="shared" si="8"/>
        <v>rtdc.l.rtdc.4044:itc</v>
      </c>
      <c r="G260" s="8">
        <f t="shared" si="9"/>
        <v>42587.144016203703</v>
      </c>
    </row>
    <row r="261" spans="1:7" x14ac:dyDescent="0.25">
      <c r="A261" s="8">
        <v>42586.586076388892</v>
      </c>
      <c r="B261" t="s">
        <v>69</v>
      </c>
      <c r="C261" t="s">
        <v>718</v>
      </c>
      <c r="D261">
        <v>2030000</v>
      </c>
      <c r="E261" t="s">
        <v>436</v>
      </c>
      <c r="F261" s="24" t="str">
        <f t="shared" si="8"/>
        <v>rtdc.l.rtdc.4018:itc</v>
      </c>
      <c r="G261" s="8">
        <f t="shared" si="9"/>
        <v>42586.586076388892</v>
      </c>
    </row>
    <row r="262" spans="1:7" x14ac:dyDescent="0.25">
      <c r="A262" s="8">
        <v>42587.196192129632</v>
      </c>
      <c r="B262" t="s">
        <v>108</v>
      </c>
      <c r="C262" t="s">
        <v>805</v>
      </c>
      <c r="D262">
        <v>1990000</v>
      </c>
      <c r="E262" t="s">
        <v>202</v>
      </c>
      <c r="F262" s="24" t="str">
        <f t="shared" si="8"/>
        <v>rtdc.l.rtdc.4030:itc</v>
      </c>
      <c r="G262" s="8">
        <f t="shared" si="9"/>
        <v>42587.196192129632</v>
      </c>
    </row>
    <row r="263" spans="1:7" x14ac:dyDescent="0.25">
      <c r="A263" s="8">
        <v>42587.33017361111</v>
      </c>
      <c r="B263" t="s">
        <v>101</v>
      </c>
      <c r="C263" t="s">
        <v>824</v>
      </c>
      <c r="D263">
        <v>1240000</v>
      </c>
      <c r="E263" t="s">
        <v>113</v>
      </c>
      <c r="F263" s="24" t="str">
        <f t="shared" si="8"/>
        <v>rtdc.l.rtdc.4038:itc</v>
      </c>
      <c r="G263" s="8">
        <f t="shared" si="9"/>
        <v>42587.33017361111</v>
      </c>
    </row>
    <row r="264" spans="1:7" x14ac:dyDescent="0.25">
      <c r="A264" s="8">
        <v>42587.266736111109</v>
      </c>
      <c r="B264" t="s">
        <v>109</v>
      </c>
      <c r="C264" t="s">
        <v>825</v>
      </c>
      <c r="D264">
        <v>2100000</v>
      </c>
      <c r="E264" t="s">
        <v>348</v>
      </c>
      <c r="F264" s="24" t="str">
        <f t="shared" si="8"/>
        <v>rtdc.l.rtdc.4027:itc</v>
      </c>
      <c r="G264" s="8">
        <f t="shared" si="9"/>
        <v>42587.266736111109</v>
      </c>
    </row>
    <row r="265" spans="1:7" x14ac:dyDescent="0.25">
      <c r="A265" s="8">
        <v>42587.271793981483</v>
      </c>
      <c r="B265" t="s">
        <v>108</v>
      </c>
      <c r="C265" t="s">
        <v>826</v>
      </c>
      <c r="D265">
        <v>1990000</v>
      </c>
      <c r="E265" t="s">
        <v>202</v>
      </c>
      <c r="F265" s="24" t="str">
        <f t="shared" si="8"/>
        <v>rtdc.l.rtdc.4030:itc</v>
      </c>
      <c r="G265" s="8">
        <f t="shared" si="9"/>
        <v>42587.271793981483</v>
      </c>
    </row>
    <row r="266" spans="1:7" x14ac:dyDescent="0.25">
      <c r="A266" s="8">
        <v>42586.538032407407</v>
      </c>
      <c r="B266" t="s">
        <v>153</v>
      </c>
      <c r="C266" t="s">
        <v>585</v>
      </c>
      <c r="D266">
        <v>2020000</v>
      </c>
      <c r="E266" t="s">
        <v>775</v>
      </c>
      <c r="F266" s="24" t="str">
        <f t="shared" ref="F266:F281" si="10">B266</f>
        <v>rtdc.l.rtdc.4011:itc</v>
      </c>
      <c r="G266" s="8">
        <f t="shared" ref="G266:G281" si="11">A266</f>
        <v>42586.538032407407</v>
      </c>
    </row>
    <row r="267" spans="1:7" x14ac:dyDescent="0.25">
      <c r="A267" s="8">
        <v>42587.131689814814</v>
      </c>
      <c r="B267" t="s">
        <v>349</v>
      </c>
      <c r="C267" t="s">
        <v>827</v>
      </c>
      <c r="D267">
        <v>2010000</v>
      </c>
      <c r="E267" t="s">
        <v>285</v>
      </c>
      <c r="F267" s="24" t="str">
        <f t="shared" si="10"/>
        <v>rtdc.l.rtdc.4044:itc</v>
      </c>
      <c r="G267" s="8">
        <f t="shared" si="11"/>
        <v>42587.131689814814</v>
      </c>
    </row>
    <row r="268" spans="1:7" x14ac:dyDescent="0.25">
      <c r="A268" s="8">
        <v>42586.558472222219</v>
      </c>
      <c r="B268" t="s">
        <v>105</v>
      </c>
      <c r="C268" t="s">
        <v>590</v>
      </c>
      <c r="D268">
        <v>1810000</v>
      </c>
      <c r="E268" t="s">
        <v>174</v>
      </c>
      <c r="F268" s="24" t="str">
        <f t="shared" si="10"/>
        <v>rtdc.l.rtdc.4025:itc</v>
      </c>
      <c r="G268" s="8">
        <f t="shared" si="11"/>
        <v>42586.558472222219</v>
      </c>
    </row>
    <row r="269" spans="1:7" x14ac:dyDescent="0.25">
      <c r="A269" s="8">
        <v>42586.992071759261</v>
      </c>
      <c r="B269" t="s">
        <v>198</v>
      </c>
      <c r="C269" t="s">
        <v>662</v>
      </c>
      <c r="D269">
        <v>2140000</v>
      </c>
      <c r="E269" t="s">
        <v>352</v>
      </c>
      <c r="F269" s="24" t="str">
        <f t="shared" si="10"/>
        <v>rtdc.l.rtdc.4037:itc</v>
      </c>
      <c r="G269" s="8">
        <f t="shared" si="11"/>
        <v>42586.992071759261</v>
      </c>
    </row>
    <row r="270" spans="1:7" x14ac:dyDescent="0.25">
      <c r="A270" s="8">
        <v>42586.611319444448</v>
      </c>
      <c r="B270" t="s">
        <v>70</v>
      </c>
      <c r="C270" t="s">
        <v>494</v>
      </c>
      <c r="D270">
        <v>2030000</v>
      </c>
      <c r="E270" t="s">
        <v>436</v>
      </c>
      <c r="F270" s="24" t="str">
        <f t="shared" si="10"/>
        <v>rtdc.l.rtdc.4017:itc</v>
      </c>
      <c r="G270" s="8">
        <f t="shared" si="11"/>
        <v>42586.611319444448</v>
      </c>
    </row>
    <row r="271" spans="1:7" x14ac:dyDescent="0.25">
      <c r="A271" s="8">
        <v>42586.823564814818</v>
      </c>
      <c r="B271" t="s">
        <v>198</v>
      </c>
      <c r="C271" t="s">
        <v>643</v>
      </c>
      <c r="D271">
        <v>2140000</v>
      </c>
      <c r="E271" t="s">
        <v>352</v>
      </c>
      <c r="F271" s="24" t="str">
        <f t="shared" si="10"/>
        <v>rtdc.l.rtdc.4037:itc</v>
      </c>
      <c r="G271" s="8">
        <f t="shared" si="11"/>
        <v>42586.823564814818</v>
      </c>
    </row>
    <row r="272" spans="1:7" x14ac:dyDescent="0.25">
      <c r="A272" s="8">
        <v>42586.424178240741</v>
      </c>
      <c r="B272" t="s">
        <v>101</v>
      </c>
      <c r="C272" t="s">
        <v>554</v>
      </c>
      <c r="D272">
        <v>1110000</v>
      </c>
      <c r="E272" t="s">
        <v>117</v>
      </c>
      <c r="F272" s="24" t="str">
        <f t="shared" si="10"/>
        <v>rtdc.l.rtdc.4038:itc</v>
      </c>
      <c r="G272" s="8">
        <f t="shared" si="11"/>
        <v>42586.424178240741</v>
      </c>
    </row>
    <row r="273" spans="1:7" x14ac:dyDescent="0.25">
      <c r="A273" s="8">
        <v>42586.775393518517</v>
      </c>
      <c r="B273" t="s">
        <v>106</v>
      </c>
      <c r="C273" t="s">
        <v>503</v>
      </c>
      <c r="D273">
        <v>1290000</v>
      </c>
      <c r="E273" t="s">
        <v>151</v>
      </c>
      <c r="F273" s="24" t="str">
        <f t="shared" si="10"/>
        <v>rtdc.l.rtdc.4028:itc</v>
      </c>
      <c r="G273" s="8">
        <f t="shared" si="11"/>
        <v>42586.775393518517</v>
      </c>
    </row>
    <row r="274" spans="1:7" x14ac:dyDescent="0.25">
      <c r="A274" s="8">
        <v>42586.502916666665</v>
      </c>
      <c r="B274" t="s">
        <v>155</v>
      </c>
      <c r="C274" t="s">
        <v>567</v>
      </c>
      <c r="D274">
        <v>2020000</v>
      </c>
      <c r="E274" t="s">
        <v>775</v>
      </c>
      <c r="F274" s="24" t="str">
        <f t="shared" si="10"/>
        <v>rtdc.l.rtdc.4012:itc</v>
      </c>
      <c r="G274" s="8">
        <f t="shared" si="11"/>
        <v>42586.502916666665</v>
      </c>
    </row>
    <row r="275" spans="1:7" x14ac:dyDescent="0.25">
      <c r="A275" s="8">
        <v>42586.735891203702</v>
      </c>
      <c r="B275" t="s">
        <v>109</v>
      </c>
      <c r="C275" t="s">
        <v>632</v>
      </c>
      <c r="D275">
        <v>1290000</v>
      </c>
      <c r="E275" t="s">
        <v>151</v>
      </c>
      <c r="F275" s="24" t="str">
        <f t="shared" si="10"/>
        <v>rtdc.l.rtdc.4027:itc</v>
      </c>
      <c r="G275" s="8">
        <f t="shared" si="11"/>
        <v>42586.735891203702</v>
      </c>
    </row>
    <row r="276" spans="1:7" x14ac:dyDescent="0.25">
      <c r="A276" s="8">
        <v>42586.621979166666</v>
      </c>
      <c r="B276" t="s">
        <v>106</v>
      </c>
      <c r="C276" t="s">
        <v>598</v>
      </c>
      <c r="D276">
        <v>2150000</v>
      </c>
      <c r="E276" t="s">
        <v>304</v>
      </c>
      <c r="F276" s="24" t="str">
        <f t="shared" si="10"/>
        <v>rtdc.l.rtdc.4028:itc</v>
      </c>
      <c r="G276" s="8">
        <f t="shared" si="11"/>
        <v>42586.621979166666</v>
      </c>
    </row>
    <row r="277" spans="1:7" x14ac:dyDescent="0.25">
      <c r="A277" s="8">
        <v>42586.673819444448</v>
      </c>
      <c r="B277" t="s">
        <v>107</v>
      </c>
      <c r="C277" t="s">
        <v>616</v>
      </c>
      <c r="D277">
        <v>2110000</v>
      </c>
      <c r="E277" t="s">
        <v>350</v>
      </c>
      <c r="F277" s="24" t="str">
        <f t="shared" si="10"/>
        <v>rtdc.l.rtdc.4029:itc</v>
      </c>
      <c r="G277" s="8">
        <f t="shared" si="11"/>
        <v>42586.673819444448</v>
      </c>
    </row>
    <row r="278" spans="1:7" x14ac:dyDescent="0.25">
      <c r="A278" s="8">
        <v>42586.682060185187</v>
      </c>
      <c r="B278" t="s">
        <v>198</v>
      </c>
      <c r="C278" t="s">
        <v>611</v>
      </c>
      <c r="D278">
        <v>1540000</v>
      </c>
      <c r="E278" t="s">
        <v>180</v>
      </c>
      <c r="F278" s="24" t="str">
        <f t="shared" si="10"/>
        <v>rtdc.l.rtdc.4037:itc</v>
      </c>
      <c r="G278" s="8">
        <f t="shared" si="11"/>
        <v>42586.682060185187</v>
      </c>
    </row>
    <row r="279" spans="1:7" x14ac:dyDescent="0.25">
      <c r="A279" s="8">
        <v>42586.661736111113</v>
      </c>
      <c r="B279" t="s">
        <v>76</v>
      </c>
      <c r="C279" t="s">
        <v>496</v>
      </c>
      <c r="D279">
        <v>2090000</v>
      </c>
      <c r="E279" t="s">
        <v>347</v>
      </c>
      <c r="F279" s="24" t="str">
        <f t="shared" si="10"/>
        <v>rtdc.l.rtdc.4042:itc</v>
      </c>
      <c r="G279" s="8">
        <f t="shared" si="11"/>
        <v>42586.661736111113</v>
      </c>
    </row>
    <row r="280" spans="1:7" x14ac:dyDescent="0.25">
      <c r="A280" s="8">
        <v>42586.766342592593</v>
      </c>
      <c r="B280" t="s">
        <v>146</v>
      </c>
      <c r="C280" t="s">
        <v>745</v>
      </c>
      <c r="D280">
        <v>2090000</v>
      </c>
      <c r="E280" t="s">
        <v>347</v>
      </c>
      <c r="F280" s="24" t="str">
        <f t="shared" si="10"/>
        <v>rtdc.l.rtdc.4041:itc</v>
      </c>
      <c r="G280" s="8">
        <f t="shared" si="11"/>
        <v>42586.766342592593</v>
      </c>
    </row>
    <row r="281" spans="1:7" x14ac:dyDescent="0.25">
      <c r="A281" s="8">
        <v>42586.54173611111</v>
      </c>
      <c r="B281" t="s">
        <v>170</v>
      </c>
      <c r="C281" t="s">
        <v>490</v>
      </c>
      <c r="D281">
        <v>910000</v>
      </c>
      <c r="E281" t="s">
        <v>790</v>
      </c>
      <c r="F281" s="24" t="str">
        <f t="shared" si="10"/>
        <v>rtdc.l.rtdc.4032:itc</v>
      </c>
      <c r="G281" s="8">
        <f t="shared" si="11"/>
        <v>42586.54173611111</v>
      </c>
    </row>
    <row r="282" spans="1:7" x14ac:dyDescent="0.25">
      <c r="A282" s="8">
        <v>42587.039178240739</v>
      </c>
      <c r="B282" t="s">
        <v>155</v>
      </c>
      <c r="C282" t="s">
        <v>666</v>
      </c>
      <c r="D282">
        <v>1300000</v>
      </c>
      <c r="E282" t="s">
        <v>148</v>
      </c>
      <c r="F282" s="24" t="str">
        <f t="shared" ref="F282:F345" si="12">B282</f>
        <v>rtdc.l.rtdc.4012:itc</v>
      </c>
      <c r="G282" s="8">
        <f t="shared" ref="G282:G345" si="13">A282</f>
        <v>42587.039178240739</v>
      </c>
    </row>
    <row r="283" spans="1:7" x14ac:dyDescent="0.25">
      <c r="A283" s="8">
        <v>42586.309953703705</v>
      </c>
      <c r="B283" t="s">
        <v>107</v>
      </c>
      <c r="C283" t="s">
        <v>533</v>
      </c>
      <c r="D283">
        <v>1090000</v>
      </c>
      <c r="E283" t="s">
        <v>111</v>
      </c>
      <c r="F283" s="24" t="str">
        <f t="shared" si="12"/>
        <v>rtdc.l.rtdc.4029:itc</v>
      </c>
      <c r="G283" s="8">
        <f t="shared" si="13"/>
        <v>42586.309953703705</v>
      </c>
    </row>
    <row r="284" spans="1:7" x14ac:dyDescent="0.25">
      <c r="A284" s="8">
        <v>42587.187071759261</v>
      </c>
      <c r="B284" t="s">
        <v>68</v>
      </c>
      <c r="C284" t="s">
        <v>828</v>
      </c>
      <c r="D284">
        <v>1310000</v>
      </c>
      <c r="E284" t="s">
        <v>442</v>
      </c>
      <c r="F284" s="24" t="str">
        <f t="shared" si="12"/>
        <v>rtdc.l.rtdc.4020:itc</v>
      </c>
      <c r="G284" s="8">
        <f t="shared" si="13"/>
        <v>42587.187071759261</v>
      </c>
    </row>
    <row r="285" spans="1:7" x14ac:dyDescent="0.25">
      <c r="A285" s="8">
        <v>42586.296631944446</v>
      </c>
      <c r="B285" t="s">
        <v>146</v>
      </c>
      <c r="C285" t="s">
        <v>453</v>
      </c>
      <c r="D285">
        <v>1830000</v>
      </c>
      <c r="E285" t="s">
        <v>305</v>
      </c>
      <c r="F285" s="24" t="str">
        <f t="shared" si="12"/>
        <v>rtdc.l.rtdc.4041:itc</v>
      </c>
      <c r="G285" s="8">
        <f t="shared" si="13"/>
        <v>42586.296631944446</v>
      </c>
    </row>
    <row r="286" spans="1:7" x14ac:dyDescent="0.25">
      <c r="A286" s="8">
        <v>42586.404467592591</v>
      </c>
      <c r="B286" t="s">
        <v>114</v>
      </c>
      <c r="C286" t="s">
        <v>484</v>
      </c>
      <c r="D286">
        <v>1760000</v>
      </c>
      <c r="E286" t="s">
        <v>372</v>
      </c>
      <c r="F286" s="24" t="str">
        <f t="shared" si="12"/>
        <v>rtdc.l.rtdc.4007:itc</v>
      </c>
      <c r="G286" s="8">
        <f t="shared" si="13"/>
        <v>42586.404467592591</v>
      </c>
    </row>
    <row r="287" spans="1:7" x14ac:dyDescent="0.25">
      <c r="A287" s="8">
        <v>42586.21702546296</v>
      </c>
      <c r="B287" t="s">
        <v>169</v>
      </c>
      <c r="C287" t="s">
        <v>437</v>
      </c>
      <c r="D287">
        <v>2010000</v>
      </c>
      <c r="E287" t="s">
        <v>285</v>
      </c>
      <c r="F287" s="24" t="str">
        <f t="shared" si="12"/>
        <v>rtdc.l.rtdc.4031:itc</v>
      </c>
      <c r="G287" s="8">
        <f t="shared" si="13"/>
        <v>42586.21702546296</v>
      </c>
    </row>
    <row r="288" spans="1:7" x14ac:dyDescent="0.25">
      <c r="A288" s="8">
        <v>42586.551099537035</v>
      </c>
      <c r="B288" t="s">
        <v>106</v>
      </c>
      <c r="C288" t="s">
        <v>581</v>
      </c>
      <c r="D288">
        <v>2150000</v>
      </c>
      <c r="E288" t="s">
        <v>304</v>
      </c>
      <c r="F288" s="24" t="str">
        <f t="shared" si="12"/>
        <v>rtdc.l.rtdc.4028:itc</v>
      </c>
      <c r="G288" s="8">
        <f t="shared" si="13"/>
        <v>42586.551099537035</v>
      </c>
    </row>
    <row r="289" spans="1:7" x14ac:dyDescent="0.25">
      <c r="A289" s="8">
        <v>42586.214467592596</v>
      </c>
      <c r="B289" t="s">
        <v>198</v>
      </c>
      <c r="C289" t="s">
        <v>454</v>
      </c>
      <c r="D289">
        <v>1310000</v>
      </c>
      <c r="E289" t="s">
        <v>442</v>
      </c>
      <c r="F289" s="24" t="str">
        <f t="shared" si="12"/>
        <v>rtdc.l.rtdc.4037:itc</v>
      </c>
      <c r="G289" s="8">
        <f t="shared" si="13"/>
        <v>42586.214467592596</v>
      </c>
    </row>
    <row r="290" spans="1:7" x14ac:dyDescent="0.25">
      <c r="A290" s="8">
        <v>42586.63208333333</v>
      </c>
      <c r="B290" t="s">
        <v>105</v>
      </c>
      <c r="C290" t="s">
        <v>608</v>
      </c>
      <c r="D290">
        <v>1810000</v>
      </c>
      <c r="E290" t="s">
        <v>174</v>
      </c>
      <c r="F290" s="24" t="str">
        <f t="shared" si="12"/>
        <v>rtdc.l.rtdc.4025:itc</v>
      </c>
      <c r="G290" s="8">
        <f t="shared" si="13"/>
        <v>42586.63208333333</v>
      </c>
    </row>
    <row r="291" spans="1:7" x14ac:dyDescent="0.25">
      <c r="A291" s="8">
        <v>42586.213865740741</v>
      </c>
      <c r="B291" t="s">
        <v>198</v>
      </c>
      <c r="C291" t="s">
        <v>454</v>
      </c>
      <c r="D291">
        <v>1310000</v>
      </c>
      <c r="E291" t="s">
        <v>442</v>
      </c>
      <c r="F291" s="24" t="str">
        <f t="shared" si="12"/>
        <v>rtdc.l.rtdc.4037:itc</v>
      </c>
      <c r="G291" s="8">
        <f t="shared" si="13"/>
        <v>42586.213865740741</v>
      </c>
    </row>
    <row r="292" spans="1:7" x14ac:dyDescent="0.25">
      <c r="A292" s="8">
        <v>42586.735763888886</v>
      </c>
      <c r="B292" t="s">
        <v>112</v>
      </c>
      <c r="C292" t="s">
        <v>624</v>
      </c>
      <c r="D292">
        <v>2040000</v>
      </c>
      <c r="E292" t="s">
        <v>433</v>
      </c>
      <c r="F292" s="24" t="str">
        <f t="shared" si="12"/>
        <v>rtdc.l.rtdc.4008:itc</v>
      </c>
      <c r="G292" s="8">
        <f t="shared" si="13"/>
        <v>42586.735763888886</v>
      </c>
    </row>
    <row r="293" spans="1:7" x14ac:dyDescent="0.25">
      <c r="A293" s="8">
        <v>42586.13212962963</v>
      </c>
      <c r="B293" t="s">
        <v>68</v>
      </c>
      <c r="C293" t="s">
        <v>455</v>
      </c>
      <c r="D293">
        <v>2010000</v>
      </c>
      <c r="E293" t="s">
        <v>285</v>
      </c>
      <c r="F293" s="24" t="str">
        <f t="shared" si="12"/>
        <v>rtdc.l.rtdc.4020:itc</v>
      </c>
      <c r="G293" s="8">
        <f t="shared" si="13"/>
        <v>42586.13212962963</v>
      </c>
    </row>
    <row r="294" spans="1:7" x14ac:dyDescent="0.25">
      <c r="A294" s="8">
        <v>42586.743715277778</v>
      </c>
      <c r="B294" t="s">
        <v>76</v>
      </c>
      <c r="C294" t="s">
        <v>743</v>
      </c>
      <c r="D294">
        <v>2090000</v>
      </c>
      <c r="E294" t="s">
        <v>347</v>
      </c>
      <c r="F294" s="24" t="str">
        <f t="shared" si="12"/>
        <v>rtdc.l.rtdc.4042:itc</v>
      </c>
      <c r="G294" s="8">
        <f t="shared" si="13"/>
        <v>42586.743715277778</v>
      </c>
    </row>
    <row r="295" spans="1:7" x14ac:dyDescent="0.25">
      <c r="A295" s="8">
        <v>42586.089085648149</v>
      </c>
      <c r="B295" t="s">
        <v>434</v>
      </c>
      <c r="C295" t="s">
        <v>417</v>
      </c>
      <c r="D295">
        <v>1290000</v>
      </c>
      <c r="E295" t="s">
        <v>151</v>
      </c>
      <c r="F295" s="24" t="str">
        <f t="shared" si="12"/>
        <v>rtdc.l.rtdc.4040:itc</v>
      </c>
      <c r="G295" s="8">
        <f t="shared" si="13"/>
        <v>42586.089085648149</v>
      </c>
    </row>
    <row r="296" spans="1:7" x14ac:dyDescent="0.25">
      <c r="A296" s="8">
        <v>42586.74386574074</v>
      </c>
      <c r="B296" t="s">
        <v>69</v>
      </c>
      <c r="C296" t="s">
        <v>499</v>
      </c>
      <c r="D296">
        <v>2030000</v>
      </c>
      <c r="E296" t="s">
        <v>436</v>
      </c>
      <c r="F296" s="24" t="str">
        <f t="shared" si="12"/>
        <v>rtdc.l.rtdc.4018:itc</v>
      </c>
      <c r="G296" s="8">
        <f t="shared" si="13"/>
        <v>42586.74386574074</v>
      </c>
    </row>
    <row r="297" spans="1:7" x14ac:dyDescent="0.25">
      <c r="A297" s="8">
        <v>42586.047453703701</v>
      </c>
      <c r="B297" t="s">
        <v>162</v>
      </c>
      <c r="C297" t="s">
        <v>416</v>
      </c>
      <c r="D297">
        <v>2090000</v>
      </c>
      <c r="E297" t="s">
        <v>347</v>
      </c>
      <c r="F297" s="24" t="str">
        <f t="shared" si="12"/>
        <v>rtdc.l.rtdc.4014:itc</v>
      </c>
      <c r="G297" s="8">
        <f t="shared" si="13"/>
        <v>42586.047453703701</v>
      </c>
    </row>
    <row r="298" spans="1:7" x14ac:dyDescent="0.25">
      <c r="A298" s="8">
        <v>42586.883356481485</v>
      </c>
      <c r="B298" t="s">
        <v>69</v>
      </c>
      <c r="C298" t="s">
        <v>762</v>
      </c>
      <c r="D298">
        <v>2000000</v>
      </c>
      <c r="E298" t="s">
        <v>324</v>
      </c>
      <c r="F298" s="24" t="str">
        <f t="shared" si="12"/>
        <v>rtdc.l.rtdc.4018:itc</v>
      </c>
      <c r="G298" s="8">
        <f t="shared" si="13"/>
        <v>42586.883356481485</v>
      </c>
    </row>
    <row r="299" spans="1:7" x14ac:dyDescent="0.25">
      <c r="A299" s="8">
        <v>42586.017835648148</v>
      </c>
      <c r="B299" t="s">
        <v>434</v>
      </c>
      <c r="C299" t="s">
        <v>413</v>
      </c>
      <c r="D299">
        <v>1290000</v>
      </c>
      <c r="E299" t="s">
        <v>151</v>
      </c>
      <c r="F299" s="24" t="str">
        <f t="shared" si="12"/>
        <v>rtdc.l.rtdc.4040:itc</v>
      </c>
      <c r="G299" s="8">
        <f t="shared" si="13"/>
        <v>42586.017835648148</v>
      </c>
    </row>
    <row r="300" spans="1:7" x14ac:dyDescent="0.25">
      <c r="A300" s="8">
        <v>42586.932256944441</v>
      </c>
      <c r="B300" t="s">
        <v>106</v>
      </c>
      <c r="C300" t="s">
        <v>655</v>
      </c>
      <c r="D300">
        <v>1290000</v>
      </c>
      <c r="E300" t="s">
        <v>151</v>
      </c>
      <c r="F300" s="24" t="str">
        <f t="shared" si="12"/>
        <v>rtdc.l.rtdc.4028:itc</v>
      </c>
      <c r="G300" s="8">
        <f t="shared" si="13"/>
        <v>42586.932256944441</v>
      </c>
    </row>
    <row r="301" spans="1:7" x14ac:dyDescent="0.25">
      <c r="A301" s="8">
        <v>42585.93472222222</v>
      </c>
      <c r="B301" t="s">
        <v>434</v>
      </c>
      <c r="C301" t="s">
        <v>404</v>
      </c>
      <c r="D301">
        <v>1290000</v>
      </c>
      <c r="E301" t="s">
        <v>151</v>
      </c>
      <c r="F301" s="24" t="str">
        <f t="shared" si="12"/>
        <v>rtdc.l.rtdc.4040:itc</v>
      </c>
      <c r="G301" s="8">
        <f t="shared" si="13"/>
        <v>42585.93472222222</v>
      </c>
    </row>
    <row r="302" spans="1:7" x14ac:dyDescent="0.25">
      <c r="A302" s="8">
        <v>42587.055300925924</v>
      </c>
      <c r="B302" t="s">
        <v>112</v>
      </c>
      <c r="C302" t="s">
        <v>668</v>
      </c>
      <c r="D302">
        <v>1480000</v>
      </c>
      <c r="E302" t="s">
        <v>102</v>
      </c>
      <c r="F302" s="24" t="str">
        <f t="shared" si="12"/>
        <v>rtdc.l.rtdc.4008:itc</v>
      </c>
      <c r="G302" s="8">
        <f t="shared" si="13"/>
        <v>42587.055300925924</v>
      </c>
    </row>
    <row r="303" spans="1:7" x14ac:dyDescent="0.25">
      <c r="A303" s="8">
        <v>42585.908206018517</v>
      </c>
      <c r="B303" t="s">
        <v>103</v>
      </c>
      <c r="C303" t="s">
        <v>400</v>
      </c>
      <c r="D303">
        <v>1480000</v>
      </c>
      <c r="E303" t="s">
        <v>102</v>
      </c>
      <c r="F303" s="24" t="str">
        <f t="shared" si="12"/>
        <v>rtdc.l.rtdc.4026:itc</v>
      </c>
      <c r="G303" s="8">
        <f t="shared" si="13"/>
        <v>42585.908206018517</v>
      </c>
    </row>
    <row r="304" spans="1:7" x14ac:dyDescent="0.25">
      <c r="A304" s="8">
        <v>42587.176805555559</v>
      </c>
      <c r="B304" t="s">
        <v>68</v>
      </c>
      <c r="C304" t="s">
        <v>828</v>
      </c>
      <c r="D304">
        <v>1310000</v>
      </c>
      <c r="E304" t="s">
        <v>442</v>
      </c>
      <c r="F304" s="24" t="str">
        <f t="shared" si="12"/>
        <v>rtdc.l.rtdc.4020:itc</v>
      </c>
      <c r="G304" s="8">
        <f t="shared" si="13"/>
        <v>42587.176805555559</v>
      </c>
    </row>
    <row r="305" spans="1:7" x14ac:dyDescent="0.25">
      <c r="A305" s="8">
        <v>42585.889525462961</v>
      </c>
      <c r="B305" t="s">
        <v>351</v>
      </c>
      <c r="C305" t="s">
        <v>397</v>
      </c>
      <c r="D305">
        <v>1290000</v>
      </c>
      <c r="E305" t="s">
        <v>151</v>
      </c>
      <c r="F305" s="24" t="str">
        <f t="shared" si="12"/>
        <v>rtdc.l.rtdc.4039:itc</v>
      </c>
      <c r="G305" s="8">
        <f t="shared" si="13"/>
        <v>42585.889525462961</v>
      </c>
    </row>
    <row r="306" spans="1:7" x14ac:dyDescent="0.25">
      <c r="A306" s="8">
        <v>42587.35328703704</v>
      </c>
      <c r="B306" t="s">
        <v>349</v>
      </c>
      <c r="C306" t="s">
        <v>829</v>
      </c>
      <c r="D306">
        <v>1360000</v>
      </c>
      <c r="E306" t="s">
        <v>283</v>
      </c>
      <c r="F306" s="24" t="str">
        <f t="shared" si="12"/>
        <v>rtdc.l.rtdc.4044:itc</v>
      </c>
      <c r="G306" s="8">
        <f t="shared" si="13"/>
        <v>42587.35328703704</v>
      </c>
    </row>
    <row r="307" spans="1:7" x14ac:dyDescent="0.25">
      <c r="A307" s="8">
        <v>42586.715601851851</v>
      </c>
      <c r="B307" t="s">
        <v>146</v>
      </c>
      <c r="C307" t="s">
        <v>736</v>
      </c>
      <c r="D307">
        <v>2090000</v>
      </c>
      <c r="E307" t="s">
        <v>347</v>
      </c>
      <c r="F307" s="24" t="str">
        <f t="shared" si="12"/>
        <v>rtdc.l.rtdc.4041:itc</v>
      </c>
      <c r="G307" s="8">
        <f t="shared" si="13"/>
        <v>42586.715601851851</v>
      </c>
    </row>
    <row r="308" spans="1:7" x14ac:dyDescent="0.25">
      <c r="F308" s="24">
        <f t="shared" si="12"/>
        <v>0</v>
      </c>
      <c r="G308" s="8">
        <f t="shared" si="13"/>
        <v>0</v>
      </c>
    </row>
    <row r="309" spans="1:7" x14ac:dyDescent="0.25">
      <c r="A309" s="8">
        <v>42579.120023148149</v>
      </c>
      <c r="B309" t="s">
        <v>306</v>
      </c>
      <c r="C309" t="s">
        <v>307</v>
      </c>
      <c r="D309">
        <v>2010000</v>
      </c>
      <c r="E309" t="s">
        <v>285</v>
      </c>
      <c r="F309" s="24" t="str">
        <f t="shared" si="12"/>
        <v>rtdc.l.rtdc.4043:itc</v>
      </c>
      <c r="G309" s="8">
        <f t="shared" si="13"/>
        <v>42579.120023148149</v>
      </c>
    </row>
    <row r="310" spans="1:7" x14ac:dyDescent="0.25">
      <c r="A310" s="8">
        <v>42577.944664351853</v>
      </c>
      <c r="B310" t="s">
        <v>198</v>
      </c>
      <c r="C310" t="s">
        <v>279</v>
      </c>
      <c r="D310">
        <v>1480000</v>
      </c>
      <c r="E310" t="s">
        <v>102</v>
      </c>
      <c r="F310" s="24" t="str">
        <f t="shared" si="12"/>
        <v>rtdc.l.rtdc.4037:itc</v>
      </c>
      <c r="G310" s="8">
        <f t="shared" si="13"/>
        <v>42577.944664351853</v>
      </c>
    </row>
    <row r="311" spans="1:7" x14ac:dyDescent="0.25">
      <c r="A311" s="8">
        <v>42579.134675925925</v>
      </c>
      <c r="B311" t="s">
        <v>69</v>
      </c>
      <c r="C311" t="s">
        <v>308</v>
      </c>
      <c r="D311">
        <v>2010000</v>
      </c>
      <c r="E311" t="s">
        <v>285</v>
      </c>
      <c r="F311" s="24" t="str">
        <f t="shared" si="12"/>
        <v>rtdc.l.rtdc.4018:itc</v>
      </c>
      <c r="G311" s="8">
        <f t="shared" si="13"/>
        <v>42579.134675925925</v>
      </c>
    </row>
    <row r="312" spans="1:7" x14ac:dyDescent="0.25">
      <c r="A312" s="8">
        <v>42577.909143518518</v>
      </c>
      <c r="B312" t="s">
        <v>70</v>
      </c>
      <c r="C312" t="s">
        <v>257</v>
      </c>
      <c r="D312">
        <v>1180000</v>
      </c>
      <c r="E312" t="s">
        <v>201</v>
      </c>
      <c r="F312" s="24" t="str">
        <f t="shared" si="12"/>
        <v>rtdc.l.rtdc.4017:itc</v>
      </c>
      <c r="G312" s="8">
        <f t="shared" si="13"/>
        <v>42577.909143518518</v>
      </c>
    </row>
    <row r="313" spans="1:7" x14ac:dyDescent="0.25">
      <c r="A313" s="8">
        <v>42579.169074074074</v>
      </c>
      <c r="B313" t="s">
        <v>306</v>
      </c>
      <c r="C313" t="s">
        <v>309</v>
      </c>
      <c r="D313">
        <v>2010000</v>
      </c>
      <c r="E313" t="s">
        <v>285</v>
      </c>
      <c r="F313" s="24" t="str">
        <f t="shared" si="12"/>
        <v>rtdc.l.rtdc.4043:itc</v>
      </c>
      <c r="G313" s="8">
        <f t="shared" si="13"/>
        <v>42579.169074074074</v>
      </c>
    </row>
    <row r="314" spans="1:7" x14ac:dyDescent="0.25">
      <c r="A314" s="8">
        <v>42577.903113425928</v>
      </c>
      <c r="B314" t="s">
        <v>198</v>
      </c>
      <c r="C314" t="s">
        <v>276</v>
      </c>
      <c r="D314">
        <v>1480000</v>
      </c>
      <c r="E314" t="s">
        <v>102</v>
      </c>
      <c r="F314" s="24" t="str">
        <f t="shared" si="12"/>
        <v>rtdc.l.rtdc.4037:itc</v>
      </c>
      <c r="G314" s="8">
        <f t="shared" si="13"/>
        <v>42577.903113425928</v>
      </c>
    </row>
    <row r="315" spans="1:7" x14ac:dyDescent="0.25">
      <c r="A315" s="8">
        <v>42579.25509259259</v>
      </c>
      <c r="B315" t="s">
        <v>67</v>
      </c>
      <c r="C315" t="s">
        <v>310</v>
      </c>
      <c r="D315">
        <v>1830000</v>
      </c>
      <c r="E315" t="s">
        <v>305</v>
      </c>
      <c r="F315" s="24" t="str">
        <f t="shared" si="12"/>
        <v>rtdc.l.rtdc.4019:itc</v>
      </c>
      <c r="G315" s="8">
        <f t="shared" si="13"/>
        <v>42579.25509259259</v>
      </c>
    </row>
    <row r="316" spans="1:7" x14ac:dyDescent="0.25">
      <c r="A316" s="8">
        <v>42577.821203703701</v>
      </c>
      <c r="B316" t="s">
        <v>107</v>
      </c>
      <c r="C316" t="s">
        <v>260</v>
      </c>
      <c r="D316">
        <v>950000</v>
      </c>
      <c r="E316" t="s">
        <v>280</v>
      </c>
      <c r="F316" s="24" t="str">
        <f t="shared" si="12"/>
        <v>rtdc.l.rtdc.4029:itc</v>
      </c>
      <c r="G316" s="8">
        <f t="shared" si="13"/>
        <v>42577.821203703701</v>
      </c>
    </row>
    <row r="317" spans="1:7" x14ac:dyDescent="0.25">
      <c r="A317" s="8">
        <v>42579.297511574077</v>
      </c>
      <c r="B317" t="s">
        <v>67</v>
      </c>
      <c r="C317" t="s">
        <v>311</v>
      </c>
      <c r="D317">
        <v>1830000</v>
      </c>
      <c r="E317" t="s">
        <v>305</v>
      </c>
      <c r="F317" s="24" t="str">
        <f t="shared" si="12"/>
        <v>rtdc.l.rtdc.4019:itc</v>
      </c>
      <c r="G317" s="8">
        <f t="shared" si="13"/>
        <v>42579.297511574077</v>
      </c>
    </row>
    <row r="318" spans="1:7" x14ac:dyDescent="0.25">
      <c r="A318" s="8">
        <v>42578.473680555559</v>
      </c>
      <c r="B318" t="s">
        <v>144</v>
      </c>
      <c r="C318" t="s">
        <v>300</v>
      </c>
      <c r="D318">
        <v>1110000</v>
      </c>
      <c r="E318" t="s">
        <v>117</v>
      </c>
      <c r="F318" s="24" t="str">
        <f t="shared" si="12"/>
        <v>rtdc.l.rtdc.4010:itc</v>
      </c>
      <c r="G318" s="8">
        <f t="shared" si="13"/>
        <v>42578.473680555559</v>
      </c>
    </row>
    <row r="319" spans="1:7" x14ac:dyDescent="0.25">
      <c r="F319" s="24">
        <f t="shared" si="12"/>
        <v>0</v>
      </c>
      <c r="G319" s="8">
        <f t="shared" si="13"/>
        <v>0</v>
      </c>
    </row>
    <row r="320" spans="1:7" x14ac:dyDescent="0.25">
      <c r="A320" s="8">
        <v>42577.30159722222</v>
      </c>
      <c r="B320" t="s">
        <v>101</v>
      </c>
      <c r="C320" t="s">
        <v>262</v>
      </c>
      <c r="D320">
        <v>1300000</v>
      </c>
      <c r="E320" t="s">
        <v>148</v>
      </c>
      <c r="F320" s="24" t="str">
        <f t="shared" si="12"/>
        <v>rtdc.l.rtdc.4038:itc</v>
      </c>
      <c r="G320" s="8">
        <f t="shared" si="13"/>
        <v>42577.30159722222</v>
      </c>
    </row>
    <row r="321" spans="1:7" x14ac:dyDescent="0.25">
      <c r="A321" s="8">
        <v>42578.120092592595</v>
      </c>
      <c r="B321" t="s">
        <v>170</v>
      </c>
      <c r="C321" t="s">
        <v>284</v>
      </c>
      <c r="D321">
        <v>2010000</v>
      </c>
      <c r="E321" t="s">
        <v>285</v>
      </c>
      <c r="F321" s="24" t="str">
        <f t="shared" si="12"/>
        <v>rtdc.l.rtdc.4032:itc</v>
      </c>
      <c r="G321" s="8">
        <f t="shared" si="13"/>
        <v>42578.120092592595</v>
      </c>
    </row>
    <row r="322" spans="1:7" x14ac:dyDescent="0.25">
      <c r="A322" s="8">
        <v>42577.302418981482</v>
      </c>
      <c r="B322" t="s">
        <v>170</v>
      </c>
      <c r="C322" t="s">
        <v>230</v>
      </c>
      <c r="D322">
        <v>1750000</v>
      </c>
      <c r="E322" t="s">
        <v>179</v>
      </c>
      <c r="F322" s="24" t="str">
        <f t="shared" si="12"/>
        <v>rtdc.l.rtdc.4032:itc</v>
      </c>
      <c r="G322" s="8">
        <f t="shared" si="13"/>
        <v>42577.302418981482</v>
      </c>
    </row>
    <row r="323" spans="1:7" x14ac:dyDescent="0.25">
      <c r="A323" s="8">
        <v>42577.993136574078</v>
      </c>
      <c r="B323" t="s">
        <v>70</v>
      </c>
      <c r="C323" t="s">
        <v>258</v>
      </c>
      <c r="D323">
        <v>1180000</v>
      </c>
      <c r="E323" t="s">
        <v>201</v>
      </c>
      <c r="F323" s="24" t="str">
        <f t="shared" si="12"/>
        <v>rtdc.l.rtdc.4017:itc</v>
      </c>
      <c r="G323" s="8">
        <f t="shared" si="13"/>
        <v>42577.993136574078</v>
      </c>
    </row>
    <row r="324" spans="1:7" x14ac:dyDescent="0.25">
      <c r="A324" s="8">
        <v>42577.313171296293</v>
      </c>
      <c r="B324" t="s">
        <v>106</v>
      </c>
      <c r="C324" t="s">
        <v>213</v>
      </c>
      <c r="D324">
        <v>1100000</v>
      </c>
      <c r="E324" t="s">
        <v>161</v>
      </c>
      <c r="F324" s="24" t="str">
        <f t="shared" si="12"/>
        <v>rtdc.l.rtdc.4028:itc</v>
      </c>
      <c r="G324" s="8">
        <f t="shared" si="13"/>
        <v>42577.313171296293</v>
      </c>
    </row>
    <row r="325" spans="1:7" x14ac:dyDescent="0.25">
      <c r="A325" s="8">
        <v>42577.944664351853</v>
      </c>
      <c r="B325" t="s">
        <v>198</v>
      </c>
      <c r="C325" t="s">
        <v>279</v>
      </c>
      <c r="D325">
        <v>1480000</v>
      </c>
      <c r="E325" t="s">
        <v>102</v>
      </c>
      <c r="F325" s="24" t="str">
        <f t="shared" si="12"/>
        <v>rtdc.l.rtdc.4037:itc</v>
      </c>
      <c r="G325" s="8">
        <f t="shared" si="13"/>
        <v>42577.944664351853</v>
      </c>
    </row>
    <row r="326" spans="1:7" x14ac:dyDescent="0.25">
      <c r="A326" s="8">
        <v>42577.338888888888</v>
      </c>
      <c r="B326" t="s">
        <v>169</v>
      </c>
      <c r="C326" t="s">
        <v>231</v>
      </c>
      <c r="D326">
        <v>1750000</v>
      </c>
      <c r="E326" t="s">
        <v>179</v>
      </c>
      <c r="F326" s="24" t="str">
        <f t="shared" si="12"/>
        <v>rtdc.l.rtdc.4031:itc</v>
      </c>
      <c r="G326" s="8">
        <f t="shared" si="13"/>
        <v>42577.338888888888</v>
      </c>
    </row>
    <row r="327" spans="1:7" x14ac:dyDescent="0.25">
      <c r="A327" s="8">
        <v>42577.909143518518</v>
      </c>
      <c r="B327" t="s">
        <v>70</v>
      </c>
      <c r="C327" t="s">
        <v>257</v>
      </c>
      <c r="D327">
        <v>1180000</v>
      </c>
      <c r="E327" t="s">
        <v>201</v>
      </c>
      <c r="F327" s="24" t="str">
        <f t="shared" si="12"/>
        <v>rtdc.l.rtdc.4017:itc</v>
      </c>
      <c r="G327" s="8">
        <f t="shared" si="13"/>
        <v>42577.909143518518</v>
      </c>
    </row>
    <row r="328" spans="1:7" x14ac:dyDescent="0.25">
      <c r="A328" s="8">
        <v>42577.349826388891</v>
      </c>
      <c r="B328" t="s">
        <v>108</v>
      </c>
      <c r="C328" t="s">
        <v>214</v>
      </c>
      <c r="D328">
        <v>1260000</v>
      </c>
      <c r="E328" t="s">
        <v>178</v>
      </c>
      <c r="F328" s="24" t="str">
        <f t="shared" si="12"/>
        <v>rtdc.l.rtdc.4030:itc</v>
      </c>
      <c r="G328" s="8">
        <f t="shared" si="13"/>
        <v>42577.349826388891</v>
      </c>
    </row>
    <row r="329" spans="1:7" x14ac:dyDescent="0.25">
      <c r="A329" s="8">
        <v>42577.903113425928</v>
      </c>
      <c r="B329" t="s">
        <v>198</v>
      </c>
      <c r="C329" t="s">
        <v>276</v>
      </c>
      <c r="D329">
        <v>1480000</v>
      </c>
      <c r="E329" t="s">
        <v>102</v>
      </c>
      <c r="F329" s="24" t="str">
        <f t="shared" si="12"/>
        <v>rtdc.l.rtdc.4037:itc</v>
      </c>
      <c r="G329" s="8">
        <f t="shared" si="13"/>
        <v>42577.903113425928</v>
      </c>
    </row>
    <row r="330" spans="1:7" x14ac:dyDescent="0.25">
      <c r="A330" s="8">
        <v>42577.352326388886</v>
      </c>
      <c r="B330" t="s">
        <v>108</v>
      </c>
      <c r="C330" t="s">
        <v>214</v>
      </c>
      <c r="D330">
        <v>1260000</v>
      </c>
      <c r="E330" t="s">
        <v>178</v>
      </c>
      <c r="F330" s="24" t="str">
        <f t="shared" si="12"/>
        <v>rtdc.l.rtdc.4030:itc</v>
      </c>
      <c r="G330" s="8">
        <f t="shared" si="13"/>
        <v>42577.352326388886</v>
      </c>
    </row>
    <row r="331" spans="1:7" x14ac:dyDescent="0.25">
      <c r="A331" s="8">
        <v>42577.821203703701</v>
      </c>
      <c r="B331" t="s">
        <v>107</v>
      </c>
      <c r="C331" t="s">
        <v>260</v>
      </c>
      <c r="D331">
        <v>950000</v>
      </c>
      <c r="E331" t="s">
        <v>280</v>
      </c>
      <c r="F331" s="24" t="str">
        <f t="shared" si="12"/>
        <v>rtdc.l.rtdc.4029:itc</v>
      </c>
      <c r="G331" s="8">
        <f t="shared" si="13"/>
        <v>42577.821203703701</v>
      </c>
    </row>
    <row r="332" spans="1:7" x14ac:dyDescent="0.25">
      <c r="A332" s="8">
        <v>42577.359351851854</v>
      </c>
      <c r="B332" t="s">
        <v>103</v>
      </c>
      <c r="C332" t="s">
        <v>216</v>
      </c>
      <c r="D332">
        <v>1990000</v>
      </c>
      <c r="E332" t="s">
        <v>202</v>
      </c>
      <c r="F332" s="24" t="str">
        <f t="shared" si="12"/>
        <v>rtdc.l.rtdc.4026:itc</v>
      </c>
      <c r="G332" s="8">
        <f t="shared" si="13"/>
        <v>42577.359351851854</v>
      </c>
    </row>
    <row r="333" spans="1:7" x14ac:dyDescent="0.25">
      <c r="A333" s="8">
        <v>42577.819699074076</v>
      </c>
      <c r="B333" t="s">
        <v>198</v>
      </c>
      <c r="C333" t="s">
        <v>273</v>
      </c>
      <c r="D333">
        <v>1770000</v>
      </c>
      <c r="E333" t="s">
        <v>173</v>
      </c>
      <c r="F333" s="24" t="str">
        <f t="shared" si="12"/>
        <v>rtdc.l.rtdc.4037:itc</v>
      </c>
      <c r="G333" s="8">
        <f t="shared" si="13"/>
        <v>42577.819699074076</v>
      </c>
    </row>
    <row r="334" spans="1:7" x14ac:dyDescent="0.25">
      <c r="A334" s="8">
        <v>42577.360810185186</v>
      </c>
      <c r="B334" t="s">
        <v>143</v>
      </c>
      <c r="C334" t="s">
        <v>233</v>
      </c>
      <c r="D334">
        <v>1540000</v>
      </c>
      <c r="E334" t="s">
        <v>180</v>
      </c>
      <c r="F334" s="24" t="str">
        <f t="shared" si="12"/>
        <v>rtdc.l.rtdc.4009:itc</v>
      </c>
      <c r="G334" s="8">
        <f t="shared" si="13"/>
        <v>42577.360810185186</v>
      </c>
    </row>
    <row r="335" spans="1:7" x14ac:dyDescent="0.25">
      <c r="A335" s="8">
        <v>42577.757962962962</v>
      </c>
      <c r="B335" t="s">
        <v>105</v>
      </c>
      <c r="C335" t="s">
        <v>256</v>
      </c>
      <c r="D335">
        <v>1780000</v>
      </c>
      <c r="E335" t="s">
        <v>287</v>
      </c>
      <c r="F335" s="24" t="str">
        <f t="shared" si="12"/>
        <v>rtdc.l.rtdc.4025:itc</v>
      </c>
      <c r="G335" s="8">
        <f t="shared" si="13"/>
        <v>42577.757962962962</v>
      </c>
    </row>
    <row r="336" spans="1:7" x14ac:dyDescent="0.25">
      <c r="A336" s="8">
        <v>42577.382928240739</v>
      </c>
      <c r="B336" t="s">
        <v>101</v>
      </c>
      <c r="C336" t="s">
        <v>264</v>
      </c>
      <c r="D336">
        <v>1300000</v>
      </c>
      <c r="E336" t="s">
        <v>148</v>
      </c>
      <c r="F336" s="24" t="str">
        <f t="shared" si="12"/>
        <v>rtdc.l.rtdc.4038:itc</v>
      </c>
      <c r="G336" s="8">
        <f t="shared" si="13"/>
        <v>42577.382928240739</v>
      </c>
    </row>
    <row r="337" spans="1:7" x14ac:dyDescent="0.25">
      <c r="A337" s="8">
        <v>42577.73809027778</v>
      </c>
      <c r="B337" t="s">
        <v>162</v>
      </c>
      <c r="C337" t="s">
        <v>272</v>
      </c>
      <c r="D337">
        <v>1480000</v>
      </c>
      <c r="E337" t="s">
        <v>102</v>
      </c>
      <c r="F337" s="24" t="str">
        <f t="shared" si="12"/>
        <v>rtdc.l.rtdc.4014:itc</v>
      </c>
      <c r="G337" s="8">
        <f t="shared" si="13"/>
        <v>42577.73809027778</v>
      </c>
    </row>
    <row r="338" spans="1:7" x14ac:dyDescent="0.25">
      <c r="A338" s="8">
        <v>42577.400347222225</v>
      </c>
      <c r="B338" t="s">
        <v>198</v>
      </c>
      <c r="C338" t="s">
        <v>265</v>
      </c>
      <c r="D338">
        <v>1300000</v>
      </c>
      <c r="E338" t="s">
        <v>148</v>
      </c>
      <c r="F338" s="24" t="str">
        <f t="shared" si="12"/>
        <v>rtdc.l.rtdc.4037:itc</v>
      </c>
      <c r="G338" s="8">
        <f t="shared" si="13"/>
        <v>42577.400347222225</v>
      </c>
    </row>
    <row r="339" spans="1:7" x14ac:dyDescent="0.25">
      <c r="A339" s="8">
        <v>42577.714189814818</v>
      </c>
      <c r="B339" t="s">
        <v>101</v>
      </c>
      <c r="C339" t="s">
        <v>271</v>
      </c>
      <c r="D339">
        <v>1770000</v>
      </c>
      <c r="E339" t="s">
        <v>173</v>
      </c>
      <c r="F339" s="24" t="str">
        <f t="shared" si="12"/>
        <v>rtdc.l.rtdc.4038:itc</v>
      </c>
      <c r="G339" s="8">
        <f t="shared" si="13"/>
        <v>42577.714189814818</v>
      </c>
    </row>
    <row r="340" spans="1:7" x14ac:dyDescent="0.25">
      <c r="A340" s="8">
        <v>42577.402118055557</v>
      </c>
      <c r="B340" t="s">
        <v>76</v>
      </c>
      <c r="C340" t="s">
        <v>217</v>
      </c>
      <c r="D340">
        <v>1090000</v>
      </c>
      <c r="E340" t="s">
        <v>111</v>
      </c>
      <c r="F340" s="24" t="str">
        <f t="shared" si="12"/>
        <v>rtdc.l.rtdc.4042:itc</v>
      </c>
      <c r="G340" s="8">
        <f t="shared" si="13"/>
        <v>42577.402118055557</v>
      </c>
    </row>
    <row r="341" spans="1:7" x14ac:dyDescent="0.25">
      <c r="A341" s="8">
        <v>42577.705046296294</v>
      </c>
      <c r="B341" t="s">
        <v>169</v>
      </c>
      <c r="C341" t="s">
        <v>254</v>
      </c>
      <c r="D341">
        <v>940000</v>
      </c>
      <c r="E341" t="s">
        <v>204</v>
      </c>
      <c r="F341" s="24" t="str">
        <f t="shared" si="12"/>
        <v>rtdc.l.rtdc.4031:itc</v>
      </c>
      <c r="G341" s="8">
        <f t="shared" si="13"/>
        <v>42577.705046296294</v>
      </c>
    </row>
    <row r="342" spans="1:7" x14ac:dyDescent="0.25">
      <c r="A342" s="8">
        <v>42577.411493055559</v>
      </c>
      <c r="B342" t="s">
        <v>169</v>
      </c>
      <c r="C342" t="s">
        <v>218</v>
      </c>
      <c r="D342">
        <v>1750000</v>
      </c>
      <c r="E342" t="s">
        <v>179</v>
      </c>
      <c r="F342" s="24" t="str">
        <f t="shared" si="12"/>
        <v>rtdc.l.rtdc.4031:itc</v>
      </c>
      <c r="G342" s="8">
        <f t="shared" si="13"/>
        <v>42577.411493055559</v>
      </c>
    </row>
    <row r="343" spans="1:7" x14ac:dyDescent="0.25">
      <c r="A343" s="8">
        <v>42577.692337962966</v>
      </c>
      <c r="B343" t="s">
        <v>162</v>
      </c>
      <c r="C343" t="s">
        <v>270</v>
      </c>
      <c r="D343">
        <v>1480000</v>
      </c>
      <c r="E343" t="s">
        <v>102</v>
      </c>
      <c r="F343" s="24" t="str">
        <f t="shared" si="12"/>
        <v>rtdc.l.rtdc.4014:itc</v>
      </c>
      <c r="G343" s="8">
        <f t="shared" si="13"/>
        <v>42577.692337962966</v>
      </c>
    </row>
    <row r="344" spans="1:7" x14ac:dyDescent="0.25">
      <c r="A344" s="8">
        <v>42577.42597222222</v>
      </c>
      <c r="B344" t="s">
        <v>101</v>
      </c>
      <c r="C344" t="s">
        <v>266</v>
      </c>
      <c r="D344">
        <v>1300000</v>
      </c>
      <c r="E344" t="s">
        <v>148</v>
      </c>
      <c r="F344" s="24" t="str">
        <f t="shared" si="12"/>
        <v>rtdc.l.rtdc.4038:itc</v>
      </c>
      <c r="G344" s="8">
        <f t="shared" si="13"/>
        <v>42577.42597222222</v>
      </c>
    </row>
    <row r="345" spans="1:7" x14ac:dyDescent="0.25">
      <c r="A345" s="8">
        <v>42577.685925925929</v>
      </c>
      <c r="B345" t="s">
        <v>144</v>
      </c>
      <c r="C345" t="s">
        <v>252</v>
      </c>
      <c r="D345">
        <v>1520000</v>
      </c>
      <c r="E345" t="s">
        <v>171</v>
      </c>
      <c r="F345" s="24" t="str">
        <f t="shared" si="12"/>
        <v>rtdc.l.rtdc.4010:itc</v>
      </c>
      <c r="G345" s="8">
        <f t="shared" si="13"/>
        <v>42577.685925925929</v>
      </c>
    </row>
    <row r="346" spans="1:7" x14ac:dyDescent="0.25">
      <c r="A346" s="8">
        <v>42577.449594907404</v>
      </c>
      <c r="B346" t="s">
        <v>170</v>
      </c>
      <c r="C346" t="s">
        <v>236</v>
      </c>
      <c r="D346">
        <v>1750000</v>
      </c>
      <c r="E346" t="s">
        <v>179</v>
      </c>
      <c r="F346" s="24" t="str">
        <f t="shared" ref="F346:F409" si="14">B346</f>
        <v>rtdc.l.rtdc.4032:itc</v>
      </c>
      <c r="G346" s="8">
        <f t="shared" ref="G346:G409" si="15">A346</f>
        <v>42577.449594907404</v>
      </c>
    </row>
    <row r="347" spans="1:7" x14ac:dyDescent="0.25">
      <c r="A347" s="8">
        <v>42577.684976851851</v>
      </c>
      <c r="B347" t="s">
        <v>105</v>
      </c>
      <c r="C347" t="s">
        <v>229</v>
      </c>
      <c r="D347">
        <v>880000</v>
      </c>
      <c r="E347" t="s">
        <v>175</v>
      </c>
      <c r="F347" s="24" t="str">
        <f t="shared" si="14"/>
        <v>rtdc.l.rtdc.4025:itc</v>
      </c>
      <c r="G347" s="8">
        <f t="shared" si="15"/>
        <v>42577.684976851851</v>
      </c>
    </row>
    <row r="348" spans="1:7" x14ac:dyDescent="0.25">
      <c r="A348" s="8">
        <v>42577.460543981484</v>
      </c>
      <c r="B348" t="s">
        <v>107</v>
      </c>
      <c r="C348" t="s">
        <v>238</v>
      </c>
      <c r="D348">
        <v>1280000</v>
      </c>
      <c r="E348" t="s">
        <v>177</v>
      </c>
      <c r="F348" s="24" t="str">
        <f t="shared" si="14"/>
        <v>rtdc.l.rtdc.4029:itc</v>
      </c>
      <c r="G348" s="8">
        <f t="shared" si="15"/>
        <v>42577.460543981484</v>
      </c>
    </row>
    <row r="349" spans="1:7" x14ac:dyDescent="0.25">
      <c r="A349" s="8">
        <v>42577.664375</v>
      </c>
      <c r="B349" t="s">
        <v>68</v>
      </c>
      <c r="C349" t="s">
        <v>253</v>
      </c>
      <c r="D349">
        <v>950000</v>
      </c>
      <c r="E349" t="s">
        <v>280</v>
      </c>
      <c r="F349" s="24" t="str">
        <f t="shared" si="14"/>
        <v>rtdc.l.rtdc.4020:itc</v>
      </c>
      <c r="G349" s="8">
        <f t="shared" si="15"/>
        <v>42577.664375</v>
      </c>
    </row>
    <row r="350" spans="1:7" x14ac:dyDescent="0.25">
      <c r="A350" s="8">
        <v>42577.483263888891</v>
      </c>
      <c r="B350" t="s">
        <v>67</v>
      </c>
      <c r="C350" t="s">
        <v>220</v>
      </c>
      <c r="D350">
        <v>1240000</v>
      </c>
      <c r="E350" t="s">
        <v>113</v>
      </c>
      <c r="F350" s="24" t="str">
        <f t="shared" si="14"/>
        <v>rtdc.l.rtdc.4019:itc</v>
      </c>
      <c r="G350" s="8">
        <f t="shared" si="15"/>
        <v>42577.483263888891</v>
      </c>
    </row>
    <row r="351" spans="1:7" x14ac:dyDescent="0.25">
      <c r="A351" s="8">
        <v>42577.654421296298</v>
      </c>
      <c r="B351" t="s">
        <v>143</v>
      </c>
      <c r="C351" t="s">
        <v>251</v>
      </c>
      <c r="D351">
        <v>1520000</v>
      </c>
      <c r="E351" t="s">
        <v>171</v>
      </c>
      <c r="F351" s="24" t="str">
        <f t="shared" si="14"/>
        <v>rtdc.l.rtdc.4009:itc</v>
      </c>
      <c r="G351" s="8">
        <f t="shared" si="15"/>
        <v>42577.654421296298</v>
      </c>
    </row>
    <row r="352" spans="1:7" x14ac:dyDescent="0.25">
      <c r="A352" s="8">
        <v>42577.525312500002</v>
      </c>
      <c r="B352" t="s">
        <v>68</v>
      </c>
      <c r="C352" t="s">
        <v>241</v>
      </c>
      <c r="D352">
        <v>950000</v>
      </c>
      <c r="E352" t="s">
        <v>280</v>
      </c>
      <c r="F352" s="24" t="str">
        <f t="shared" si="14"/>
        <v>rtdc.l.rtdc.4020:itc</v>
      </c>
      <c r="G352" s="8">
        <f t="shared" si="15"/>
        <v>42577.525312500002</v>
      </c>
    </row>
    <row r="353" spans="1:7" x14ac:dyDescent="0.25">
      <c r="A353" s="8">
        <v>42577.654097222221</v>
      </c>
      <c r="B353" t="s">
        <v>162</v>
      </c>
      <c r="C353" t="s">
        <v>268</v>
      </c>
      <c r="D353">
        <v>1480000</v>
      </c>
      <c r="E353" t="s">
        <v>102</v>
      </c>
      <c r="F353" s="24" t="str">
        <f t="shared" si="14"/>
        <v>rtdc.l.rtdc.4014:itc</v>
      </c>
      <c r="G353" s="8">
        <f t="shared" si="15"/>
        <v>42577.654097222221</v>
      </c>
    </row>
    <row r="354" spans="1:7" x14ac:dyDescent="0.25">
      <c r="A354" s="8">
        <v>42577.527569444443</v>
      </c>
      <c r="B354" t="s">
        <v>107</v>
      </c>
      <c r="C354" t="s">
        <v>242</v>
      </c>
      <c r="D354">
        <v>1280000</v>
      </c>
      <c r="E354" t="s">
        <v>177</v>
      </c>
      <c r="F354" s="24" t="str">
        <f t="shared" si="14"/>
        <v>rtdc.l.rtdc.4029:itc</v>
      </c>
      <c r="G354" s="8">
        <f t="shared" si="15"/>
        <v>42577.527569444443</v>
      </c>
    </row>
    <row r="355" spans="1:7" x14ac:dyDescent="0.25">
      <c r="A355" s="8">
        <v>42577.646643518521</v>
      </c>
      <c r="B355" t="s">
        <v>69</v>
      </c>
      <c r="C355" t="s">
        <v>250</v>
      </c>
      <c r="D355">
        <v>1140000</v>
      </c>
      <c r="E355" t="s">
        <v>172</v>
      </c>
      <c r="F355" s="24" t="str">
        <f t="shared" si="14"/>
        <v>rtdc.l.rtdc.4018:itc</v>
      </c>
      <c r="G355" s="8">
        <f t="shared" si="15"/>
        <v>42577.646643518521</v>
      </c>
    </row>
    <row r="356" spans="1:7" x14ac:dyDescent="0.25">
      <c r="A356" s="8">
        <v>42577.549317129633</v>
      </c>
      <c r="B356" t="s">
        <v>101</v>
      </c>
      <c r="C356" t="s">
        <v>224</v>
      </c>
      <c r="D356">
        <v>1770000</v>
      </c>
      <c r="E356" t="s">
        <v>173</v>
      </c>
      <c r="F356" s="24" t="str">
        <f t="shared" si="14"/>
        <v>rtdc.l.rtdc.4038:itc</v>
      </c>
      <c r="G356" s="8">
        <f t="shared" si="15"/>
        <v>42577.549317129633</v>
      </c>
    </row>
    <row r="357" spans="1:7" x14ac:dyDescent="0.25">
      <c r="A357" s="8">
        <v>42577.565370370372</v>
      </c>
      <c r="B357" t="s">
        <v>169</v>
      </c>
      <c r="C357" t="s">
        <v>225</v>
      </c>
      <c r="D357">
        <v>940000</v>
      </c>
      <c r="E357" t="s">
        <v>204</v>
      </c>
      <c r="F357" s="24" t="str">
        <f t="shared" si="14"/>
        <v>rtdc.l.rtdc.4031:itc</v>
      </c>
      <c r="G357" s="8">
        <f t="shared" si="15"/>
        <v>42577.565370370372</v>
      </c>
    </row>
    <row r="358" spans="1:7" x14ac:dyDescent="0.25">
      <c r="A358" s="8">
        <v>42577.569039351853</v>
      </c>
      <c r="B358" t="s">
        <v>198</v>
      </c>
      <c r="C358" t="s">
        <v>226</v>
      </c>
      <c r="D358">
        <v>1770000</v>
      </c>
      <c r="E358" t="s">
        <v>173</v>
      </c>
      <c r="F358" s="24" t="str">
        <f t="shared" si="14"/>
        <v>rtdc.l.rtdc.4037:itc</v>
      </c>
      <c r="G358" s="8">
        <f t="shared" si="15"/>
        <v>42577.569039351853</v>
      </c>
    </row>
    <row r="359" spans="1:7" x14ac:dyDescent="0.25">
      <c r="A359" s="8">
        <v>42577.55027777778</v>
      </c>
      <c r="B359" t="s">
        <v>76</v>
      </c>
      <c r="C359" t="s">
        <v>245</v>
      </c>
      <c r="D359">
        <v>1120000</v>
      </c>
      <c r="E359" t="s">
        <v>200</v>
      </c>
      <c r="F359" s="24" t="str">
        <f t="shared" si="14"/>
        <v>rtdc.l.rtdc.4042:itc</v>
      </c>
      <c r="G359" s="8">
        <f t="shared" si="15"/>
        <v>42577.55027777778</v>
      </c>
    </row>
    <row r="360" spans="1:7" x14ac:dyDescent="0.25">
      <c r="A360" s="8">
        <v>42577.572812500002</v>
      </c>
      <c r="B360" t="s">
        <v>69</v>
      </c>
      <c r="C360" t="s">
        <v>246</v>
      </c>
      <c r="D360">
        <v>1140000</v>
      </c>
      <c r="E360" t="s">
        <v>172</v>
      </c>
      <c r="F360" s="24" t="str">
        <f t="shared" si="14"/>
        <v>rtdc.l.rtdc.4018:itc</v>
      </c>
      <c r="G360" s="8">
        <f t="shared" si="15"/>
        <v>42577.572812500002</v>
      </c>
    </row>
    <row r="361" spans="1:7" x14ac:dyDescent="0.25">
      <c r="A361" s="8">
        <v>42577.540868055556</v>
      </c>
      <c r="B361" t="s">
        <v>105</v>
      </c>
      <c r="C361" t="s">
        <v>243</v>
      </c>
      <c r="D361">
        <v>880000</v>
      </c>
      <c r="E361" t="s">
        <v>175</v>
      </c>
      <c r="F361" s="24" t="str">
        <f t="shared" si="14"/>
        <v>rtdc.l.rtdc.4025:itc</v>
      </c>
      <c r="G361" s="8">
        <f t="shared" si="15"/>
        <v>42577.540868055556</v>
      </c>
    </row>
    <row r="362" spans="1:7" x14ac:dyDescent="0.25">
      <c r="A362" s="8">
        <v>42577.577905092592</v>
      </c>
      <c r="B362" t="s">
        <v>103</v>
      </c>
      <c r="C362" t="s">
        <v>244</v>
      </c>
      <c r="D362">
        <v>880000</v>
      </c>
      <c r="E362" t="s">
        <v>175</v>
      </c>
      <c r="F362" s="24" t="str">
        <f t="shared" si="14"/>
        <v>rtdc.l.rtdc.4026:itc</v>
      </c>
      <c r="G362" s="8">
        <f t="shared" si="15"/>
        <v>42577.577905092592</v>
      </c>
    </row>
    <row r="363" spans="1:7" x14ac:dyDescent="0.25">
      <c r="A363" s="8">
        <v>42577.539606481485</v>
      </c>
      <c r="B363" t="s">
        <v>144</v>
      </c>
      <c r="C363" t="s">
        <v>223</v>
      </c>
      <c r="D363">
        <v>1520000</v>
      </c>
      <c r="E363" t="s">
        <v>171</v>
      </c>
      <c r="F363" s="24" t="str">
        <f t="shared" si="14"/>
        <v>rtdc.l.rtdc.4010:itc</v>
      </c>
      <c r="G363" s="8">
        <f t="shared" si="15"/>
        <v>42577.539606481485</v>
      </c>
    </row>
    <row r="364" spans="1:7" x14ac:dyDescent="0.25">
      <c r="A364" s="8">
        <v>42577.581134259257</v>
      </c>
      <c r="B364" t="s">
        <v>143</v>
      </c>
      <c r="C364" t="s">
        <v>247</v>
      </c>
      <c r="D364">
        <v>1520000</v>
      </c>
      <c r="E364" t="s">
        <v>171</v>
      </c>
      <c r="F364" s="24" t="str">
        <f t="shared" si="14"/>
        <v>rtdc.l.rtdc.4009:itc</v>
      </c>
      <c r="G364" s="8">
        <f t="shared" si="15"/>
        <v>42577.581134259257</v>
      </c>
    </row>
    <row r="365" spans="1:7" x14ac:dyDescent="0.25">
      <c r="A365" s="8">
        <v>42577.507789351854</v>
      </c>
      <c r="B365" t="s">
        <v>101</v>
      </c>
      <c r="C365" t="s">
        <v>267</v>
      </c>
      <c r="D365">
        <v>1300000</v>
      </c>
      <c r="E365" t="s">
        <v>148</v>
      </c>
      <c r="F365" s="24" t="str">
        <f t="shared" si="14"/>
        <v>rtdc.l.rtdc.4038:itc</v>
      </c>
      <c r="G365" s="8">
        <f t="shared" si="15"/>
        <v>42577.507789351854</v>
      </c>
    </row>
    <row r="366" spans="1:7" x14ac:dyDescent="0.25">
      <c r="A366" s="8">
        <v>42577.588090277779</v>
      </c>
      <c r="B366" t="s">
        <v>146</v>
      </c>
      <c r="C366" t="s">
        <v>227</v>
      </c>
      <c r="D366">
        <v>1120000</v>
      </c>
      <c r="E366" t="s">
        <v>200</v>
      </c>
      <c r="F366" s="24" t="str">
        <f t="shared" si="14"/>
        <v>rtdc.l.rtdc.4041:itc</v>
      </c>
      <c r="G366" s="8">
        <f t="shared" si="15"/>
        <v>42577.588090277779</v>
      </c>
    </row>
    <row r="367" spans="1:7" x14ac:dyDescent="0.25">
      <c r="A367" s="8">
        <v>42577.505787037036</v>
      </c>
      <c r="B367" t="s">
        <v>103</v>
      </c>
      <c r="C367" t="s">
        <v>222</v>
      </c>
      <c r="D367">
        <v>880000</v>
      </c>
      <c r="E367" t="s">
        <v>175</v>
      </c>
      <c r="F367" s="24" t="str">
        <f t="shared" si="14"/>
        <v>rtdc.l.rtdc.4026:itc</v>
      </c>
      <c r="G367" s="8">
        <f t="shared" si="15"/>
        <v>42577.505787037036</v>
      </c>
    </row>
    <row r="368" spans="1:7" x14ac:dyDescent="0.25">
      <c r="A368" s="8">
        <v>42577.599224537036</v>
      </c>
      <c r="B368" t="s">
        <v>170</v>
      </c>
      <c r="C368" t="s">
        <v>228</v>
      </c>
      <c r="D368">
        <v>940000</v>
      </c>
      <c r="E368" t="s">
        <v>204</v>
      </c>
      <c r="F368" s="24" t="str">
        <f t="shared" si="14"/>
        <v>rtdc.l.rtdc.4032:itc</v>
      </c>
      <c r="G368" s="8">
        <f t="shared" si="15"/>
        <v>42577.599224537036</v>
      </c>
    </row>
    <row r="369" spans="1:7" x14ac:dyDescent="0.25">
      <c r="A369" s="8">
        <v>42577.477210648147</v>
      </c>
      <c r="B369" t="s">
        <v>76</v>
      </c>
      <c r="C369" t="s">
        <v>240</v>
      </c>
      <c r="D369">
        <v>1120000</v>
      </c>
      <c r="E369" t="s">
        <v>200</v>
      </c>
      <c r="F369" s="24" t="str">
        <f t="shared" si="14"/>
        <v>rtdc.l.rtdc.4042:itc</v>
      </c>
      <c r="G369" s="8">
        <f t="shared" si="15"/>
        <v>42577.477210648147</v>
      </c>
    </row>
    <row r="370" spans="1:7" x14ac:dyDescent="0.25">
      <c r="A370" s="8">
        <v>42577.601527777777</v>
      </c>
      <c r="B370" t="s">
        <v>107</v>
      </c>
      <c r="C370" t="s">
        <v>248</v>
      </c>
      <c r="D370">
        <v>1280000</v>
      </c>
      <c r="E370" t="s">
        <v>177</v>
      </c>
      <c r="F370" s="24" t="str">
        <f t="shared" si="14"/>
        <v>rtdc.l.rtdc.4029:itc</v>
      </c>
      <c r="G370" s="8">
        <f t="shared" si="15"/>
        <v>42577.601527777777</v>
      </c>
    </row>
    <row r="371" spans="1:7" x14ac:dyDescent="0.25">
      <c r="A371" s="8">
        <v>42577.445729166669</v>
      </c>
      <c r="B371" t="s">
        <v>68</v>
      </c>
      <c r="C371" t="s">
        <v>237</v>
      </c>
      <c r="D371">
        <v>1240000</v>
      </c>
      <c r="E371" t="s">
        <v>113</v>
      </c>
      <c r="F371" s="24" t="str">
        <f t="shared" si="14"/>
        <v>rtdc.l.rtdc.4020:itc</v>
      </c>
      <c r="G371" s="8">
        <f t="shared" si="15"/>
        <v>42577.445729166669</v>
      </c>
    </row>
    <row r="372" spans="1:7" x14ac:dyDescent="0.25">
      <c r="A372" s="8">
        <v>42577.639097222222</v>
      </c>
      <c r="B372" t="s">
        <v>108</v>
      </c>
      <c r="C372" t="s">
        <v>249</v>
      </c>
      <c r="D372">
        <v>1280000</v>
      </c>
      <c r="E372" t="s">
        <v>177</v>
      </c>
      <c r="F372" s="24" t="str">
        <f t="shared" si="14"/>
        <v>rtdc.l.rtdc.4030:itc</v>
      </c>
      <c r="G372" s="8">
        <f t="shared" si="15"/>
        <v>42577.639097222222</v>
      </c>
    </row>
    <row r="373" spans="1:7" x14ac:dyDescent="0.25">
      <c r="A373" s="8">
        <v>42577.442326388889</v>
      </c>
      <c r="B373" t="s">
        <v>198</v>
      </c>
      <c r="C373" t="s">
        <v>219</v>
      </c>
      <c r="D373">
        <v>1300000</v>
      </c>
      <c r="E373" t="s">
        <v>148</v>
      </c>
      <c r="F373" s="24" t="str">
        <f t="shared" si="14"/>
        <v>rtdc.l.rtdc.4037:itc</v>
      </c>
      <c r="G373" s="8">
        <f t="shared" si="15"/>
        <v>42577.442326388889</v>
      </c>
    </row>
    <row r="374" spans="1:7" x14ac:dyDescent="0.25">
      <c r="A374" s="8">
        <v>42577.692824074074</v>
      </c>
      <c r="B374" t="s">
        <v>198</v>
      </c>
      <c r="C374" t="s">
        <v>269</v>
      </c>
      <c r="D374">
        <v>1770000</v>
      </c>
      <c r="E374" t="s">
        <v>173</v>
      </c>
      <c r="F374" s="24" t="str">
        <f t="shared" si="14"/>
        <v>rtdc.l.rtdc.4037:itc</v>
      </c>
      <c r="G374" s="8">
        <f t="shared" si="15"/>
        <v>42577.692824074074</v>
      </c>
    </row>
    <row r="375" spans="1:7" x14ac:dyDescent="0.25">
      <c r="A375" s="8">
        <v>42577.410821759258</v>
      </c>
      <c r="B375" t="s">
        <v>67</v>
      </c>
      <c r="C375" t="s">
        <v>234</v>
      </c>
      <c r="D375">
        <v>1240000</v>
      </c>
      <c r="E375" t="s">
        <v>113</v>
      </c>
      <c r="F375" s="24" t="str">
        <f t="shared" si="14"/>
        <v>rtdc.l.rtdc.4019:itc</v>
      </c>
      <c r="G375" s="8">
        <f t="shared" si="15"/>
        <v>42577.410821759258</v>
      </c>
    </row>
    <row r="376" spans="1:7" x14ac:dyDescent="0.25">
      <c r="A376" s="8">
        <v>42577.719259259262</v>
      </c>
      <c r="B376" t="s">
        <v>69</v>
      </c>
      <c r="C376" t="s">
        <v>255</v>
      </c>
      <c r="D376">
        <v>1180000</v>
      </c>
      <c r="E376" t="s">
        <v>201</v>
      </c>
      <c r="F376" s="24" t="str">
        <f t="shared" si="14"/>
        <v>rtdc.l.rtdc.4018:itc</v>
      </c>
      <c r="G376" s="8">
        <f t="shared" si="15"/>
        <v>42577.719259259262</v>
      </c>
    </row>
    <row r="377" spans="1:7" x14ac:dyDescent="0.25">
      <c r="A377" s="8">
        <v>42577.390567129631</v>
      </c>
      <c r="B377" t="s">
        <v>106</v>
      </c>
      <c r="C377" t="s">
        <v>232</v>
      </c>
      <c r="D377">
        <v>1100000</v>
      </c>
      <c r="E377" t="s">
        <v>161</v>
      </c>
      <c r="F377" s="24" t="str">
        <f t="shared" si="14"/>
        <v>rtdc.l.rtdc.4028:itc</v>
      </c>
      <c r="G377" s="8">
        <f t="shared" si="15"/>
        <v>42577.390567129631</v>
      </c>
    </row>
    <row r="378" spans="1:7" x14ac:dyDescent="0.25">
      <c r="A378" s="8">
        <v>42577.79420138889</v>
      </c>
      <c r="B378" t="s">
        <v>162</v>
      </c>
      <c r="C378" t="s">
        <v>278</v>
      </c>
      <c r="D378">
        <v>1480000</v>
      </c>
      <c r="E378" t="s">
        <v>102</v>
      </c>
      <c r="F378" s="24" t="str">
        <f t="shared" si="14"/>
        <v>rtdc.l.rtdc.4014:itc</v>
      </c>
      <c r="G378" s="8">
        <f t="shared" si="15"/>
        <v>42577.79420138889</v>
      </c>
    </row>
    <row r="379" spans="1:7" x14ac:dyDescent="0.25">
      <c r="A379" s="8">
        <v>42577.361331018517</v>
      </c>
      <c r="B379" t="s">
        <v>103</v>
      </c>
      <c r="C379" t="s">
        <v>216</v>
      </c>
      <c r="D379">
        <v>1990000</v>
      </c>
      <c r="E379" t="s">
        <v>202</v>
      </c>
      <c r="F379" s="24" t="str">
        <f t="shared" si="14"/>
        <v>rtdc.l.rtdc.4026:itc</v>
      </c>
      <c r="G379" s="8">
        <f t="shared" si="15"/>
        <v>42577.361331018517</v>
      </c>
    </row>
    <row r="380" spans="1:7" x14ac:dyDescent="0.25">
      <c r="A380" s="8">
        <v>42577.843425925923</v>
      </c>
      <c r="B380" t="s">
        <v>101</v>
      </c>
      <c r="C380" t="s">
        <v>275</v>
      </c>
      <c r="D380">
        <v>1770000</v>
      </c>
      <c r="E380" t="s">
        <v>173</v>
      </c>
      <c r="F380" s="24" t="str">
        <f t="shared" si="14"/>
        <v>rtdc.l.rtdc.4038:itc</v>
      </c>
      <c r="G380" s="8">
        <f t="shared" si="15"/>
        <v>42577.843425925923</v>
      </c>
    </row>
    <row r="381" spans="1:7" x14ac:dyDescent="0.25">
      <c r="A381" s="8">
        <v>42577.359178240738</v>
      </c>
      <c r="B381" t="s">
        <v>198</v>
      </c>
      <c r="C381" t="s">
        <v>215</v>
      </c>
      <c r="D381">
        <v>1300000</v>
      </c>
      <c r="E381" t="s">
        <v>148</v>
      </c>
      <c r="F381" s="24" t="str">
        <f t="shared" si="14"/>
        <v>rtdc.l.rtdc.4037:itc</v>
      </c>
      <c r="G381" s="8">
        <f t="shared" si="15"/>
        <v>42577.359178240738</v>
      </c>
    </row>
    <row r="382" spans="1:7" x14ac:dyDescent="0.25">
      <c r="A382" s="8">
        <v>42577.859699074077</v>
      </c>
      <c r="B382" t="s">
        <v>198</v>
      </c>
      <c r="C382" t="s">
        <v>274</v>
      </c>
      <c r="D382">
        <v>1770000</v>
      </c>
      <c r="E382" t="s">
        <v>173</v>
      </c>
      <c r="F382" s="24" t="str">
        <f t="shared" si="14"/>
        <v>rtdc.l.rtdc.4037:itc</v>
      </c>
      <c r="G382" s="8">
        <f t="shared" si="15"/>
        <v>42577.859699074077</v>
      </c>
    </row>
    <row r="383" spans="1:7" x14ac:dyDescent="0.25">
      <c r="A383" s="8">
        <v>42577.324791666666</v>
      </c>
      <c r="B383" t="s">
        <v>162</v>
      </c>
      <c r="C383" t="s">
        <v>263</v>
      </c>
      <c r="D383">
        <v>1110000</v>
      </c>
      <c r="E383" t="s">
        <v>117</v>
      </c>
      <c r="F383" s="24" t="str">
        <f t="shared" si="14"/>
        <v>rtdc.l.rtdc.4014:itc</v>
      </c>
      <c r="G383" s="8">
        <f t="shared" si="15"/>
        <v>42577.324791666666</v>
      </c>
    </row>
    <row r="384" spans="1:7" x14ac:dyDescent="0.25">
      <c r="A384" s="8">
        <v>42577.878252314818</v>
      </c>
      <c r="B384" t="s">
        <v>101</v>
      </c>
      <c r="C384" t="s">
        <v>277</v>
      </c>
      <c r="D384">
        <v>1480000</v>
      </c>
      <c r="E384" t="s">
        <v>102</v>
      </c>
      <c r="F384" s="24" t="str">
        <f t="shared" si="14"/>
        <v>rtdc.l.rtdc.4038:itc</v>
      </c>
      <c r="G384" s="8">
        <f t="shared" si="15"/>
        <v>42577.878252314818</v>
      </c>
    </row>
    <row r="385" spans="1:7" x14ac:dyDescent="0.25">
      <c r="A385" s="8">
        <v>42577.288622685184</v>
      </c>
      <c r="B385" t="s">
        <v>103</v>
      </c>
      <c r="C385" t="s">
        <v>205</v>
      </c>
      <c r="D385">
        <v>1990000</v>
      </c>
      <c r="E385" t="s">
        <v>202</v>
      </c>
      <c r="F385" s="24" t="str">
        <f t="shared" si="14"/>
        <v>rtdc.l.rtdc.4026:itc</v>
      </c>
      <c r="G385" s="8">
        <f t="shared" si="15"/>
        <v>42577.288622685184</v>
      </c>
    </row>
    <row r="386" spans="1:7" x14ac:dyDescent="0.25">
      <c r="A386" s="8">
        <v>42577.983703703707</v>
      </c>
      <c r="B386" t="s">
        <v>105</v>
      </c>
      <c r="C386" t="s">
        <v>259</v>
      </c>
      <c r="D386">
        <v>1230000</v>
      </c>
      <c r="E386" t="s">
        <v>154</v>
      </c>
      <c r="F386" s="24" t="str">
        <f t="shared" si="14"/>
        <v>rtdc.l.rtdc.4025:itc</v>
      </c>
      <c r="G386" s="8">
        <f t="shared" si="15"/>
        <v>42577.983703703707</v>
      </c>
    </row>
    <row r="387" spans="1:7" x14ac:dyDescent="0.25">
      <c r="A387" s="8">
        <v>42577.276747685188</v>
      </c>
      <c r="B387" t="s">
        <v>198</v>
      </c>
      <c r="C387" t="s">
        <v>206</v>
      </c>
      <c r="D387">
        <v>1300000</v>
      </c>
      <c r="E387" t="s">
        <v>148</v>
      </c>
      <c r="F387" s="24" t="str">
        <f t="shared" si="14"/>
        <v>rtdc.l.rtdc.4037:itc</v>
      </c>
      <c r="G387" s="8">
        <f t="shared" si="15"/>
        <v>42577.276747685188</v>
      </c>
    </row>
    <row r="388" spans="1:7" x14ac:dyDescent="0.25">
      <c r="A388" s="8">
        <v>42578.094305555554</v>
      </c>
      <c r="B388" t="s">
        <v>76</v>
      </c>
      <c r="C388" t="s">
        <v>261</v>
      </c>
      <c r="D388">
        <v>1800000</v>
      </c>
      <c r="E388" t="s">
        <v>176</v>
      </c>
      <c r="F388" s="24" t="str">
        <f t="shared" si="14"/>
        <v>rtdc.l.rtdc.4042:itc</v>
      </c>
      <c r="G388" s="8">
        <f t="shared" si="15"/>
        <v>42578.094305555554</v>
      </c>
    </row>
    <row r="389" spans="1:7" x14ac:dyDescent="0.25">
      <c r="A389" s="8">
        <v>42577.220706018517</v>
      </c>
      <c r="B389" t="s">
        <v>146</v>
      </c>
      <c r="C389" t="s">
        <v>203</v>
      </c>
      <c r="D389">
        <v>1090000</v>
      </c>
      <c r="E389" t="s">
        <v>111</v>
      </c>
      <c r="F389" s="24" t="str">
        <f t="shared" si="14"/>
        <v>rtdc.l.rtdc.4041:itc</v>
      </c>
      <c r="G389" s="8">
        <f t="shared" si="15"/>
        <v>42577.220706018517</v>
      </c>
    </row>
    <row r="390" spans="1:7" x14ac:dyDescent="0.25">
      <c r="A390" s="8">
        <v>42578.187083333331</v>
      </c>
      <c r="B390" t="s">
        <v>170</v>
      </c>
      <c r="C390" t="s">
        <v>288</v>
      </c>
      <c r="D390">
        <v>2010000</v>
      </c>
      <c r="E390" t="s">
        <v>285</v>
      </c>
      <c r="F390" s="24" t="str">
        <f t="shared" si="14"/>
        <v>rtdc.l.rtdc.4032:itc</v>
      </c>
      <c r="G390" s="8">
        <f t="shared" si="15"/>
        <v>42578.187083333331</v>
      </c>
    </row>
    <row r="391" spans="1:7" x14ac:dyDescent="0.25">
      <c r="A391" s="8">
        <v>42576.956053240741</v>
      </c>
      <c r="B391" t="s">
        <v>101</v>
      </c>
      <c r="C391" t="s">
        <v>193</v>
      </c>
      <c r="D391">
        <v>1180000</v>
      </c>
      <c r="E391" t="s">
        <v>201</v>
      </c>
      <c r="F391" s="24" t="str">
        <f t="shared" si="14"/>
        <v>rtdc.l.rtdc.4038:itc</v>
      </c>
      <c r="G391" s="8">
        <f t="shared" si="15"/>
        <v>42576.956053240741</v>
      </c>
    </row>
    <row r="392" spans="1:7" x14ac:dyDescent="0.25">
      <c r="A392" s="8">
        <v>42578.27847222222</v>
      </c>
      <c r="B392" t="s">
        <v>67</v>
      </c>
      <c r="C392" t="s">
        <v>289</v>
      </c>
      <c r="D392">
        <v>1100000</v>
      </c>
      <c r="E392" t="s">
        <v>161</v>
      </c>
      <c r="F392" s="24" t="str">
        <f t="shared" si="14"/>
        <v>rtdc.l.rtdc.4019:itc</v>
      </c>
      <c r="G392" s="8">
        <f t="shared" si="15"/>
        <v>42578.27847222222</v>
      </c>
    </row>
    <row r="393" spans="1:7" x14ac:dyDescent="0.25">
      <c r="A393" s="8">
        <v>42576.955509259256</v>
      </c>
      <c r="B393" t="s">
        <v>133</v>
      </c>
      <c r="C393" t="s">
        <v>192</v>
      </c>
      <c r="D393">
        <v>1800000</v>
      </c>
      <c r="E393" t="s">
        <v>176</v>
      </c>
      <c r="F393" s="24" t="str">
        <f t="shared" si="14"/>
        <v>rtdc.l.rtdc.4015:itc</v>
      </c>
      <c r="G393" s="8">
        <f t="shared" si="15"/>
        <v>42576.955509259256</v>
      </c>
    </row>
    <row r="394" spans="1:7" x14ac:dyDescent="0.25">
      <c r="A394" s="8">
        <v>42578.253449074073</v>
      </c>
      <c r="B394" t="s">
        <v>109</v>
      </c>
      <c r="C394" t="s">
        <v>282</v>
      </c>
      <c r="D394">
        <v>1360000</v>
      </c>
      <c r="E394" t="s">
        <v>283</v>
      </c>
      <c r="F394" s="24" t="str">
        <f t="shared" si="14"/>
        <v>rtdc.l.rtdc.4027:itc</v>
      </c>
      <c r="G394" s="8">
        <f t="shared" si="15"/>
        <v>42578.253449074073</v>
      </c>
    </row>
    <row r="395" spans="1:7" x14ac:dyDescent="0.25">
      <c r="A395" s="8">
        <v>42576.954583333332</v>
      </c>
      <c r="B395" t="s">
        <v>133</v>
      </c>
      <c r="C395" t="s">
        <v>192</v>
      </c>
      <c r="D395">
        <v>1800000</v>
      </c>
      <c r="E395" t="s">
        <v>176</v>
      </c>
      <c r="F395" s="24" t="str">
        <f t="shared" si="14"/>
        <v>rtdc.l.rtdc.4015:itc</v>
      </c>
      <c r="G395" s="8">
        <f t="shared" si="15"/>
        <v>42576.954583333332</v>
      </c>
    </row>
    <row r="396" spans="1:7" x14ac:dyDescent="0.25">
      <c r="A396" s="8">
        <v>42578.301388888889</v>
      </c>
      <c r="B396" t="s">
        <v>68</v>
      </c>
      <c r="C396" t="s">
        <v>281</v>
      </c>
      <c r="D396">
        <v>1100000</v>
      </c>
      <c r="E396" t="s">
        <v>161</v>
      </c>
      <c r="F396" s="24" t="str">
        <f t="shared" si="14"/>
        <v>rtdc.l.rtdc.4020:itc</v>
      </c>
      <c r="G396" s="8">
        <f t="shared" si="15"/>
        <v>42578.301388888889</v>
      </c>
    </row>
    <row r="397" spans="1:7" x14ac:dyDescent="0.25">
      <c r="A397" s="8">
        <v>42576.909930555557</v>
      </c>
      <c r="B397" t="s">
        <v>198</v>
      </c>
      <c r="C397" t="s">
        <v>191</v>
      </c>
      <c r="D397">
        <v>1180000</v>
      </c>
      <c r="E397" t="s">
        <v>201</v>
      </c>
      <c r="F397" s="24" t="str">
        <f t="shared" si="14"/>
        <v>rtdc.l.rtdc.4037:itc</v>
      </c>
      <c r="G397" s="8">
        <f t="shared" si="15"/>
        <v>42576.909930555557</v>
      </c>
    </row>
    <row r="398" spans="1:7" x14ac:dyDescent="0.25">
      <c r="A398" s="8">
        <v>42578.298680555556</v>
      </c>
      <c r="B398" t="s">
        <v>107</v>
      </c>
      <c r="C398" t="s">
        <v>286</v>
      </c>
      <c r="D398">
        <v>1190000</v>
      </c>
      <c r="E398" t="s">
        <v>145</v>
      </c>
      <c r="F398" s="24" t="str">
        <f t="shared" si="14"/>
        <v>rtdc.l.rtdc.4029:itc</v>
      </c>
      <c r="G398" s="8">
        <f t="shared" si="15"/>
        <v>42578.298680555556</v>
      </c>
    </row>
    <row r="399" spans="1:7" x14ac:dyDescent="0.25">
      <c r="A399" s="8">
        <v>42576.883668981478</v>
      </c>
      <c r="B399" t="s">
        <v>146</v>
      </c>
      <c r="C399" t="s">
        <v>197</v>
      </c>
      <c r="D399">
        <v>1290000</v>
      </c>
      <c r="E399" t="s">
        <v>151</v>
      </c>
      <c r="F399" s="24" t="str">
        <f t="shared" si="14"/>
        <v>rtdc.l.rtdc.4041:itc</v>
      </c>
      <c r="G399" s="8">
        <f t="shared" si="15"/>
        <v>42576.883668981478</v>
      </c>
    </row>
    <row r="400" spans="1:7" x14ac:dyDescent="0.25">
      <c r="A400" s="8">
        <v>42578.25271990741</v>
      </c>
      <c r="B400" t="s">
        <v>109</v>
      </c>
      <c r="C400" t="s">
        <v>282</v>
      </c>
      <c r="D400">
        <v>1360000</v>
      </c>
      <c r="E400" t="s">
        <v>283</v>
      </c>
      <c r="F400" s="24" t="str">
        <f t="shared" si="14"/>
        <v>rtdc.l.rtdc.4027:itc</v>
      </c>
      <c r="G400" s="8">
        <f t="shared" si="15"/>
        <v>42578.25271990741</v>
      </c>
    </row>
    <row r="401" spans="1:7" x14ac:dyDescent="0.25">
      <c r="A401" s="8">
        <v>42576.844421296293</v>
      </c>
      <c r="B401" t="s">
        <v>104</v>
      </c>
      <c r="C401" t="s">
        <v>189</v>
      </c>
      <c r="D401">
        <v>1810000</v>
      </c>
      <c r="E401" t="s">
        <v>174</v>
      </c>
      <c r="F401" s="24" t="str">
        <f t="shared" si="14"/>
        <v>rtdc.l.rtdc.4013:itc</v>
      </c>
      <c r="G401" s="8">
        <f t="shared" si="15"/>
        <v>42576.844421296293</v>
      </c>
    </row>
    <row r="402" spans="1:7" x14ac:dyDescent="0.25">
      <c r="A402" s="8">
        <v>42578.316828703704</v>
      </c>
      <c r="B402" t="s">
        <v>112</v>
      </c>
      <c r="C402" t="s">
        <v>290</v>
      </c>
      <c r="D402">
        <v>900000</v>
      </c>
      <c r="E402" t="s">
        <v>199</v>
      </c>
      <c r="F402" s="24" t="str">
        <f t="shared" si="14"/>
        <v>rtdc.l.rtdc.4008:itc</v>
      </c>
      <c r="G402" s="8">
        <f t="shared" si="15"/>
        <v>42578.316828703704</v>
      </c>
    </row>
    <row r="403" spans="1:7" x14ac:dyDescent="0.25">
      <c r="A403" s="8">
        <v>42577.494490740741</v>
      </c>
      <c r="B403" t="s">
        <v>108</v>
      </c>
      <c r="C403" t="s">
        <v>221</v>
      </c>
      <c r="D403">
        <v>1280000</v>
      </c>
      <c r="E403" t="s">
        <v>177</v>
      </c>
      <c r="F403" s="24" t="str">
        <f t="shared" si="14"/>
        <v>rtdc.l.rtdc.4030:itc</v>
      </c>
      <c r="G403" s="8">
        <f t="shared" si="15"/>
        <v>42577.494490740741</v>
      </c>
    </row>
    <row r="404" spans="1:7" x14ac:dyDescent="0.25">
      <c r="F404" s="24">
        <f t="shared" si="14"/>
        <v>0</v>
      </c>
      <c r="G404" s="8">
        <f t="shared" si="15"/>
        <v>0</v>
      </c>
    </row>
    <row r="405" spans="1:7" x14ac:dyDescent="0.25">
      <c r="A405" s="8">
        <v>42576.21025462963</v>
      </c>
      <c r="B405" t="s">
        <v>101</v>
      </c>
      <c r="C405" t="s">
        <v>181</v>
      </c>
      <c r="D405">
        <v>1110000</v>
      </c>
      <c r="E405" t="s">
        <v>117</v>
      </c>
      <c r="F405" s="24" t="str">
        <f t="shared" si="14"/>
        <v>rtdc.l.rtdc.4038:itc</v>
      </c>
      <c r="G405" s="8">
        <f t="shared" si="15"/>
        <v>42576.21025462963</v>
      </c>
    </row>
    <row r="406" spans="1:7" x14ac:dyDescent="0.25">
      <c r="A406" s="8">
        <v>42576.997789351852</v>
      </c>
      <c r="B406" t="s">
        <v>134</v>
      </c>
      <c r="C406" t="s">
        <v>194</v>
      </c>
      <c r="D406">
        <v>1800000</v>
      </c>
      <c r="E406" t="s">
        <v>176</v>
      </c>
      <c r="F406" s="24" t="str">
        <f t="shared" si="14"/>
        <v>rtdc.l.rtdc.4016:itc</v>
      </c>
      <c r="G406" s="8">
        <f t="shared" si="15"/>
        <v>42576.997789351852</v>
      </c>
    </row>
    <row r="407" spans="1:7" x14ac:dyDescent="0.25">
      <c r="A407" s="8">
        <v>42576.173506944448</v>
      </c>
      <c r="B407" t="s">
        <v>144</v>
      </c>
      <c r="C407" t="s">
        <v>182</v>
      </c>
      <c r="D407">
        <v>1480000</v>
      </c>
      <c r="E407" t="s">
        <v>102</v>
      </c>
      <c r="F407" s="24" t="str">
        <f t="shared" si="14"/>
        <v>rtdc.l.rtdc.4010:itc</v>
      </c>
      <c r="G407" s="8">
        <f t="shared" si="15"/>
        <v>42576.173506944448</v>
      </c>
    </row>
    <row r="408" spans="1:7" x14ac:dyDescent="0.25">
      <c r="A408" s="8">
        <v>42577.006099537037</v>
      </c>
      <c r="B408" t="s">
        <v>114</v>
      </c>
      <c r="C408" t="s">
        <v>196</v>
      </c>
      <c r="D408">
        <v>1230000</v>
      </c>
      <c r="E408" t="s">
        <v>154</v>
      </c>
      <c r="F408" s="24" t="str">
        <f t="shared" si="14"/>
        <v>rtdc.l.rtdc.4007:itc</v>
      </c>
      <c r="G408" s="8">
        <f t="shared" si="15"/>
        <v>42577.006099537037</v>
      </c>
    </row>
    <row r="409" spans="1:7" x14ac:dyDescent="0.25">
      <c r="A409" s="8">
        <v>42576.171527777777</v>
      </c>
      <c r="B409" t="s">
        <v>134</v>
      </c>
      <c r="C409" t="s">
        <v>183</v>
      </c>
      <c r="D409">
        <v>1190000</v>
      </c>
      <c r="E409" t="s">
        <v>145</v>
      </c>
      <c r="F409" s="24" t="str">
        <f t="shared" si="14"/>
        <v>rtdc.l.rtdc.4016:itc</v>
      </c>
      <c r="G409" s="8">
        <f t="shared" si="15"/>
        <v>42576.171527777777</v>
      </c>
    </row>
    <row r="410" spans="1:7" x14ac:dyDescent="0.25">
      <c r="A410" s="8">
        <v>42577.038541666669</v>
      </c>
      <c r="B410" t="s">
        <v>133</v>
      </c>
      <c r="C410" t="s">
        <v>195</v>
      </c>
      <c r="D410">
        <v>1800000</v>
      </c>
      <c r="E410" t="s">
        <v>176</v>
      </c>
      <c r="F410" s="24" t="str">
        <f t="shared" ref="F410:F473" si="16">B410</f>
        <v>rtdc.l.rtdc.4015:itc</v>
      </c>
      <c r="G410" s="8">
        <f t="shared" ref="G410:G473" si="17">A410</f>
        <v>42577.038541666669</v>
      </c>
    </row>
    <row r="411" spans="1:7" x14ac:dyDescent="0.25">
      <c r="A411" s="8">
        <v>42576.140347222223</v>
      </c>
      <c r="B411" t="s">
        <v>101</v>
      </c>
      <c r="C411" t="s">
        <v>184</v>
      </c>
      <c r="D411">
        <v>1480000</v>
      </c>
      <c r="E411" t="s">
        <v>102</v>
      </c>
      <c r="F411" s="24" t="str">
        <f t="shared" si="16"/>
        <v>rtdc.l.rtdc.4038:itc</v>
      </c>
      <c r="G411" s="8">
        <f t="shared" si="17"/>
        <v>42576.140347222223</v>
      </c>
    </row>
    <row r="412" spans="1:7" x14ac:dyDescent="0.25">
      <c r="A412" s="8">
        <v>42577.175497685188</v>
      </c>
      <c r="B412" t="s">
        <v>105</v>
      </c>
      <c r="C412" t="s">
        <v>207</v>
      </c>
      <c r="D412">
        <v>1990000</v>
      </c>
      <c r="E412" t="s">
        <v>202</v>
      </c>
      <c r="F412" s="24" t="str">
        <f t="shared" si="16"/>
        <v>rtdc.l.rtdc.4025:itc</v>
      </c>
      <c r="G412" s="8">
        <f t="shared" si="17"/>
        <v>42577.175497685188</v>
      </c>
    </row>
    <row r="413" spans="1:7" x14ac:dyDescent="0.25">
      <c r="A413" s="8">
        <v>42576.058923611112</v>
      </c>
      <c r="B413" t="s">
        <v>155</v>
      </c>
      <c r="C413" t="s">
        <v>168</v>
      </c>
      <c r="D413">
        <v>1800000</v>
      </c>
      <c r="E413" t="s">
        <v>176</v>
      </c>
      <c r="F413" s="24" t="str">
        <f t="shared" si="16"/>
        <v>rtdc.l.rtdc.4012:itc</v>
      </c>
      <c r="G413" s="8">
        <f t="shared" si="17"/>
        <v>42576.058923611112</v>
      </c>
    </row>
    <row r="414" spans="1:7" x14ac:dyDescent="0.25">
      <c r="A414" s="8">
        <v>42577.184363425928</v>
      </c>
      <c r="B414" t="s">
        <v>76</v>
      </c>
      <c r="C414" t="s">
        <v>208</v>
      </c>
      <c r="D414">
        <v>1090000</v>
      </c>
      <c r="E414" t="s">
        <v>111</v>
      </c>
      <c r="F414" s="24" t="str">
        <f t="shared" si="16"/>
        <v>rtdc.l.rtdc.4042:itc</v>
      </c>
      <c r="G414" s="8">
        <f t="shared" si="17"/>
        <v>42577.184363425928</v>
      </c>
    </row>
    <row r="415" spans="1:7" x14ac:dyDescent="0.25">
      <c r="A415" s="8">
        <v>42576.017511574071</v>
      </c>
      <c r="B415" t="s">
        <v>153</v>
      </c>
      <c r="C415" t="s">
        <v>167</v>
      </c>
      <c r="D415">
        <v>1800000</v>
      </c>
      <c r="E415" t="s">
        <v>176</v>
      </c>
      <c r="F415" s="24" t="str">
        <f t="shared" si="16"/>
        <v>rtdc.l.rtdc.4011:itc</v>
      </c>
      <c r="G415" s="8">
        <f t="shared" si="17"/>
        <v>42576.017511574071</v>
      </c>
    </row>
    <row r="416" spans="1:7" x14ac:dyDescent="0.25">
      <c r="A416" s="8">
        <v>42577.213009259256</v>
      </c>
      <c r="B416" t="s">
        <v>70</v>
      </c>
      <c r="C416" t="s">
        <v>209</v>
      </c>
      <c r="D416">
        <v>1990000</v>
      </c>
      <c r="E416" t="s">
        <v>202</v>
      </c>
      <c r="F416" s="24" t="str">
        <f t="shared" si="16"/>
        <v>rtdc.l.rtdc.4017:itc</v>
      </c>
      <c r="G416" s="8">
        <f t="shared" si="17"/>
        <v>42577.213009259256</v>
      </c>
    </row>
    <row r="417" spans="1:7" x14ac:dyDescent="0.25">
      <c r="A417" s="8">
        <v>42575.883391203701</v>
      </c>
      <c r="B417" t="s">
        <v>170</v>
      </c>
      <c r="C417" t="s">
        <v>165</v>
      </c>
      <c r="D417">
        <v>1750000</v>
      </c>
      <c r="E417" t="s">
        <v>179</v>
      </c>
      <c r="F417" s="24" t="str">
        <f t="shared" si="16"/>
        <v>rtdc.l.rtdc.4032:itc</v>
      </c>
      <c r="G417" s="8">
        <f t="shared" si="17"/>
        <v>42575.883391203701</v>
      </c>
    </row>
    <row r="418" spans="1:7" x14ac:dyDescent="0.25">
      <c r="A418" s="8">
        <v>42577.214444444442</v>
      </c>
      <c r="B418" t="s">
        <v>143</v>
      </c>
      <c r="C418" t="s">
        <v>210</v>
      </c>
      <c r="D418">
        <v>1540000</v>
      </c>
      <c r="E418" t="s">
        <v>180</v>
      </c>
      <c r="F418" s="24" t="str">
        <f t="shared" si="16"/>
        <v>rtdc.l.rtdc.4009:itc</v>
      </c>
      <c r="G418" s="8">
        <f t="shared" si="17"/>
        <v>42577.214444444442</v>
      </c>
    </row>
    <row r="419" spans="1:7" x14ac:dyDescent="0.25">
      <c r="A419" s="8">
        <v>42575.847673611112</v>
      </c>
      <c r="B419" t="s">
        <v>104</v>
      </c>
      <c r="C419" t="s">
        <v>166</v>
      </c>
      <c r="D419">
        <v>1290000</v>
      </c>
      <c r="E419" t="s">
        <v>151</v>
      </c>
      <c r="F419" s="24" t="str">
        <f t="shared" si="16"/>
        <v>rtdc.l.rtdc.4013:itc</v>
      </c>
      <c r="G419" s="8">
        <f t="shared" si="17"/>
        <v>42575.847673611112</v>
      </c>
    </row>
    <row r="420" spans="1:7" x14ac:dyDescent="0.25">
      <c r="A420" s="8">
        <v>42577.276863425926</v>
      </c>
      <c r="B420" t="s">
        <v>109</v>
      </c>
      <c r="C420" t="s">
        <v>211</v>
      </c>
      <c r="D420">
        <v>1100000</v>
      </c>
      <c r="E420" t="s">
        <v>161</v>
      </c>
      <c r="F420" s="24" t="str">
        <f t="shared" si="16"/>
        <v>rtdc.l.rtdc.4027:itc</v>
      </c>
      <c r="G420" s="8">
        <f t="shared" si="17"/>
        <v>42577.276863425926</v>
      </c>
    </row>
    <row r="421" spans="1:7" x14ac:dyDescent="0.25">
      <c r="A421" s="8">
        <v>42576.376134259262</v>
      </c>
      <c r="B421" t="s">
        <v>134</v>
      </c>
      <c r="C421" t="s">
        <v>187</v>
      </c>
      <c r="D421">
        <v>1240000</v>
      </c>
      <c r="E421" t="s">
        <v>113</v>
      </c>
      <c r="F421" s="24" t="str">
        <f t="shared" si="16"/>
        <v>rtdc.l.rtdc.4016:itc</v>
      </c>
      <c r="G421" s="8">
        <f t="shared" si="17"/>
        <v>42576.376134259262</v>
      </c>
    </row>
    <row r="422" spans="1:7" x14ac:dyDescent="0.25">
      <c r="A422" s="8">
        <v>42577.289629629631</v>
      </c>
      <c r="B422" t="s">
        <v>143</v>
      </c>
      <c r="C422" t="s">
        <v>212</v>
      </c>
      <c r="D422">
        <v>1540000</v>
      </c>
      <c r="E422" t="s">
        <v>180</v>
      </c>
      <c r="F422" s="24" t="str">
        <f t="shared" si="16"/>
        <v>rtdc.l.rtdc.4009:itc</v>
      </c>
      <c r="G422" s="8">
        <f t="shared" si="17"/>
        <v>42577.289629629631</v>
      </c>
    </row>
    <row r="423" spans="1:7" x14ac:dyDescent="0.25">
      <c r="A423" s="8">
        <v>42576.578298611108</v>
      </c>
      <c r="B423" t="s">
        <v>112</v>
      </c>
      <c r="C423" t="s">
        <v>188</v>
      </c>
      <c r="D423">
        <v>880000</v>
      </c>
      <c r="E423" t="s">
        <v>175</v>
      </c>
      <c r="F423" s="24" t="str">
        <f t="shared" si="16"/>
        <v>rtdc.l.rtdc.4008:itc</v>
      </c>
      <c r="G423" s="8">
        <f t="shared" si="17"/>
        <v>42576.578298611108</v>
      </c>
    </row>
    <row r="424" spans="1:7" x14ac:dyDescent="0.25">
      <c r="F424" s="24">
        <f t="shared" si="16"/>
        <v>0</v>
      </c>
      <c r="G424" s="8">
        <f t="shared" si="17"/>
        <v>0</v>
      </c>
    </row>
    <row r="425" spans="1:7" x14ac:dyDescent="0.25">
      <c r="F425" s="24">
        <f t="shared" si="16"/>
        <v>0</v>
      </c>
      <c r="G425" s="8">
        <f t="shared" si="17"/>
        <v>0</v>
      </c>
    </row>
    <row r="426" spans="1:7" x14ac:dyDescent="0.25">
      <c r="F426" s="24">
        <f t="shared" si="16"/>
        <v>0</v>
      </c>
      <c r="G426" s="8">
        <f t="shared" si="17"/>
        <v>0</v>
      </c>
    </row>
    <row r="427" spans="1:7" x14ac:dyDescent="0.25">
      <c r="F427" s="24">
        <f t="shared" si="16"/>
        <v>0</v>
      </c>
      <c r="G427" s="8">
        <f t="shared" si="17"/>
        <v>0</v>
      </c>
    </row>
    <row r="428" spans="1:7" x14ac:dyDescent="0.25">
      <c r="F428" s="24">
        <f t="shared" si="16"/>
        <v>0</v>
      </c>
      <c r="G428" s="8">
        <f t="shared" si="17"/>
        <v>0</v>
      </c>
    </row>
    <row r="429" spans="1:7" x14ac:dyDescent="0.25">
      <c r="F429" s="24">
        <f t="shared" si="16"/>
        <v>0</v>
      </c>
      <c r="G429" s="8">
        <f t="shared" si="17"/>
        <v>0</v>
      </c>
    </row>
    <row r="430" spans="1:7" x14ac:dyDescent="0.25">
      <c r="F430" s="24">
        <f t="shared" si="16"/>
        <v>0</v>
      </c>
      <c r="G430" s="8">
        <f t="shared" si="17"/>
        <v>0</v>
      </c>
    </row>
    <row r="431" spans="1:7" x14ac:dyDescent="0.25">
      <c r="F431" s="24">
        <f t="shared" si="16"/>
        <v>0</v>
      </c>
      <c r="G431" s="8">
        <f t="shared" si="17"/>
        <v>0</v>
      </c>
    </row>
    <row r="432" spans="1:7" x14ac:dyDescent="0.25">
      <c r="F432" s="24">
        <f t="shared" si="16"/>
        <v>0</v>
      </c>
      <c r="G432" s="8">
        <f t="shared" si="17"/>
        <v>0</v>
      </c>
    </row>
    <row r="433" spans="6:7" x14ac:dyDescent="0.25">
      <c r="F433" s="24">
        <f t="shared" si="16"/>
        <v>0</v>
      </c>
      <c r="G433" s="8">
        <f t="shared" si="17"/>
        <v>0</v>
      </c>
    </row>
    <row r="434" spans="6:7" x14ac:dyDescent="0.25">
      <c r="F434" s="24">
        <f t="shared" si="16"/>
        <v>0</v>
      </c>
      <c r="G434" s="8">
        <f t="shared" si="17"/>
        <v>0</v>
      </c>
    </row>
    <row r="435" spans="6:7" x14ac:dyDescent="0.25">
      <c r="F435" s="24">
        <f t="shared" si="16"/>
        <v>0</v>
      </c>
      <c r="G435" s="8">
        <f t="shared" si="17"/>
        <v>0</v>
      </c>
    </row>
    <row r="436" spans="6:7" x14ac:dyDescent="0.25">
      <c r="F436" s="24">
        <f t="shared" si="16"/>
        <v>0</v>
      </c>
      <c r="G436" s="8">
        <f t="shared" si="17"/>
        <v>0</v>
      </c>
    </row>
    <row r="437" spans="6:7" x14ac:dyDescent="0.25">
      <c r="F437" s="24">
        <f t="shared" si="16"/>
        <v>0</v>
      </c>
      <c r="G437" s="8">
        <f t="shared" si="17"/>
        <v>0</v>
      </c>
    </row>
    <row r="438" spans="6:7" x14ac:dyDescent="0.25">
      <c r="F438" s="24">
        <f t="shared" si="16"/>
        <v>0</v>
      </c>
      <c r="G438" s="8">
        <f t="shared" si="17"/>
        <v>0</v>
      </c>
    </row>
    <row r="439" spans="6:7" x14ac:dyDescent="0.25">
      <c r="F439" s="24">
        <f t="shared" si="16"/>
        <v>0</v>
      </c>
      <c r="G439" s="8">
        <f t="shared" si="17"/>
        <v>0</v>
      </c>
    </row>
    <row r="440" spans="6:7" x14ac:dyDescent="0.25">
      <c r="F440" s="24">
        <f t="shared" si="16"/>
        <v>0</v>
      </c>
      <c r="G440" s="8">
        <f t="shared" si="17"/>
        <v>0</v>
      </c>
    </row>
    <row r="441" spans="6:7" x14ac:dyDescent="0.25">
      <c r="F441" s="24">
        <f t="shared" si="16"/>
        <v>0</v>
      </c>
      <c r="G441" s="8">
        <f t="shared" si="17"/>
        <v>0</v>
      </c>
    </row>
    <row r="442" spans="6:7" x14ac:dyDescent="0.25">
      <c r="F442" s="24">
        <f t="shared" si="16"/>
        <v>0</v>
      </c>
      <c r="G442" s="8">
        <f t="shared" si="17"/>
        <v>0</v>
      </c>
    </row>
    <row r="443" spans="6:7" x14ac:dyDescent="0.25">
      <c r="F443" s="24">
        <f t="shared" si="16"/>
        <v>0</v>
      </c>
      <c r="G443" s="8">
        <f t="shared" si="17"/>
        <v>0</v>
      </c>
    </row>
    <row r="444" spans="6:7" x14ac:dyDescent="0.25">
      <c r="F444" s="24">
        <f t="shared" si="16"/>
        <v>0</v>
      </c>
      <c r="G444" s="8">
        <f t="shared" si="17"/>
        <v>0</v>
      </c>
    </row>
    <row r="445" spans="6:7" x14ac:dyDescent="0.25">
      <c r="F445" s="24">
        <f t="shared" si="16"/>
        <v>0</v>
      </c>
      <c r="G445" s="8">
        <f t="shared" si="17"/>
        <v>0</v>
      </c>
    </row>
    <row r="446" spans="6:7" x14ac:dyDescent="0.25">
      <c r="F446" s="24">
        <f t="shared" si="16"/>
        <v>0</v>
      </c>
      <c r="G446" s="8">
        <f t="shared" si="17"/>
        <v>0</v>
      </c>
    </row>
    <row r="447" spans="6:7" x14ac:dyDescent="0.25">
      <c r="F447" s="24">
        <f t="shared" si="16"/>
        <v>0</v>
      </c>
      <c r="G447" s="8">
        <f t="shared" si="17"/>
        <v>0</v>
      </c>
    </row>
    <row r="448" spans="6:7" x14ac:dyDescent="0.25">
      <c r="F448" s="24">
        <f t="shared" si="16"/>
        <v>0</v>
      </c>
      <c r="G448" s="8">
        <f t="shared" si="17"/>
        <v>0</v>
      </c>
    </row>
    <row r="449" spans="6:7" x14ac:dyDescent="0.25">
      <c r="F449" s="24">
        <f t="shared" si="16"/>
        <v>0</v>
      </c>
      <c r="G449" s="8">
        <f t="shared" si="17"/>
        <v>0</v>
      </c>
    </row>
    <row r="450" spans="6:7" x14ac:dyDescent="0.25">
      <c r="F450" s="24">
        <f t="shared" si="16"/>
        <v>0</v>
      </c>
      <c r="G450" s="8">
        <f t="shared" si="17"/>
        <v>0</v>
      </c>
    </row>
    <row r="451" spans="6:7" x14ac:dyDescent="0.25">
      <c r="F451" s="24">
        <f t="shared" si="16"/>
        <v>0</v>
      </c>
      <c r="G451" s="8">
        <f t="shared" si="17"/>
        <v>0</v>
      </c>
    </row>
    <row r="452" spans="6:7" x14ac:dyDescent="0.25">
      <c r="F452" s="24">
        <f t="shared" si="16"/>
        <v>0</v>
      </c>
      <c r="G452" s="8">
        <f t="shared" si="17"/>
        <v>0</v>
      </c>
    </row>
    <row r="453" spans="6:7" x14ac:dyDescent="0.25">
      <c r="F453" s="24">
        <f t="shared" si="16"/>
        <v>0</v>
      </c>
      <c r="G453" s="8">
        <f t="shared" si="17"/>
        <v>0</v>
      </c>
    </row>
    <row r="454" spans="6:7" x14ac:dyDescent="0.25">
      <c r="F454" s="24">
        <f t="shared" si="16"/>
        <v>0</v>
      </c>
      <c r="G454" s="8">
        <f t="shared" si="17"/>
        <v>0</v>
      </c>
    </row>
    <row r="455" spans="6:7" x14ac:dyDescent="0.25">
      <c r="F455" s="24">
        <f t="shared" si="16"/>
        <v>0</v>
      </c>
      <c r="G455" s="8">
        <f t="shared" si="17"/>
        <v>0</v>
      </c>
    </row>
    <row r="456" spans="6:7" x14ac:dyDescent="0.25">
      <c r="F456" s="24">
        <f t="shared" si="16"/>
        <v>0</v>
      </c>
      <c r="G456" s="8">
        <f t="shared" si="17"/>
        <v>0</v>
      </c>
    </row>
    <row r="457" spans="6:7" x14ac:dyDescent="0.25">
      <c r="F457" s="24">
        <f t="shared" si="16"/>
        <v>0</v>
      </c>
      <c r="G457" s="8">
        <f t="shared" si="17"/>
        <v>0</v>
      </c>
    </row>
    <row r="458" spans="6:7" x14ac:dyDescent="0.25">
      <c r="F458" s="24">
        <f t="shared" si="16"/>
        <v>0</v>
      </c>
      <c r="G458" s="8">
        <f t="shared" si="17"/>
        <v>0</v>
      </c>
    </row>
    <row r="459" spans="6:7" x14ac:dyDescent="0.25">
      <c r="F459" s="24">
        <f t="shared" si="16"/>
        <v>0</v>
      </c>
      <c r="G459" s="8">
        <f t="shared" si="17"/>
        <v>0</v>
      </c>
    </row>
    <row r="460" spans="6:7" x14ac:dyDescent="0.25">
      <c r="F460" s="24">
        <f t="shared" si="16"/>
        <v>0</v>
      </c>
      <c r="G460" s="8">
        <f t="shared" si="17"/>
        <v>0</v>
      </c>
    </row>
    <row r="461" spans="6:7" x14ac:dyDescent="0.25">
      <c r="F461" s="24">
        <f t="shared" si="16"/>
        <v>0</v>
      </c>
      <c r="G461" s="8">
        <f t="shared" si="17"/>
        <v>0</v>
      </c>
    </row>
    <row r="462" spans="6:7" x14ac:dyDescent="0.25">
      <c r="F462" s="24">
        <f t="shared" si="16"/>
        <v>0</v>
      </c>
      <c r="G462" s="8">
        <f t="shared" si="17"/>
        <v>0</v>
      </c>
    </row>
    <row r="463" spans="6:7" x14ac:dyDescent="0.25">
      <c r="F463" s="24">
        <f t="shared" si="16"/>
        <v>0</v>
      </c>
      <c r="G463" s="8">
        <f t="shared" si="17"/>
        <v>0</v>
      </c>
    </row>
    <row r="464" spans="6:7" x14ac:dyDescent="0.25">
      <c r="F464" s="24">
        <f t="shared" si="16"/>
        <v>0</v>
      </c>
      <c r="G464" s="8">
        <f t="shared" si="17"/>
        <v>0</v>
      </c>
    </row>
    <row r="465" spans="6:7" x14ac:dyDescent="0.25">
      <c r="F465" s="24">
        <f t="shared" si="16"/>
        <v>0</v>
      </c>
      <c r="G465" s="8">
        <f t="shared" si="17"/>
        <v>0</v>
      </c>
    </row>
    <row r="466" spans="6:7" x14ac:dyDescent="0.25">
      <c r="F466" s="24">
        <f t="shared" si="16"/>
        <v>0</v>
      </c>
      <c r="G466" s="8">
        <f t="shared" si="17"/>
        <v>0</v>
      </c>
    </row>
    <row r="467" spans="6:7" x14ac:dyDescent="0.25">
      <c r="F467" s="24">
        <f t="shared" si="16"/>
        <v>0</v>
      </c>
      <c r="G467" s="8">
        <f t="shared" si="17"/>
        <v>0</v>
      </c>
    </row>
    <row r="468" spans="6:7" x14ac:dyDescent="0.25">
      <c r="F468" s="24">
        <f t="shared" si="16"/>
        <v>0</v>
      </c>
      <c r="G468" s="8">
        <f t="shared" si="17"/>
        <v>0</v>
      </c>
    </row>
    <row r="469" spans="6:7" x14ac:dyDescent="0.25">
      <c r="F469" s="24">
        <f t="shared" si="16"/>
        <v>0</v>
      </c>
      <c r="G469" s="8">
        <f t="shared" si="17"/>
        <v>0</v>
      </c>
    </row>
    <row r="470" spans="6:7" x14ac:dyDescent="0.25">
      <c r="F470" s="24">
        <f t="shared" si="16"/>
        <v>0</v>
      </c>
      <c r="G470" s="8">
        <f t="shared" si="17"/>
        <v>0</v>
      </c>
    </row>
    <row r="471" spans="6:7" x14ac:dyDescent="0.25">
      <c r="F471" s="24">
        <f t="shared" si="16"/>
        <v>0</v>
      </c>
      <c r="G471" s="8">
        <f t="shared" si="17"/>
        <v>0</v>
      </c>
    </row>
    <row r="472" spans="6:7" x14ac:dyDescent="0.25">
      <c r="F472" s="24">
        <f t="shared" si="16"/>
        <v>0</v>
      </c>
      <c r="G472" s="8">
        <f t="shared" si="17"/>
        <v>0</v>
      </c>
    </row>
    <row r="473" spans="6:7" x14ac:dyDescent="0.25">
      <c r="F473" s="24">
        <f t="shared" si="16"/>
        <v>0</v>
      </c>
      <c r="G473" s="8">
        <f t="shared" si="17"/>
        <v>0</v>
      </c>
    </row>
    <row r="474" spans="6:7" x14ac:dyDescent="0.25">
      <c r="F474" s="24">
        <f t="shared" ref="F474:F537" si="18">B474</f>
        <v>0</v>
      </c>
      <c r="G474" s="8">
        <f t="shared" ref="G474:G537" si="19">A474</f>
        <v>0</v>
      </c>
    </row>
    <row r="475" spans="6:7" x14ac:dyDescent="0.25">
      <c r="F475" s="24">
        <f t="shared" si="18"/>
        <v>0</v>
      </c>
      <c r="G475" s="8">
        <f t="shared" si="19"/>
        <v>0</v>
      </c>
    </row>
    <row r="476" spans="6:7" x14ac:dyDescent="0.25">
      <c r="F476" s="24">
        <f t="shared" si="18"/>
        <v>0</v>
      </c>
      <c r="G476" s="8">
        <f t="shared" si="19"/>
        <v>0</v>
      </c>
    </row>
    <row r="477" spans="6:7" x14ac:dyDescent="0.25">
      <c r="F477" s="24">
        <f t="shared" si="18"/>
        <v>0</v>
      </c>
      <c r="G477" s="8">
        <f t="shared" si="19"/>
        <v>0</v>
      </c>
    </row>
    <row r="478" spans="6:7" x14ac:dyDescent="0.25">
      <c r="F478" s="24">
        <f t="shared" si="18"/>
        <v>0</v>
      </c>
      <c r="G478" s="8">
        <f t="shared" si="19"/>
        <v>0</v>
      </c>
    </row>
    <row r="479" spans="6:7" x14ac:dyDescent="0.25">
      <c r="F479" s="24">
        <f t="shared" si="18"/>
        <v>0</v>
      </c>
      <c r="G479" s="8">
        <f t="shared" si="19"/>
        <v>0</v>
      </c>
    </row>
    <row r="480" spans="6:7" x14ac:dyDescent="0.25">
      <c r="F480" s="24">
        <f t="shared" si="18"/>
        <v>0</v>
      </c>
      <c r="G480" s="8">
        <f t="shared" si="19"/>
        <v>0</v>
      </c>
    </row>
    <row r="481" spans="6:7" x14ac:dyDescent="0.25">
      <c r="F481" s="24">
        <f t="shared" si="18"/>
        <v>0</v>
      </c>
      <c r="G481" s="8">
        <f t="shared" si="19"/>
        <v>0</v>
      </c>
    </row>
    <row r="482" spans="6:7" x14ac:dyDescent="0.25">
      <c r="F482" s="24">
        <f t="shared" si="18"/>
        <v>0</v>
      </c>
      <c r="G482" s="8">
        <f t="shared" si="19"/>
        <v>0</v>
      </c>
    </row>
    <row r="483" spans="6:7" x14ac:dyDescent="0.25">
      <c r="F483" s="24">
        <f t="shared" si="18"/>
        <v>0</v>
      </c>
      <c r="G483" s="8">
        <f t="shared" si="19"/>
        <v>0</v>
      </c>
    </row>
    <row r="484" spans="6:7" x14ac:dyDescent="0.25">
      <c r="F484" s="24">
        <f t="shared" si="18"/>
        <v>0</v>
      </c>
      <c r="G484" s="8">
        <f t="shared" si="19"/>
        <v>0</v>
      </c>
    </row>
    <row r="485" spans="6:7" x14ac:dyDescent="0.25">
      <c r="F485" s="24">
        <f t="shared" si="18"/>
        <v>0</v>
      </c>
      <c r="G485" s="8">
        <f t="shared" si="19"/>
        <v>0</v>
      </c>
    </row>
    <row r="486" spans="6:7" x14ac:dyDescent="0.25">
      <c r="F486" s="24">
        <f t="shared" si="18"/>
        <v>0</v>
      </c>
      <c r="G486" s="8">
        <f t="shared" si="19"/>
        <v>0</v>
      </c>
    </row>
    <row r="487" spans="6:7" x14ac:dyDescent="0.25">
      <c r="F487" s="24">
        <f t="shared" si="18"/>
        <v>0</v>
      </c>
      <c r="G487" s="8">
        <f t="shared" si="19"/>
        <v>0</v>
      </c>
    </row>
    <row r="488" spans="6:7" x14ac:dyDescent="0.25">
      <c r="F488" s="24">
        <f t="shared" si="18"/>
        <v>0</v>
      </c>
      <c r="G488" s="8">
        <f t="shared" si="19"/>
        <v>0</v>
      </c>
    </row>
    <row r="489" spans="6:7" x14ac:dyDescent="0.25">
      <c r="F489" s="24">
        <f t="shared" si="18"/>
        <v>0</v>
      </c>
      <c r="G489" s="8">
        <f t="shared" si="19"/>
        <v>0</v>
      </c>
    </row>
    <row r="490" spans="6:7" x14ac:dyDescent="0.25">
      <c r="F490" s="24">
        <f t="shared" si="18"/>
        <v>0</v>
      </c>
      <c r="G490" s="8">
        <f t="shared" si="19"/>
        <v>0</v>
      </c>
    </row>
    <row r="491" spans="6:7" x14ac:dyDescent="0.25">
      <c r="F491" s="24">
        <f t="shared" si="18"/>
        <v>0</v>
      </c>
      <c r="G491" s="8">
        <f t="shared" si="19"/>
        <v>0</v>
      </c>
    </row>
    <row r="492" spans="6:7" x14ac:dyDescent="0.25">
      <c r="F492" s="24">
        <f t="shared" si="18"/>
        <v>0</v>
      </c>
      <c r="G492" s="8">
        <f t="shared" si="19"/>
        <v>0</v>
      </c>
    </row>
    <row r="493" spans="6:7" x14ac:dyDescent="0.25">
      <c r="F493" s="24">
        <f t="shared" si="18"/>
        <v>0</v>
      </c>
      <c r="G493" s="8">
        <f t="shared" si="19"/>
        <v>0</v>
      </c>
    </row>
    <row r="494" spans="6:7" x14ac:dyDescent="0.25">
      <c r="F494" s="24">
        <f t="shared" si="18"/>
        <v>0</v>
      </c>
      <c r="G494" s="8">
        <f t="shared" si="19"/>
        <v>0</v>
      </c>
    </row>
    <row r="495" spans="6:7" x14ac:dyDescent="0.25">
      <c r="F495" s="24">
        <f t="shared" si="18"/>
        <v>0</v>
      </c>
      <c r="G495" s="8">
        <f t="shared" si="19"/>
        <v>0</v>
      </c>
    </row>
    <row r="496" spans="6:7" x14ac:dyDescent="0.25">
      <c r="F496" s="24">
        <f t="shared" si="18"/>
        <v>0</v>
      </c>
      <c r="G496" s="8">
        <f t="shared" si="19"/>
        <v>0</v>
      </c>
    </row>
    <row r="497" spans="6:7" x14ac:dyDescent="0.25">
      <c r="F497" s="24">
        <f t="shared" si="18"/>
        <v>0</v>
      </c>
      <c r="G497" s="8">
        <f t="shared" si="19"/>
        <v>0</v>
      </c>
    </row>
    <row r="498" spans="6:7" x14ac:dyDescent="0.25">
      <c r="F498" s="24">
        <f t="shared" si="18"/>
        <v>0</v>
      </c>
      <c r="G498" s="8">
        <f t="shared" si="19"/>
        <v>0</v>
      </c>
    </row>
    <row r="499" spans="6:7" x14ac:dyDescent="0.25">
      <c r="F499" s="24">
        <f t="shared" si="18"/>
        <v>0</v>
      </c>
      <c r="G499" s="8">
        <f t="shared" si="19"/>
        <v>0</v>
      </c>
    </row>
    <row r="500" spans="6:7" x14ac:dyDescent="0.25">
      <c r="F500" s="24">
        <f t="shared" si="18"/>
        <v>0</v>
      </c>
      <c r="G500" s="8">
        <f t="shared" si="19"/>
        <v>0</v>
      </c>
    </row>
    <row r="501" spans="6:7" x14ac:dyDescent="0.25">
      <c r="F501" s="24">
        <f t="shared" si="18"/>
        <v>0</v>
      </c>
      <c r="G501" s="8">
        <f t="shared" si="19"/>
        <v>0</v>
      </c>
    </row>
    <row r="502" spans="6:7" x14ac:dyDescent="0.25">
      <c r="F502" s="24">
        <f t="shared" si="18"/>
        <v>0</v>
      </c>
      <c r="G502" s="8">
        <f t="shared" si="19"/>
        <v>0</v>
      </c>
    </row>
    <row r="503" spans="6:7" x14ac:dyDescent="0.25">
      <c r="F503" s="24">
        <f t="shared" si="18"/>
        <v>0</v>
      </c>
      <c r="G503" s="8">
        <f t="shared" si="19"/>
        <v>0</v>
      </c>
    </row>
    <row r="504" spans="6:7" x14ac:dyDescent="0.25">
      <c r="F504" s="24">
        <f t="shared" si="18"/>
        <v>0</v>
      </c>
      <c r="G504" s="8">
        <f t="shared" si="19"/>
        <v>0</v>
      </c>
    </row>
    <row r="505" spans="6:7" x14ac:dyDescent="0.25">
      <c r="F505" s="24">
        <f t="shared" si="18"/>
        <v>0</v>
      </c>
      <c r="G505" s="8">
        <f t="shared" si="19"/>
        <v>0</v>
      </c>
    </row>
    <row r="506" spans="6:7" x14ac:dyDescent="0.25">
      <c r="F506" s="24">
        <f t="shared" si="18"/>
        <v>0</v>
      </c>
      <c r="G506" s="8">
        <f t="shared" si="19"/>
        <v>0</v>
      </c>
    </row>
    <row r="507" spans="6:7" x14ac:dyDescent="0.25">
      <c r="F507" s="24">
        <f t="shared" si="18"/>
        <v>0</v>
      </c>
      <c r="G507" s="8">
        <f t="shared" si="19"/>
        <v>0</v>
      </c>
    </row>
    <row r="508" spans="6:7" x14ac:dyDescent="0.25">
      <c r="F508" s="24">
        <f t="shared" si="18"/>
        <v>0</v>
      </c>
      <c r="G508" s="8">
        <f t="shared" si="19"/>
        <v>0</v>
      </c>
    </row>
    <row r="509" spans="6:7" x14ac:dyDescent="0.25">
      <c r="F509" s="24">
        <f t="shared" si="18"/>
        <v>0</v>
      </c>
      <c r="G509" s="8">
        <f t="shared" si="19"/>
        <v>0</v>
      </c>
    </row>
    <row r="510" spans="6:7" x14ac:dyDescent="0.25">
      <c r="F510" s="24">
        <f t="shared" si="18"/>
        <v>0</v>
      </c>
      <c r="G510" s="8">
        <f t="shared" si="19"/>
        <v>0</v>
      </c>
    </row>
    <row r="511" spans="6:7" x14ac:dyDescent="0.25">
      <c r="F511" s="24">
        <f t="shared" si="18"/>
        <v>0</v>
      </c>
      <c r="G511" s="8">
        <f t="shared" si="19"/>
        <v>0</v>
      </c>
    </row>
    <row r="512" spans="6:7" x14ac:dyDescent="0.25">
      <c r="F512" s="24">
        <f t="shared" si="18"/>
        <v>0</v>
      </c>
      <c r="G512" s="8">
        <f t="shared" si="19"/>
        <v>0</v>
      </c>
    </row>
    <row r="513" spans="6:7" x14ac:dyDescent="0.25">
      <c r="F513" s="24">
        <f t="shared" si="18"/>
        <v>0</v>
      </c>
      <c r="G513" s="8">
        <f t="shared" si="19"/>
        <v>0</v>
      </c>
    </row>
    <row r="514" spans="6:7" x14ac:dyDescent="0.25">
      <c r="F514" s="24">
        <f t="shared" si="18"/>
        <v>0</v>
      </c>
      <c r="G514" s="8">
        <f t="shared" si="19"/>
        <v>0</v>
      </c>
    </row>
    <row r="515" spans="6:7" x14ac:dyDescent="0.25">
      <c r="F515" s="24">
        <f t="shared" si="18"/>
        <v>0</v>
      </c>
      <c r="G515" s="8">
        <f t="shared" si="19"/>
        <v>0</v>
      </c>
    </row>
    <row r="516" spans="6:7" x14ac:dyDescent="0.25">
      <c r="F516" s="24">
        <f t="shared" si="18"/>
        <v>0</v>
      </c>
      <c r="G516" s="8">
        <f t="shared" si="19"/>
        <v>0</v>
      </c>
    </row>
    <row r="517" spans="6:7" x14ac:dyDescent="0.25">
      <c r="F517" s="24">
        <f t="shared" si="18"/>
        <v>0</v>
      </c>
      <c r="G517" s="8">
        <f t="shared" si="19"/>
        <v>0</v>
      </c>
    </row>
    <row r="518" spans="6:7" x14ac:dyDescent="0.25">
      <c r="F518" s="24">
        <f t="shared" si="18"/>
        <v>0</v>
      </c>
      <c r="G518" s="8">
        <f t="shared" si="19"/>
        <v>0</v>
      </c>
    </row>
    <row r="519" spans="6:7" x14ac:dyDescent="0.25">
      <c r="F519" s="24">
        <f t="shared" si="18"/>
        <v>0</v>
      </c>
      <c r="G519" s="8">
        <f t="shared" si="19"/>
        <v>0</v>
      </c>
    </row>
    <row r="520" spans="6:7" x14ac:dyDescent="0.25">
      <c r="F520" s="24">
        <f t="shared" si="18"/>
        <v>0</v>
      </c>
      <c r="G520" s="8">
        <f t="shared" si="19"/>
        <v>0</v>
      </c>
    </row>
    <row r="521" spans="6:7" x14ac:dyDescent="0.25">
      <c r="F521" s="24">
        <f t="shared" si="18"/>
        <v>0</v>
      </c>
      <c r="G521" s="8">
        <f t="shared" si="19"/>
        <v>0</v>
      </c>
    </row>
    <row r="522" spans="6:7" x14ac:dyDescent="0.25">
      <c r="F522" s="24">
        <f t="shared" si="18"/>
        <v>0</v>
      </c>
      <c r="G522" s="8">
        <f t="shared" si="19"/>
        <v>0</v>
      </c>
    </row>
    <row r="523" spans="6:7" x14ac:dyDescent="0.25">
      <c r="F523" s="24">
        <f t="shared" si="18"/>
        <v>0</v>
      </c>
      <c r="G523" s="8">
        <f t="shared" si="19"/>
        <v>0</v>
      </c>
    </row>
    <row r="524" spans="6:7" x14ac:dyDescent="0.25">
      <c r="F524" s="24">
        <f t="shared" si="18"/>
        <v>0</v>
      </c>
      <c r="G524" s="8">
        <f t="shared" si="19"/>
        <v>0</v>
      </c>
    </row>
    <row r="525" spans="6:7" x14ac:dyDescent="0.25">
      <c r="F525" s="24">
        <f t="shared" si="18"/>
        <v>0</v>
      </c>
      <c r="G525" s="8">
        <f t="shared" si="19"/>
        <v>0</v>
      </c>
    </row>
    <row r="526" spans="6:7" x14ac:dyDescent="0.25">
      <c r="F526" s="24">
        <f t="shared" si="18"/>
        <v>0</v>
      </c>
      <c r="G526" s="8">
        <f t="shared" si="19"/>
        <v>0</v>
      </c>
    </row>
    <row r="527" spans="6:7" x14ac:dyDescent="0.25">
      <c r="F527" s="24">
        <f t="shared" si="18"/>
        <v>0</v>
      </c>
      <c r="G527" s="8">
        <f t="shared" si="19"/>
        <v>0</v>
      </c>
    </row>
    <row r="528" spans="6:7" x14ac:dyDescent="0.25">
      <c r="F528" s="24">
        <f t="shared" si="18"/>
        <v>0</v>
      </c>
      <c r="G528" s="8">
        <f t="shared" si="19"/>
        <v>0</v>
      </c>
    </row>
    <row r="529" spans="6:7" x14ac:dyDescent="0.25">
      <c r="F529" s="24">
        <f t="shared" si="18"/>
        <v>0</v>
      </c>
      <c r="G529" s="8">
        <f t="shared" si="19"/>
        <v>0</v>
      </c>
    </row>
    <row r="530" spans="6:7" x14ac:dyDescent="0.25">
      <c r="F530" s="24">
        <f t="shared" si="18"/>
        <v>0</v>
      </c>
      <c r="G530" s="8">
        <f t="shared" si="19"/>
        <v>0</v>
      </c>
    </row>
    <row r="531" spans="6:7" x14ac:dyDescent="0.25">
      <c r="F531" s="24">
        <f t="shared" si="18"/>
        <v>0</v>
      </c>
      <c r="G531" s="8">
        <f t="shared" si="19"/>
        <v>0</v>
      </c>
    </row>
    <row r="532" spans="6:7" x14ac:dyDescent="0.25">
      <c r="F532" s="24">
        <f t="shared" si="18"/>
        <v>0</v>
      </c>
      <c r="G532" s="8">
        <f t="shared" si="19"/>
        <v>0</v>
      </c>
    </row>
    <row r="533" spans="6:7" x14ac:dyDescent="0.25">
      <c r="F533" s="24">
        <f t="shared" si="18"/>
        <v>0</v>
      </c>
      <c r="G533" s="8">
        <f t="shared" si="19"/>
        <v>0</v>
      </c>
    </row>
    <row r="534" spans="6:7" x14ac:dyDescent="0.25">
      <c r="F534" s="24">
        <f t="shared" si="18"/>
        <v>0</v>
      </c>
      <c r="G534" s="8">
        <f t="shared" si="19"/>
        <v>0</v>
      </c>
    </row>
    <row r="535" spans="6:7" x14ac:dyDescent="0.25">
      <c r="F535" s="24">
        <f t="shared" si="18"/>
        <v>0</v>
      </c>
      <c r="G535" s="8">
        <f t="shared" si="19"/>
        <v>0</v>
      </c>
    </row>
    <row r="536" spans="6:7" x14ac:dyDescent="0.25">
      <c r="F536" s="24">
        <f t="shared" si="18"/>
        <v>0</v>
      </c>
      <c r="G536" s="8">
        <f t="shared" si="19"/>
        <v>0</v>
      </c>
    </row>
    <row r="537" spans="6:7" x14ac:dyDescent="0.25">
      <c r="F537" s="24">
        <f t="shared" si="18"/>
        <v>0</v>
      </c>
      <c r="G537" s="8">
        <f t="shared" si="19"/>
        <v>0</v>
      </c>
    </row>
    <row r="538" spans="6:7" x14ac:dyDescent="0.25">
      <c r="F538" s="24">
        <f t="shared" ref="F538:F543" si="20">B538</f>
        <v>0</v>
      </c>
      <c r="G538" s="8">
        <f t="shared" ref="G538:G543" si="21">A538</f>
        <v>0</v>
      </c>
    </row>
    <row r="539" spans="6:7" x14ac:dyDescent="0.25">
      <c r="F539" s="24">
        <f t="shared" si="20"/>
        <v>0</v>
      </c>
      <c r="G539" s="8">
        <f t="shared" si="21"/>
        <v>0</v>
      </c>
    </row>
    <row r="540" spans="6:7" x14ac:dyDescent="0.25">
      <c r="F540" s="24">
        <f t="shared" si="20"/>
        <v>0</v>
      </c>
      <c r="G540" s="8">
        <f t="shared" si="21"/>
        <v>0</v>
      </c>
    </row>
    <row r="541" spans="6:7" x14ac:dyDescent="0.25">
      <c r="F541" s="24">
        <f t="shared" si="20"/>
        <v>0</v>
      </c>
      <c r="G541" s="8">
        <f t="shared" si="21"/>
        <v>0</v>
      </c>
    </row>
    <row r="542" spans="6:7" x14ac:dyDescent="0.25">
      <c r="F542" s="24">
        <f t="shared" si="20"/>
        <v>0</v>
      </c>
      <c r="G542" s="8">
        <f t="shared" si="21"/>
        <v>0</v>
      </c>
    </row>
    <row r="543" spans="6:7" x14ac:dyDescent="0.25">
      <c r="F543" s="24">
        <f t="shared" si="20"/>
        <v>0</v>
      </c>
      <c r="G543" s="8">
        <f t="shared" si="21"/>
        <v>0</v>
      </c>
    </row>
  </sheetData>
  <sortState ref="A1:E291">
    <sortCondition ref="C1:C29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24"/>
  <sheetViews>
    <sheetView workbookViewId="0"/>
  </sheetViews>
  <sheetFormatPr defaultRowHeight="15" x14ac:dyDescent="0.25"/>
  <cols>
    <col min="1" max="1" width="32.140625" customWidth="1"/>
    <col min="3" max="3" width="24" customWidth="1"/>
    <col min="4" max="4" width="19.140625" customWidth="1"/>
    <col min="10" max="10" width="24.28515625" bestFit="1" customWidth="1"/>
    <col min="11" max="11" width="15.28515625" hidden="1" customWidth="1"/>
    <col min="12" max="12" width="13.5703125" hidden="1" customWidth="1"/>
    <col min="13" max="13" width="9" style="75" bestFit="1" customWidth="1"/>
  </cols>
  <sheetData>
    <row r="1" spans="1:16" ht="45.75" x14ac:dyDescent="0.3">
      <c r="A1" s="14" t="s">
        <v>25</v>
      </c>
      <c r="C1" s="95" t="s">
        <v>291</v>
      </c>
      <c r="D1" s="96" t="s">
        <v>292</v>
      </c>
      <c r="J1" s="35" t="s">
        <v>293</v>
      </c>
      <c r="K1" s="35" t="s">
        <v>82</v>
      </c>
      <c r="L1" s="35" t="s">
        <v>83</v>
      </c>
      <c r="O1" s="99" t="s">
        <v>294</v>
      </c>
    </row>
    <row r="2" spans="1:16" ht="15.75" thickBot="1" x14ac:dyDescent="0.3">
      <c r="A2" s="15">
        <v>42586</v>
      </c>
      <c r="B2" s="4"/>
      <c r="C2" s="97">
        <v>50</v>
      </c>
      <c r="D2" s="98">
        <v>25</v>
      </c>
      <c r="F2" t="s">
        <v>60</v>
      </c>
      <c r="J2" s="35"/>
      <c r="K2" s="35" t="s">
        <v>82</v>
      </c>
      <c r="L2" s="35" t="s">
        <v>83</v>
      </c>
    </row>
    <row r="3" spans="1:16" x14ac:dyDescent="0.25">
      <c r="F3" t="s">
        <v>61</v>
      </c>
      <c r="J3" s="36" t="s">
        <v>84</v>
      </c>
      <c r="K3" s="37">
        <v>2.7052</v>
      </c>
      <c r="L3" s="37">
        <v>2.7349999999999999</v>
      </c>
      <c r="M3" s="75">
        <f t="shared" ref="M3:M14" si="0">AVERAGE(K3:L3)</f>
        <v>2.7201</v>
      </c>
      <c r="O3" t="s">
        <v>295</v>
      </c>
      <c r="P3" s="75">
        <f>AVERAGE(1.0714,1.1016)</f>
        <v>1.0865</v>
      </c>
    </row>
    <row r="4" spans="1:16" x14ac:dyDescent="0.25">
      <c r="F4" t="s">
        <v>62</v>
      </c>
      <c r="J4" s="36" t="s">
        <v>85</v>
      </c>
      <c r="K4" s="37">
        <v>3.0830000000000002</v>
      </c>
      <c r="L4" s="37">
        <v>3.097</v>
      </c>
      <c r="M4" s="75">
        <f t="shared" si="0"/>
        <v>3.09</v>
      </c>
    </row>
    <row r="5" spans="1:16" x14ac:dyDescent="0.25">
      <c r="J5" s="36" t="s">
        <v>86</v>
      </c>
      <c r="K5" s="37">
        <v>3.3136000000000001</v>
      </c>
      <c r="L5" s="37">
        <v>3.3256999999999999</v>
      </c>
      <c r="M5" s="75">
        <f t="shared" si="0"/>
        <v>3.3196500000000002</v>
      </c>
    </row>
    <row r="6" spans="1:16" x14ac:dyDescent="0.25">
      <c r="J6" s="36" t="s">
        <v>87</v>
      </c>
      <c r="K6" s="37">
        <v>4.2778999999999998</v>
      </c>
      <c r="L6" s="37">
        <v>4.2961</v>
      </c>
      <c r="M6" s="75">
        <f t="shared" si="0"/>
        <v>4.2869999999999999</v>
      </c>
    </row>
    <row r="7" spans="1:16" x14ac:dyDescent="0.25">
      <c r="J7" s="36" t="s">
        <v>88</v>
      </c>
      <c r="K7" s="37">
        <v>4.7865000000000002</v>
      </c>
      <c r="L7" s="37">
        <v>4.8048000000000002</v>
      </c>
      <c r="M7" s="75">
        <f t="shared" si="0"/>
        <v>4.7956500000000002</v>
      </c>
    </row>
    <row r="8" spans="1:16" x14ac:dyDescent="0.25">
      <c r="J8" s="36" t="s">
        <v>89</v>
      </c>
      <c r="K8" s="37">
        <v>5.3155000000000001</v>
      </c>
      <c r="L8" s="37">
        <v>5.3277000000000001</v>
      </c>
      <c r="M8" s="75">
        <f t="shared" si="0"/>
        <v>5.3216000000000001</v>
      </c>
    </row>
    <row r="9" spans="1:16" x14ac:dyDescent="0.25">
      <c r="J9" s="36" t="s">
        <v>90</v>
      </c>
      <c r="K9" s="37">
        <v>5.8117000000000001</v>
      </c>
      <c r="L9" s="37">
        <v>5.8300999999999998</v>
      </c>
      <c r="M9" s="75">
        <f t="shared" si="0"/>
        <v>5.8209</v>
      </c>
    </row>
    <row r="10" spans="1:16" x14ac:dyDescent="0.25">
      <c r="J10" s="36" t="s">
        <v>91</v>
      </c>
      <c r="K10" s="37">
        <v>5.8783000000000003</v>
      </c>
      <c r="L10" s="37">
        <v>5.8903999999999996</v>
      </c>
      <c r="M10" s="75">
        <f t="shared" si="0"/>
        <v>5.8843499999999995</v>
      </c>
    </row>
    <row r="11" spans="1:16" x14ac:dyDescent="0.25">
      <c r="J11" s="36" t="s">
        <v>92</v>
      </c>
      <c r="K11" s="37">
        <v>6.3068</v>
      </c>
      <c r="L11" s="37">
        <v>6.3308999999999997</v>
      </c>
      <c r="M11" s="75">
        <f t="shared" si="0"/>
        <v>6.3188499999999994</v>
      </c>
    </row>
    <row r="12" spans="1:16" x14ac:dyDescent="0.25">
      <c r="J12" s="36" t="s">
        <v>93</v>
      </c>
      <c r="K12" s="37">
        <v>7.8349000000000002</v>
      </c>
      <c r="L12" s="37">
        <v>7.8468999999999998</v>
      </c>
      <c r="M12" s="75">
        <f t="shared" si="0"/>
        <v>7.8408999999999995</v>
      </c>
    </row>
    <row r="13" spans="1:16" x14ac:dyDescent="0.25">
      <c r="J13" s="36" t="s">
        <v>94</v>
      </c>
      <c r="K13" s="37">
        <v>10.373799999999999</v>
      </c>
      <c r="L13" s="37">
        <v>10.38</v>
      </c>
      <c r="M13" s="75">
        <f t="shared" si="0"/>
        <v>10.376899999999999</v>
      </c>
    </row>
    <row r="14" spans="1:16" x14ac:dyDescent="0.25">
      <c r="J14" s="36" t="s">
        <v>95</v>
      </c>
      <c r="K14" s="37">
        <v>10.8954</v>
      </c>
      <c r="L14" s="37">
        <v>10.913500000000001</v>
      </c>
      <c r="M14" s="75">
        <f t="shared" si="0"/>
        <v>10.904450000000001</v>
      </c>
    </row>
    <row r="15" spans="1:16" x14ac:dyDescent="0.25">
      <c r="J15" s="36"/>
      <c r="K15" s="37"/>
      <c r="L15" s="37"/>
    </row>
    <row r="16" spans="1:16" x14ac:dyDescent="0.25">
      <c r="J16" s="36"/>
      <c r="K16" s="37"/>
      <c r="L16" s="37"/>
    </row>
    <row r="17" spans="10:13" x14ac:dyDescent="0.25">
      <c r="J17" s="36"/>
      <c r="K17" s="37"/>
      <c r="L17" s="37"/>
    </row>
    <row r="18" spans="10:13" x14ac:dyDescent="0.25">
      <c r="J18" s="36" t="s">
        <v>120</v>
      </c>
      <c r="K18" s="37"/>
      <c r="L18" s="37"/>
      <c r="M18" s="75" t="str">
        <f>"""C:\Program Files (x86)\AstroGrep\AstroGrep.exe"""</f>
        <v>"C:\Program Files (x86)\AstroGrep\AstroGrep.exe"</v>
      </c>
    </row>
    <row r="19" spans="10:13" x14ac:dyDescent="0.25">
      <c r="J19" s="36" t="s">
        <v>121</v>
      </c>
      <c r="K19" s="37"/>
      <c r="L19" s="37"/>
      <c r="M19" s="75" t="s">
        <v>377</v>
      </c>
    </row>
    <row r="20" spans="10:13" x14ac:dyDescent="0.25">
      <c r="J20" t="s">
        <v>122</v>
      </c>
      <c r="M20" s="75" t="s">
        <v>353</v>
      </c>
    </row>
    <row r="21" spans="10:13" x14ac:dyDescent="0.25">
      <c r="J21" s="24" t="s">
        <v>125</v>
      </c>
      <c r="K21" s="24" t="s">
        <v>126</v>
      </c>
      <c r="M21" s="75" t="s">
        <v>126</v>
      </c>
    </row>
    <row r="22" spans="10:13" x14ac:dyDescent="0.25">
      <c r="J22" s="24" t="s">
        <v>127</v>
      </c>
      <c r="K22" s="24" t="s">
        <v>128</v>
      </c>
      <c r="M22" s="75" t="s">
        <v>376</v>
      </c>
    </row>
    <row r="23" spans="10:13" x14ac:dyDescent="0.25">
      <c r="J23" s="32" t="s">
        <v>130</v>
      </c>
      <c r="K23" s="24"/>
      <c r="M23" s="75">
        <v>-6</v>
      </c>
    </row>
    <row r="24" spans="10:13" x14ac:dyDescent="0.25">
      <c r="J24" s="24" t="s">
        <v>354</v>
      </c>
      <c r="K24" s="24"/>
      <c r="M24" s="75" t="s">
        <v>375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Train Runs</vt:lpstr>
      <vt:lpstr>Enforcements</vt:lpstr>
      <vt:lpstr>Missing Trips</vt:lpstr>
      <vt:lpstr>Trips&amp;Operators</vt:lpstr>
      <vt:lpstr>Variables</vt:lpstr>
      <vt:lpstr>astrogrep_path</vt:lpstr>
      <vt:lpstr>'Train Runs'!Denver_Train_Runs_04122016</vt:lpstr>
      <vt:lpstr>refinertdcruntimes</vt:lpstr>
      <vt:lpstr>s3_bucket</vt:lpstr>
      <vt:lpstr>search_path</vt:lpstr>
      <vt:lpstr>search_regexp</vt:lpstr>
      <vt:lpstr>utc_offset</vt:lpstr>
      <vt:lpstr>walkandungz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2016-08-05T15:42:32Z</dcterms:modified>
</cp:coreProperties>
</file>