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Enforcements!$A$6:$N$92</definedName>
    <definedName name="_xlnm._FilterDatabase" localSheetId="2" hidden="1">'Missing Trips'!$A$2:$G$2</definedName>
    <definedName name="_xlnm._FilterDatabase" localSheetId="0" hidden="1">'Train Runs'!$A$12:$AD$191</definedName>
    <definedName name="_xlnm._FilterDatabase" localSheetId="3" hidden="1">'Trips&amp;Operators'!$A$1:$E$211</definedName>
    <definedName name="Denver_Train_Runs_04122016" localSheetId="0">'Train Runs'!$A$12:$J$98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3" l="1"/>
  <c r="K15" i="1" l="1"/>
  <c r="L15" i="1"/>
  <c r="M15" i="1"/>
  <c r="P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K17" i="1"/>
  <c r="L17" i="1"/>
  <c r="M17" i="1"/>
  <c r="P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K20" i="1"/>
  <c r="L20" i="1"/>
  <c r="M20" i="1"/>
  <c r="P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AB21" i="1"/>
  <c r="AC21" i="1"/>
  <c r="AD21" i="1"/>
  <c r="K22" i="1"/>
  <c r="L22" i="1"/>
  <c r="M22" i="1"/>
  <c r="P22" i="1" s="1"/>
  <c r="T22" i="1"/>
  <c r="V22" i="1"/>
  <c r="X22" i="1"/>
  <c r="Y22" i="1"/>
  <c r="Z22" i="1"/>
  <c r="AB22" i="1"/>
  <c r="AC22" i="1"/>
  <c r="AD22" i="1"/>
  <c r="K23" i="1"/>
  <c r="L23" i="1"/>
  <c r="M23" i="1"/>
  <c r="P23" i="1" s="1"/>
  <c r="T23" i="1"/>
  <c r="V23" i="1"/>
  <c r="X23" i="1"/>
  <c r="Y23" i="1"/>
  <c r="Z23" i="1"/>
  <c r="AB23" i="1"/>
  <c r="AC23" i="1"/>
  <c r="AD23" i="1"/>
  <c r="K24" i="1"/>
  <c r="L24" i="1"/>
  <c r="M24" i="1"/>
  <c r="P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K28" i="1"/>
  <c r="L28" i="1"/>
  <c r="M28" i="1"/>
  <c r="P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P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P32" i="1" s="1"/>
  <c r="T32" i="1"/>
  <c r="V32" i="1"/>
  <c r="X32" i="1"/>
  <c r="Y32" i="1"/>
  <c r="Z32" i="1"/>
  <c r="AB32" i="1"/>
  <c r="AC32" i="1"/>
  <c r="AD32" i="1"/>
  <c r="K33" i="1"/>
  <c r="L33" i="1"/>
  <c r="M33" i="1"/>
  <c r="P33" i="1" s="1"/>
  <c r="T33" i="1"/>
  <c r="V33" i="1"/>
  <c r="X33" i="1"/>
  <c r="Y33" i="1"/>
  <c r="Z33" i="1"/>
  <c r="AB33" i="1"/>
  <c r="AC33" i="1"/>
  <c r="AD33" i="1"/>
  <c r="K34" i="1"/>
  <c r="L34" i="1"/>
  <c r="M34" i="1"/>
  <c r="P34" i="1" s="1"/>
  <c r="T34" i="1"/>
  <c r="V34" i="1"/>
  <c r="X34" i="1"/>
  <c r="Y34" i="1"/>
  <c r="Z34" i="1"/>
  <c r="AB34" i="1"/>
  <c r="AC34" i="1"/>
  <c r="AD34" i="1"/>
  <c r="K35" i="1"/>
  <c r="L35" i="1"/>
  <c r="M35" i="1"/>
  <c r="T35" i="1"/>
  <c r="V35" i="1"/>
  <c r="X35" i="1"/>
  <c r="Y35" i="1"/>
  <c r="Z35" i="1"/>
  <c r="AB35" i="1"/>
  <c r="AC35" i="1"/>
  <c r="AD35" i="1"/>
  <c r="K36" i="1"/>
  <c r="L36" i="1"/>
  <c r="M36" i="1"/>
  <c r="T36" i="1"/>
  <c r="V36" i="1"/>
  <c r="X36" i="1"/>
  <c r="Y36" i="1"/>
  <c r="Z36" i="1"/>
  <c r="AB36" i="1"/>
  <c r="AC36" i="1"/>
  <c r="AD36" i="1"/>
  <c r="K37" i="1"/>
  <c r="L37" i="1"/>
  <c r="M37" i="1"/>
  <c r="P37" i="1" s="1"/>
  <c r="T37" i="1"/>
  <c r="V37" i="1"/>
  <c r="X37" i="1"/>
  <c r="Y37" i="1"/>
  <c r="Z37" i="1"/>
  <c r="AB37" i="1"/>
  <c r="AC37" i="1"/>
  <c r="AD37" i="1"/>
  <c r="K38" i="1"/>
  <c r="L38" i="1"/>
  <c r="M38" i="1"/>
  <c r="T38" i="1"/>
  <c r="V38" i="1"/>
  <c r="X38" i="1"/>
  <c r="Y38" i="1"/>
  <c r="Z38" i="1"/>
  <c r="AB38" i="1"/>
  <c r="AC38" i="1"/>
  <c r="AD38" i="1"/>
  <c r="K39" i="1"/>
  <c r="L39" i="1"/>
  <c r="M39" i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P43" i="1" s="1"/>
  <c r="T43" i="1"/>
  <c r="V43" i="1"/>
  <c r="X43" i="1"/>
  <c r="Y43" i="1"/>
  <c r="Z43" i="1"/>
  <c r="AB43" i="1"/>
  <c r="AC43" i="1"/>
  <c r="AD43" i="1"/>
  <c r="K44" i="1"/>
  <c r="L44" i="1"/>
  <c r="M44" i="1"/>
  <c r="P44" i="1" s="1"/>
  <c r="T44" i="1"/>
  <c r="V44" i="1"/>
  <c r="X44" i="1"/>
  <c r="Y44" i="1"/>
  <c r="Z44" i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P47" i="1" s="1"/>
  <c r="T47" i="1"/>
  <c r="V47" i="1"/>
  <c r="X47" i="1"/>
  <c r="Y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AA56" i="1" s="1"/>
  <c r="W56" i="1" s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AA60" i="1" s="1"/>
  <c r="W60" i="1" s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P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P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T105" i="1"/>
  <c r="V105" i="1"/>
  <c r="X105" i="1"/>
  <c r="Y105" i="1"/>
  <c r="Z105" i="1"/>
  <c r="AB105" i="1"/>
  <c r="AC105" i="1"/>
  <c r="AD105" i="1"/>
  <c r="K106" i="1"/>
  <c r="L106" i="1"/>
  <c r="M106" i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P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P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P112" i="1" s="1"/>
  <c r="T112" i="1"/>
  <c r="V112" i="1"/>
  <c r="X112" i="1"/>
  <c r="Y112" i="1"/>
  <c r="Z112" i="1"/>
  <c r="AB112" i="1"/>
  <c r="AC112" i="1"/>
  <c r="AD112" i="1"/>
  <c r="K113" i="1"/>
  <c r="L113" i="1"/>
  <c r="M113" i="1"/>
  <c r="P113" i="1" s="1"/>
  <c r="T113" i="1"/>
  <c r="V113" i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K116" i="1"/>
  <c r="L116" i="1"/>
  <c r="M116" i="1"/>
  <c r="P116" i="1" s="1"/>
  <c r="T116" i="1"/>
  <c r="V116" i="1"/>
  <c r="X116" i="1"/>
  <c r="Y116" i="1"/>
  <c r="Z116" i="1"/>
  <c r="AB116" i="1"/>
  <c r="AC116" i="1"/>
  <c r="AD116" i="1"/>
  <c r="K117" i="1"/>
  <c r="L117" i="1"/>
  <c r="M117" i="1"/>
  <c r="P117" i="1" s="1"/>
  <c r="T117" i="1"/>
  <c r="V117" i="1"/>
  <c r="X117" i="1"/>
  <c r="Y117" i="1"/>
  <c r="Z117" i="1"/>
  <c r="AB117" i="1"/>
  <c r="AC117" i="1"/>
  <c r="AD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P120" i="1" s="1"/>
  <c r="T120" i="1"/>
  <c r="V120" i="1"/>
  <c r="X120" i="1"/>
  <c r="Y120" i="1"/>
  <c r="Z120" i="1"/>
  <c r="AB120" i="1"/>
  <c r="AC120" i="1"/>
  <c r="AD120" i="1"/>
  <c r="K121" i="1"/>
  <c r="L121" i="1"/>
  <c r="M121" i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P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P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P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P143" i="1" s="1"/>
  <c r="T143" i="1"/>
  <c r="V143" i="1"/>
  <c r="X143" i="1"/>
  <c r="Y143" i="1"/>
  <c r="Z143" i="1"/>
  <c r="AB143" i="1"/>
  <c r="AC143" i="1"/>
  <c r="AD143" i="1"/>
  <c r="K144" i="1"/>
  <c r="L144" i="1"/>
  <c r="M144" i="1"/>
  <c r="T144" i="1"/>
  <c r="V144" i="1"/>
  <c r="X144" i="1"/>
  <c r="Y144" i="1"/>
  <c r="Z144" i="1"/>
  <c r="AA144" i="1" s="1"/>
  <c r="W144" i="1" s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4" i="1"/>
  <c r="V155" i="1"/>
  <c r="V156" i="1"/>
  <c r="V157" i="1"/>
  <c r="V158" i="1"/>
  <c r="V159" i="1"/>
  <c r="V160" i="1"/>
  <c r="V161" i="1"/>
  <c r="V162" i="1"/>
  <c r="L8" i="3"/>
  <c r="L13" i="3"/>
  <c r="L14" i="3"/>
  <c r="L15" i="3"/>
  <c r="L12" i="3"/>
  <c r="L9" i="3"/>
  <c r="L10" i="3"/>
  <c r="L11" i="3"/>
  <c r="L17" i="3"/>
  <c r="L16" i="3"/>
  <c r="L29" i="3"/>
  <c r="L18" i="3"/>
  <c r="L30" i="3"/>
  <c r="L19" i="3"/>
  <c r="L32" i="3"/>
  <c r="L33" i="3"/>
  <c r="L31" i="3"/>
  <c r="L25" i="3"/>
  <c r="L23" i="3"/>
  <c r="L24" i="3"/>
  <c r="L20" i="3"/>
  <c r="L28" i="3"/>
  <c r="L26" i="3"/>
  <c r="L27" i="3"/>
  <c r="L21" i="3"/>
  <c r="L22" i="3"/>
  <c r="L49" i="3"/>
  <c r="L50" i="3"/>
  <c r="L53" i="3"/>
  <c r="L38" i="3"/>
  <c r="L51" i="3"/>
  <c r="L39" i="3"/>
  <c r="L37" i="3"/>
  <c r="L35" i="3"/>
  <c r="L45" i="3"/>
  <c r="L52" i="3"/>
  <c r="L40" i="3"/>
  <c r="L34" i="3"/>
  <c r="L42" i="3"/>
  <c r="L46" i="3"/>
  <c r="L47" i="3"/>
  <c r="L48" i="3"/>
  <c r="L43" i="3"/>
  <c r="L41" i="3"/>
  <c r="L44" i="3"/>
  <c r="L36" i="3"/>
  <c r="L54" i="3"/>
  <c r="L57" i="3"/>
  <c r="L55" i="3"/>
  <c r="L56" i="3"/>
  <c r="L58" i="3"/>
  <c r="L59" i="3"/>
  <c r="L85" i="3"/>
  <c r="L60" i="3"/>
  <c r="L86" i="3"/>
  <c r="L61" i="3"/>
  <c r="L87" i="3"/>
  <c r="L88" i="3"/>
  <c r="L62" i="3"/>
  <c r="L89" i="3"/>
  <c r="L90" i="3"/>
  <c r="L63" i="3"/>
  <c r="L91" i="3"/>
  <c r="L64" i="3"/>
  <c r="L65" i="3"/>
  <c r="L66" i="3"/>
  <c r="L67" i="3"/>
  <c r="L68" i="3"/>
  <c r="L74" i="3"/>
  <c r="L75" i="3"/>
  <c r="L69" i="3"/>
  <c r="L70" i="3"/>
  <c r="L76" i="3"/>
  <c r="L77" i="3"/>
  <c r="L78" i="3"/>
  <c r="L71" i="3"/>
  <c r="L79" i="3"/>
  <c r="L72" i="3"/>
  <c r="L80" i="3"/>
  <c r="L73" i="3"/>
  <c r="L81" i="3"/>
  <c r="L82" i="3"/>
  <c r="L83" i="3"/>
  <c r="L84" i="3"/>
  <c r="L7" i="3"/>
  <c r="AA151" i="1" l="1"/>
  <c r="W151" i="1" s="1"/>
  <c r="U150" i="1"/>
  <c r="S150" i="1" s="1"/>
  <c r="AA123" i="1"/>
  <c r="W123" i="1" s="1"/>
  <c r="AA117" i="1"/>
  <c r="W117" i="1" s="1"/>
  <c r="AA63" i="1"/>
  <c r="W63" i="1" s="1"/>
  <c r="AA50" i="1"/>
  <c r="W50" i="1" s="1"/>
  <c r="AA149" i="1"/>
  <c r="W149" i="1" s="1"/>
  <c r="AA120" i="1"/>
  <c r="W120" i="1" s="1"/>
  <c r="U17" i="1"/>
  <c r="S17" i="1" s="1"/>
  <c r="P35" i="1"/>
  <c r="AA94" i="1"/>
  <c r="W94" i="1" s="1"/>
  <c r="AA87" i="1"/>
  <c r="W87" i="1" s="1"/>
  <c r="AA51" i="1"/>
  <c r="W51" i="1" s="1"/>
  <c r="AA140" i="1"/>
  <c r="W140" i="1" s="1"/>
  <c r="AA128" i="1"/>
  <c r="W128" i="1" s="1"/>
  <c r="U109" i="1"/>
  <c r="S109" i="1" s="1"/>
  <c r="AA105" i="1"/>
  <c r="W105" i="1" s="1"/>
  <c r="AA76" i="1"/>
  <c r="W76" i="1" s="1"/>
  <c r="AA40" i="1"/>
  <c r="W40" i="1" s="1"/>
  <c r="AA32" i="1"/>
  <c r="W32" i="1" s="1"/>
  <c r="AA130" i="1"/>
  <c r="W130" i="1" s="1"/>
  <c r="AA126" i="1"/>
  <c r="W126" i="1" s="1"/>
  <c r="AA99" i="1"/>
  <c r="W99" i="1" s="1"/>
  <c r="AA46" i="1"/>
  <c r="W46" i="1" s="1"/>
  <c r="U136" i="1"/>
  <c r="S136" i="1" s="1"/>
  <c r="AA129" i="1"/>
  <c r="W129" i="1" s="1"/>
  <c r="AA125" i="1"/>
  <c r="W125" i="1" s="1"/>
  <c r="AA119" i="1"/>
  <c r="W119" i="1" s="1"/>
  <c r="AA118" i="1"/>
  <c r="W118" i="1" s="1"/>
  <c r="AA104" i="1"/>
  <c r="W104" i="1" s="1"/>
  <c r="AA100" i="1"/>
  <c r="W100" i="1" s="1"/>
  <c r="AA88" i="1"/>
  <c r="W88" i="1" s="1"/>
  <c r="AA67" i="1"/>
  <c r="W67" i="1" s="1"/>
  <c r="AA62" i="1"/>
  <c r="W62" i="1" s="1"/>
  <c r="AA59" i="1"/>
  <c r="W59" i="1" s="1"/>
  <c r="AA49" i="1"/>
  <c r="W49" i="1" s="1"/>
  <c r="AA48" i="1"/>
  <c r="W48" i="1" s="1"/>
  <c r="P38" i="1"/>
  <c r="AA148" i="1"/>
  <c r="W148" i="1" s="1"/>
  <c r="AA131" i="1"/>
  <c r="W131" i="1" s="1"/>
  <c r="AA112" i="1"/>
  <c r="W112" i="1" s="1"/>
  <c r="P105" i="1"/>
  <c r="AA98" i="1"/>
  <c r="W98" i="1" s="1"/>
  <c r="AA90" i="1"/>
  <c r="W90" i="1" s="1"/>
  <c r="AA79" i="1"/>
  <c r="W79" i="1" s="1"/>
  <c r="AA74" i="1"/>
  <c r="W74" i="1" s="1"/>
  <c r="AA65" i="1"/>
  <c r="W65" i="1" s="1"/>
  <c r="AA52" i="1"/>
  <c r="W52" i="1" s="1"/>
  <c r="AA43" i="1"/>
  <c r="W43" i="1" s="1"/>
  <c r="U100" i="1"/>
  <c r="S100" i="1" s="1"/>
  <c r="AA86" i="1"/>
  <c r="W86" i="1" s="1"/>
  <c r="AA24" i="1"/>
  <c r="W24" i="1" s="1"/>
  <c r="U147" i="1"/>
  <c r="S147" i="1" s="1"/>
  <c r="U142" i="1"/>
  <c r="S142" i="1" s="1"/>
  <c r="P129" i="1"/>
  <c r="U148" i="1"/>
  <c r="S148" i="1" s="1"/>
  <c r="AA136" i="1"/>
  <c r="W136" i="1" s="1"/>
  <c r="U112" i="1"/>
  <c r="S112" i="1" s="1"/>
  <c r="U153" i="1"/>
  <c r="S153" i="1" s="1"/>
  <c r="AA146" i="1"/>
  <c r="W146" i="1" s="1"/>
  <c r="U144" i="1"/>
  <c r="AA141" i="1"/>
  <c r="W141" i="1" s="1"/>
  <c r="U140" i="1"/>
  <c r="S140" i="1" s="1"/>
  <c r="AA127" i="1"/>
  <c r="W127" i="1" s="1"/>
  <c r="AA122" i="1"/>
  <c r="W122" i="1" s="1"/>
  <c r="AA121" i="1"/>
  <c r="W121" i="1" s="1"/>
  <c r="AA109" i="1"/>
  <c r="W109" i="1" s="1"/>
  <c r="AA103" i="1"/>
  <c r="W103" i="1" s="1"/>
  <c r="AA96" i="1"/>
  <c r="W96" i="1" s="1"/>
  <c r="AA89" i="1"/>
  <c r="W89" i="1" s="1"/>
  <c r="AA72" i="1"/>
  <c r="W72" i="1" s="1"/>
  <c r="AA70" i="1"/>
  <c r="W70" i="1" s="1"/>
  <c r="P41" i="1"/>
  <c r="U120" i="1"/>
  <c r="S120" i="1" s="1"/>
  <c r="AA102" i="1"/>
  <c r="W102" i="1" s="1"/>
  <c r="AA153" i="1"/>
  <c r="W153" i="1" s="1"/>
  <c r="AA152" i="1"/>
  <c r="W152" i="1" s="1"/>
  <c r="AA150" i="1"/>
  <c r="W150" i="1" s="1"/>
  <c r="AA147" i="1"/>
  <c r="W147" i="1" s="1"/>
  <c r="AA145" i="1"/>
  <c r="W145" i="1" s="1"/>
  <c r="AA143" i="1"/>
  <c r="W143" i="1" s="1"/>
  <c r="AA139" i="1"/>
  <c r="W139" i="1" s="1"/>
  <c r="AA138" i="1"/>
  <c r="W138" i="1" s="1"/>
  <c r="AA137" i="1"/>
  <c r="W137" i="1" s="1"/>
  <c r="AA135" i="1"/>
  <c r="W135" i="1" s="1"/>
  <c r="AA134" i="1"/>
  <c r="W134" i="1" s="1"/>
  <c r="AA133" i="1"/>
  <c r="W133" i="1" s="1"/>
  <c r="U128" i="1"/>
  <c r="S128" i="1" s="1"/>
  <c r="AA106" i="1"/>
  <c r="W106" i="1" s="1"/>
  <c r="AA95" i="1"/>
  <c r="W95" i="1" s="1"/>
  <c r="AA92" i="1"/>
  <c r="W92" i="1" s="1"/>
  <c r="AA91" i="1"/>
  <c r="W91" i="1" s="1"/>
  <c r="AA81" i="1"/>
  <c r="W81" i="1" s="1"/>
  <c r="AA80" i="1"/>
  <c r="W80" i="1" s="1"/>
  <c r="AA68" i="1"/>
  <c r="W68" i="1" s="1"/>
  <c r="AA66" i="1"/>
  <c r="W66" i="1" s="1"/>
  <c r="AA57" i="1"/>
  <c r="W57" i="1" s="1"/>
  <c r="AA55" i="1"/>
  <c r="W55" i="1" s="1"/>
  <c r="AA54" i="1"/>
  <c r="W54" i="1" s="1"/>
  <c r="AA75" i="1"/>
  <c r="W75" i="1" s="1"/>
  <c r="AA64" i="1"/>
  <c r="W64" i="1" s="1"/>
  <c r="AA115" i="1"/>
  <c r="W115" i="1" s="1"/>
  <c r="AA114" i="1"/>
  <c r="W114" i="1" s="1"/>
  <c r="AA113" i="1"/>
  <c r="W113" i="1" s="1"/>
  <c r="AA111" i="1"/>
  <c r="W111" i="1" s="1"/>
  <c r="AA110" i="1"/>
  <c r="W110" i="1" s="1"/>
  <c r="AA108" i="1"/>
  <c r="W108" i="1" s="1"/>
  <c r="AA97" i="1"/>
  <c r="W97" i="1" s="1"/>
  <c r="AA84" i="1"/>
  <c r="W84" i="1" s="1"/>
  <c r="AA82" i="1"/>
  <c r="W82" i="1" s="1"/>
  <c r="AA73" i="1"/>
  <c r="W73" i="1" s="1"/>
  <c r="AA71" i="1"/>
  <c r="W71" i="1" s="1"/>
  <c r="AA58" i="1"/>
  <c r="W58" i="1" s="1"/>
  <c r="AA47" i="1"/>
  <c r="W47" i="1" s="1"/>
  <c r="AA44" i="1"/>
  <c r="W44" i="1" s="1"/>
  <c r="AA36" i="1"/>
  <c r="W36" i="1" s="1"/>
  <c r="AA28" i="1"/>
  <c r="W28" i="1" s="1"/>
  <c r="AA20" i="1"/>
  <c r="W20" i="1" s="1"/>
  <c r="U152" i="1"/>
  <c r="S152" i="1" s="1"/>
  <c r="U151" i="1"/>
  <c r="S151" i="1" s="1"/>
  <c r="U149" i="1"/>
  <c r="S149" i="1" s="1"/>
  <c r="U146" i="1"/>
  <c r="S146" i="1" s="1"/>
  <c r="U145" i="1"/>
  <c r="S145" i="1" s="1"/>
  <c r="U139" i="1"/>
  <c r="S139" i="1" s="1"/>
  <c r="U124" i="1"/>
  <c r="S124" i="1" s="1"/>
  <c r="AA124" i="1"/>
  <c r="W124" i="1" s="1"/>
  <c r="U52" i="1"/>
  <c r="S52" i="1" s="1"/>
  <c r="U116" i="1"/>
  <c r="S116" i="1" s="1"/>
  <c r="AA116" i="1"/>
  <c r="W116" i="1" s="1"/>
  <c r="AA142" i="1"/>
  <c r="W142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AA16" i="1"/>
  <c r="W16" i="1" s="1"/>
  <c r="U15" i="1"/>
  <c r="S15" i="1" s="1"/>
  <c r="U143" i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U118" i="1"/>
  <c r="S118" i="1" s="1"/>
  <c r="U115" i="1"/>
  <c r="S115" i="1" s="1"/>
  <c r="U113" i="1"/>
  <c r="S113" i="1" s="1"/>
  <c r="U110" i="1"/>
  <c r="S110" i="1" s="1"/>
  <c r="U104" i="1"/>
  <c r="S104" i="1" s="1"/>
  <c r="AA93" i="1"/>
  <c r="W93" i="1" s="1"/>
  <c r="U88" i="1"/>
  <c r="S88" i="1" s="1"/>
  <c r="AA77" i="1"/>
  <c r="W77" i="1" s="1"/>
  <c r="U72" i="1"/>
  <c r="S72" i="1" s="1"/>
  <c r="AA61" i="1"/>
  <c r="W61" i="1" s="1"/>
  <c r="U56" i="1"/>
  <c r="S56" i="1" s="1"/>
  <c r="AA45" i="1"/>
  <c r="W45" i="1" s="1"/>
  <c r="U39" i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U101" i="1"/>
  <c r="S101" i="1" s="1"/>
  <c r="U97" i="1"/>
  <c r="S97" i="1" s="1"/>
  <c r="U93" i="1"/>
  <c r="S93" i="1" s="1"/>
  <c r="U89" i="1"/>
  <c r="S89" i="1" s="1"/>
  <c r="U85" i="1"/>
  <c r="S85" i="1" s="1"/>
  <c r="U81" i="1"/>
  <c r="S81" i="1" s="1"/>
  <c r="U61" i="1"/>
  <c r="S61" i="1" s="1"/>
  <c r="U57" i="1"/>
  <c r="S57" i="1" s="1"/>
  <c r="U49" i="1"/>
  <c r="S49" i="1" s="1"/>
  <c r="U106" i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AA41" i="1"/>
  <c r="W41" i="1" s="1"/>
  <c r="U40" i="1"/>
  <c r="S40" i="1" s="1"/>
  <c r="U38" i="1"/>
  <c r="S38" i="1" s="1"/>
  <c r="AA37" i="1"/>
  <c r="W37" i="1" s="1"/>
  <c r="U36" i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Q74" i="3"/>
  <c r="Q51" i="3"/>
  <c r="Q14" i="3"/>
  <c r="Q15" i="3"/>
  <c r="Q75" i="3"/>
  <c r="Q12" i="3"/>
  <c r="Q60" i="3"/>
  <c r="Q69" i="3"/>
  <c r="Q73" i="3"/>
  <c r="Q27" i="3"/>
  <c r="Q81" i="3"/>
  <c r="Q82" i="3"/>
  <c r="Q36" i="3"/>
  <c r="P82" i="3"/>
  <c r="Q88" i="3"/>
  <c r="Q61" i="3"/>
  <c r="Q78" i="3"/>
  <c r="Q28" i="3"/>
  <c r="Q71" i="3"/>
  <c r="Q30" i="3"/>
  <c r="Q62" i="3"/>
  <c r="Q26" i="3"/>
  <c r="Q79" i="3"/>
  <c r="Q19" i="3"/>
  <c r="Q35" i="3"/>
  <c r="Q7" i="3"/>
  <c r="Q72" i="3"/>
  <c r="Q45" i="3"/>
  <c r="Q52" i="3"/>
  <c r="Q34" i="3"/>
  <c r="Q40" i="3"/>
  <c r="Q89" i="3"/>
  <c r="Q32" i="3"/>
  <c r="Q10" i="3"/>
  <c r="Q42" i="3"/>
  <c r="Q46" i="3"/>
  <c r="Q47" i="3"/>
  <c r="Q48" i="3"/>
  <c r="P36" i="3"/>
  <c r="P35" i="3"/>
  <c r="P52" i="3"/>
  <c r="P40" i="3"/>
  <c r="K154" i="1"/>
  <c r="L154" i="1"/>
  <c r="M154" i="1"/>
  <c r="AD154" i="1"/>
  <c r="K155" i="1"/>
  <c r="L155" i="1"/>
  <c r="M155" i="1"/>
  <c r="AD155" i="1"/>
  <c r="K156" i="1"/>
  <c r="L156" i="1"/>
  <c r="M156" i="1"/>
  <c r="AD156" i="1"/>
  <c r="K157" i="1"/>
  <c r="L157" i="1"/>
  <c r="M157" i="1"/>
  <c r="AD157" i="1"/>
  <c r="K158" i="1"/>
  <c r="L158" i="1"/>
  <c r="M158" i="1"/>
  <c r="AD158" i="1"/>
  <c r="S143" i="1" l="1"/>
  <c r="S105" i="1"/>
  <c r="P48" i="3"/>
  <c r="P33" i="3"/>
  <c r="P8" i="3"/>
  <c r="P47" i="3"/>
  <c r="P19" i="3"/>
  <c r="P30" i="3"/>
  <c r="P7" i="3"/>
  <c r="P46" i="3"/>
  <c r="P45" i="3"/>
  <c r="P61" i="3"/>
  <c r="P27" i="3"/>
  <c r="P62" i="3"/>
  <c r="P81" i="3"/>
  <c r="P88" i="3"/>
  <c r="P42" i="3"/>
  <c r="P14" i="3"/>
  <c r="P51" i="3"/>
  <c r="P34" i="3"/>
  <c r="P89" i="3"/>
  <c r="V163" i="1"/>
  <c r="P32" i="3" s="1"/>
  <c r="V164" i="1"/>
  <c r="P10" i="3" s="1"/>
  <c r="V165" i="1"/>
  <c r="V166" i="1"/>
  <c r="V167" i="1"/>
  <c r="P74" i="3" s="1"/>
  <c r="V168" i="1"/>
  <c r="V169" i="1"/>
  <c r="V170" i="1"/>
  <c r="V171" i="1"/>
  <c r="V172" i="1"/>
  <c r="V173" i="1"/>
  <c r="V174" i="1"/>
  <c r="V175" i="1"/>
  <c r="P12" i="3" s="1"/>
  <c r="V176" i="1"/>
  <c r="V177" i="1"/>
  <c r="P78" i="3" s="1"/>
  <c r="V178" i="1"/>
  <c r="P28" i="3" s="1"/>
  <c r="V179" i="1"/>
  <c r="P26" i="3" s="1"/>
  <c r="V180" i="1"/>
  <c r="P72" i="3" s="1"/>
  <c r="V181" i="1"/>
  <c r="V182" i="1"/>
  <c r="V183" i="1"/>
  <c r="P73" i="3" s="1"/>
  <c r="V184" i="1"/>
  <c r="V185" i="1"/>
  <c r="P21" i="3" s="1"/>
  <c r="V186" i="1"/>
  <c r="V187" i="1"/>
  <c r="P83" i="3" s="1"/>
  <c r="V188" i="1"/>
  <c r="V189" i="1"/>
  <c r="V190" i="1"/>
  <c r="V191" i="1"/>
  <c r="P80" i="3" l="1"/>
  <c r="P71" i="3"/>
  <c r="P79" i="3"/>
  <c r="P75" i="3"/>
  <c r="P15" i="3"/>
  <c r="P60" i="3"/>
  <c r="P69" i="3"/>
  <c r="P16" i="3"/>
  <c r="Q16" i="3"/>
  <c r="Q18" i="3"/>
  <c r="Q9" i="3"/>
  <c r="P29" i="3"/>
  <c r="Q29" i="3"/>
  <c r="P44" i="3"/>
  <c r="Q44" i="3"/>
  <c r="Q54" i="3"/>
  <c r="Q43" i="3"/>
  <c r="Q87" i="3"/>
  <c r="Q58" i="3"/>
  <c r="P18" i="3" l="1"/>
  <c r="P9" i="3"/>
  <c r="P54" i="3"/>
  <c r="P43" i="3"/>
  <c r="P87" i="3"/>
  <c r="P58" i="3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Q77" i="3" l="1"/>
  <c r="P65" i="3"/>
  <c r="Q65" i="3"/>
  <c r="P53" i="3"/>
  <c r="Q53" i="3"/>
  <c r="Q59" i="3"/>
  <c r="Q67" i="3"/>
  <c r="Q83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77" i="3"/>
  <c r="P59" i="3"/>
  <c r="P67" i="3"/>
  <c r="Q68" i="3" l="1"/>
  <c r="Q41" i="3"/>
  <c r="Q13" i="3"/>
  <c r="Q50" i="3"/>
  <c r="Q85" i="3"/>
  <c r="Q37" i="3"/>
  <c r="Q80" i="3"/>
  <c r="Q64" i="3"/>
  <c r="Q17" i="3"/>
  <c r="Q86" i="3"/>
  <c r="Q49" i="3"/>
  <c r="Q39" i="3"/>
  <c r="Q63" i="3"/>
  <c r="Q31" i="3"/>
  <c r="Q22" i="3"/>
  <c r="Q84" i="3"/>
  <c r="Q70" i="3"/>
  <c r="Q8" i="3"/>
  <c r="Q38" i="3"/>
  <c r="Q24" i="3"/>
  <c r="Q57" i="3"/>
  <c r="Q91" i="3"/>
  <c r="P11" i="3"/>
  <c r="Q11" i="3"/>
  <c r="Q21" i="3"/>
  <c r="Q55" i="3"/>
  <c r="Q76" i="3"/>
  <c r="Q56" i="3"/>
  <c r="Q23" i="3"/>
  <c r="Q25" i="3"/>
  <c r="Q33" i="3"/>
  <c r="P66" i="3"/>
  <c r="Q66" i="3"/>
  <c r="P20" i="3"/>
  <c r="Q20" i="3"/>
  <c r="P90" i="3"/>
  <c r="Q90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41" i="3"/>
  <c r="P13" i="3"/>
  <c r="P64" i="3"/>
  <c r="P39" i="3"/>
  <c r="P22" i="3"/>
  <c r="P84" i="3"/>
  <c r="P25" i="3"/>
  <c r="P91" i="3" l="1"/>
  <c r="P31" i="3"/>
  <c r="P17" i="3"/>
  <c r="P63" i="3"/>
  <c r="P50" i="3"/>
  <c r="P55" i="3"/>
  <c r="P38" i="3"/>
  <c r="P24" i="3"/>
  <c r="P68" i="3"/>
  <c r="P76" i="3"/>
  <c r="P70" i="3"/>
  <c r="P56" i="3"/>
  <c r="P49" i="3"/>
  <c r="P86" i="3"/>
  <c r="P37" i="3"/>
  <c r="P57" i="3"/>
  <c r="P23" i="3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P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85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<sst xmlns="http://schemas.openxmlformats.org/spreadsheetml/2006/main" count="2438" uniqueCount="741">
  <si>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</si>
  <si>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</si>
  <si>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</si>
  <si>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</si>
  <si>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</si>
  <si>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</si>
  <si>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</si>
  <si>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</si>
  <si>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</si>
  <si>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</si>
  <si>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</si>
  <si>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</si>
  <si>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</si>
  <si>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</si>
  <si>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</si>
  <si>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</si>
  <si>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</si>
  <si>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</si>
  <si>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</si>
  <si>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</si>
  <si>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</si>
  <si>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</si>
  <si>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</si>
  <si>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</si>
  <si>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</si>
  <si>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</si>
  <si>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</si>
  <si>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</si>
  <si>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</si>
  <si>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</si>
  <si>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</si>
  <si>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</si>
  <si>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</si>
  <si>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</si>
  <si>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</si>
  <si>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</si>
  <si>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</si>
  <si>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</si>
  <si>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</si>
  <si>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</si>
  <si>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</si>
  <si>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</si>
  <si>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</si>
  <si>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</si>
  <si>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</si>
  <si>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</si>
  <si>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</si>
  <si>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</si>
  <si>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</si>
  <si>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</si>
  <si>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</si>
  <si>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</si>
  <si>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</si>
  <si>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</si>
  <si>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</si>
  <si>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</si>
  <si>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</si>
  <si>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</si>
  <si>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</si>
  <si>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</si>
  <si>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</si>
  <si>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</si>
  <si>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</si>
  <si>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</si>
  <si>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</si>
  <si>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</si>
  <si>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</si>
  <si>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</si>
  <si>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</si>
  <si>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</si>
  <si>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</si>
  <si>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</si>
  <si>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</si>
  <si>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</si>
  <si>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</si>
  <si>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</si>
  <si>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</si>
  <si>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</si>
  <si>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</si>
  <si>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</si>
  <si>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</si>
  <si>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</si>
  <si>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</si>
  <si>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</si>
  <si>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</si>
  <si>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</si>
  <si>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</si>
  <si>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</si>
  <si>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</si>
  <si>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</si>
  <si>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</si>
  <si>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</si>
  <si>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</si>
  <si>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</si>
  <si>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</si>
  <si>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</si>
  <si>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</si>
  <si>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</si>
  <si>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</si>
  <si>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</si>
  <si>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</si>
  <si>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</si>
  <si>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</si>
  <si>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</si>
  <si>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</si>
  <si>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</si>
  <si>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</si>
  <si>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</si>
  <si>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</si>
  <si>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</si>
  <si>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</si>
  <si>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</si>
  <si>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</si>
  <si>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</si>
  <si>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</si>
  <si>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</si>
  <si>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</si>
  <si>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</si>
  <si>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</si>
  <si>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</si>
  <si>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</si>
  <si>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</si>
  <si>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</si>
  <si>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</si>
  <si>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</si>
  <si>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</si>
  <si>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</si>
  <si>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</si>
  <si>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</si>
  <si>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</si>
  <si>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</si>
  <si>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</si>
  <si>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</si>
  <si>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</si>
  <si>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</si>
  <si>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</si>
  <si>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</si>
  <si>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</si>
  <si>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</si>
  <si>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</si>
  <si>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</si>
  <si>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</si>
  <si>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</si>
  <si>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</si>
  <si>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</si>
  <si>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</si>
  <si>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</si>
  <si>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</si>
  <si>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</si>
  <si>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</si>
  <si>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</si>
  <si>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Onboard in-route failure</t>
  </si>
  <si>
    <t>Form C</t>
  </si>
  <si>
    <t>Wi-MAX outage</t>
  </si>
  <si>
    <t>204:232978</t>
  </si>
  <si>
    <t>204:233004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</si>
  <si>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</si>
  <si>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</si>
  <si>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</si>
  <si>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</si>
  <si>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</si>
  <si>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</si>
  <si>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</si>
  <si>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204:167</t>
  </si>
  <si>
    <t>BRUDER</t>
  </si>
  <si>
    <t>204:138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</si>
  <si>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</si>
  <si>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</si>
  <si>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</si>
  <si>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</si>
  <si>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</si>
  <si>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</si>
  <si>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</si>
  <si>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</si>
  <si>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</si>
  <si>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</si>
  <si>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</si>
  <si>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104-03</t>
  </si>
  <si>
    <t>WEBSTER</t>
  </si>
  <si>
    <t>GRASTON</t>
  </si>
  <si>
    <t>rtdc.l.rtdc.4007:itc</t>
  </si>
  <si>
    <t>STRICKLAND</t>
  </si>
  <si>
    <t>BONDS</t>
  </si>
  <si>
    <t>DE LA ROSA</t>
  </si>
  <si>
    <t>102-03</t>
  </si>
  <si>
    <t>rtdc.l.rtdc.4040:itc</t>
  </si>
  <si>
    <t>109-03</t>
  </si>
  <si>
    <t>113-03</t>
  </si>
  <si>
    <t>204:233286</t>
  </si>
  <si>
    <t>204:232967</t>
  </si>
  <si>
    <t>204:232973</t>
  </si>
  <si>
    <t>204:232987</t>
  </si>
  <si>
    <t>204:232990</t>
  </si>
  <si>
    <t>204:233000</t>
  </si>
  <si>
    <t>300:58922</t>
  </si>
  <si>
    <t>204:232998</t>
  </si>
  <si>
    <t>204:141</t>
  </si>
  <si>
    <t>204:469</t>
  </si>
  <si>
    <t>204:233303</t>
  </si>
  <si>
    <t>Trip Number Sortable</t>
  </si>
  <si>
    <t>204:233302</t>
  </si>
  <si>
    <t>110-03</t>
  </si>
  <si>
    <t>204:233306</t>
  </si>
  <si>
    <t>117-03</t>
  </si>
  <si>
    <t>118-03</t>
  </si>
  <si>
    <t>122-03</t>
  </si>
  <si>
    <t>204:449</t>
  </si>
  <si>
    <t>130-03</t>
  </si>
  <si>
    <t>204:475</t>
  </si>
  <si>
    <t>204:161</t>
  </si>
  <si>
    <t>204:232957</t>
  </si>
  <si>
    <t>135-03</t>
  </si>
  <si>
    <t>136-03</t>
  </si>
  <si>
    <t>137-03</t>
  </si>
  <si>
    <t>142-03</t>
  </si>
  <si>
    <t>204:435</t>
  </si>
  <si>
    <t>146-03</t>
  </si>
  <si>
    <t>148-03</t>
  </si>
  <si>
    <t>155-03</t>
  </si>
  <si>
    <t>158-03</t>
  </si>
  <si>
    <t>159-03</t>
  </si>
  <si>
    <t>160-03</t>
  </si>
  <si>
    <t>204:233001</t>
  </si>
  <si>
    <t>165-03</t>
  </si>
  <si>
    <t>166-03</t>
  </si>
  <si>
    <t>204:233019</t>
  </si>
  <si>
    <t>167-03</t>
  </si>
  <si>
    <t>168-03</t>
  </si>
  <si>
    <t>169-03</t>
  </si>
  <si>
    <t>171-03</t>
  </si>
  <si>
    <t>176-03</t>
  </si>
  <si>
    <t>178-03</t>
  </si>
  <si>
    <t>179-03</t>
  </si>
  <si>
    <t>180-03</t>
  </si>
  <si>
    <t>1800-03</t>
  </si>
  <si>
    <t>1802-03</t>
  </si>
  <si>
    <t>1803-03</t>
  </si>
  <si>
    <t>1809-03</t>
  </si>
  <si>
    <t>204:233300</t>
  </si>
  <si>
    <t>1810-03</t>
  </si>
  <si>
    <t>300:58589</t>
  </si>
  <si>
    <t>1814-03</t>
  </si>
  <si>
    <t>1816-03</t>
  </si>
  <si>
    <t>182-03</t>
  </si>
  <si>
    <t>1823-03</t>
  </si>
  <si>
    <t>1826-03</t>
  </si>
  <si>
    <t>1830-03</t>
  </si>
  <si>
    <t>1831-03</t>
  </si>
  <si>
    <t>1832-03</t>
  </si>
  <si>
    <t>185-03</t>
  </si>
  <si>
    <t>187-03</t>
  </si>
  <si>
    <t>189-03</t>
  </si>
  <si>
    <t>190-03</t>
  </si>
  <si>
    <t>192-03</t>
  </si>
  <si>
    <t>193-03</t>
  </si>
  <si>
    <t>204:233307</t>
  </si>
  <si>
    <t>202-03</t>
  </si>
  <si>
    <t>207-03</t>
  </si>
  <si>
    <t>209-03</t>
  </si>
  <si>
    <t>214-03</t>
  </si>
  <si>
    <t>215-03</t>
  </si>
  <si>
    <t>217-03</t>
  </si>
  <si>
    <t>218-03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</si>
  <si>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</si>
  <si>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</si>
  <si>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</si>
  <si>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</si>
  <si>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</si>
  <si>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</si>
  <si>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</si>
  <si>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</si>
  <si>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</si>
  <si>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</si>
  <si>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</si>
  <si>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238-03</t>
  </si>
  <si>
    <t>204:233311</t>
  </si>
  <si>
    <t>243-03</t>
  </si>
  <si>
    <t>244-03</t>
  </si>
  <si>
    <t>rtdc.l.rtdc.4039:itc</t>
  </si>
  <si>
    <t>EQUIPMENT RESTRICTION</t>
  </si>
  <si>
    <t>166-04</t>
  </si>
  <si>
    <t>YANAI</t>
  </si>
  <si>
    <t>MADLOM</t>
  </si>
  <si>
    <t>NEWELL</t>
  </si>
  <si>
    <t>148-04</t>
  </si>
  <si>
    <t>LOZA</t>
  </si>
  <si>
    <t>COOLAHAN</t>
  </si>
  <si>
    <t>109-04</t>
  </si>
  <si>
    <t>RIVERA</t>
  </si>
  <si>
    <t>152-04</t>
  </si>
  <si>
    <t>101-04</t>
  </si>
  <si>
    <t>110-04</t>
  </si>
  <si>
    <t>158-04</t>
  </si>
  <si>
    <t>819-04</t>
  </si>
  <si>
    <t>140-04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</si>
  <si>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</si>
  <si>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</si>
  <si>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</si>
  <si>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</si>
  <si>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</si>
  <si>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</si>
  <si>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</si>
  <si>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</si>
  <si>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</si>
  <si>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</si>
  <si>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</si>
  <si>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</si>
  <si>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</si>
  <si>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</si>
  <si>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</si>
  <si>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</si>
  <si>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</si>
  <si>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</si>
  <si>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</si>
  <si>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</si>
  <si>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</si>
  <si>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</si>
  <si>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</si>
  <si>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</si>
  <si>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</si>
  <si>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</si>
  <si>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204:233334</t>
  </si>
  <si>
    <t>204:232968</t>
  </si>
  <si>
    <t>204:232984</t>
  </si>
  <si>
    <t>204:233006</t>
  </si>
  <si>
    <t>204:232963</t>
  </si>
  <si>
    <t>204:462</t>
  </si>
  <si>
    <t>204:232980</t>
  </si>
  <si>
    <t>204:233015</t>
  </si>
  <si>
    <t>204:693</t>
  </si>
  <si>
    <t>204:233323</t>
  </si>
  <si>
    <t>204:233017</t>
  </si>
  <si>
    <t>204:429</t>
  </si>
  <si>
    <t>204:132</t>
  </si>
  <si>
    <t>204:233349</t>
  </si>
  <si>
    <t>204:233028</t>
  </si>
  <si>
    <t>194-04</t>
  </si>
  <si>
    <t>204:232982</t>
  </si>
  <si>
    <t>204:233299</t>
  </si>
  <si>
    <t>224-04</t>
  </si>
  <si>
    <t>228-04</t>
  </si>
  <si>
    <t>204:233324</t>
  </si>
  <si>
    <t>242-04</t>
  </si>
  <si>
    <t>244-04</t>
  </si>
  <si>
    <t>300:58596</t>
  </si>
  <si>
    <t>204:930</t>
  </si>
  <si>
    <t>204:918</t>
  </si>
  <si>
    <t>204:895</t>
  </si>
  <si>
    <t>300:58924</t>
  </si>
  <si>
    <t>300:58598</t>
  </si>
  <si>
    <t>204:712</t>
  </si>
  <si>
    <t>204:995</t>
  </si>
  <si>
    <t>204:617</t>
  </si>
  <si>
    <t>843-04</t>
  </si>
  <si>
    <t>204:964</t>
  </si>
  <si>
    <t>300:58658</t>
  </si>
  <si>
    <t>NWGL</t>
  </si>
  <si>
    <t>Inefficient dispatching @ DUS 2N</t>
  </si>
  <si>
    <t>103-05</t>
  </si>
  <si>
    <t>106-05</t>
  </si>
  <si>
    <t>117-05</t>
  </si>
  <si>
    <t>804-05</t>
  </si>
  <si>
    <t>120-05</t>
  </si>
  <si>
    <t>116-05</t>
  </si>
  <si>
    <t>808-05</t>
  </si>
  <si>
    <t>131-05</t>
  </si>
  <si>
    <t>137-05</t>
  </si>
  <si>
    <t>811-05</t>
  </si>
  <si>
    <t>812-05</t>
  </si>
  <si>
    <t>136-05</t>
  </si>
  <si>
    <t>813-05</t>
  </si>
  <si>
    <t>146-05</t>
  </si>
  <si>
    <t>815-05</t>
  </si>
  <si>
    <t>153-05</t>
  </si>
  <si>
    <t>816-05</t>
  </si>
  <si>
    <t>150-05</t>
  </si>
  <si>
    <t>817-05</t>
  </si>
  <si>
    <t>818-05</t>
  </si>
  <si>
    <t>158-05</t>
  </si>
  <si>
    <t>819-05</t>
  </si>
  <si>
    <t>167-05</t>
  </si>
  <si>
    <t>168-05</t>
  </si>
  <si>
    <t>172-05</t>
  </si>
  <si>
    <t>183-05</t>
  </si>
  <si>
    <t>179-05</t>
  </si>
  <si>
    <t>181-05</t>
  </si>
  <si>
    <t>174-05</t>
  </si>
  <si>
    <t>823-05</t>
  </si>
  <si>
    <t>824-05</t>
  </si>
  <si>
    <t>187-05</t>
  </si>
  <si>
    <t>182-05</t>
  </si>
  <si>
    <t>825-05</t>
  </si>
  <si>
    <t>195-05</t>
  </si>
  <si>
    <t>193-05</t>
  </si>
  <si>
    <t>192-05</t>
  </si>
  <si>
    <t>826-05</t>
  </si>
  <si>
    <t>201-05</t>
  </si>
  <si>
    <t>196-05</t>
  </si>
  <si>
    <t>205-05</t>
  </si>
  <si>
    <t>202-05</t>
  </si>
  <si>
    <t>207-05</t>
  </si>
  <si>
    <t>209-05</t>
  </si>
  <si>
    <t>208-05</t>
  </si>
  <si>
    <t>837-05</t>
  </si>
  <si>
    <t>838-05</t>
  </si>
  <si>
    <t>839-05</t>
  </si>
  <si>
    <t>841-05</t>
  </si>
  <si>
    <t>218-05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</si>
  <si>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</si>
  <si>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</si>
  <si>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</si>
  <si>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</si>
  <si>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</si>
  <si>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</si>
  <si>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</si>
  <si>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</si>
  <si>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</si>
  <si>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</si>
  <si>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</si>
  <si>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151-05</t>
  </si>
  <si>
    <t>160-05</t>
  </si>
  <si>
    <t>228-05</t>
  </si>
  <si>
    <t>844-05</t>
  </si>
  <si>
    <t>SUR</t>
  </si>
  <si>
    <t>235-05</t>
  </si>
  <si>
    <t>241-05</t>
  </si>
  <si>
    <t>828-05</t>
  </si>
  <si>
    <t>NATION</t>
  </si>
  <si>
    <t>809-05</t>
  </si>
  <si>
    <t>822-05</t>
  </si>
  <si>
    <t>STORY</t>
  </si>
  <si>
    <t>135-05</t>
  </si>
  <si>
    <t>821-05</t>
  </si>
  <si>
    <t>129-05</t>
  </si>
  <si>
    <t>KILLION</t>
  </si>
  <si>
    <t>123-05</t>
  </si>
  <si>
    <t>906-05</t>
  </si>
  <si>
    <t>114-05</t>
  </si>
  <si>
    <t>801-05</t>
  </si>
  <si>
    <t>186-05</t>
  </si>
  <si>
    <t>115-05</t>
  </si>
  <si>
    <t>842-05</t>
  </si>
  <si>
    <t>127-05</t>
  </si>
  <si>
    <t>124-05</t>
  </si>
  <si>
    <t>134-05</t>
  </si>
  <si>
    <t>161-05</t>
  </si>
  <si>
    <t>STAMBAUGH</t>
  </si>
  <si>
    <t>152-05</t>
  </si>
  <si>
    <t>234-05</t>
  </si>
  <si>
    <t>156-05</t>
  </si>
  <si>
    <t>126-05</t>
  </si>
  <si>
    <t>rtdc.l.rtdc.4005:itc</t>
  </si>
  <si>
    <t>PTC Test Train</t>
  </si>
  <si>
    <t>Coats</t>
  </si>
  <si>
    <t>108-05</t>
  </si>
  <si>
    <t>217-05</t>
  </si>
  <si>
    <t>112-05</t>
  </si>
  <si>
    <t>803-05</t>
  </si>
  <si>
    <t>829-05</t>
  </si>
  <si>
    <t>105-05</t>
  </si>
  <si>
    <t>107-05</t>
  </si>
  <si>
    <t>197-05</t>
  </si>
  <si>
    <t>119-05</t>
  </si>
  <si>
    <t>176-05</t>
  </si>
  <si>
    <t>155-05</t>
  </si>
  <si>
    <t>805-05</t>
  </si>
  <si>
    <t>122-05</t>
  </si>
  <si>
    <t>154-05</t>
  </si>
  <si>
    <t>806-05</t>
  </si>
  <si>
    <t>198-05</t>
  </si>
  <si>
    <t>130-05</t>
  </si>
  <si>
    <t>177-05</t>
  </si>
  <si>
    <t>147-05</t>
  </si>
  <si>
    <t>STARKS</t>
  </si>
  <si>
    <t>220-05</t>
  </si>
  <si>
    <t>204-05</t>
  </si>
  <si>
    <t>203-05</t>
  </si>
  <si>
    <t>180-05</t>
  </si>
  <si>
    <t>206-05</t>
  </si>
  <si>
    <t>103-06</t>
  </si>
  <si>
    <t>149-05</t>
  </si>
  <si>
    <t>210-05</t>
  </si>
  <si>
    <t>229-05</t>
  </si>
  <si>
    <t>810-05</t>
  </si>
  <si>
    <t>243-05</t>
  </si>
  <si>
    <t>238-05</t>
  </si>
  <si>
    <t>101-06</t>
  </si>
  <si>
    <t>144-05</t>
  </si>
  <si>
    <t>175-05</t>
  </si>
  <si>
    <t>141-05</t>
  </si>
  <si>
    <t>190-05</t>
  </si>
  <si>
    <t>132-05</t>
  </si>
  <si>
    <t>200-05</t>
  </si>
  <si>
    <t>191-05</t>
  </si>
  <si>
    <t>802-05</t>
  </si>
  <si>
    <t>231-05</t>
  </si>
  <si>
    <t>110-05</t>
  </si>
  <si>
    <t>236-05</t>
  </si>
  <si>
    <t>199-05</t>
  </si>
  <si>
    <t>113-05</t>
  </si>
  <si>
    <t>800-05</t>
  </si>
  <si>
    <t>311-04</t>
  </si>
  <si>
    <t>111-05</t>
  </si>
  <si>
    <t>121-05</t>
  </si>
  <si>
    <t>104-05</t>
  </si>
  <si>
    <t>139-05</t>
  </si>
  <si>
    <t>840-05</t>
  </si>
  <si>
    <t>NATION-05</t>
  </si>
  <si>
    <t>148-05</t>
  </si>
  <si>
    <t>188-05</t>
  </si>
  <si>
    <t>173-05</t>
  </si>
  <si>
    <t>102-05</t>
  </si>
  <si>
    <t>162-05</t>
  </si>
  <si>
    <t>109-05</t>
  </si>
  <si>
    <t>159-05</t>
  </si>
  <si>
    <t>145-05</t>
  </si>
  <si>
    <t>157-05</t>
  </si>
  <si>
    <t>118-05</t>
  </si>
  <si>
    <t>230-05</t>
  </si>
  <si>
    <t>143-05</t>
  </si>
  <si>
    <t>142-05</t>
  </si>
  <si>
    <t>138-05</t>
  </si>
  <si>
    <t>814-05</t>
  </si>
  <si>
    <t>820-05</t>
  </si>
  <si>
    <t>125-05</t>
  </si>
  <si>
    <t>133-05</t>
  </si>
  <si>
    <t>163-05</t>
  </si>
  <si>
    <t>166-05</t>
  </si>
  <si>
    <t>164-05</t>
  </si>
  <si>
    <t>169-05</t>
  </si>
  <si>
    <t>189-05</t>
  </si>
  <si>
    <t>807-05</t>
  </si>
  <si>
    <t>223-05</t>
  </si>
  <si>
    <t>101-05</t>
  </si>
  <si>
    <t>845-05</t>
  </si>
  <si>
    <t>178-05</t>
  </si>
  <si>
    <t>184-05</t>
  </si>
  <si>
    <t>185-05</t>
  </si>
  <si>
    <t>211-05</t>
  </si>
  <si>
    <t>221-05</t>
  </si>
  <si>
    <t>244-05</t>
  </si>
  <si>
    <t>232-05</t>
  </si>
  <si>
    <t>239-05</t>
  </si>
  <si>
    <t>171-05</t>
  </si>
  <si>
    <t>165-05</t>
  </si>
  <si>
    <t>233-05</t>
  </si>
  <si>
    <t>140-05</t>
  </si>
  <si>
    <t>908-05</t>
  </si>
  <si>
    <t>237-05</t>
  </si>
  <si>
    <t>833-05</t>
  </si>
  <si>
    <t>204:763</t>
  </si>
  <si>
    <t>204:196131</t>
  </si>
  <si>
    <t>204:232639</t>
  </si>
  <si>
    <t>204:715</t>
  </si>
  <si>
    <t>204:190018</t>
  </si>
  <si>
    <t>204:232658</t>
  </si>
  <si>
    <t>204:779</t>
  </si>
  <si>
    <t>204:189210</t>
  </si>
  <si>
    <t>204:232819</t>
  </si>
  <si>
    <t>204:19121</t>
  </si>
  <si>
    <t>204:189720</t>
  </si>
  <si>
    <t>204:440</t>
  </si>
  <si>
    <t>204:843</t>
  </si>
  <si>
    <t>204:228464</t>
  </si>
  <si>
    <t>204:190096</t>
  </si>
  <si>
    <t>204:127854</t>
  </si>
  <si>
    <t>204:724</t>
  </si>
  <si>
    <t>204:188898</t>
  </si>
  <si>
    <t>204:491</t>
  </si>
  <si>
    <t>204:188991</t>
  </si>
  <si>
    <t>204:766</t>
  </si>
  <si>
    <t>204:189666</t>
  </si>
  <si>
    <t>204:189401</t>
  </si>
  <si>
    <t>204:757</t>
  </si>
  <si>
    <t>204:189559</t>
  </si>
  <si>
    <t>204:205962</t>
  </si>
  <si>
    <t>204:189681</t>
  </si>
  <si>
    <t>204:154010</t>
  </si>
  <si>
    <t>204:232988</t>
  </si>
  <si>
    <t>204:203535</t>
  </si>
  <si>
    <t>204:153993</t>
  </si>
  <si>
    <t>204:232993</t>
  </si>
  <si>
    <t>204:209903</t>
  </si>
  <si>
    <t>204:205790</t>
  </si>
  <si>
    <t>204:203256</t>
  </si>
  <si>
    <t>204:154421</t>
  </si>
  <si>
    <t>204:233283</t>
  </si>
  <si>
    <t>204:232989</t>
  </si>
  <si>
    <t>204:26798</t>
  </si>
  <si>
    <t>204:231462</t>
  </si>
  <si>
    <t>204:232929</t>
  </si>
  <si>
    <t>204:433</t>
  </si>
  <si>
    <t>204:233278</t>
  </si>
  <si>
    <t>204:139</t>
  </si>
  <si>
    <t>204:233317</t>
  </si>
  <si>
    <t>204:437</t>
  </si>
  <si>
    <t>204:232985</t>
  </si>
  <si>
    <t>204:233312</t>
  </si>
  <si>
    <t>204:233315</t>
  </si>
  <si>
    <t>204:447</t>
  </si>
  <si>
    <t>204:64109</t>
  </si>
  <si>
    <t>204:486</t>
  </si>
  <si>
    <t>204:232976</t>
  </si>
  <si>
    <t>204:482</t>
  </si>
  <si>
    <t>204:233332</t>
  </si>
  <si>
    <t>204:438</t>
  </si>
  <si>
    <t>204:233347</t>
  </si>
  <si>
    <t>204:233027</t>
  </si>
  <si>
    <t>204:181791</t>
  </si>
  <si>
    <t>204:431</t>
  </si>
  <si>
    <t>204:233276</t>
  </si>
  <si>
    <t>204:233032</t>
  </si>
  <si>
    <t>204:176</t>
  </si>
  <si>
    <t>204:233305</t>
  </si>
  <si>
    <t>204:218</t>
  </si>
  <si>
    <t>204:233285</t>
  </si>
  <si>
    <t>204:232970</t>
  </si>
  <si>
    <t>204:233272</t>
  </si>
  <si>
    <t>204:178442</t>
  </si>
  <si>
    <t>204:232971</t>
  </si>
  <si>
    <t>204:5041</t>
  </si>
  <si>
    <t>204:233025</t>
  </si>
  <si>
    <t>204:33321</t>
  </si>
  <si>
    <t>204:535</t>
  </si>
  <si>
    <t>204:5246</t>
  </si>
  <si>
    <t>204:19152</t>
  </si>
  <si>
    <t>204:36837</t>
  </si>
  <si>
    <t>204:64892</t>
  </si>
  <si>
    <t>204:233282</t>
  </si>
  <si>
    <t>204:18766</t>
  </si>
  <si>
    <t>204:233297</t>
  </si>
  <si>
    <t>204:127843</t>
  </si>
  <si>
    <t>204:18765</t>
  </si>
  <si>
    <t>204:18754</t>
  </si>
  <si>
    <t>204:19133</t>
  </si>
  <si>
    <t>204:233215</t>
  </si>
  <si>
    <t>204:1366</t>
  </si>
  <si>
    <t>204:232915</t>
  </si>
  <si>
    <t>204:519</t>
  </si>
  <si>
    <t>204:19132</t>
  </si>
  <si>
    <t>204:21089</t>
  </si>
  <si>
    <t>204:19593</t>
  </si>
  <si>
    <t>204:384</t>
  </si>
  <si>
    <t>204:19489</t>
  </si>
  <si>
    <t>204:233337</t>
  </si>
  <si>
    <t>204:19118</t>
  </si>
  <si>
    <t>204:233280</t>
  </si>
  <si>
    <t>204:232974</t>
  </si>
  <si>
    <t>204:3970</t>
  </si>
  <si>
    <t>204:37188</t>
  </si>
  <si>
    <t>204:369</t>
  </si>
  <si>
    <t>204:233316</t>
  </si>
  <si>
    <t>204:200</t>
  </si>
  <si>
    <t>204:233010</t>
  </si>
  <si>
    <t>204:228254</t>
  </si>
  <si>
    <t>204:19138</t>
  </si>
  <si>
    <t>204:189761</t>
  </si>
  <si>
    <t>204:233318</t>
  </si>
  <si>
    <t>204:174</t>
  </si>
  <si>
    <t>204:233268</t>
  </si>
  <si>
    <t>204:33060</t>
  </si>
  <si>
    <t>204:64692</t>
  </si>
  <si>
    <t>204:269</t>
  </si>
  <si>
    <t>204:181</t>
  </si>
  <si>
    <t>300:58602</t>
  </si>
  <si>
    <t>204:775</t>
  </si>
  <si>
    <t>204:1056</t>
  </si>
  <si>
    <t>300:58897</t>
  </si>
  <si>
    <t>204:771</t>
  </si>
  <si>
    <t>204:325</t>
  </si>
  <si>
    <t>300:58916</t>
  </si>
  <si>
    <t>204:631</t>
  </si>
  <si>
    <t>204:1053</t>
  </si>
  <si>
    <t>300:58894</t>
  </si>
  <si>
    <t>204:740</t>
  </si>
  <si>
    <t>300:58944</t>
  </si>
  <si>
    <t>300:58623</t>
  </si>
  <si>
    <t>204:726</t>
  </si>
  <si>
    <t>204:1062</t>
  </si>
  <si>
    <t>300:58888</t>
  </si>
  <si>
    <t>300:58572</t>
  </si>
  <si>
    <t>204:764</t>
  </si>
  <si>
    <t>300:58912</t>
  </si>
  <si>
    <t>300:58591</t>
  </si>
  <si>
    <t>204:610</t>
  </si>
  <si>
    <t>300:58914</t>
  </si>
  <si>
    <t>300:58600</t>
  </si>
  <si>
    <t>204:922</t>
  </si>
  <si>
    <t>204:1014</t>
  </si>
  <si>
    <t>300:58592</t>
  </si>
  <si>
    <t>204:643</t>
  </si>
  <si>
    <t>204:706</t>
  </si>
  <si>
    <t>204:992</t>
  </si>
  <si>
    <t>204:678</t>
  </si>
  <si>
    <t>300:58988</t>
  </si>
  <si>
    <t>300:58664</t>
  </si>
  <si>
    <t>204:685</t>
  </si>
  <si>
    <t>204:969</t>
  </si>
  <si>
    <t>300:58960</t>
  </si>
  <si>
    <t>300:58640</t>
  </si>
  <si>
    <t>204:673</t>
  </si>
  <si>
    <t>300:58619</t>
  </si>
  <si>
    <t>300:4913</t>
  </si>
  <si>
    <t>204:965</t>
  </si>
  <si>
    <t>300:58939</t>
  </si>
  <si>
    <t>300:58632</t>
  </si>
  <si>
    <t>204:703</t>
  </si>
  <si>
    <t>300:58621</t>
  </si>
  <si>
    <t>204:692</t>
  </si>
  <si>
    <t>204:1004</t>
  </si>
  <si>
    <t>300:58679</t>
  </si>
  <si>
    <t>204:671</t>
  </si>
  <si>
    <t>204:979</t>
  </si>
  <si>
    <t>300:59010</t>
  </si>
  <si>
    <t>204:668</t>
  </si>
  <si>
    <t>204:971</t>
  </si>
  <si>
    <t>300:58975</t>
  </si>
  <si>
    <t>204:967</t>
  </si>
  <si>
    <t>300:58965</t>
  </si>
  <si>
    <t>300:58506</t>
  </si>
  <si>
    <t>300:55862</t>
  </si>
  <si>
    <t>Pena 2N signaling failure</t>
  </si>
  <si>
    <t>Didn't finish initializing until first driving to 40th</t>
  </si>
  <si>
    <t>Cut out to get around Restricted speed when first initializing</t>
  </si>
  <si>
    <t>EC2044RH was down for maintenance from 06:54-07:53</t>
  </si>
  <si>
    <t>No reason found from PTC perspective… any insights from ops?</t>
  </si>
  <si>
    <t>Comm failure induced by onboard comparator issue</t>
  </si>
  <si>
    <t>EC0286RH was offline for ~2 min</t>
  </si>
  <si>
    <t>Premature downgrade at EC0365RH 27-1T 1N</t>
  </si>
  <si>
    <t>Bright 2S signaling failure</t>
  </si>
  <si>
    <t>No init attempts found prior to Colorado Station</t>
  </si>
  <si>
    <t>212-05</t>
  </si>
  <si>
    <t>213-05</t>
  </si>
  <si>
    <t>214-05</t>
  </si>
  <si>
    <t>215-05</t>
  </si>
  <si>
    <t>216-05</t>
  </si>
  <si>
    <t>219-05</t>
  </si>
  <si>
    <t>Inefficient dispatching @ DIA 2N</t>
  </si>
  <si>
    <t>Inefficient dispatching @ 40th 4S</t>
  </si>
  <si>
    <t>Legitimate STOP aspect</t>
  </si>
  <si>
    <t>Inefficient dispatching @ Pena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</si>
</sst>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8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3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1"/>
  <sheetViews>
    <sheetView showGridLines="0" topLeftCell="A46" zoomScale="85" zoomScaleNormal="85" workbookViewId="0"/>
  </sheetViews>
  <sheetFormatPr defaultRowHeight="15" x14ac:dyDescent="0.25"/>
  <cols>
    <col min="1" max="1" width="10.5703125" style="77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0" hidden="1" customWidth="1"/>
    <col min="6" max="6" width="20.140625" style="70" customWidth="1"/>
    <col min="7" max="7" width="18.42578125" style="71" hidden="1" customWidth="1"/>
    <col min="8" max="8" width="22.140625" style="70" hidden="1" customWidth="1"/>
    <col min="9" max="9" width="19.7109375" style="70" customWidth="1"/>
    <col min="10" max="10" width="7.7109375" style="51" bestFit="1" customWidth="1"/>
    <col min="11" max="12" width="13.28515625" style="51" customWidth="1"/>
    <col min="13" max="13" width="9.5703125" style="78" customWidth="1"/>
    <col min="14" max="14" width="8.85546875" style="79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7"/>
      <c r="B1" s="51"/>
      <c r="C1" s="51"/>
      <c r="D1" s="51"/>
      <c r="E1" s="70"/>
      <c r="F1" s="70"/>
      <c r="G1" s="71"/>
      <c r="H1" s="70"/>
      <c r="I1" s="70"/>
      <c r="J1" s="51"/>
      <c r="K1" s="51"/>
      <c r="L1" s="51"/>
      <c r="M1" s="78"/>
      <c r="N1" s="79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7"/>
      <c r="B2" s="51"/>
      <c r="C2" s="51"/>
      <c r="D2" s="51"/>
      <c r="E2" s="70"/>
      <c r="F2" s="70"/>
      <c r="G2" s="71"/>
      <c r="H2" s="70"/>
      <c r="I2" s="109">
        <f>Variables!A2</f>
        <v>42556</v>
      </c>
      <c r="J2" s="110"/>
      <c r="K2" s="80"/>
      <c r="L2" s="80"/>
      <c r="M2" s="111" t="s">
        <v>8</v>
      </c>
      <c r="N2" s="112"/>
      <c r="O2" s="113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7"/>
      <c r="B3" s="51"/>
      <c r="C3" s="51"/>
      <c r="D3" s="51"/>
      <c r="E3" s="70"/>
      <c r="F3" s="70"/>
      <c r="G3" s="71"/>
      <c r="H3" s="70"/>
      <c r="I3" s="114" t="s">
        <v>10</v>
      </c>
      <c r="J3" s="115"/>
      <c r="K3" s="81"/>
      <c r="L3" s="81"/>
      <c r="M3" s="82" t="s">
        <v>11</v>
      </c>
      <c r="N3" s="83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7"/>
      <c r="B4" s="51"/>
      <c r="C4" s="51"/>
      <c r="D4" s="51"/>
      <c r="E4" s="70"/>
      <c r="F4" s="70"/>
      <c r="G4" s="71"/>
      <c r="H4" s="70"/>
      <c r="I4" s="72" t="s">
        <v>14</v>
      </c>
      <c r="J4" s="84">
        <f>COUNT($N$13:$P$1813)</f>
        <v>136</v>
      </c>
      <c r="K4" s="84"/>
      <c r="L4" s="84"/>
      <c r="M4" s="85" t="s">
        <v>15</v>
      </c>
      <c r="N4" s="83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7"/>
      <c r="B5" s="51"/>
      <c r="C5" s="51"/>
      <c r="D5" s="51"/>
      <c r="E5" s="70"/>
      <c r="F5" s="70"/>
      <c r="G5" s="71"/>
      <c r="H5" s="70"/>
      <c r="I5" s="72" t="s">
        <v>17</v>
      </c>
      <c r="J5" s="84">
        <f>COUNT($N$13:$N$1813)</f>
        <v>99</v>
      </c>
      <c r="K5" s="84"/>
      <c r="L5" s="84"/>
      <c r="M5" s="85">
        <f>AVERAGE($N$13:$N$813)</f>
        <v>50.92828282864172</v>
      </c>
      <c r="N5" s="83">
        <f>MIN($N$13:$N$813)</f>
        <v>6.2833333353046328</v>
      </c>
      <c r="O5" s="3">
        <f>MAX($N$13:$N$813)</f>
        <v>619.41666667582467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7"/>
      <c r="B6" s="51"/>
      <c r="C6" s="51"/>
      <c r="D6" s="51"/>
      <c r="E6" s="70"/>
      <c r="F6" s="70"/>
      <c r="G6" s="71"/>
      <c r="H6" s="70"/>
      <c r="I6" s="73" t="s">
        <v>43</v>
      </c>
      <c r="J6" s="84">
        <f>COUNT($O$13:$O$813)</f>
        <v>0</v>
      </c>
      <c r="K6" s="84"/>
      <c r="L6" s="84"/>
      <c r="M6" s="85">
        <f>IFERROR(AVERAGE($O$13:$O$813),0)</f>
        <v>0</v>
      </c>
      <c r="N6" s="83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7"/>
      <c r="B7" s="51"/>
      <c r="C7" s="51"/>
      <c r="D7" s="51"/>
      <c r="E7" s="70"/>
      <c r="F7" s="70"/>
      <c r="G7" s="71"/>
      <c r="H7" s="70"/>
      <c r="I7" s="74" t="s">
        <v>9</v>
      </c>
      <c r="J7" s="84">
        <f>COUNT($P$13:$P$813)</f>
        <v>37</v>
      </c>
      <c r="K7" s="84"/>
      <c r="L7" s="84"/>
      <c r="M7" s="85" t="s">
        <v>15</v>
      </c>
      <c r="N7" s="83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7"/>
      <c r="B8" s="51"/>
      <c r="C8" s="51"/>
      <c r="D8" s="51"/>
      <c r="E8" s="70"/>
      <c r="F8" s="70"/>
      <c r="G8" s="71"/>
      <c r="H8" s="70"/>
      <c r="I8" s="72" t="s">
        <v>16</v>
      </c>
      <c r="J8" s="84">
        <f>COUNT($N$13:$O$813)</f>
        <v>99</v>
      </c>
      <c r="K8" s="84"/>
      <c r="L8" s="84"/>
      <c r="M8" s="85">
        <f>AVERAGE($N$13:$P$813)</f>
        <v>46.187254902076404</v>
      </c>
      <c r="N8" s="83">
        <f>MIN($N$13:$O$813)</f>
        <v>6.2833333353046328</v>
      </c>
      <c r="O8" s="3">
        <f>MAX($N$13:$O$813)</f>
        <v>619.41666667582467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7"/>
      <c r="B9" s="51"/>
      <c r="C9" s="51"/>
      <c r="D9" s="51"/>
      <c r="E9" s="70"/>
      <c r="F9" s="70"/>
      <c r="G9" s="71"/>
      <c r="H9" s="70"/>
      <c r="I9" s="72" t="s">
        <v>19</v>
      </c>
      <c r="J9" s="86">
        <f>J8/J4</f>
        <v>0.7279411764705882</v>
      </c>
      <c r="K9" s="86"/>
      <c r="L9" s="86"/>
      <c r="M9" s="78"/>
      <c r="N9" s="79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7"/>
      <c r="B10" s="51"/>
      <c r="C10" s="51"/>
      <c r="D10" s="51"/>
      <c r="E10" s="70"/>
      <c r="F10" s="70"/>
      <c r="G10" s="71"/>
      <c r="H10" s="70"/>
      <c r="I10" s="70"/>
      <c r="J10" s="51"/>
      <c r="K10" s="51"/>
      <c r="L10" s="51"/>
      <c r="M10" s="78"/>
      <c r="N10" s="79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8" t="str">
        <f>"Eagle P3 System Performance - "&amp;TEXT(Variables!A2,"yyyy-mm-dd")</f>
        <v>Eagle P3 System Performance - 2016-07-05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96</v>
      </c>
      <c r="T12" s="4" t="s">
        <v>97</v>
      </c>
      <c r="U12" s="4" t="s">
        <v>98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199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533</v>
      </c>
      <c r="B13" s="34">
        <v>4018</v>
      </c>
      <c r="C13" s="34" t="s">
        <v>60</v>
      </c>
      <c r="D13" s="34" t="s">
        <v>550</v>
      </c>
      <c r="E13" s="20">
        <v>42556.129699074074</v>
      </c>
      <c r="F13" s="20">
        <v>42556.13113425926</v>
      </c>
      <c r="G13" s="23">
        <v>2</v>
      </c>
      <c r="H13" s="20" t="s">
        <v>551</v>
      </c>
      <c r="I13" s="20">
        <v>42556.159571759257</v>
      </c>
      <c r="J13" s="34">
        <v>0</v>
      </c>
      <c r="K13" s="34" t="str">
        <f>IF(ISEVEN(B13),(B13-1)&amp;"/"&amp;B13,B13&amp;"/"&amp;(B13+1))</f>
        <v>4017/4018</v>
      </c>
      <c r="L13" s="34" t="str">
        <f>VLOOKUP(A13,'Trips&amp;Operators'!$C$1:$E$10000,3,FALSE)</f>
        <v>STURGEON</v>
      </c>
      <c r="M13" s="6">
        <f>I13-F13</f>
        <v>2.8437499997380655E-2</v>
      </c>
      <c r="N13" s="7"/>
      <c r="O13" s="7"/>
      <c r="P13" s="7">
        <f>24*60*SUM($M13:$M13)</f>
        <v>40.949999996228144</v>
      </c>
      <c r="Q13" s="35"/>
      <c r="R13" s="35" t="s">
        <v>721</v>
      </c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https://search-rtdc-monitor-bjffxe2xuh6vdkpspy63sjmuny.us-east-1.es.amazonaws.com/_plugin/kibana/#/discover/Steve-Slow-Train-Analysis-(2080s-and-2083s)?_g=(refreshInterval:(display:Off,section:0,value:0),time:(from:'2016-07-05 03:05:46-0600',mode:absolute,to:'2016-07-05 03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38" t="str">
        <f>IF(AA13&lt;23,"Y","N")</f>
        <v>Y</v>
      </c>
      <c r="X13" s="38" t="e">
        <f>VALUE(LEFT(A13,3))-VALUE(LEFT(A12,3))</f>
        <v>#VALUE!</v>
      </c>
      <c r="Y13" s="38">
        <f>RIGHT(D13,LEN(D13)-4)/10000</f>
        <v>7.6300000000000007E-2</v>
      </c>
      <c r="Z13" s="38">
        <f>RIGHT(H13,LEN(H13)-4)/10000</f>
        <v>19.613099999999999</v>
      </c>
      <c r="AA13" s="38">
        <f>ABS(Z13-Y13)</f>
        <v>19.536799999999999</v>
      </c>
      <c r="AB13" s="39" t="e">
        <f>VLOOKUP(A13,Enforcements!$C$7:$J$30,8,0)</f>
        <v>#N/A</v>
      </c>
      <c r="AC13" s="39" t="e">
        <f>VLOOKUP(A13,Enforcements!$C$7:$E$30,3,0)</f>
        <v>#N/A</v>
      </c>
      <c r="AD13" s="1" t="str">
        <f>IF(LEN(A13)=6,"0"&amp;A13,A13)</f>
        <v>0101-05</v>
      </c>
    </row>
    <row r="14" spans="1:91" s="1" customFormat="1" x14ac:dyDescent="0.25">
      <c r="A14" s="67" t="s">
        <v>511</v>
      </c>
      <c r="B14" s="34">
        <v>4013</v>
      </c>
      <c r="C14" s="34" t="s">
        <v>60</v>
      </c>
      <c r="D14" s="34" t="s">
        <v>552</v>
      </c>
      <c r="E14" s="20">
        <v>42556.169189814813</v>
      </c>
      <c r="F14" s="20">
        <v>42556.170300925929</v>
      </c>
      <c r="G14" s="23">
        <v>1</v>
      </c>
      <c r="H14" s="20" t="s">
        <v>73</v>
      </c>
      <c r="I14" s="20">
        <v>42556.204571759263</v>
      </c>
      <c r="J14" s="34">
        <v>0</v>
      </c>
      <c r="K14" s="34" t="str">
        <f>IF(ISEVEN(B14),(B14-1)&amp;"/"&amp;B14,B14&amp;"/"&amp;(B14+1))</f>
        <v>4013/4014</v>
      </c>
      <c r="L14" s="34" t="str">
        <f>VLOOKUP(A14,'Trips&amp;Operators'!$C$1:$E$10000,3,FALSE)</f>
        <v>STURGEON</v>
      </c>
      <c r="M14" s="6">
        <f>I14-F14</f>
        <v>3.4270833333721384E-2</v>
      </c>
      <c r="N14" s="7">
        <f>24*60*SUM($M14:$M14)</f>
        <v>49.350000000558794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https://search-rtdc-monitor-bjffxe2xuh6vdkpspy63sjmuny.us-east-1.es.amazonaws.com/_plugin/kibana/#/discover/Steve-Slow-Train-Analysis-(2080s-and-2083s)?_g=(refreshInterval:(display:Off,section:0,value:0),time:(from:'2016-07-05 04:02:38-0600',mode:absolute,to:'2016-07-05 04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23.2639</v>
      </c>
      <c r="Z14" s="38">
        <f>RIGHT(H14,LEN(H14)-4)/10000</f>
        <v>1.49E-2</v>
      </c>
      <c r="AA14" s="38">
        <f>ABS(Z14-Y14)</f>
        <v>23.248999999999999</v>
      </c>
      <c r="AB14" s="39" t="e">
        <f>VLOOKUP(A14,Enforcements!$C$7:$J$30,8,0)</f>
        <v>#N/A</v>
      </c>
      <c r="AC14" s="39" t="e">
        <f>VLOOKUP(A14,Enforcements!$C$7:$E$30,3,0)</f>
        <v>#N/A</v>
      </c>
      <c r="AD14" s="1" t="str">
        <f>IF(LEN(A14)=6,"0"&amp;A14,A14)</f>
        <v>0102-05</v>
      </c>
    </row>
    <row r="15" spans="1:91" s="1" customFormat="1" x14ac:dyDescent="0.25">
      <c r="A15" s="67" t="s">
        <v>358</v>
      </c>
      <c r="B15" s="34">
        <v>4020</v>
      </c>
      <c r="C15" s="34" t="s">
        <v>60</v>
      </c>
      <c r="D15" s="34" t="s">
        <v>553</v>
      </c>
      <c r="E15" s="20">
        <v>42556.150682870371</v>
      </c>
      <c r="F15" s="20">
        <v>42556.15215277778</v>
      </c>
      <c r="G15" s="23">
        <v>2</v>
      </c>
      <c r="H15" s="20" t="s">
        <v>554</v>
      </c>
      <c r="I15" s="20">
        <v>42556.179571759261</v>
      </c>
      <c r="J15" s="34">
        <v>1</v>
      </c>
      <c r="K15" s="34" t="str">
        <f t="shared" ref="K15:K78" si="0">IF(ISEVEN(B15),(B15-1)&amp;"/"&amp;B15,B15&amp;"/"&amp;(B15+1))</f>
        <v>4019/4020</v>
      </c>
      <c r="L15" s="34" t="str">
        <f>VLOOKUP(A15,'Trips&amp;Operators'!$C$1:$E$10000,3,FALSE)</f>
        <v>STARKS</v>
      </c>
      <c r="M15" s="6">
        <f t="shared" ref="M15:M78" si="1">I15-F15</f>
        <v>2.7418981480877846E-2</v>
      </c>
      <c r="N15" s="7"/>
      <c r="O15" s="7"/>
      <c r="P15" s="7">
        <f t="shared" ref="N15:P78" si="2">24*60*SUM($M15:$M15)</f>
        <v>39.483333332464099</v>
      </c>
      <c r="Q15" s="35"/>
      <c r="R15" s="35" t="s">
        <v>721</v>
      </c>
      <c r="S15" s="59">
        <f t="shared" ref="S15:S78" si="3">SUM(U15:U15)/12</f>
        <v>1</v>
      </c>
      <c r="T15" s="1" t="str">
        <f t="shared" ref="T15:T78" si="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" s="38" t="str">
        <f t="shared" ref="W15:W78" si="6">IF(AA15&lt;23,"Y","N")</f>
        <v>Y</v>
      </c>
      <c r="X15" s="38">
        <f t="shared" ref="X15:X78" si="7">VALUE(LEFT(A15,3))-VALUE(LEFT(A14,3))</f>
        <v>1</v>
      </c>
      <c r="Y15" s="38">
        <f t="shared" ref="Y15:Y78" si="8">RIGHT(D15,LEN(D15)-4)/10000</f>
        <v>7.1499999999999994E-2</v>
      </c>
      <c r="Z15" s="38">
        <f t="shared" ref="Z15:Z77" si="9">RIGHT(H15,LEN(H15)-4)/10000</f>
        <v>19.001799999999999</v>
      </c>
      <c r="AA15" s="38">
        <f t="shared" ref="AA15:AA78" si="10">ABS(Z15-Y15)</f>
        <v>18.930299999999999</v>
      </c>
      <c r="AB15" s="39" t="e">
        <f>VLOOKUP(A15,Enforcements!$C$7:$J$30,8,0)</f>
        <v>#N/A</v>
      </c>
      <c r="AC15" s="39" t="e">
        <f>VLOOKUP(A15,Enforcements!$C$7:$E$30,3,0)</f>
        <v>#N/A</v>
      </c>
      <c r="AD15" s="1" t="str">
        <f t="shared" ref="AD15:AD78" si="11">IF(LEN(A15)=6,"0"&amp;A15,A15)</f>
        <v>0103-05</v>
      </c>
    </row>
    <row r="16" spans="1:91" s="1" customFormat="1" x14ac:dyDescent="0.25">
      <c r="A16" s="67" t="s">
        <v>504</v>
      </c>
      <c r="B16" s="34">
        <v>4032</v>
      </c>
      <c r="C16" s="34" t="s">
        <v>60</v>
      </c>
      <c r="D16" s="34" t="s">
        <v>555</v>
      </c>
      <c r="E16" s="20">
        <v>42556.193611111114</v>
      </c>
      <c r="F16" s="20">
        <v>42556.194988425923</v>
      </c>
      <c r="G16" s="23">
        <v>1</v>
      </c>
      <c r="H16" s="20" t="s">
        <v>61</v>
      </c>
      <c r="I16" s="20">
        <v>42556.223958333336</v>
      </c>
      <c r="J16" s="34">
        <v>0</v>
      </c>
      <c r="K16" s="34" t="str">
        <f t="shared" si="0"/>
        <v>4031/4032</v>
      </c>
      <c r="L16" s="34" t="str">
        <f>VLOOKUP(A16,'Trips&amp;Operators'!$C$1:$E$10000,3,FALSE)</f>
        <v>STARKS</v>
      </c>
      <c r="M16" s="6">
        <f t="shared" si="1"/>
        <v>2.8969907412829343E-2</v>
      </c>
      <c r="N16" s="7">
        <f t="shared" si="2"/>
        <v>41.716666674474254</v>
      </c>
      <c r="O16" s="7"/>
      <c r="P16" s="7"/>
      <c r="Q16" s="35"/>
      <c r="R16" s="35"/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04:37:48-0600',mode:absolute,to:'2016-07-05 05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23.265799999999999</v>
      </c>
      <c r="Z16" s="38">
        <f t="shared" si="9"/>
        <v>1.4500000000000001E-2</v>
      </c>
      <c r="AA16" s="38">
        <f t="shared" si="10"/>
        <v>23.251299999999997</v>
      </c>
      <c r="AB16" s="39" t="e">
        <f>VLOOKUP(A16,Enforcements!$C$7:$J$30,8,0)</f>
        <v>#N/A</v>
      </c>
      <c r="AC16" s="39" t="e">
        <f>VLOOKUP(A16,Enforcements!$C$7:$E$30,3,0)</f>
        <v>#N/A</v>
      </c>
      <c r="AD16" s="1" t="str">
        <f t="shared" si="11"/>
        <v>0104-05</v>
      </c>
    </row>
    <row r="17" spans="1:30" s="1" customFormat="1" x14ac:dyDescent="0.25">
      <c r="A17" s="67" t="s">
        <v>459</v>
      </c>
      <c r="B17" s="34">
        <v>4044</v>
      </c>
      <c r="C17" s="34" t="s">
        <v>60</v>
      </c>
      <c r="D17" s="34" t="s">
        <v>556</v>
      </c>
      <c r="E17" s="20">
        <v>42556.172175925924</v>
      </c>
      <c r="F17" s="20">
        <v>42556.173020833332</v>
      </c>
      <c r="G17" s="23">
        <v>1</v>
      </c>
      <c r="H17" s="20" t="s">
        <v>557</v>
      </c>
      <c r="I17" s="20">
        <v>42556.198923611111</v>
      </c>
      <c r="J17" s="34">
        <v>0</v>
      </c>
      <c r="K17" s="34" t="str">
        <f t="shared" si="0"/>
        <v>4043/4044</v>
      </c>
      <c r="L17" s="34" t="str">
        <f>VLOOKUP(A17,'Trips&amp;Operators'!$C$1:$E$10000,3,FALSE)</f>
        <v>ROCHA</v>
      </c>
      <c r="M17" s="6">
        <f t="shared" si="1"/>
        <v>2.5902777779265307E-2</v>
      </c>
      <c r="N17" s="7"/>
      <c r="O17" s="7"/>
      <c r="P17" s="7">
        <f t="shared" si="2"/>
        <v>37.300000002142042</v>
      </c>
      <c r="Q17" s="35"/>
      <c r="R17" s="35" t="s">
        <v>721</v>
      </c>
      <c r="S17" s="59">
        <f t="shared" si="3"/>
        <v>1</v>
      </c>
      <c r="T17" s="1" t="str">
        <f t="shared" si="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04:06:56-0600',mode:absolute,to:'2016-07-05 04:47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38" t="str">
        <f t="shared" si="6"/>
        <v>Y</v>
      </c>
      <c r="X17" s="38">
        <f t="shared" si="7"/>
        <v>1</v>
      </c>
      <c r="Y17" s="38">
        <f t="shared" si="8"/>
        <v>7.7899999999999997E-2</v>
      </c>
      <c r="Z17" s="38">
        <f t="shared" si="9"/>
        <v>18.920999999999999</v>
      </c>
      <c r="AA17" s="38">
        <f t="shared" si="10"/>
        <v>18.8431</v>
      </c>
      <c r="AB17" s="39" t="e">
        <f>VLOOKUP(A17,Enforcements!$C$7:$J$30,8,0)</f>
        <v>#N/A</v>
      </c>
      <c r="AC17" s="39" t="e">
        <f>VLOOKUP(A17,Enforcements!$C$7:$E$30,3,0)</f>
        <v>#N/A</v>
      </c>
      <c r="AD17" s="1" t="str">
        <f t="shared" si="11"/>
        <v>0105-05</v>
      </c>
    </row>
    <row r="18" spans="1:30" s="1" customFormat="1" x14ac:dyDescent="0.25">
      <c r="A18" s="67" t="s">
        <v>359</v>
      </c>
      <c r="B18" s="34">
        <v>4012</v>
      </c>
      <c r="C18" s="34" t="s">
        <v>60</v>
      </c>
      <c r="D18" s="34" t="s">
        <v>558</v>
      </c>
      <c r="E18" s="20">
        <v>42556.213912037034</v>
      </c>
      <c r="F18" s="20">
        <v>42556.214942129627</v>
      </c>
      <c r="G18" s="23">
        <v>1</v>
      </c>
      <c r="H18" s="20" t="s">
        <v>73</v>
      </c>
      <c r="I18" s="20">
        <v>42556.24318287037</v>
      </c>
      <c r="J18" s="34">
        <v>1</v>
      </c>
      <c r="K18" s="34" t="str">
        <f t="shared" si="0"/>
        <v>4011/4012</v>
      </c>
      <c r="L18" s="34" t="str">
        <f>VLOOKUP(A18,'Trips&amp;Operators'!$C$1:$E$10000,3,FALSE)</f>
        <v>ROCHA</v>
      </c>
      <c r="M18" s="6">
        <f t="shared" si="1"/>
        <v>2.8240740743058268E-2</v>
      </c>
      <c r="N18" s="7">
        <f t="shared" si="2"/>
        <v>40.666666670003906</v>
      </c>
      <c r="O18" s="7"/>
      <c r="P18" s="7"/>
      <c r="Q18" s="35"/>
      <c r="R18" s="35"/>
      <c r="S18" s="59">
        <f t="shared" si="3"/>
        <v>1</v>
      </c>
      <c r="T18" s="1" t="str">
        <f t="shared" si="4"/>
        <v>Southbound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23.2819</v>
      </c>
      <c r="Z18" s="38">
        <f t="shared" si="9"/>
        <v>1.49E-2</v>
      </c>
      <c r="AA18" s="38">
        <f t="shared" si="10"/>
        <v>23.266999999999999</v>
      </c>
      <c r="AB18" s="39" t="e">
        <f>VLOOKUP(A18,Enforcements!$C$7:$J$30,8,0)</f>
        <v>#N/A</v>
      </c>
      <c r="AC18" s="39" t="e">
        <f>VLOOKUP(A18,Enforcements!$C$7:$E$30,3,0)</f>
        <v>#N/A</v>
      </c>
      <c r="AD18" s="1" t="str">
        <f t="shared" si="11"/>
        <v>0106-05</v>
      </c>
    </row>
    <row r="19" spans="1:30" s="1" customFormat="1" x14ac:dyDescent="0.25">
      <c r="A19" s="67" t="s">
        <v>460</v>
      </c>
      <c r="B19" s="34">
        <v>4038</v>
      </c>
      <c r="C19" s="34" t="s">
        <v>60</v>
      </c>
      <c r="D19" s="34" t="s">
        <v>559</v>
      </c>
      <c r="E19" s="20">
        <v>42556.190925925926</v>
      </c>
      <c r="F19" s="20">
        <v>42556.191678240742</v>
      </c>
      <c r="G19" s="23">
        <v>1</v>
      </c>
      <c r="H19" s="20" t="s">
        <v>560</v>
      </c>
      <c r="I19" s="20">
        <v>42556.210023148145</v>
      </c>
      <c r="J19" s="34">
        <v>0</v>
      </c>
      <c r="K19" s="34" t="str">
        <f t="shared" si="0"/>
        <v>4037/4038</v>
      </c>
      <c r="L19" s="34" t="str">
        <f>VLOOKUP(A19,'Trips&amp;Operators'!$C$1:$E$10000,3,FALSE)</f>
        <v>YANAI</v>
      </c>
      <c r="M19" s="6">
        <f t="shared" si="1"/>
        <v>1.8344907402934041E-2</v>
      </c>
      <c r="N19" s="7"/>
      <c r="O19" s="7"/>
      <c r="P19" s="7">
        <f t="shared" si="2"/>
        <v>26.416666660225019</v>
      </c>
      <c r="Q19" s="35"/>
      <c r="R19" s="35" t="s">
        <v>721</v>
      </c>
      <c r="S19" s="59">
        <f t="shared" si="3"/>
        <v>1</v>
      </c>
      <c r="T19" s="1" t="str">
        <f t="shared" si="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04:33:56-0600',mode:absolute,to:'2016-07-05 05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38" t="str">
        <f t="shared" si="6"/>
        <v>Y</v>
      </c>
      <c r="X19" s="38">
        <f t="shared" si="7"/>
        <v>1</v>
      </c>
      <c r="Y19" s="38">
        <f t="shared" si="8"/>
        <v>1.9120999999999999</v>
      </c>
      <c r="Z19" s="38">
        <f t="shared" si="9"/>
        <v>18.972000000000001</v>
      </c>
      <c r="AA19" s="38">
        <f t="shared" si="10"/>
        <v>17.059900000000003</v>
      </c>
      <c r="AB19" s="39" t="e">
        <f>VLOOKUP(A19,Enforcements!$C$7:$J$30,8,0)</f>
        <v>#N/A</v>
      </c>
      <c r="AC19" s="39" t="e">
        <f>VLOOKUP(A19,Enforcements!$C$7:$E$30,3,0)</f>
        <v>#N/A</v>
      </c>
      <c r="AD19" s="1" t="str">
        <f t="shared" si="11"/>
        <v>0107-05</v>
      </c>
    </row>
    <row r="20" spans="1:30" s="1" customFormat="1" x14ac:dyDescent="0.25">
      <c r="A20" s="67" t="s">
        <v>460</v>
      </c>
      <c r="B20" s="34">
        <v>4038</v>
      </c>
      <c r="C20" s="34" t="s">
        <v>60</v>
      </c>
      <c r="D20" s="34" t="s">
        <v>561</v>
      </c>
      <c r="E20" s="20">
        <v>42556.184571759259</v>
      </c>
      <c r="F20" s="20">
        <v>42556.18550925926</v>
      </c>
      <c r="G20" s="23">
        <v>1</v>
      </c>
      <c r="H20" s="20" t="s">
        <v>562</v>
      </c>
      <c r="I20" s="20">
        <v>42556.187939814816</v>
      </c>
      <c r="J20" s="34">
        <v>0</v>
      </c>
      <c r="K20" s="34" t="str">
        <f>IF(ISEVEN(B20),(B20-1)&amp;"/"&amp;B20,B20&amp;"/"&amp;(B20+1))</f>
        <v>4037/4038</v>
      </c>
      <c r="L20" s="34" t="str">
        <f>VLOOKUP(A20,'Trips&amp;Operators'!$C$1:$E$10000,3,FALSE)</f>
        <v>YANAI</v>
      </c>
      <c r="M20" s="6">
        <f>I20-F20</f>
        <v>2.4305555562023073E-3</v>
      </c>
      <c r="N20" s="7"/>
      <c r="O20" s="7"/>
      <c r="P20" s="7">
        <f>24*60*SUM($M20:$M20)</f>
        <v>3.5000000009313226</v>
      </c>
      <c r="Q20" s="35"/>
      <c r="R20" s="35" t="s">
        <v>357</v>
      </c>
      <c r="S20" s="59">
        <f>SUM(U20:U20)/12</f>
        <v>0</v>
      </c>
      <c r="T20" s="1" t="str">
        <f>IF(ISEVEN(LEFT(A20,3)),"Southbound","NorthBound")</f>
        <v>NorthBound</v>
      </c>
      <c r="U20" s="1">
        <f>COUNTIFS(Variables!$M$2:$M$19,IF(T20="NorthBound","&gt;=","&lt;=")&amp;Y20,Variables!$M$2:$M$19,IF(T20="NorthBound","&lt;=","&gt;=")&amp;Z20)</f>
        <v>0</v>
      </c>
      <c r="V20" s="3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https://search-rtdc-monitor-bjffxe2xuh6vdkpspy63sjmuny.us-east-1.es.amazonaws.com/_plugin/kibana/#/discover/Steve-Slow-Train-Analysis-(2080s-and-2083s)?_g=(refreshInterval:(display:Off,section:0,value:0),time:(from:'2016-07-05 04:24:47-0600',mode:absolute,to:'2016-07-05 04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>IF(AA20&lt;23,"Y","N")</f>
        <v>Y</v>
      </c>
      <c r="X20" s="38">
        <f>VALUE(LEFT(A20,3))-VALUE(LEFT(A19,3))</f>
        <v>0</v>
      </c>
      <c r="Y20" s="38">
        <f>RIGHT(D20,LEN(D20)-4)/10000</f>
        <v>4.3999999999999997E-2</v>
      </c>
      <c r="Z20" s="38">
        <f>RIGHT(H20,LEN(H20)-4)/10000</f>
        <v>8.43E-2</v>
      </c>
      <c r="AA20" s="38">
        <f>ABS(Z20-Y20)</f>
        <v>4.0300000000000002E-2</v>
      </c>
      <c r="AB20" s="39" t="e">
        <f>VLOOKUP(A20,Enforcements!$C$7:$J$30,8,0)</f>
        <v>#N/A</v>
      </c>
      <c r="AC20" s="39" t="e">
        <f>VLOOKUP(A20,Enforcements!$C$7:$E$30,3,0)</f>
        <v>#N/A</v>
      </c>
      <c r="AD20" s="1" t="str">
        <f>IF(LEN(A20)=6,"0"&amp;A20,A20)</f>
        <v>0107-05</v>
      </c>
    </row>
    <row r="21" spans="1:30" s="1" customFormat="1" x14ac:dyDescent="0.25">
      <c r="A21" s="67" t="s">
        <v>454</v>
      </c>
      <c r="B21" s="34">
        <v>4037</v>
      </c>
      <c r="C21" s="34" t="s">
        <v>60</v>
      </c>
      <c r="D21" s="34" t="s">
        <v>324</v>
      </c>
      <c r="E21" s="20">
        <v>42556.225057870368</v>
      </c>
      <c r="F21" s="20">
        <v>42556.225972222222</v>
      </c>
      <c r="G21" s="23">
        <v>1</v>
      </c>
      <c r="H21" s="20" t="s">
        <v>563</v>
      </c>
      <c r="I21" s="20">
        <v>42556.254340277781</v>
      </c>
      <c r="J21" s="34">
        <v>0</v>
      </c>
      <c r="K21" s="34" t="str">
        <f>IF(ISEVEN(B21),(B21-1)&amp;"/"&amp;B21,B21&amp;"/"&amp;(B21+1))</f>
        <v>4037/4038</v>
      </c>
      <c r="L21" s="34" t="str">
        <f>VLOOKUP(A21,'Trips&amp;Operators'!$C$1:$E$10000,3,FALSE)</f>
        <v>YANAI</v>
      </c>
      <c r="M21" s="6">
        <f>I21-F21</f>
        <v>2.8368055558530614E-2</v>
      </c>
      <c r="N21" s="7">
        <f>24*60*SUM($M21:$M21)</f>
        <v>40.850000004284084</v>
      </c>
      <c r="O21" s="7"/>
      <c r="P21" s="7"/>
      <c r="Q21" s="35"/>
      <c r="R21" s="35"/>
      <c r="S21" s="59">
        <f>SUM(U21:U21)/12</f>
        <v>1</v>
      </c>
      <c r="T21" s="1" t="str">
        <f>IF(ISEVEN(LEFT(A21,3)),"Southbound","NorthBound")</f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https://search-rtdc-monitor-bjffxe2xuh6vdkpspy63sjmuny.us-east-1.es.amazonaws.com/_plugin/kibana/#/discover/Steve-Slow-Train-Analysis-(2080s-and-2083s)?_g=(refreshInterval:(display:Off,section:0,value:0),time:(from:'2016-07-05 05:23:05-0600',mode:absolute,to:'2016-07-05 06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>IF(AA21&lt;23,"Y","N")</f>
        <v>N</v>
      </c>
      <c r="X21" s="38">
        <f>VALUE(LEFT(A21,3))-VALUE(LEFT(A20,3))</f>
        <v>1</v>
      </c>
      <c r="Y21" s="38">
        <f>RIGHT(D21,LEN(D21)-4)/10000</f>
        <v>23.300599999999999</v>
      </c>
      <c r="Z21" s="38">
        <v>1.4E-2</v>
      </c>
      <c r="AA21" s="38">
        <f>ABS(Z21-Y21)</f>
        <v>23.2866</v>
      </c>
      <c r="AB21" s="39" t="e">
        <f>VLOOKUP(A21,Enforcements!$C$7:$J$30,8,0)</f>
        <v>#N/A</v>
      </c>
      <c r="AC21" s="39" t="e">
        <f>VLOOKUP(A21,Enforcements!$C$7:$E$30,3,0)</f>
        <v>#N/A</v>
      </c>
      <c r="AD21" s="1" t="str">
        <f>IF(LEN(A21)=6,"0"&amp;A21,A21)</f>
        <v>0108-05</v>
      </c>
    </row>
    <row r="22" spans="1:30" s="1" customFormat="1" x14ac:dyDescent="0.25">
      <c r="A22" s="67" t="s">
        <v>513</v>
      </c>
      <c r="B22" s="34">
        <v>4027</v>
      </c>
      <c r="C22" s="34" t="s">
        <v>60</v>
      </c>
      <c r="D22" s="34" t="s">
        <v>166</v>
      </c>
      <c r="E22" s="20">
        <v>42556.189212962963</v>
      </c>
      <c r="F22" s="20">
        <v>42556.190266203703</v>
      </c>
      <c r="G22" s="23">
        <v>1</v>
      </c>
      <c r="H22" s="20" t="s">
        <v>564</v>
      </c>
      <c r="I22" s="20">
        <v>42556.2190625</v>
      </c>
      <c r="J22" s="34">
        <v>0</v>
      </c>
      <c r="K22" s="34" t="str">
        <f>IF(ISEVEN(B22),(B22-1)&amp;"/"&amp;B22,B22&amp;"/"&amp;(B22+1))</f>
        <v>4027/4028</v>
      </c>
      <c r="L22" s="34" t="str">
        <f>VLOOKUP(A22,'Trips&amp;Operators'!$C$1:$E$10000,3,FALSE)</f>
        <v>BEAM</v>
      </c>
      <c r="M22" s="6">
        <f>I22-F22</f>
        <v>2.8796296297514345E-2</v>
      </c>
      <c r="N22" s="7"/>
      <c r="O22" s="7"/>
      <c r="P22" s="7">
        <f>24*60*SUM($M22:$M22)</f>
        <v>41.466666668420658</v>
      </c>
      <c r="Q22" s="35"/>
      <c r="R22" s="35" t="s">
        <v>721</v>
      </c>
      <c r="S22" s="59">
        <f>SUM(U22:U22)/12</f>
        <v>1</v>
      </c>
      <c r="T22" s="1" t="str">
        <f>IF(ISEVEN(LEFT(A22,3)),"Southbound","NorthBound")</f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https://search-rtdc-monitor-bjffxe2xuh6vdkpspy63sjmuny.us-east-1.es.amazonaws.com/_plugin/kibana/#/discover/Steve-Slow-Train-Analysis-(2080s-and-2083s)?_g=(refreshInterval:(display:Off,section:0,value:0),time:(from:'2016-07-05 04:31:28-0600',mode:absolute,to:'2016-07-05 05:16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2" s="38" t="str">
        <f>IF(AA22&lt;23,"Y","N")</f>
        <v>Y</v>
      </c>
      <c r="X22" s="38">
        <f>VALUE(LEFT(A22,3))-VALUE(LEFT(A21,3))</f>
        <v>1</v>
      </c>
      <c r="Y22" s="38">
        <f>RIGHT(D22,LEN(D22)-4)/10000</f>
        <v>4.5499999999999999E-2</v>
      </c>
      <c r="Z22" s="38">
        <f>RIGHT(H22,LEN(H22)-4)/10000</f>
        <v>19.009599999999999</v>
      </c>
      <c r="AA22" s="38">
        <f>ABS(Z22-Y22)</f>
        <v>18.964099999999998</v>
      </c>
      <c r="AB22" s="39" t="e">
        <f>VLOOKUP(A22,Enforcements!$C$7:$J$30,8,0)</f>
        <v>#N/A</v>
      </c>
      <c r="AC22" s="39" t="e">
        <f>VLOOKUP(A22,Enforcements!$C$7:$E$30,3,0)</f>
        <v>#N/A</v>
      </c>
      <c r="AD22" s="1" t="str">
        <f>IF(LEN(A22)=6,"0"&amp;A22,A22)</f>
        <v>0109-05</v>
      </c>
    </row>
    <row r="23" spans="1:30" s="1" customFormat="1" x14ac:dyDescent="0.25">
      <c r="A23" s="67" t="s">
        <v>496</v>
      </c>
      <c r="B23" s="34">
        <v>4028</v>
      </c>
      <c r="C23" s="34" t="s">
        <v>60</v>
      </c>
      <c r="D23" s="34" t="s">
        <v>565</v>
      </c>
      <c r="E23" s="20">
        <v>42556.237256944441</v>
      </c>
      <c r="F23" s="20">
        <v>42556.250717592593</v>
      </c>
      <c r="G23" s="23">
        <v>19</v>
      </c>
      <c r="H23" s="20" t="s">
        <v>62</v>
      </c>
      <c r="I23" s="20">
        <v>42556.266250000001</v>
      </c>
      <c r="J23" s="34">
        <v>0</v>
      </c>
      <c r="K23" s="34" t="str">
        <f>IF(ISEVEN(B23),(B23-1)&amp;"/"&amp;B23,B23&amp;"/"&amp;(B23+1))</f>
        <v>4027/4028</v>
      </c>
      <c r="L23" s="34" t="str">
        <f>VLOOKUP(A23,'Trips&amp;Operators'!$C$1:$E$10000,3,FALSE)</f>
        <v>BEAM</v>
      </c>
      <c r="M23" s="6">
        <f>I23-F23</f>
        <v>1.5532407407590654E-2</v>
      </c>
      <c r="N23" s="7"/>
      <c r="O23" s="7"/>
      <c r="P23" s="7">
        <f>24*60*SUM($M23:$M23)</f>
        <v>22.366666666930541</v>
      </c>
      <c r="Q23" s="35"/>
      <c r="R23" s="35" t="s">
        <v>722</v>
      </c>
      <c r="S23" s="59">
        <f>SUM(U23:U23)/12</f>
        <v>1</v>
      </c>
      <c r="T23" s="1" t="str">
        <f>IF(ISEVEN(LEFT(A23,3)),"Southbound","NorthBound")</f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https://search-rtdc-monitor-bjffxe2xuh6vdkpspy63sjmuny.us-east-1.es.amazonaws.com/_plugin/kibana/#/discover/Steve-Slow-Train-Analysis-(2080s-and-2083s)?_g=(refreshInterval:(display:Off,section:0,value:0),time:(from:'2016-07-05 05:40:39-0600',mode:absolute,to:'2016-07-05 06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38" t="str">
        <f>IF(AA23&lt;23,"Y","N")</f>
        <v>Y</v>
      </c>
      <c r="X23" s="38">
        <f>VALUE(LEFT(A23,3))-VALUE(LEFT(A22,3))</f>
        <v>1</v>
      </c>
      <c r="Y23" s="38">
        <f>RIGHT(D23,LEN(D23)-4)/10000</f>
        <v>12.785399999999999</v>
      </c>
      <c r="Z23" s="38">
        <f>RIGHT(H23,LEN(H23)-4)/10000</f>
        <v>1.52E-2</v>
      </c>
      <c r="AA23" s="38">
        <f>ABS(Z23-Y23)</f>
        <v>12.770199999999999</v>
      </c>
      <c r="AB23" s="39" t="e">
        <f>VLOOKUP(A23,Enforcements!$C$7:$J$30,8,0)</f>
        <v>#N/A</v>
      </c>
      <c r="AC23" s="39" t="e">
        <f>VLOOKUP(A23,Enforcements!$C$7:$E$30,3,0)</f>
        <v>#N/A</v>
      </c>
      <c r="AD23" s="1" t="str">
        <f>IF(LEN(A23)=6,"0"&amp;A23,A23)</f>
        <v>0110-05</v>
      </c>
    </row>
    <row r="24" spans="1:30" s="1" customFormat="1" x14ac:dyDescent="0.25">
      <c r="A24" s="67" t="s">
        <v>502</v>
      </c>
      <c r="B24" s="34">
        <v>4018</v>
      </c>
      <c r="C24" s="34" t="s">
        <v>60</v>
      </c>
      <c r="D24" s="34" t="s">
        <v>566</v>
      </c>
      <c r="E24" s="20">
        <v>42556.206990740742</v>
      </c>
      <c r="F24" s="20">
        <v>42556.208067129628</v>
      </c>
      <c r="G24" s="23">
        <v>1</v>
      </c>
      <c r="H24" s="20" t="s">
        <v>567</v>
      </c>
      <c r="I24" s="20">
        <v>42556.23164351852</v>
      </c>
      <c r="J24" s="34">
        <v>0</v>
      </c>
      <c r="K24" s="34" t="str">
        <f>IF(ISEVEN(B24),(B24-1)&amp;"/"&amp;B24,B24&amp;"/"&amp;(B24+1))</f>
        <v>4017/4018</v>
      </c>
      <c r="L24" s="34" t="str">
        <f>VLOOKUP(A24,'Trips&amp;Operators'!$C$1:$E$10000,3,FALSE)</f>
        <v>GEBRETEKLE</v>
      </c>
      <c r="M24" s="6">
        <f>I24-F24</f>
        <v>2.3576388892251998E-2</v>
      </c>
      <c r="N24" s="7"/>
      <c r="O24" s="7"/>
      <c r="P24" s="7">
        <f>24*60*SUM($M24:$M24)</f>
        <v>33.950000004842877</v>
      </c>
      <c r="Q24" s="35"/>
      <c r="R24" s="35" t="s">
        <v>721</v>
      </c>
      <c r="S24" s="59">
        <f>SUM(U24:U24)/12</f>
        <v>1</v>
      </c>
      <c r="T24" s="1" t="str">
        <f>IF(ISEVEN(LEFT(A24,3)),"Southbound","NorthBound")</f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https://search-rtdc-monitor-bjffxe2xuh6vdkpspy63sjmuny.us-east-1.es.amazonaws.com/_plugin/kibana/#/discover/Steve-Slow-Train-Analysis-(2080s-and-2083s)?_g=(refreshInterval:(display:Off,section:0,value:0),time:(from:'2016-07-05 04:57:04-0600',mode:absolute,to:'2016-07-05 05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38" t="str">
        <f>IF(AA24&lt;23,"Y","N")</f>
        <v>Y</v>
      </c>
      <c r="X24" s="38">
        <f>VALUE(LEFT(A24,3))-VALUE(LEFT(A23,3))</f>
        <v>1</v>
      </c>
      <c r="Y24" s="38">
        <f>RIGHT(D24,LEN(D24)-4)/10000</f>
        <v>7.2400000000000006E-2</v>
      </c>
      <c r="Z24" s="38">
        <f>RIGHT(H24,LEN(H24)-4)/10000</f>
        <v>18.889800000000001</v>
      </c>
      <c r="AA24" s="38">
        <f>ABS(Z24-Y24)</f>
        <v>18.817400000000003</v>
      </c>
      <c r="AB24" s="39" t="e">
        <f>VLOOKUP(A24,Enforcements!$C$7:$J$30,8,0)</f>
        <v>#N/A</v>
      </c>
      <c r="AC24" s="39" t="e">
        <f>VLOOKUP(A24,Enforcements!$C$7:$E$30,3,0)</f>
        <v>#N/A</v>
      </c>
      <c r="AD24" s="1" t="str">
        <f>IF(LEN(A24)=6,"0"&amp;A24,A24)</f>
        <v>0111-05</v>
      </c>
    </row>
    <row r="25" spans="1:30" s="1" customFormat="1" x14ac:dyDescent="0.25">
      <c r="A25" s="67" t="s">
        <v>456</v>
      </c>
      <c r="B25" s="34">
        <v>4017</v>
      </c>
      <c r="C25" s="34" t="s">
        <v>60</v>
      </c>
      <c r="D25" s="34" t="s">
        <v>195</v>
      </c>
      <c r="E25" s="20">
        <v>42556.244803240741</v>
      </c>
      <c r="F25" s="20">
        <v>42556.245798611111</v>
      </c>
      <c r="G25" s="23">
        <v>1</v>
      </c>
      <c r="H25" s="20" t="s">
        <v>165</v>
      </c>
      <c r="I25" s="20">
        <v>42556.276134259257</v>
      </c>
      <c r="J25" s="34">
        <v>0</v>
      </c>
      <c r="K25" s="34" t="str">
        <f>IF(ISEVEN(B25),(B25-1)&amp;"/"&amp;B25,B25&amp;"/"&amp;(B25+1))</f>
        <v>4017/4018</v>
      </c>
      <c r="L25" s="34" t="str">
        <f>VLOOKUP(A25,'Trips&amp;Operators'!$C$1:$E$10000,3,FALSE)</f>
        <v>GEBRETEKLE</v>
      </c>
      <c r="M25" s="6">
        <f>I25-F25</f>
        <v>3.0335648145410232E-2</v>
      </c>
      <c r="N25" s="7">
        <f>24*60*SUM($M25:$M25)</f>
        <v>43.683333329390734</v>
      </c>
      <c r="O25" s="7"/>
      <c r="P25" s="7"/>
      <c r="Q25" s="35"/>
      <c r="R25" s="35"/>
      <c r="S25" s="59">
        <f>SUM(U25:U25)/12</f>
        <v>1</v>
      </c>
      <c r="T25" s="1" t="str">
        <f>IF(ISEVEN(LEFT(A25,3)),"Southbound","NorthBound")</f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https://search-rtdc-monitor-bjffxe2xuh6vdkpspy63sjmuny.us-east-1.es.amazonaws.com/_plugin/kibana/#/discover/Steve-Slow-Train-Analysis-(2080s-and-2083s)?_g=(refreshInterval:(display:Off,section:0,value:0),time:(from:'2016-07-05 05:51:31-0600',mode:absolute,to:'2016-07-05 06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38" t="str">
        <f>IF(AA25&lt;23,"Y","N")</f>
        <v>N</v>
      </c>
      <c r="X25" s="38">
        <f>VALUE(LEFT(A25,3))-VALUE(LEFT(A24,3))</f>
        <v>1</v>
      </c>
      <c r="Y25" s="38">
        <f>RIGHT(D25,LEN(D25)-4)/10000</f>
        <v>23.299800000000001</v>
      </c>
      <c r="Z25" s="38">
        <f>RIGHT(H25,LEN(H25)-4)/10000</f>
        <v>1.38E-2</v>
      </c>
      <c r="AA25" s="38">
        <f>ABS(Z25-Y25)</f>
        <v>23.286000000000001</v>
      </c>
      <c r="AB25" s="39" t="e">
        <f>VLOOKUP(A25,Enforcements!$C$7:$J$30,8,0)</f>
        <v>#N/A</v>
      </c>
      <c r="AC25" s="39" t="e">
        <f>VLOOKUP(A25,Enforcements!$C$7:$E$30,3,0)</f>
        <v>#N/A</v>
      </c>
      <c r="AD25" s="1" t="str">
        <f>IF(LEN(A25)=6,"0"&amp;A25,A25)</f>
        <v>0112-05</v>
      </c>
    </row>
    <row r="26" spans="1:30" s="1" customFormat="1" x14ac:dyDescent="0.25">
      <c r="A26" s="67" t="s">
        <v>499</v>
      </c>
      <c r="B26" s="34">
        <v>4014</v>
      </c>
      <c r="C26" s="34" t="s">
        <v>60</v>
      </c>
      <c r="D26" s="34" t="s">
        <v>568</v>
      </c>
      <c r="E26" s="20">
        <v>42556.213530092595</v>
      </c>
      <c r="F26" s="20">
        <v>42556.214745370373</v>
      </c>
      <c r="G26" s="23">
        <v>1</v>
      </c>
      <c r="H26" s="20" t="s">
        <v>569</v>
      </c>
      <c r="I26" s="20">
        <v>42556.242962962962</v>
      </c>
      <c r="J26" s="34">
        <v>0</v>
      </c>
      <c r="K26" s="34" t="str">
        <f>IF(ISEVEN(B26),(B26-1)&amp;"/"&amp;B26,B26&amp;"/"&amp;(B26+1))</f>
        <v>4013/4014</v>
      </c>
      <c r="L26" s="34" t="str">
        <f>VLOOKUP(A26,'Trips&amp;Operators'!$C$1:$E$10000,3,FALSE)</f>
        <v>STURGEON</v>
      </c>
      <c r="M26" s="6">
        <f>I26-F26</f>
        <v>2.8217592589498963E-2</v>
      </c>
      <c r="N26" s="7"/>
      <c r="O26" s="7"/>
      <c r="P26" s="7">
        <f>24*60*SUM($M26:$M26)</f>
        <v>40.633333328878507</v>
      </c>
      <c r="Q26" s="35"/>
      <c r="R26" s="35" t="s">
        <v>721</v>
      </c>
      <c r="S26" s="59">
        <f>SUM(U26:U26)/12</f>
        <v>1</v>
      </c>
      <c r="T26" s="1" t="str">
        <f>IF(ISEVEN(LEFT(A26,3)),"Southbound","NorthBound")</f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https://search-rtdc-monitor-bjffxe2xuh6vdkpspy63sjmuny.us-east-1.es.amazonaws.com/_plugin/kibana/#/discover/Steve-Slow-Train-Analysis-(2080s-and-2083s)?_g=(refreshInterval:(display:Off,section:0,value:0),time:(from:'2016-07-05 05:06:29-0600',mode:absolute,to:'2016-07-05 05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6" s="38" t="str">
        <f>IF(AA26&lt;23,"Y","N")</f>
        <v>Y</v>
      </c>
      <c r="X26" s="38">
        <f>VALUE(LEFT(A26,3))-VALUE(LEFT(A25,3))</f>
        <v>1</v>
      </c>
      <c r="Y26" s="38">
        <f>RIGHT(D26,LEN(D26)-4)/10000</f>
        <v>4.9099999999999998E-2</v>
      </c>
      <c r="Z26" s="38">
        <f>RIGHT(H26,LEN(H26)-4)/10000</f>
        <v>18.899100000000001</v>
      </c>
      <c r="AA26" s="38">
        <f>ABS(Z26-Y26)</f>
        <v>18.850000000000001</v>
      </c>
      <c r="AB26" s="39" t="e">
        <f>VLOOKUP(A26,Enforcements!$C$7:$J$30,8,0)</f>
        <v>#N/A</v>
      </c>
      <c r="AC26" s="39" t="e">
        <f>VLOOKUP(A26,Enforcements!$C$7:$E$30,3,0)</f>
        <v>#N/A</v>
      </c>
      <c r="AD26" s="1" t="str">
        <f>IF(LEN(A26)=6,"0"&amp;A26,A26)</f>
        <v>0113-05</v>
      </c>
    </row>
    <row r="27" spans="1:30" s="1" customFormat="1" x14ac:dyDescent="0.25">
      <c r="A27" s="67" t="s">
        <v>437</v>
      </c>
      <c r="B27" s="34">
        <v>4013</v>
      </c>
      <c r="C27" s="34" t="s">
        <v>60</v>
      </c>
      <c r="D27" s="34" t="s">
        <v>190</v>
      </c>
      <c r="E27" s="20">
        <v>42556.25340277778</v>
      </c>
      <c r="F27" s="20">
        <v>42556.254560185182</v>
      </c>
      <c r="G27" s="23">
        <v>1</v>
      </c>
      <c r="H27" s="20" t="s">
        <v>163</v>
      </c>
      <c r="I27" s="20">
        <v>42556.286712962959</v>
      </c>
      <c r="J27" s="34">
        <v>0</v>
      </c>
      <c r="K27" s="34" t="str">
        <f>IF(ISEVEN(B27),(B27-1)&amp;"/"&amp;B27,B27&amp;"/"&amp;(B27+1))</f>
        <v>4013/4014</v>
      </c>
      <c r="L27" s="34" t="str">
        <f>VLOOKUP(A27,'Trips&amp;Operators'!$C$1:$E$10000,3,FALSE)</f>
        <v>STURGEON</v>
      </c>
      <c r="M27" s="6">
        <f>I27-F27</f>
        <v>3.2152777777810115E-2</v>
      </c>
      <c r="N27" s="7">
        <f>24*60*SUM($M27:$M27)</f>
        <v>46.300000000046566</v>
      </c>
      <c r="O27" s="7"/>
      <c r="P27" s="7"/>
      <c r="Q27" s="35"/>
      <c r="R27" s="35"/>
      <c r="S27" s="59">
        <f>SUM(U27:U27)/12</f>
        <v>1</v>
      </c>
      <c r="T27" s="1" t="str">
        <f>IF(ISEVEN(LEFT(A27,3)),"Southbound","NorthBound")</f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https://search-rtdc-monitor-bjffxe2xuh6vdkpspy63sjmuny.us-east-1.es.amazonaws.com/_plugin/kibana/#/discover/Steve-Slow-Train-Analysis-(2080s-and-2083s)?_g=(refreshInterval:(display:Off,section:0,value:0),time:(from:'2016-07-05 06:03:54-0600',mode:absolute,to:'2016-07-05 06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7" s="38" t="str">
        <f>IF(AA27&lt;23,"Y","N")</f>
        <v>N</v>
      </c>
      <c r="X27" s="38">
        <f>VALUE(LEFT(A27,3))-VALUE(LEFT(A26,3))</f>
        <v>1</v>
      </c>
      <c r="Y27" s="38">
        <f>RIGHT(D27,LEN(D27)-4)/10000</f>
        <v>23.2973</v>
      </c>
      <c r="Z27" s="38">
        <f>RIGHT(H27,LEN(H27)-4)/10000</f>
        <v>1.67E-2</v>
      </c>
      <c r="AA27" s="38">
        <f>ABS(Z27-Y27)</f>
        <v>23.2806</v>
      </c>
      <c r="AB27" s="39" t="e">
        <f>VLOOKUP(A27,Enforcements!$C$7:$J$30,8,0)</f>
        <v>#N/A</v>
      </c>
      <c r="AC27" s="39" t="e">
        <f>VLOOKUP(A27,Enforcements!$C$7:$E$30,3,0)</f>
        <v>#N/A</v>
      </c>
      <c r="AD27" s="1" t="str">
        <f>IF(LEN(A27)=6,"0"&amp;A27,A27)</f>
        <v>0114-05</v>
      </c>
    </row>
    <row r="28" spans="1:30" s="1" customFormat="1" x14ac:dyDescent="0.25">
      <c r="A28" s="67" t="s">
        <v>440</v>
      </c>
      <c r="B28" s="34">
        <v>4020</v>
      </c>
      <c r="C28" s="34" t="s">
        <v>60</v>
      </c>
      <c r="D28" s="34" t="s">
        <v>570</v>
      </c>
      <c r="E28" s="20">
        <v>42556.226539351854</v>
      </c>
      <c r="F28" s="20">
        <v>42556.227916666663</v>
      </c>
      <c r="G28" s="23">
        <v>1</v>
      </c>
      <c r="H28" s="20" t="s">
        <v>571</v>
      </c>
      <c r="I28" s="20">
        <v>42556.252326388887</v>
      </c>
      <c r="J28" s="34">
        <v>0</v>
      </c>
      <c r="K28" s="34" t="str">
        <f>IF(ISEVEN(B28),(B28-1)&amp;"/"&amp;B28,B28&amp;"/"&amp;(B28+1))</f>
        <v>4019/4020</v>
      </c>
      <c r="L28" s="34" t="str">
        <f>VLOOKUP(A28,'Trips&amp;Operators'!$C$1:$E$10000,3,FALSE)</f>
        <v>SPECTOR</v>
      </c>
      <c r="M28" s="6">
        <f>I28-F28</f>
        <v>2.4409722223936114E-2</v>
      </c>
      <c r="N28" s="7"/>
      <c r="O28" s="7"/>
      <c r="P28" s="7">
        <f>24*60*SUM($M28:$M28)</f>
        <v>35.150000002468005</v>
      </c>
      <c r="Q28" s="35"/>
      <c r="R28" s="35" t="s">
        <v>721</v>
      </c>
      <c r="S28" s="59">
        <f>SUM(U28:U28)/12</f>
        <v>1</v>
      </c>
      <c r="T28" s="1" t="str">
        <f>IF(ISEVEN(LEFT(A28,3)),"Southbound","NorthBound")</f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https://search-rtdc-monitor-bjffxe2xuh6vdkpspy63sjmuny.us-east-1.es.amazonaws.com/_plugin/kibana/#/discover/Steve-Slow-Train-Analysis-(2080s-and-2083s)?_g=(refreshInterval:(display:Off,section:0,value:0),time:(from:'2016-07-05 05:25:13-0600',mode:absolute,to:'2016-07-05 06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8" s="38" t="str">
        <f>IF(AA28&lt;23,"Y","N")</f>
        <v>Y</v>
      </c>
      <c r="X28" s="38">
        <f>VALUE(LEFT(A28,3))-VALUE(LEFT(A27,3))</f>
        <v>1</v>
      </c>
      <c r="Y28" s="38">
        <f>RIGHT(D28,LEN(D28)-4)/10000</f>
        <v>7.6600000000000001E-2</v>
      </c>
      <c r="Z28" s="38">
        <f>RIGHT(H28,LEN(H28)-4)/10000</f>
        <v>18.9666</v>
      </c>
      <c r="AA28" s="38">
        <f>ABS(Z28-Y28)</f>
        <v>18.89</v>
      </c>
      <c r="AB28" s="39" t="e">
        <f>VLOOKUP(A28,Enforcements!$C$7:$J$30,8,0)</f>
        <v>#N/A</v>
      </c>
      <c r="AC28" s="39" t="e">
        <f>VLOOKUP(A28,Enforcements!$C$7:$E$30,3,0)</f>
        <v>#N/A</v>
      </c>
      <c r="AD28" s="1" t="str">
        <f>IF(LEN(A28)=6,"0"&amp;A28,A28)</f>
        <v>0115-05</v>
      </c>
    </row>
    <row r="29" spans="1:30" s="1" customFormat="1" x14ac:dyDescent="0.25">
      <c r="A29" s="67" t="s">
        <v>363</v>
      </c>
      <c r="B29" s="34">
        <v>4019</v>
      </c>
      <c r="C29" s="34" t="s">
        <v>60</v>
      </c>
      <c r="D29" s="34" t="s">
        <v>324</v>
      </c>
      <c r="E29" s="20">
        <v>42556.265208333331</v>
      </c>
      <c r="F29" s="20">
        <v>42556.266423611109</v>
      </c>
      <c r="G29" s="23">
        <v>1</v>
      </c>
      <c r="H29" s="20" t="s">
        <v>67</v>
      </c>
      <c r="I29" s="20">
        <v>42556.296655092592</v>
      </c>
      <c r="J29" s="34">
        <v>2</v>
      </c>
      <c r="K29" s="34" t="str">
        <f>IF(ISEVEN(B29),(B29-1)&amp;"/"&amp;B29,B29&amp;"/"&amp;(B29+1))</f>
        <v>4019/4020</v>
      </c>
      <c r="L29" s="34" t="str">
        <f>VLOOKUP(A29,'Trips&amp;Operators'!$C$1:$E$10000,3,FALSE)</f>
        <v>SPECTOR</v>
      </c>
      <c r="M29" s="6">
        <f>I29-F29</f>
        <v>3.0231481483497191E-2</v>
      </c>
      <c r="N29" s="7">
        <f>24*60*SUM($M29:$M29)</f>
        <v>43.533333336235955</v>
      </c>
      <c r="O29" s="7"/>
      <c r="P29" s="7"/>
      <c r="Q29" s="35"/>
      <c r="R29" s="35"/>
      <c r="S29" s="59">
        <f>SUM(U29:U29)/12</f>
        <v>1</v>
      </c>
      <c r="T29" s="1" t="str">
        <f>IF(ISEVEN(LEFT(A29,3)),"Southbound","NorthBound")</f>
        <v>Southbound</v>
      </c>
      <c r="U29" s="1">
        <f>COUNTIFS(Variables!$M$2:$M$19,IF(T29="NorthBound","&gt;=","&lt;=")&amp;Y29,Variables!$M$2:$M$19,IF(T29="NorthBound","&lt;=","&gt;=")&amp;Z29)</f>
        <v>12</v>
      </c>
      <c r="V29" s="3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9" s="38" t="str">
        <f>IF(AA29&lt;23,"Y","N")</f>
        <v>N</v>
      </c>
      <c r="X29" s="38">
        <f>VALUE(LEFT(A29,3))-VALUE(LEFT(A28,3))</f>
        <v>1</v>
      </c>
      <c r="Y29" s="38">
        <f>RIGHT(D29,LEN(D29)-4)/10000</f>
        <v>23.300599999999999</v>
      </c>
      <c r="Z29" s="38">
        <f>RIGHT(H29,LEN(H29)-4)/10000</f>
        <v>1.47E-2</v>
      </c>
      <c r="AA29" s="38">
        <f>ABS(Z29-Y29)</f>
        <v>23.285899999999998</v>
      </c>
      <c r="AB29" s="39">
        <f>VLOOKUP(A29,Enforcements!$C$7:$J$30,8,0)</f>
        <v>4677</v>
      </c>
      <c r="AC29" s="39" t="str">
        <f>VLOOKUP(A29,Enforcements!$C$7:$E$30,3,0)</f>
        <v>PERMANENT SPEED RESTRICTION</v>
      </c>
      <c r="AD29" s="1" t="str">
        <f>IF(LEN(A29)=6,"0"&amp;A29,A29)</f>
        <v>0116-05</v>
      </c>
    </row>
    <row r="30" spans="1:30" s="1" customFormat="1" x14ac:dyDescent="0.25">
      <c r="A30" s="67" t="s">
        <v>360</v>
      </c>
      <c r="B30" s="34">
        <v>4031</v>
      </c>
      <c r="C30" s="34" t="s">
        <v>60</v>
      </c>
      <c r="D30" s="34" t="s">
        <v>197</v>
      </c>
      <c r="E30" s="20">
        <v>42556.230543981481</v>
      </c>
      <c r="F30" s="20">
        <v>42556.232789351852</v>
      </c>
      <c r="G30" s="23">
        <v>3</v>
      </c>
      <c r="H30" s="20" t="s">
        <v>572</v>
      </c>
      <c r="I30" s="20">
        <v>42556.262430555558</v>
      </c>
      <c r="J30" s="34">
        <v>1</v>
      </c>
      <c r="K30" s="34" t="str">
        <f>IF(ISEVEN(B30),(B30-1)&amp;"/"&amp;B30,B30&amp;"/"&amp;(B30+1))</f>
        <v>4031/4032</v>
      </c>
      <c r="L30" s="34" t="str">
        <f>VLOOKUP(A30,'Trips&amp;Operators'!$C$1:$E$10000,3,FALSE)</f>
        <v>LOCKLEAR</v>
      </c>
      <c r="M30" s="6">
        <f>I30-F30</f>
        <v>2.9641203705978114E-2</v>
      </c>
      <c r="N30" s="7"/>
      <c r="O30" s="7"/>
      <c r="P30" s="7">
        <f>24*60*SUM($M30:$M30)</f>
        <v>42.683333336608484</v>
      </c>
      <c r="Q30" s="35"/>
      <c r="R30" s="35" t="s">
        <v>721</v>
      </c>
      <c r="S30" s="59">
        <f>SUM(U30:U30)/12</f>
        <v>1</v>
      </c>
      <c r="T30" s="1" t="str">
        <f>IF(ISEVEN(LEFT(A30,3)),"Southbound","NorthBound")</f>
        <v>NorthBound</v>
      </c>
      <c r="U30" s="1">
        <f>COUNTIFS(Variables!$M$2:$M$19,IF(T30="NorthBound","&gt;=","&lt;=")&amp;Y30,Variables!$M$2:$M$19,IF(T30="NorthBound","&lt;=","&gt;=")&amp;Z30)</f>
        <v>12</v>
      </c>
      <c r="V30" s="3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38" t="str">
        <f>IF(AA30&lt;23,"Y","N")</f>
        <v>Y</v>
      </c>
      <c r="X30" s="38">
        <f>VALUE(LEFT(A30,3))-VALUE(LEFT(A29,3))</f>
        <v>1</v>
      </c>
      <c r="Y30" s="38">
        <f>RIGHT(D30,LEN(D30)-4)/10000</f>
        <v>4.6899999999999997E-2</v>
      </c>
      <c r="Z30" s="38">
        <f>RIGHT(H30,LEN(H30)-4)/10000</f>
        <v>18.940100000000001</v>
      </c>
      <c r="AA30" s="38">
        <f>ABS(Z30-Y30)</f>
        <v>18.8932</v>
      </c>
      <c r="AB30" s="39" t="e">
        <f>VLOOKUP(A30,Enforcements!$C$7:$J$30,8,0)</f>
        <v>#N/A</v>
      </c>
      <c r="AC30" s="39" t="e">
        <f>VLOOKUP(A30,Enforcements!$C$7:$E$30,3,0)</f>
        <v>#N/A</v>
      </c>
      <c r="AD30" s="1" t="str">
        <f>IF(LEN(A30)=6,"0"&amp;A30,A30)</f>
        <v>0117-05</v>
      </c>
    </row>
    <row r="31" spans="1:30" s="1" customFormat="1" x14ac:dyDescent="0.25">
      <c r="A31" s="67" t="s">
        <v>517</v>
      </c>
      <c r="B31" s="34">
        <v>4032</v>
      </c>
      <c r="C31" s="34" t="s">
        <v>60</v>
      </c>
      <c r="D31" s="34" t="s">
        <v>154</v>
      </c>
      <c r="E31" s="20">
        <v>42556.276099537034</v>
      </c>
      <c r="F31" s="20">
        <v>42556.277083333334</v>
      </c>
      <c r="G31" s="23">
        <v>1</v>
      </c>
      <c r="H31" s="20" t="s">
        <v>95</v>
      </c>
      <c r="I31" s="20">
        <v>42556.30505787037</v>
      </c>
      <c r="J31" s="34">
        <v>0</v>
      </c>
      <c r="K31" s="34" t="str">
        <f>IF(ISEVEN(B31),(B31-1)&amp;"/"&amp;B31,B31&amp;"/"&amp;(B31+1))</f>
        <v>4031/4032</v>
      </c>
      <c r="L31" s="34" t="str">
        <f>VLOOKUP(A31,'Trips&amp;Operators'!$C$1:$E$10000,3,FALSE)</f>
        <v>STARKS</v>
      </c>
      <c r="M31" s="6">
        <f>I31-F31</f>
        <v>2.7974537035333924E-2</v>
      </c>
      <c r="N31" s="7">
        <f>24*60*SUM($M31:$M31)</f>
        <v>40.283333330880851</v>
      </c>
      <c r="O31" s="7"/>
      <c r="P31" s="7"/>
      <c r="Q31" s="35"/>
      <c r="R31" s="35"/>
      <c r="S31" s="59">
        <f>SUM(U31:U31)/12</f>
        <v>1</v>
      </c>
      <c r="T31" s="1" t="str">
        <f>IF(ISEVEN(LEFT(A31,3)),"Southbound","NorthBound")</f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https://search-rtdc-monitor-bjffxe2xuh6vdkpspy63sjmuny.us-east-1.es.amazonaws.com/_plugin/kibana/#/discover/Steve-Slow-Train-Analysis-(2080s-and-2083s)?_g=(refreshInterval:(display:Off,section:0,value:0),time:(from:'2016-07-05 06:36:35-0600',mode:absolute,to:'2016-07-05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38" t="str">
        <f>IF(AA31&lt;23,"Y","N")</f>
        <v>N</v>
      </c>
      <c r="X31" s="38">
        <f>VALUE(LEFT(A31,3))-VALUE(LEFT(A30,3))</f>
        <v>1</v>
      </c>
      <c r="Y31" s="38">
        <f>RIGHT(D31,LEN(D31)-4)/10000</f>
        <v>23.297799999999999</v>
      </c>
      <c r="Z31" s="38">
        <f>RIGHT(H31,LEN(H31)-4)/10000</f>
        <v>1.4999999999999999E-2</v>
      </c>
      <c r="AA31" s="38">
        <f>ABS(Z31-Y31)</f>
        <v>23.282799999999998</v>
      </c>
      <c r="AB31" s="39" t="e">
        <f>VLOOKUP(A31,Enforcements!$C$7:$J$30,8,0)</f>
        <v>#N/A</v>
      </c>
      <c r="AC31" s="39" t="e">
        <f>VLOOKUP(A31,Enforcements!$C$7:$E$30,3,0)</f>
        <v>#N/A</v>
      </c>
      <c r="AD31" s="1" t="str">
        <f>IF(LEN(A31)=6,"0"&amp;A31,A31)</f>
        <v>0118-05</v>
      </c>
    </row>
    <row r="32" spans="1:30" s="1" customFormat="1" x14ac:dyDescent="0.25">
      <c r="A32" s="67" t="s">
        <v>462</v>
      </c>
      <c r="B32" s="34">
        <v>4044</v>
      </c>
      <c r="C32" s="34" t="s">
        <v>60</v>
      </c>
      <c r="D32" s="34" t="s">
        <v>573</v>
      </c>
      <c r="E32" s="20">
        <v>42556.245856481481</v>
      </c>
      <c r="F32" s="20">
        <v>42556.24690972222</v>
      </c>
      <c r="G32" s="23">
        <v>1</v>
      </c>
      <c r="H32" s="20" t="s">
        <v>574</v>
      </c>
      <c r="I32" s="20">
        <v>42556.271412037036</v>
      </c>
      <c r="J32" s="34">
        <v>0</v>
      </c>
      <c r="K32" s="34" t="str">
        <f>IF(ISEVEN(B32),(B32-1)&amp;"/"&amp;B32,B32&amp;"/"&amp;(B32+1))</f>
        <v>4043/4044</v>
      </c>
      <c r="L32" s="34" t="str">
        <f>VLOOKUP(A32,'Trips&amp;Operators'!$C$1:$E$10000,3,FALSE)</f>
        <v>ROCHA</v>
      </c>
      <c r="M32" s="6">
        <f>I32-F32</f>
        <v>2.4502314816345461E-2</v>
      </c>
      <c r="N32" s="7"/>
      <c r="O32" s="7"/>
      <c r="P32" s="7">
        <f>24*60*SUM($M32:$M32)</f>
        <v>35.283333335537463</v>
      </c>
      <c r="Q32" s="35"/>
      <c r="R32" s="35" t="s">
        <v>721</v>
      </c>
      <c r="S32" s="59">
        <f>SUM(U32:U32)/12</f>
        <v>1</v>
      </c>
      <c r="T32" s="1" t="str">
        <f>IF(ISEVEN(LEFT(A32,3)),"Southbound","NorthBound")</f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https://search-rtdc-monitor-bjffxe2xuh6vdkpspy63sjmuny.us-east-1.es.amazonaws.com/_plugin/kibana/#/discover/Steve-Slow-Train-Analysis-(2080s-and-2083s)?_g=(refreshInterval:(display:Off,section:0,value:0),time:(from:'2016-07-05 05:53:02-0600',mode:absolute,to:'2016-07-05 06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38" t="str">
        <f>IF(AA32&lt;23,"Y","N")</f>
        <v>Y</v>
      </c>
      <c r="X32" s="38">
        <f>VALUE(LEFT(A32,3))-VALUE(LEFT(A31,3))</f>
        <v>1</v>
      </c>
      <c r="Y32" s="38">
        <f>RIGHT(D32,LEN(D32)-4)/10000</f>
        <v>7.5700000000000003E-2</v>
      </c>
      <c r="Z32" s="38">
        <f>RIGHT(H32,LEN(H32)-4)/10000</f>
        <v>18.9559</v>
      </c>
      <c r="AA32" s="38">
        <f>ABS(Z32-Y32)</f>
        <v>18.880199999999999</v>
      </c>
      <c r="AB32" s="39" t="e">
        <f>VLOOKUP(A32,Enforcements!$C$7:$J$30,8,0)</f>
        <v>#N/A</v>
      </c>
      <c r="AC32" s="39" t="e">
        <f>VLOOKUP(A32,Enforcements!$C$7:$E$30,3,0)</f>
        <v>#N/A</v>
      </c>
      <c r="AD32" s="1" t="str">
        <f>IF(LEN(A32)=6,"0"&amp;A32,A32)</f>
        <v>0119-05</v>
      </c>
    </row>
    <row r="33" spans="1:30" s="1" customFormat="1" x14ac:dyDescent="0.25">
      <c r="A33" s="67" t="s">
        <v>362</v>
      </c>
      <c r="B33" s="34">
        <v>4043</v>
      </c>
      <c r="C33" s="34" t="s">
        <v>60</v>
      </c>
      <c r="D33" s="34" t="s">
        <v>195</v>
      </c>
      <c r="E33" s="20">
        <v>42556.287175925929</v>
      </c>
      <c r="F33" s="20">
        <v>42556.288124999999</v>
      </c>
      <c r="G33" s="23">
        <v>1</v>
      </c>
      <c r="H33" s="20" t="s">
        <v>575</v>
      </c>
      <c r="I33" s="20">
        <v>42556.292222222219</v>
      </c>
      <c r="J33" s="34">
        <v>1</v>
      </c>
      <c r="K33" s="34" t="str">
        <f>IF(ISEVEN(B33),(B33-1)&amp;"/"&amp;B33,B33&amp;"/"&amp;(B33+1))</f>
        <v>4043/4044</v>
      </c>
      <c r="L33" s="34" t="str">
        <f>VLOOKUP(A33,'Trips&amp;Operators'!$C$1:$E$10000,3,FALSE)</f>
        <v>ROCHA</v>
      </c>
      <c r="M33" s="6">
        <f>I33-F33</f>
        <v>4.0972222195705399E-3</v>
      </c>
      <c r="N33" s="7"/>
      <c r="O33" s="7"/>
      <c r="P33" s="7">
        <f>24*60*SUM($M33:$M33)</f>
        <v>5.8999999961815774</v>
      </c>
      <c r="Q33" s="35"/>
      <c r="R33" s="35" t="s">
        <v>724</v>
      </c>
      <c r="S33" s="59">
        <f>SUM(U33:U33)/12</f>
        <v>0</v>
      </c>
      <c r="T33" s="1" t="str">
        <f>IF(ISEVEN(LEFT(A33,3)),"Southbound","NorthBound")</f>
        <v>Southbound</v>
      </c>
      <c r="U33" s="1">
        <f>COUNTIFS(Variables!$M$2:$M$19,IF(T33="NorthBound","&gt;=","&lt;=")&amp;Y33,Variables!$M$2:$M$19,IF(T33="NorthBound","&lt;=","&gt;=")&amp;Z33)</f>
        <v>0</v>
      </c>
      <c r="V33" s="3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38" t="str">
        <f>IF(AA33&lt;23,"Y","N")</f>
        <v>Y</v>
      </c>
      <c r="X33" s="38">
        <f>VALUE(LEFT(A33,3))-VALUE(LEFT(A32,3))</f>
        <v>1</v>
      </c>
      <c r="Y33" s="38">
        <f>RIGHT(D33,LEN(D33)-4)/10000</f>
        <v>23.299800000000001</v>
      </c>
      <c r="Z33" s="38">
        <f>RIGHT(H33,LEN(H33)-4)/10000</f>
        <v>20.5962</v>
      </c>
      <c r="AA33" s="38">
        <f>ABS(Z33-Y33)</f>
        <v>2.7036000000000016</v>
      </c>
      <c r="AB33" s="39" t="e">
        <f>VLOOKUP(A33,Enforcements!$C$7:$J$30,8,0)</f>
        <v>#N/A</v>
      </c>
      <c r="AC33" s="39" t="e">
        <f>VLOOKUP(A33,Enforcements!$C$7:$E$30,3,0)</f>
        <v>#N/A</v>
      </c>
      <c r="AD33" s="1" t="str">
        <f>IF(LEN(A33)=6,"0"&amp;A33,A33)</f>
        <v>0120-05</v>
      </c>
    </row>
    <row r="34" spans="1:30" s="1" customFormat="1" x14ac:dyDescent="0.25">
      <c r="A34" s="67" t="s">
        <v>503</v>
      </c>
      <c r="B34" s="34">
        <v>4038</v>
      </c>
      <c r="C34" s="34" t="s">
        <v>60</v>
      </c>
      <c r="D34" s="34" t="s">
        <v>129</v>
      </c>
      <c r="E34" s="20">
        <v>42556.257453703707</v>
      </c>
      <c r="F34" s="20">
        <v>42556.258657407408</v>
      </c>
      <c r="G34" s="23">
        <v>1</v>
      </c>
      <c r="H34" s="20" t="s">
        <v>576</v>
      </c>
      <c r="I34" s="20">
        <v>42556.281493055554</v>
      </c>
      <c r="J34" s="34">
        <v>0</v>
      </c>
      <c r="K34" s="34" t="str">
        <f>IF(ISEVEN(B34),(B34-1)&amp;"/"&amp;B34,B34&amp;"/"&amp;(B34+1))</f>
        <v>4037/4038</v>
      </c>
      <c r="L34" s="34" t="str">
        <f>VLOOKUP(A34,'Trips&amp;Operators'!$C$1:$E$10000,3,FALSE)</f>
        <v>YANAI</v>
      </c>
      <c r="M34" s="6">
        <f>I34-F34</f>
        <v>2.2835648145701271E-2</v>
      </c>
      <c r="N34" s="7"/>
      <c r="O34" s="7"/>
      <c r="P34" s="7">
        <f>24*60*SUM($M34:$M34)</f>
        <v>32.88333332980983</v>
      </c>
      <c r="Q34" s="35"/>
      <c r="R34" s="35" t="s">
        <v>721</v>
      </c>
      <c r="S34" s="59">
        <f>SUM(U34:U34)/12</f>
        <v>1</v>
      </c>
      <c r="T34" s="1" t="str">
        <f>IF(ISEVEN(LEFT(A34,3)),"Southbound","NorthBound")</f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https://search-rtdc-monitor-bjffxe2xuh6vdkpspy63sjmuny.us-east-1.es.amazonaws.com/_plugin/kibana/#/discover/Steve-Slow-Train-Analysis-(2080s-and-2083s)?_g=(refreshInterval:(display:Off,section:0,value:0),time:(from:'2016-07-05 06:09:44-0600',mode:absolute,to:'2016-07-05 06:46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>IF(AA34&lt;23,"Y","N")</f>
        <v>Y</v>
      </c>
      <c r="X34" s="38">
        <f>VALUE(LEFT(A34,3))-VALUE(LEFT(A33,3))</f>
        <v>1</v>
      </c>
      <c r="Y34" s="38">
        <f>RIGHT(D34,LEN(D34)-4)/10000</f>
        <v>4.4400000000000002E-2</v>
      </c>
      <c r="Z34" s="38">
        <f>RIGHT(H34,LEN(H34)-4)/10000</f>
        <v>18.9681</v>
      </c>
      <c r="AA34" s="38">
        <f>ABS(Z34-Y34)</f>
        <v>18.9237</v>
      </c>
      <c r="AB34" s="39" t="e">
        <f>VLOOKUP(A34,Enforcements!$C$7:$J$30,8,0)</f>
        <v>#N/A</v>
      </c>
      <c r="AC34" s="39" t="e">
        <f>VLOOKUP(A34,Enforcements!$C$7:$E$30,3,0)</f>
        <v>#N/A</v>
      </c>
      <c r="AD34" s="1" t="str">
        <f>IF(LEN(A34)=6,"0"&amp;A34,A34)</f>
        <v>0121-05</v>
      </c>
    </row>
    <row r="35" spans="1:30" s="1" customFormat="1" x14ac:dyDescent="0.25">
      <c r="A35" s="67" t="s">
        <v>466</v>
      </c>
      <c r="B35" s="34">
        <v>4037</v>
      </c>
      <c r="C35" s="34" t="s">
        <v>60</v>
      </c>
      <c r="D35" s="34" t="s">
        <v>577</v>
      </c>
      <c r="E35" s="20">
        <v>42556.307592592595</v>
      </c>
      <c r="F35" s="20">
        <v>42556.308217592596</v>
      </c>
      <c r="G35" s="23">
        <v>0</v>
      </c>
      <c r="H35" s="20" t="s">
        <v>122</v>
      </c>
      <c r="I35" s="20">
        <v>42556.327256944445</v>
      </c>
      <c r="J35" s="34">
        <v>0</v>
      </c>
      <c r="K35" s="34" t="str">
        <f>IF(ISEVEN(B35),(B35-1)&amp;"/"&amp;B35,B35&amp;"/"&amp;(B35+1))</f>
        <v>4037/4038</v>
      </c>
      <c r="L35" s="34" t="str">
        <f>VLOOKUP(A35,'Trips&amp;Operators'!$C$1:$E$10000,3,FALSE)</f>
        <v>YANAI</v>
      </c>
      <c r="M35" s="6">
        <f>I35-F35</f>
        <v>1.9039351849642117E-2</v>
      </c>
      <c r="N35" s="7"/>
      <c r="O35" s="7"/>
      <c r="P35" s="7">
        <f>24*60*SUM($M35:$M36)</f>
        <v>33.249999998370185</v>
      </c>
      <c r="Q35" s="35"/>
      <c r="R35" s="35" t="s">
        <v>723</v>
      </c>
      <c r="S35" s="59">
        <f>SUM(U35:U35)/12</f>
        <v>1</v>
      </c>
      <c r="T35" s="1" t="str">
        <f>IF(ISEVEN(LEFT(A35,3)),"Southbound","NorthBound")</f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https://search-rtdc-monitor-bjffxe2xuh6vdkpspy63sjmuny.us-east-1.es.amazonaws.com/_plugin/kibana/#/discover/Steve-Slow-Train-Analysis-(2080s-and-2083s)?_g=(refreshInterval:(display:Off,section:0,value:0),time:(from:'2016-07-05 07:21:56-0600',mode:absolute,to:'2016-07-05 07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>IF(AA35&lt;23,"Y","N")</f>
        <v>Y</v>
      </c>
      <c r="X35" s="38">
        <f>VALUE(LEFT(A35,3))-VALUE(LEFT(A34,3))</f>
        <v>1</v>
      </c>
      <c r="Y35" s="38">
        <f>RIGHT(D35,LEN(D35)-4)/10000</f>
        <v>15.401</v>
      </c>
      <c r="Z35" s="38">
        <f>RIGHT(H35,LEN(H35)-4)/10000</f>
        <v>1.43E-2</v>
      </c>
      <c r="AA35" s="38">
        <f>ABS(Z35-Y35)</f>
        <v>15.386699999999999</v>
      </c>
      <c r="AB35" s="39" t="e">
        <f>VLOOKUP(A35,Enforcements!$C$7:$J$30,8,0)</f>
        <v>#N/A</v>
      </c>
      <c r="AC35" s="39" t="e">
        <f>VLOOKUP(A35,Enforcements!$C$7:$E$30,3,0)</f>
        <v>#N/A</v>
      </c>
      <c r="AD35" s="1" t="str">
        <f>IF(LEN(A35)=6,"0"&amp;A35,A35)</f>
        <v>0122-05</v>
      </c>
    </row>
    <row r="36" spans="1:30" s="1" customFormat="1" x14ac:dyDescent="0.25">
      <c r="A36" s="67" t="s">
        <v>466</v>
      </c>
      <c r="B36" s="34">
        <v>4037</v>
      </c>
      <c r="C36" s="34" t="s">
        <v>60</v>
      </c>
      <c r="D36" s="34" t="s">
        <v>578</v>
      </c>
      <c r="E36" s="20">
        <v>42556.295972222222</v>
      </c>
      <c r="F36" s="20">
        <v>42556.297025462962</v>
      </c>
      <c r="G36" s="23">
        <v>1</v>
      </c>
      <c r="H36" s="20" t="s">
        <v>563</v>
      </c>
      <c r="I36" s="20">
        <v>42556.301076388889</v>
      </c>
      <c r="J36" s="34">
        <v>0</v>
      </c>
      <c r="K36" s="34" t="str">
        <f>IF(ISEVEN(B36),(B36-1)&amp;"/"&amp;B36,B36&amp;"/"&amp;(B36+1))</f>
        <v>4037/4038</v>
      </c>
      <c r="L36" s="34" t="str">
        <f>VLOOKUP(A36,'Trips&amp;Operators'!$C$1:$E$10000,3,FALSE)</f>
        <v>YANAI</v>
      </c>
      <c r="M36" s="6">
        <f>I36-F36</f>
        <v>4.0509259270038456E-3</v>
      </c>
      <c r="N36" s="7"/>
      <c r="O36" s="7"/>
      <c r="P36" s="7"/>
      <c r="Q36" s="35"/>
      <c r="R36" s="35"/>
      <c r="S36" s="59"/>
      <c r="T36" s="1" t="str">
        <f>IF(ISEVEN(LEFT(A36,3)),"Southbound","NorthBound")</f>
        <v>Southbound</v>
      </c>
      <c r="U36" s="1">
        <f>COUNTIFS(Variables!$M$2:$M$19,IF(T36="NorthBound","&gt;=","&lt;=")&amp;Y36,Variables!$M$2:$M$19,IF(T36="NorthBound","&lt;=","&gt;=")&amp;Z36)</f>
        <v>0</v>
      </c>
      <c r="V36" s="3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https://search-rtdc-monitor-bjffxe2xuh6vdkpspy63sjmuny.us-east-1.es.amazonaws.com/_plugin/kibana/#/discover/Steve-Slow-Train-Analysis-(2080s-and-2083s)?_g=(refreshInterval:(display:Off,section:0,value:0),time:(from:'2016-07-05 07:05:12-0600',mode:absolute,to:'2016-07-05 07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6" s="38" t="str">
        <f>IF(AA36&lt;23,"Y","N")</f>
        <v>Y</v>
      </c>
      <c r="X36" s="38">
        <f>VALUE(LEFT(A36,3))-VALUE(LEFT(A35,3))</f>
        <v>0</v>
      </c>
      <c r="Y36" s="38">
        <f>RIGHT(D36,LEN(D36)-4)/10000</f>
        <v>23.2988</v>
      </c>
      <c r="Z36" s="38">
        <f>RIGHT(H36,LEN(H36)-4)/10000</f>
        <v>22.846399999999999</v>
      </c>
      <c r="AA36" s="38">
        <f>ABS(Z36-Y36)</f>
        <v>0.4524000000000008</v>
      </c>
      <c r="AB36" s="39" t="e">
        <f>VLOOKUP(A36,Enforcements!$C$7:$J$30,8,0)</f>
        <v>#N/A</v>
      </c>
      <c r="AC36" s="39" t="e">
        <f>VLOOKUP(A36,Enforcements!$C$7:$E$30,3,0)</f>
        <v>#N/A</v>
      </c>
      <c r="AD36" s="1" t="str">
        <f>IF(LEN(A36)=6,"0"&amp;A36,A36)</f>
        <v>0122-05</v>
      </c>
    </row>
    <row r="37" spans="1:30" s="1" customFormat="1" x14ac:dyDescent="0.25">
      <c r="A37" s="67" t="s">
        <v>435</v>
      </c>
      <c r="B37" s="34">
        <v>4027</v>
      </c>
      <c r="C37" s="34" t="s">
        <v>60</v>
      </c>
      <c r="D37" s="34" t="s">
        <v>128</v>
      </c>
      <c r="E37" s="20">
        <v>42556.268078703702</v>
      </c>
      <c r="F37" s="20">
        <v>42556.269004629627</v>
      </c>
      <c r="G37" s="23">
        <v>1</v>
      </c>
      <c r="H37" s="20" t="s">
        <v>579</v>
      </c>
      <c r="I37" s="20">
        <v>42556.292962962965</v>
      </c>
      <c r="J37" s="34">
        <v>0</v>
      </c>
      <c r="K37" s="34" t="str">
        <f>IF(ISEVEN(B37),(B37-1)&amp;"/"&amp;B37,B37&amp;"/"&amp;(B37+1))</f>
        <v>4027/4028</v>
      </c>
      <c r="L37" s="34" t="str">
        <f>VLOOKUP(A37,'Trips&amp;Operators'!$C$1:$E$10000,3,FALSE)</f>
        <v>BEAM</v>
      </c>
      <c r="M37" s="6">
        <f>I37-F37</f>
        <v>2.3958333338669036E-2</v>
      </c>
      <c r="N37" s="7"/>
      <c r="O37" s="7"/>
      <c r="P37" s="7">
        <f>24*60*SUM($M37:$M37)</f>
        <v>34.500000007683411</v>
      </c>
      <c r="Q37" s="35"/>
      <c r="R37" s="35" t="s">
        <v>724</v>
      </c>
      <c r="S37" s="59">
        <f>SUM(U37:U37)/12</f>
        <v>1</v>
      </c>
      <c r="T37" s="1" t="str">
        <f>IF(ISEVEN(LEFT(A37,3)),"Southbound","NorthBound")</f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https://search-rtdc-monitor-bjffxe2xuh6vdkpspy63sjmuny.us-east-1.es.amazonaws.com/_plugin/kibana/#/discover/Steve-Slow-Train-Analysis-(2080s-and-2083s)?_g=(refreshInterval:(display:Off,section:0,value:0),time:(from:'2016-07-05 06:25:02-0600',mode:absolute,to:'2016-07-05 07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38" t="str">
        <f>IF(AA37&lt;23,"Y","N")</f>
        <v>Y</v>
      </c>
      <c r="X37" s="38">
        <f>VALUE(LEFT(A37,3))-VALUE(LEFT(A36,3))</f>
        <v>1</v>
      </c>
      <c r="Y37" s="38">
        <f>RIGHT(D37,LEN(D37)-4)/10000</f>
        <v>4.5100000000000001E-2</v>
      </c>
      <c r="Z37" s="38">
        <f>RIGHT(H37,LEN(H37)-4)/10000</f>
        <v>20.3535</v>
      </c>
      <c r="AA37" s="38">
        <f>ABS(Z37-Y37)</f>
        <v>20.308399999999999</v>
      </c>
      <c r="AB37" s="39" t="e">
        <f>VLOOKUP(A37,Enforcements!$C$7:$J$30,8,0)</f>
        <v>#N/A</v>
      </c>
      <c r="AC37" s="39" t="e">
        <f>VLOOKUP(A37,Enforcements!$C$7:$E$30,3,0)</f>
        <v>#N/A</v>
      </c>
      <c r="AD37" s="1" t="str">
        <f>IF(LEN(A37)=6,"0"&amp;A37,A37)</f>
        <v>0123-05</v>
      </c>
    </row>
    <row r="38" spans="1:30" s="1" customFormat="1" x14ac:dyDescent="0.25">
      <c r="A38" s="87" t="s">
        <v>443</v>
      </c>
      <c r="B38" s="34">
        <v>4028</v>
      </c>
      <c r="C38" s="34" t="s">
        <v>60</v>
      </c>
      <c r="D38" s="34" t="s">
        <v>580</v>
      </c>
      <c r="E38" s="20">
        <v>42556.31759259259</v>
      </c>
      <c r="F38" s="20">
        <v>42556.318240740744</v>
      </c>
      <c r="G38" s="23">
        <v>0</v>
      </c>
      <c r="H38" s="20" t="s">
        <v>61</v>
      </c>
      <c r="I38" s="20">
        <v>42556.337048611109</v>
      </c>
      <c r="J38" s="34">
        <v>0</v>
      </c>
      <c r="K38" s="34" t="str">
        <f>IF(ISEVEN(B38),(B38-1)&amp;"/"&amp;B38,B38&amp;"/"&amp;(B38+1))</f>
        <v>4027/4028</v>
      </c>
      <c r="L38" s="34" t="str">
        <f>VLOOKUP(A38,'Trips&amp;Operators'!$C$1:$E$10000,3,FALSE)</f>
        <v>BEAM</v>
      </c>
      <c r="M38" s="6">
        <f>I38-F38</f>
        <v>1.8807870364980772E-2</v>
      </c>
      <c r="N38" s="7"/>
      <c r="O38" s="7"/>
      <c r="P38" s="7">
        <f>24*60*SUM($M38:$M39)</f>
        <v>38.849999987287447</v>
      </c>
      <c r="Q38" s="35"/>
      <c r="R38" s="35" t="s">
        <v>724</v>
      </c>
      <c r="S38" s="59">
        <f>SUM(U38:U38)/12</f>
        <v>1</v>
      </c>
      <c r="T38" s="1" t="str">
        <f>IF(ISEVEN(LEFT(A38,3)),"Southbound","NorthBound")</f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https://search-rtdc-monitor-bjffxe2xuh6vdkpspy63sjmuny.us-east-1.es.amazonaws.com/_plugin/kibana/#/discover/Steve-Slow-Train-Analysis-(2080s-and-2083s)?_g=(refreshInterval:(display:Off,section:0,value:0),time:(from:'2016-07-05 07:36:20-0600',mode:absolute,to:'2016-07-05 08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38" t="str">
        <f>IF(AA38&lt;23,"Y","N")</f>
        <v>Y</v>
      </c>
      <c r="X38" s="38">
        <f>VALUE(LEFT(A38,3))-VALUE(LEFT(A37,3))</f>
        <v>1</v>
      </c>
      <c r="Y38" s="38">
        <f>RIGHT(D38,LEN(D38)-4)/10000</f>
        <v>15.3993</v>
      </c>
      <c r="Z38" s="38">
        <f>RIGHT(H38,LEN(H38)-4)/10000</f>
        <v>1.4500000000000001E-2</v>
      </c>
      <c r="AA38" s="38">
        <f>ABS(Z38-Y38)</f>
        <v>15.3848</v>
      </c>
      <c r="AB38" s="39" t="e">
        <f>VLOOKUP(A38,Enforcements!$C$7:$J$30,8,0)</f>
        <v>#N/A</v>
      </c>
      <c r="AC38" s="39" t="e">
        <f>VLOOKUP(A38,Enforcements!$C$7:$E$30,3,0)</f>
        <v>#N/A</v>
      </c>
      <c r="AD38" s="1" t="str">
        <f>IF(LEN(A38)=6,"0"&amp;A38,A38)</f>
        <v>0124-05</v>
      </c>
    </row>
    <row r="39" spans="1:30" s="1" customFormat="1" x14ac:dyDescent="0.25">
      <c r="A39" s="67" t="s">
        <v>443</v>
      </c>
      <c r="B39" s="34">
        <v>4028</v>
      </c>
      <c r="C39" s="34" t="s">
        <v>60</v>
      </c>
      <c r="D39" s="34" t="s">
        <v>581</v>
      </c>
      <c r="E39" s="20">
        <v>42556.303576388891</v>
      </c>
      <c r="F39" s="20">
        <v>42556.304386574076</v>
      </c>
      <c r="G39" s="23">
        <v>1</v>
      </c>
      <c r="H39" s="20" t="s">
        <v>582</v>
      </c>
      <c r="I39" s="20">
        <v>42556.312557870369</v>
      </c>
      <c r="J39" s="34">
        <v>0</v>
      </c>
      <c r="K39" s="34" t="str">
        <f>IF(ISEVEN(B39),(B39-1)&amp;"/"&amp;B39,B39&amp;"/"&amp;(B39+1))</f>
        <v>4027/4028</v>
      </c>
      <c r="L39" s="34" t="str">
        <f>VLOOKUP(A39,'Trips&amp;Operators'!$C$1:$E$10000,3,FALSE)</f>
        <v>BEAM</v>
      </c>
      <c r="M39" s="6">
        <f>I39-F39</f>
        <v>8.1712962928577326E-3</v>
      </c>
      <c r="N39" s="7"/>
      <c r="O39" s="7"/>
      <c r="P39" s="7"/>
      <c r="Q39" s="35"/>
      <c r="R39" s="35"/>
      <c r="S39" s="59"/>
      <c r="T39" s="1" t="str">
        <f>IF(ISEVEN(LEFT(A39,3)),"Southbound","NorthBound")</f>
        <v>Southbound</v>
      </c>
      <c r="U39" s="1">
        <f>COUNTIFS(Variables!$M$2:$M$19,IF(T39="NorthBound","&gt;=","&lt;=")&amp;Y39,Variables!$M$2:$M$19,IF(T39="NorthBound","&lt;=","&gt;=")&amp;Z39)</f>
        <v>0</v>
      </c>
      <c r="V39" s="3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https://search-rtdc-monitor-bjffxe2xuh6vdkpspy63sjmuny.us-east-1.es.amazonaws.com/_plugin/kibana/#/discover/Steve-Slow-Train-Analysis-(2080s-and-2083s)?_g=(refreshInterval:(display:Off,section:0,value:0),time:(from:'2016-07-05 07:16:09-0600',mode:absolute,to:'2016-07-05 07:31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38" t="str">
        <f>IF(AA39&lt;23,"Y","N")</f>
        <v>Y</v>
      </c>
      <c r="X39" s="38">
        <f>VALUE(LEFT(A39,3))-VALUE(LEFT(A38,3))</f>
        <v>0</v>
      </c>
      <c r="Y39" s="38">
        <f>RIGHT(D39,LEN(D39)-4)/10000</f>
        <v>23.299299999999999</v>
      </c>
      <c r="Z39" s="38">
        <f>RIGHT(H39,LEN(H39)-4)/10000</f>
        <v>20.990300000000001</v>
      </c>
      <c r="AA39" s="38">
        <f>ABS(Z39-Y39)</f>
        <v>2.3089999999999975</v>
      </c>
      <c r="AB39" s="39" t="e">
        <f>VLOOKUP(A39,Enforcements!$C$7:$J$30,8,0)</f>
        <v>#N/A</v>
      </c>
      <c r="AC39" s="39" t="e">
        <f>VLOOKUP(A39,Enforcements!$C$7:$E$30,3,0)</f>
        <v>#N/A</v>
      </c>
      <c r="AD39" s="1" t="str">
        <f>IF(LEN(A39)=6,"0"&amp;A39,A39)</f>
        <v>0124-05</v>
      </c>
    </row>
    <row r="40" spans="1:30" s="1" customFormat="1" x14ac:dyDescent="0.25">
      <c r="A40" s="67" t="s">
        <v>524</v>
      </c>
      <c r="B40" s="34">
        <v>4018</v>
      </c>
      <c r="C40" s="34" t="s">
        <v>60</v>
      </c>
      <c r="D40" s="34" t="s">
        <v>215</v>
      </c>
      <c r="E40" s="20">
        <v>42556.278599537036</v>
      </c>
      <c r="F40" s="20">
        <v>42556.280659722222</v>
      </c>
      <c r="G40" s="23">
        <v>2</v>
      </c>
      <c r="H40" s="20" t="s">
        <v>88</v>
      </c>
      <c r="I40" s="20">
        <v>42556.380266203705</v>
      </c>
      <c r="J40" s="34">
        <v>0</v>
      </c>
      <c r="K40" s="34" t="str">
        <f>IF(ISEVEN(B40),(B40-1)&amp;"/"&amp;B40,B40&amp;"/"&amp;(B40+1))</f>
        <v>4017/4018</v>
      </c>
      <c r="L40" s="34" t="str">
        <f>VLOOKUP(A40,'Trips&amp;Operators'!$C$1:$E$10000,3,FALSE)</f>
        <v>GEBRETEKLE</v>
      </c>
      <c r="M40" s="6">
        <f>I40-F40</f>
        <v>9.9606481482624076E-2</v>
      </c>
      <c r="N40" s="7">
        <f>24*60*SUM($M40:$M40)</f>
        <v>143.43333333497867</v>
      </c>
      <c r="O40" s="7"/>
      <c r="P40" s="7"/>
      <c r="Q40" s="35"/>
      <c r="R40" s="35"/>
      <c r="S40" s="59">
        <f>SUM(U40:U40)/12</f>
        <v>1</v>
      </c>
      <c r="T40" s="1" t="str">
        <f>IF(ISEVEN(LEFT(A40,3)),"Southbound","NorthBound")</f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https://search-rtdc-monitor-bjffxe2xuh6vdkpspy63sjmuny.us-east-1.es.amazonaws.com/_plugin/kibana/#/discover/Steve-Slow-Train-Analysis-(2080s-and-2083s)?_g=(refreshInterval:(display:Off,section:0,value:0),time:(from:'2016-07-05 06:40:11-0600',mode:absolute,to:'2016-07-05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38" t="str">
        <f>IF(AA40&lt;23,"Y","N")</f>
        <v>N</v>
      </c>
      <c r="X40" s="38">
        <f>VALUE(LEFT(A40,3))-VALUE(LEFT(A39,3))</f>
        <v>1</v>
      </c>
      <c r="Y40" s="38">
        <f>RIGHT(D40,LEN(D40)-4)/10000</f>
        <v>4.3499999999999997E-2</v>
      </c>
      <c r="Z40" s="38">
        <f>RIGHT(H40,LEN(H40)-4)/10000</f>
        <v>23.329499999999999</v>
      </c>
      <c r="AA40" s="38">
        <f>ABS(Z40-Y40)</f>
        <v>23.285999999999998</v>
      </c>
      <c r="AB40" s="39" t="e">
        <f>VLOOKUP(A40,Enforcements!$C$7:$J$30,8,0)</f>
        <v>#N/A</v>
      </c>
      <c r="AC40" s="39" t="e">
        <f>VLOOKUP(A40,Enforcements!$C$7:$E$30,3,0)</f>
        <v>#N/A</v>
      </c>
      <c r="AD40" s="1" t="str">
        <f>IF(LEN(A40)=6,"0"&amp;A40,A40)</f>
        <v>0125-05</v>
      </c>
    </row>
    <row r="41" spans="1:30" s="1" customFormat="1" x14ac:dyDescent="0.25">
      <c r="A41" s="67" t="s">
        <v>450</v>
      </c>
      <c r="B41" s="34">
        <v>4017</v>
      </c>
      <c r="C41" s="34" t="s">
        <v>60</v>
      </c>
      <c r="D41" s="34" t="s">
        <v>565</v>
      </c>
      <c r="E41" s="20">
        <v>42556.33152777778</v>
      </c>
      <c r="F41" s="20">
        <v>42556.332199074073</v>
      </c>
      <c r="G41" s="23">
        <v>0</v>
      </c>
      <c r="H41" s="20" t="s">
        <v>333</v>
      </c>
      <c r="I41" s="20">
        <v>42556.348506944443</v>
      </c>
      <c r="J41" s="34">
        <v>0</v>
      </c>
      <c r="K41" s="34" t="str">
        <f>IF(ISEVEN(B41),(B41-1)&amp;"/"&amp;B41,B41&amp;"/"&amp;(B41+1))</f>
        <v>4017/4018</v>
      </c>
      <c r="L41" s="34" t="str">
        <f>VLOOKUP(A41,'Trips&amp;Operators'!$C$1:$E$10000,3,FALSE)</f>
        <v>GEBRETEKLE</v>
      </c>
      <c r="M41" s="6">
        <f>I41-F41</f>
        <v>1.6307870369928423E-2</v>
      </c>
      <c r="N41" s="7"/>
      <c r="O41" s="7"/>
      <c r="P41" s="7">
        <f>24*60*SUM($M41:$M42)</f>
        <v>33.099999994738027</v>
      </c>
      <c r="Q41" s="35"/>
      <c r="R41" s="35" t="s">
        <v>724</v>
      </c>
      <c r="S41" s="59">
        <f>SUM(U41:U41)/12</f>
        <v>1</v>
      </c>
      <c r="T41" s="1" t="str">
        <f>IF(ISEVEN(LEFT(A41,3)),"Southbound","NorthBound")</f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https://search-rtdc-monitor-bjffxe2xuh6vdkpspy63sjmuny.us-east-1.es.amazonaws.com/_plugin/kibana/#/discover/Steve-Slow-Train-Analysis-(2080s-and-2083s)?_g=(refreshInterval:(display:Off,section:0,value:0),time:(from:'2016-07-05 07:56:24-0600',mode:absolute,to:'2016-07-05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38" t="str">
        <f>IF(AA41&lt;23,"Y","N")</f>
        <v>Y</v>
      </c>
      <c r="X41" s="38">
        <f>VALUE(LEFT(A41,3))-VALUE(LEFT(A40,3))</f>
        <v>1</v>
      </c>
      <c r="Y41" s="38">
        <f>RIGHT(D41,LEN(D41)-4)/10000</f>
        <v>12.785399999999999</v>
      </c>
      <c r="Z41" s="38">
        <f>RIGHT(H41,LEN(H41)-4)/10000</f>
        <v>1.32E-2</v>
      </c>
      <c r="AA41" s="38">
        <f>ABS(Z41-Y41)</f>
        <v>12.7722</v>
      </c>
      <c r="AB41" s="39" t="e">
        <f>VLOOKUP(A41,Enforcements!$C$7:$J$30,8,0)</f>
        <v>#N/A</v>
      </c>
      <c r="AC41" s="39" t="e">
        <f>VLOOKUP(A41,Enforcements!$C$7:$E$30,3,0)</f>
        <v>#N/A</v>
      </c>
      <c r="AD41" s="1" t="str">
        <f>IF(LEN(A41)=6,"0"&amp;A41,A41)</f>
        <v>0126-05</v>
      </c>
    </row>
    <row r="42" spans="1:30" s="1" customFormat="1" x14ac:dyDescent="0.25">
      <c r="A42" s="67" t="s">
        <v>450</v>
      </c>
      <c r="B42" s="34">
        <v>4017</v>
      </c>
      <c r="C42" s="34" t="s">
        <v>60</v>
      </c>
      <c r="D42" s="34" t="s">
        <v>190</v>
      </c>
      <c r="E42" s="20">
        <v>42556.315787037034</v>
      </c>
      <c r="F42" s="20">
        <v>42556.317326388889</v>
      </c>
      <c r="G42" s="23">
        <v>2</v>
      </c>
      <c r="H42" s="20" t="s">
        <v>583</v>
      </c>
      <c r="I42" s="20">
        <v>42556.324004629627</v>
      </c>
      <c r="J42" s="34">
        <v>0</v>
      </c>
      <c r="K42" s="34" t="str">
        <f>IF(ISEVEN(B42),(B42-1)&amp;"/"&amp;B42,B42&amp;"/"&amp;(B42+1))</f>
        <v>4017/4018</v>
      </c>
      <c r="L42" s="34" t="str">
        <f>VLOOKUP(A42,'Trips&amp;Operators'!$C$1:$E$10000,3,FALSE)</f>
        <v>GEBRETEKLE</v>
      </c>
      <c r="M42" s="6">
        <f>I42-F42</f>
        <v>6.6782407375285402E-3</v>
      </c>
      <c r="N42" s="7">
        <f>24*60*SUM($M42:$M42)</f>
        <v>9.6166666620410979</v>
      </c>
      <c r="O42" s="7"/>
      <c r="P42" s="7"/>
      <c r="Q42" s="35"/>
      <c r="R42" s="35"/>
      <c r="S42" s="59"/>
      <c r="T42" s="1" t="str">
        <f>IF(ISEVEN(LEFT(A42,3)),"Southbound","NorthBound")</f>
        <v>Southbound</v>
      </c>
      <c r="U42" s="1">
        <f>COUNTIFS(Variables!$M$2:$M$19,IF(T42="NorthBound","&gt;=","&lt;=")&amp;Y42,Variables!$M$2:$M$19,IF(T42="NorthBound","&lt;=","&gt;=")&amp;Z42)</f>
        <v>0</v>
      </c>
      <c r="V42" s="3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https://search-rtdc-monitor-bjffxe2xuh6vdkpspy63sjmuny.us-east-1.es.amazonaws.com/_plugin/kibana/#/discover/Steve-Slow-Train-Analysis-(2080s-and-2083s)?_g=(refreshInterval:(display:Off,section:0,value:0),time:(from:'2016-07-05 07:33:44-0600',mode:absolute,to:'2016-07-05 07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38" t="str">
        <f>IF(AA42&lt;23,"Y","N")</f>
        <v>Y</v>
      </c>
      <c r="X42" s="38">
        <f>VALUE(LEFT(A42,3))-VALUE(LEFT(A41,3))</f>
        <v>0</v>
      </c>
      <c r="Y42" s="38">
        <f>RIGHT(D42,LEN(D42)-4)/10000</f>
        <v>23.2973</v>
      </c>
      <c r="Z42" s="38">
        <f>RIGHT(H42,LEN(H42)-4)/10000</f>
        <v>20.579000000000001</v>
      </c>
      <c r="AA42" s="38">
        <f>ABS(Z42-Y42)</f>
        <v>2.7182999999999993</v>
      </c>
      <c r="AB42" s="39" t="e">
        <f>VLOOKUP(A42,Enforcements!$C$7:$J$30,8,0)</f>
        <v>#N/A</v>
      </c>
      <c r="AC42" s="39" t="e">
        <f>VLOOKUP(A42,Enforcements!$C$7:$E$30,3,0)</f>
        <v>#N/A</v>
      </c>
      <c r="AD42" s="1" t="str">
        <f>IF(LEN(A42)=6,"0"&amp;A42,A42)</f>
        <v>0126-05</v>
      </c>
    </row>
    <row r="43" spans="1:30" s="1" customFormat="1" x14ac:dyDescent="0.25">
      <c r="A43" s="67" t="s">
        <v>442</v>
      </c>
      <c r="B43" s="34">
        <v>4014</v>
      </c>
      <c r="C43" s="34" t="s">
        <v>60</v>
      </c>
      <c r="D43" s="34" t="s">
        <v>114</v>
      </c>
      <c r="E43" s="20">
        <v>42556.288483796299</v>
      </c>
      <c r="F43" s="20">
        <v>42556.289548611108</v>
      </c>
      <c r="G43" s="23">
        <v>1</v>
      </c>
      <c r="H43" s="20" t="s">
        <v>584</v>
      </c>
      <c r="I43" s="20">
        <v>42556.315428240741</v>
      </c>
      <c r="J43" s="34">
        <v>0</v>
      </c>
      <c r="K43" s="34" t="str">
        <f>IF(ISEVEN(B43),(B43-1)&amp;"/"&amp;B43,B43&amp;"/"&amp;(B43+1))</f>
        <v>4013/4014</v>
      </c>
      <c r="L43" s="34" t="str">
        <f>VLOOKUP(A43,'Trips&amp;Operators'!$C$1:$E$10000,3,FALSE)</f>
        <v>STURGEON</v>
      </c>
      <c r="M43" s="6">
        <f>I43-F43</f>
        <v>2.587962963298196E-2</v>
      </c>
      <c r="N43" s="7"/>
      <c r="O43" s="7"/>
      <c r="P43" s="7">
        <f>24*60*SUM($M43:$M43)</f>
        <v>37.266666671494022</v>
      </c>
      <c r="Q43" s="35"/>
      <c r="R43" s="35" t="s">
        <v>724</v>
      </c>
      <c r="S43" s="59">
        <f>SUM(U43:U43)/12</f>
        <v>1</v>
      </c>
      <c r="T43" s="1" t="str">
        <f>IF(ISEVEN(LEFT(A43,3)),"Southbound","NorthBound")</f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https://search-rtdc-monitor-bjffxe2xuh6vdkpspy63sjmuny.us-east-1.es.amazonaws.com/_plugin/kibana/#/discover/Steve-Slow-Train-Analysis-(2080s-and-2083s)?_g=(refreshInterval:(display:Off,section:0,value:0),time:(from:'2016-07-05 06:54:25-0600',mode:absolute,to:'2016-07-05 07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38" t="str">
        <f>IF(AA43&lt;23,"Y","N")</f>
        <v>Y</v>
      </c>
      <c r="X43" s="38">
        <f>VALUE(LEFT(A43,3))-VALUE(LEFT(A42,3))</f>
        <v>1</v>
      </c>
      <c r="Y43" s="38">
        <f>RIGHT(D43,LEN(D43)-4)/10000</f>
        <v>4.7300000000000002E-2</v>
      </c>
      <c r="Z43" s="38">
        <f>RIGHT(H43,LEN(H43)-4)/10000</f>
        <v>20.325600000000001</v>
      </c>
      <c r="AA43" s="38">
        <f>ABS(Z43-Y43)</f>
        <v>20.278300000000002</v>
      </c>
      <c r="AB43" s="39" t="e">
        <f>VLOOKUP(A43,Enforcements!$C$7:$J$30,8,0)</f>
        <v>#N/A</v>
      </c>
      <c r="AC43" s="39" t="e">
        <f>VLOOKUP(A43,Enforcements!$C$7:$E$30,3,0)</f>
        <v>#N/A</v>
      </c>
      <c r="AD43" s="1" t="str">
        <f>IF(LEN(A43)=6,"0"&amp;A43,A43)</f>
        <v>0127-05</v>
      </c>
    </row>
    <row r="44" spans="1:30" s="1" customFormat="1" x14ac:dyDescent="0.25">
      <c r="A44" s="67" t="s">
        <v>433</v>
      </c>
      <c r="B44" s="34">
        <v>4020</v>
      </c>
      <c r="C44" s="34" t="s">
        <v>60</v>
      </c>
      <c r="D44" s="34" t="s">
        <v>326</v>
      </c>
      <c r="E44" s="20">
        <v>42556.299930555557</v>
      </c>
      <c r="F44" s="20">
        <v>42556.30097222222</v>
      </c>
      <c r="G44" s="23">
        <v>1</v>
      </c>
      <c r="H44" s="20" t="s">
        <v>585</v>
      </c>
      <c r="I44" s="20">
        <v>42556.321597222224</v>
      </c>
      <c r="J44" s="34">
        <v>0</v>
      </c>
      <c r="K44" s="34" t="str">
        <f>IF(ISEVEN(B44),(B44-1)&amp;"/"&amp;B44,B44&amp;"/"&amp;(B44+1))</f>
        <v>4019/4020</v>
      </c>
      <c r="L44" s="34" t="str">
        <f>VLOOKUP(A44,'Trips&amp;Operators'!$C$1:$E$10000,3,FALSE)</f>
        <v>SPECTOR</v>
      </c>
      <c r="M44" s="6">
        <f>I44-F44</f>
        <v>2.0625000004656613E-2</v>
      </c>
      <c r="N44" s="7"/>
      <c r="O44" s="7"/>
      <c r="P44" s="7">
        <f>24*60*SUM($M44:$M44)</f>
        <v>29.700000006705523</v>
      </c>
      <c r="Q44" s="35"/>
      <c r="R44" s="35" t="s">
        <v>725</v>
      </c>
      <c r="S44" s="59">
        <f>SUM(U44:U44)/12</f>
        <v>1</v>
      </c>
      <c r="T44" s="1" t="str">
        <f>IF(ISEVEN(LEFT(A44,3)),"Southbound","NorthBound")</f>
        <v>NorthBound</v>
      </c>
      <c r="U44" s="1">
        <f>COUNTIFS(Variables!$M$2:$M$19,IF(T44="NorthBound","&gt;=","&lt;=")&amp;Y44,Variables!$M$2:$M$19,IF(T44="NorthBound","&lt;=","&gt;=")&amp;Z44)</f>
        <v>12</v>
      </c>
      <c r="V44" s="3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https://search-rtdc-monitor-bjffxe2xuh6vdkpspy63sjmuny.us-east-1.es.amazonaws.com/_plugin/kibana/#/discover/Steve-Slow-Train-Analysis-(2080s-and-2083s)?_g=(refreshInterval:(display:Off,section:0,value:0),time:(from:'2016-07-05 07:10:54-0600',mode:absolute,to:'2016-07-05 07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4" s="38" t="str">
        <f>IF(AA44&lt;23,"Y","N")</f>
        <v>Y</v>
      </c>
      <c r="X44" s="38">
        <f>VALUE(LEFT(A44,3))-VALUE(LEFT(A43,3))</f>
        <v>2</v>
      </c>
      <c r="Y44" s="38">
        <f>RIGHT(D44,LEN(D44)-4)/10000</f>
        <v>4.6199999999999998E-2</v>
      </c>
      <c r="Z44" s="38">
        <f>RIGHT(H44,LEN(H44)-4)/10000</f>
        <v>15.4421</v>
      </c>
      <c r="AA44" s="38">
        <f>ABS(Z44-Y44)</f>
        <v>15.395899999999999</v>
      </c>
      <c r="AB44" s="39" t="e">
        <f>VLOOKUP(A44,Enforcements!$C$7:$J$30,8,0)</f>
        <v>#N/A</v>
      </c>
      <c r="AC44" s="39" t="e">
        <f>VLOOKUP(A44,Enforcements!$C$7:$E$30,3,0)</f>
        <v>#N/A</v>
      </c>
      <c r="AD44" s="1" t="str">
        <f>IF(LEN(A44)=6,"0"&amp;A44,A44)</f>
        <v>0129-05</v>
      </c>
    </row>
    <row r="45" spans="1:30" s="1" customFormat="1" x14ac:dyDescent="0.25">
      <c r="A45" s="67" t="s">
        <v>470</v>
      </c>
      <c r="B45" s="34">
        <v>4019</v>
      </c>
      <c r="C45" s="34" t="s">
        <v>60</v>
      </c>
      <c r="D45" s="34" t="s">
        <v>323</v>
      </c>
      <c r="E45" s="20">
        <v>42556.334131944444</v>
      </c>
      <c r="F45" s="20">
        <v>42556.334953703707</v>
      </c>
      <c r="G45" s="23">
        <v>1</v>
      </c>
      <c r="H45" s="20" t="s">
        <v>95</v>
      </c>
      <c r="I45" s="20">
        <v>42556.367650462962</v>
      </c>
      <c r="J45" s="34">
        <v>0</v>
      </c>
      <c r="K45" s="34" t="str">
        <f>IF(ISEVEN(B45),(B45-1)&amp;"/"&amp;B45,B45&amp;"/"&amp;(B45+1))</f>
        <v>4019/4020</v>
      </c>
      <c r="L45" s="34" t="str">
        <f>VLOOKUP(A45,'Trips&amp;Operators'!$C$1:$E$10000,3,FALSE)</f>
        <v>SPECTOR</v>
      </c>
      <c r="M45" s="6">
        <f>I45-F45</f>
        <v>3.269675925548654E-2</v>
      </c>
      <c r="N45" s="7">
        <f>24*60*SUM($M45:$M45)</f>
        <v>47.083333327900618</v>
      </c>
      <c r="O45" s="7"/>
      <c r="P45" s="7"/>
      <c r="Q45" s="35"/>
      <c r="R45" s="35"/>
      <c r="S45" s="59">
        <f>SUM(U45:U45)/12</f>
        <v>1</v>
      </c>
      <c r="T45" s="1" t="str">
        <f>IF(ISEVEN(LEFT(A45,3)),"Southbound","NorthBound")</f>
        <v>Southbound</v>
      </c>
      <c r="U45" s="1">
        <f>COUNTIFS(Variables!$M$2:$M$19,IF(T45="NorthBound","&gt;=","&lt;=")&amp;Y45,Variables!$M$2:$M$19,IF(T45="NorthBound","&lt;=","&gt;=")&amp;Z45)</f>
        <v>12</v>
      </c>
      <c r="V45" s="3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https://search-rtdc-monitor-bjffxe2xuh6vdkpspy63sjmuny.us-east-1.es.amazonaws.com/_plugin/kibana/#/discover/Steve-Slow-Train-Analysis-(2080s-and-2083s)?_g=(refreshInterval:(display:Off,section:0,value:0),time:(from:'2016-07-05 08:00:09-0600',mode:absolute,to:'2016-07-05 08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5" s="38" t="str">
        <f>IF(AA45&lt;23,"Y","N")</f>
        <v>N</v>
      </c>
      <c r="X45" s="38">
        <f>VALUE(LEFT(A45,3))-VALUE(LEFT(A44,3))</f>
        <v>1</v>
      </c>
      <c r="Y45" s="38">
        <f>RIGHT(D45,LEN(D45)-4)/10000</f>
        <v>23.298400000000001</v>
      </c>
      <c r="Z45" s="38">
        <f>RIGHT(H45,LEN(H45)-4)/10000</f>
        <v>1.4999999999999999E-2</v>
      </c>
      <c r="AA45" s="38">
        <f>ABS(Z45-Y45)</f>
        <v>23.2834</v>
      </c>
      <c r="AB45" s="39" t="e">
        <f>VLOOKUP(A45,Enforcements!$C$7:$J$30,8,0)</f>
        <v>#N/A</v>
      </c>
      <c r="AC45" s="39" t="e">
        <f>VLOOKUP(A45,Enforcements!$C$7:$E$30,3,0)</f>
        <v>#N/A</v>
      </c>
      <c r="AD45" s="1" t="str">
        <f>IF(LEN(A45)=6,"0"&amp;A45,A45)</f>
        <v>0130-05</v>
      </c>
    </row>
    <row r="46" spans="1:30" s="1" customFormat="1" x14ac:dyDescent="0.25">
      <c r="A46" s="67" t="s">
        <v>365</v>
      </c>
      <c r="B46" s="34">
        <v>4031</v>
      </c>
      <c r="C46" s="34" t="s">
        <v>60</v>
      </c>
      <c r="D46" s="34" t="s">
        <v>206</v>
      </c>
      <c r="E46" s="20">
        <v>42556.308263888888</v>
      </c>
      <c r="F46" s="20">
        <v>42556.309166666666</v>
      </c>
      <c r="G46" s="23">
        <v>1</v>
      </c>
      <c r="H46" s="20" t="s">
        <v>586</v>
      </c>
      <c r="I46" s="20">
        <v>42556.338240740741</v>
      </c>
      <c r="J46" s="34">
        <v>1</v>
      </c>
      <c r="K46" s="34" t="str">
        <f>IF(ISEVEN(B46),(B46-1)&amp;"/"&amp;B46,B46&amp;"/"&amp;(B46+1))</f>
        <v>4031/4032</v>
      </c>
      <c r="L46" s="34" t="str">
        <f>VLOOKUP(A46,'Trips&amp;Operators'!$C$1:$E$10000,3,FALSE)</f>
        <v>STARKS</v>
      </c>
      <c r="M46" s="6">
        <f>I46-F46</f>
        <v>2.9074074074742384E-2</v>
      </c>
      <c r="N46" s="7">
        <f>24*60*SUM($M46:$M46)</f>
        <v>41.866666667629033</v>
      </c>
      <c r="O46" s="7"/>
      <c r="P46" s="7"/>
      <c r="Q46" s="35"/>
      <c r="R46" s="35"/>
      <c r="S46" s="59">
        <f>SUM(U46:U46)/12</f>
        <v>1</v>
      </c>
      <c r="T46" s="1" t="str">
        <f>IF(ISEVEN(LEFT(A46,3)),"Southbound","NorthBound")</f>
        <v>NorthBound</v>
      </c>
      <c r="U46" s="1">
        <f>COUNTIFS(Variables!$M$2:$M$19,IF(T46="NorthBound","&gt;=","&lt;=")&amp;Y46,Variables!$M$2:$M$19,IF(T46="NorthBound","&lt;=","&gt;=")&amp;Z46)</f>
        <v>12</v>
      </c>
      <c r="V46" s="3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38" t="str">
        <f>IF(AA46&lt;23,"Y","N")</f>
        <v>N</v>
      </c>
      <c r="X46" s="38">
        <f>VALUE(LEFT(A46,3))-VALUE(LEFT(A45,3))</f>
        <v>1</v>
      </c>
      <c r="Y46" s="38">
        <f>RIGHT(D46,LEN(D46)-4)/10000</f>
        <v>4.4900000000000002E-2</v>
      </c>
      <c r="Z46" s="38">
        <f>RIGHT(H46,LEN(H46)-4)/10000</f>
        <v>23.328299999999999</v>
      </c>
      <c r="AA46" s="38">
        <f>ABS(Z46-Y46)</f>
        <v>23.2834</v>
      </c>
      <c r="AB46" s="39" t="e">
        <f>VLOOKUP(A46,Enforcements!$C$7:$J$30,8,0)</f>
        <v>#N/A</v>
      </c>
      <c r="AC46" s="39" t="e">
        <f>VLOOKUP(A46,Enforcements!$C$7:$E$30,3,0)</f>
        <v>#N/A</v>
      </c>
      <c r="AD46" s="1" t="str">
        <f>IF(LEN(A46)=6,"0"&amp;A46,A46)</f>
        <v>0131-05</v>
      </c>
    </row>
    <row r="47" spans="1:30" s="1" customFormat="1" x14ac:dyDescent="0.25">
      <c r="A47" s="67" t="s">
        <v>491</v>
      </c>
      <c r="B47" s="34">
        <v>4032</v>
      </c>
      <c r="C47" s="34" t="s">
        <v>60</v>
      </c>
      <c r="D47" s="34" t="s">
        <v>587</v>
      </c>
      <c r="E47" s="20">
        <v>42556.349444444444</v>
      </c>
      <c r="F47" s="20">
        <v>42556.350381944445</v>
      </c>
      <c r="G47" s="23">
        <v>1</v>
      </c>
      <c r="H47" s="20" t="s">
        <v>588</v>
      </c>
      <c r="I47" s="20">
        <v>42556.351655092592</v>
      </c>
      <c r="J47" s="34">
        <v>3</v>
      </c>
      <c r="K47" s="34" t="str">
        <f>IF(ISEVEN(B47),(B47-1)&amp;"/"&amp;B47,B47&amp;"/"&amp;(B47+1))</f>
        <v>4031/4032</v>
      </c>
      <c r="L47" s="34" t="str">
        <f>VLOOKUP(A47,'Trips&amp;Operators'!$C$1:$E$10000,3,FALSE)</f>
        <v>STARKS</v>
      </c>
      <c r="M47" s="6">
        <f>I47-F47</f>
        <v>1.2731481474475004E-3</v>
      </c>
      <c r="N47" s="7"/>
      <c r="O47" s="7"/>
      <c r="P47" s="7">
        <f>24*60*SUM($M47:$M47)</f>
        <v>1.8333333323244005</v>
      </c>
      <c r="Q47" s="35"/>
      <c r="R47" s="35" t="s">
        <v>151</v>
      </c>
      <c r="S47" s="59">
        <f>SUM(U47:U47)/12</f>
        <v>0</v>
      </c>
      <c r="T47" s="1" t="str">
        <f>IF(ISEVEN(LEFT(A47,3)),"Southbound","NorthBound")</f>
        <v>Southbound</v>
      </c>
      <c r="U47" s="1">
        <f>COUNTIFS(Variables!$M$2:$M$19,IF(T47="NorthBound","&gt;=","&lt;=")&amp;Y47,Variables!$M$2:$M$19,IF(T47="NorthBound","&lt;=","&gt;=")&amp;Z47)</f>
        <v>0</v>
      </c>
      <c r="V47" s="3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https://search-rtdc-monitor-bjffxe2xuh6vdkpspy63sjmuny.us-east-1.es.amazonaws.com/_plugin/kibana/#/discover/Steve-Slow-Train-Analysis-(2080s-and-2083s)?_g=(refreshInterval:(display:Off,section:0,value:0),time:(from:'2016-07-05 08:22:12-0600',mode:absolute,to:'2016-07-05 08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38" t="str">
        <f>IF(AA47&lt;23,"Y","N")</f>
        <v>Y</v>
      </c>
      <c r="X47" s="38">
        <f>VALUE(LEFT(A47,3))-VALUE(LEFT(A46,3))</f>
        <v>1</v>
      </c>
      <c r="Y47" s="38">
        <f>RIGHT(D47,LEN(D47)-4)/10000</f>
        <v>23.2989</v>
      </c>
      <c r="Z47" s="38">
        <v>23.2</v>
      </c>
      <c r="AA47" s="38">
        <f>ABS(Z47-Y47)</f>
        <v>9.8900000000000432E-2</v>
      </c>
      <c r="AB47" s="39" t="e">
        <f>VLOOKUP(A47,Enforcements!$C$7:$J$30,8,0)</f>
        <v>#N/A</v>
      </c>
      <c r="AC47" s="39" t="e">
        <f>VLOOKUP(A47,Enforcements!$C$7:$E$30,3,0)</f>
        <v>#N/A</v>
      </c>
      <c r="AD47" s="1" t="str">
        <f>IF(LEN(A47)=6,"0"&amp;A47,A47)</f>
        <v>0132-05</v>
      </c>
    </row>
    <row r="48" spans="1:30" s="1" customFormat="1" x14ac:dyDescent="0.25">
      <c r="A48" s="67" t="s">
        <v>525</v>
      </c>
      <c r="B48" s="34">
        <v>4044</v>
      </c>
      <c r="C48" s="34" t="s">
        <v>60</v>
      </c>
      <c r="D48" s="34" t="s">
        <v>129</v>
      </c>
      <c r="E48" s="20">
        <v>42556.321087962962</v>
      </c>
      <c r="F48" s="20">
        <v>42556.321817129632</v>
      </c>
      <c r="G48" s="23">
        <v>1</v>
      </c>
      <c r="H48" s="20" t="s">
        <v>589</v>
      </c>
      <c r="I48" s="20">
        <v>42556.346967592595</v>
      </c>
      <c r="J48" s="34">
        <v>0</v>
      </c>
      <c r="K48" s="34" t="str">
        <f>IF(ISEVEN(B48),(B48-1)&amp;"/"&amp;B48,B48&amp;"/"&amp;(B48+1))</f>
        <v>4043/4044</v>
      </c>
      <c r="L48" s="34" t="str">
        <f>VLOOKUP(A48,'Trips&amp;Operators'!$C$1:$E$10000,3,FALSE)</f>
        <v>ROCHA</v>
      </c>
      <c r="M48" s="6">
        <f>I48-F48</f>
        <v>2.5150462963210884E-2</v>
      </c>
      <c r="N48" s="7">
        <f>24*60*SUM($M48:$M48)</f>
        <v>36.216666667023674</v>
      </c>
      <c r="O48" s="7"/>
      <c r="P48" s="7"/>
      <c r="Q48" s="35"/>
      <c r="R48" s="35"/>
      <c r="S48" s="59">
        <f>SUM(U48:U48)/12</f>
        <v>1</v>
      </c>
      <c r="T48" s="1" t="str">
        <f>IF(ISEVEN(LEFT(A48,3)),"Southbound","NorthBound")</f>
        <v>NorthBound</v>
      </c>
      <c r="U48" s="1">
        <f>COUNTIFS(Variables!$M$2:$M$19,IF(T48="NorthBound","&gt;=","&lt;=")&amp;Y48,Variables!$M$2:$M$19,IF(T48="NorthBound","&lt;=","&gt;=")&amp;Z48)</f>
        <v>12</v>
      </c>
      <c r="V48" s="3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https://search-rtdc-monitor-bjffxe2xuh6vdkpspy63sjmuny.us-east-1.es.amazonaws.com/_plugin/kibana/#/discover/Steve-Slow-Train-Analysis-(2080s-and-2083s)?_g=(refreshInterval:(display:Off,section:0,value:0),time:(from:'2016-07-05 07:41:22-0600',mode:absolute,to:'2016-07-05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8" s="38" t="str">
        <f>IF(AA48&lt;23,"Y","N")</f>
        <v>N</v>
      </c>
      <c r="X48" s="38">
        <f>VALUE(LEFT(A48,3))-VALUE(LEFT(A47,3))</f>
        <v>1</v>
      </c>
      <c r="Y48" s="38">
        <f>RIGHT(D48,LEN(D48)-4)/10000</f>
        <v>4.4400000000000002E-2</v>
      </c>
      <c r="Z48" s="38">
        <f>RIGHT(H48,LEN(H48)-4)/10000</f>
        <v>23.1462</v>
      </c>
      <c r="AA48" s="38">
        <f>ABS(Z48-Y48)</f>
        <v>23.101800000000001</v>
      </c>
      <c r="AB48" s="39" t="e">
        <f>VLOOKUP(A48,Enforcements!$C$7:$J$30,8,0)</f>
        <v>#N/A</v>
      </c>
      <c r="AC48" s="39" t="e">
        <f>VLOOKUP(A48,Enforcements!$C$7:$E$30,3,0)</f>
        <v>#N/A</v>
      </c>
      <c r="AD48" s="1" t="str">
        <f>IF(LEN(A48)=6,"0"&amp;A48,A48)</f>
        <v>0133-05</v>
      </c>
    </row>
    <row r="49" spans="1:30" s="1" customFormat="1" x14ac:dyDescent="0.25">
      <c r="A49" s="67" t="s">
        <v>444</v>
      </c>
      <c r="B49" s="34">
        <v>4043</v>
      </c>
      <c r="C49" s="34" t="s">
        <v>60</v>
      </c>
      <c r="D49" s="34" t="s">
        <v>590</v>
      </c>
      <c r="E49" s="20">
        <v>42556.360798611109</v>
      </c>
      <c r="F49" s="20">
        <v>42556.36178240741</v>
      </c>
      <c r="G49" s="23">
        <v>1</v>
      </c>
      <c r="H49" s="20" t="s">
        <v>95</v>
      </c>
      <c r="I49" s="20">
        <v>42556.387673611112</v>
      </c>
      <c r="J49" s="34">
        <v>0</v>
      </c>
      <c r="K49" s="34" t="str">
        <f>IF(ISEVEN(B49),(B49-1)&amp;"/"&amp;B49,B49&amp;"/"&amp;(B49+1))</f>
        <v>4043/4044</v>
      </c>
      <c r="L49" s="34" t="str">
        <f>VLOOKUP(A49,'Trips&amp;Operators'!$C$1:$E$10000,3,FALSE)</f>
        <v>ROCHA</v>
      </c>
      <c r="M49" s="6">
        <f>I49-F49</f>
        <v>2.5891203702485655E-2</v>
      </c>
      <c r="N49" s="7">
        <f>24*60*SUM($M49:$M49)</f>
        <v>37.283333331579342</v>
      </c>
      <c r="O49" s="7"/>
      <c r="P49" s="7"/>
      <c r="Q49" s="35"/>
      <c r="R49" s="35"/>
      <c r="S49" s="59">
        <f>SUM(U49:U49)/12</f>
        <v>1</v>
      </c>
      <c r="T49" s="1" t="str">
        <f>IF(ISEVEN(LEFT(A49,3)),"Southbound","NorthBound")</f>
        <v>Southbound</v>
      </c>
      <c r="U49" s="1">
        <f>COUNTIFS(Variables!$M$2:$M$19,IF(T49="NorthBound","&gt;=","&lt;=")&amp;Y49,Variables!$M$2:$M$19,IF(T49="NorthBound","&lt;=","&gt;=")&amp;Z49)</f>
        <v>12</v>
      </c>
      <c r="V49" s="3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https://search-rtdc-monitor-bjffxe2xuh6vdkpspy63sjmuny.us-east-1.es.amazonaws.com/_plugin/kibana/#/discover/Steve-Slow-Train-Analysis-(2080s-and-2083s)?_g=(refreshInterval:(display:Off,section:0,value:0),time:(from:'2016-07-05 08:38:33-0600',mode:absolute,to:'2016-07-05 09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9" s="38" t="str">
        <f>IF(AA49&lt;23,"Y","N")</f>
        <v>N</v>
      </c>
      <c r="X49" s="38">
        <f>VALUE(LEFT(A49,3))-VALUE(LEFT(A48,3))</f>
        <v>1</v>
      </c>
      <c r="Y49" s="38">
        <f>RIGHT(D49,LEN(D49)-4)/10000</f>
        <v>23.292899999999999</v>
      </c>
      <c r="Z49" s="38">
        <f>RIGHT(H49,LEN(H49)-4)/10000</f>
        <v>1.4999999999999999E-2</v>
      </c>
      <c r="AA49" s="38">
        <f>ABS(Z49-Y49)</f>
        <v>23.277899999999999</v>
      </c>
      <c r="AB49" s="39" t="e">
        <f>VLOOKUP(A49,Enforcements!$C$7:$J$30,8,0)</f>
        <v>#N/A</v>
      </c>
      <c r="AC49" s="39" t="e">
        <f>VLOOKUP(A49,Enforcements!$C$7:$E$30,3,0)</f>
        <v>#N/A</v>
      </c>
      <c r="AD49" s="1" t="str">
        <f>IF(LEN(A49)=6,"0"&amp;A49,A49)</f>
        <v>0134-05</v>
      </c>
    </row>
    <row r="50" spans="1:30" s="1" customFormat="1" x14ac:dyDescent="0.25">
      <c r="A50" s="67" t="s">
        <v>431</v>
      </c>
      <c r="B50" s="34">
        <v>4038</v>
      </c>
      <c r="C50" s="34" t="s">
        <v>60</v>
      </c>
      <c r="D50" s="34" t="s">
        <v>591</v>
      </c>
      <c r="E50" s="20">
        <v>42556.331412037034</v>
      </c>
      <c r="F50" s="20">
        <v>42556.332708333335</v>
      </c>
      <c r="G50" s="23">
        <v>1</v>
      </c>
      <c r="H50" s="20" t="s">
        <v>592</v>
      </c>
      <c r="I50" s="20">
        <v>42556.359768518516</v>
      </c>
      <c r="J50" s="34">
        <v>0</v>
      </c>
      <c r="K50" s="34" t="str">
        <f>IF(ISEVEN(B50),(B50-1)&amp;"/"&amp;B50,B50&amp;"/"&amp;(B50+1))</f>
        <v>4037/4038</v>
      </c>
      <c r="L50" s="34" t="str">
        <f>VLOOKUP(A50,'Trips&amp;Operators'!$C$1:$E$10000,3,FALSE)</f>
        <v>YANAI</v>
      </c>
      <c r="M50" s="6">
        <f>I50-F50</f>
        <v>2.7060185180744156E-2</v>
      </c>
      <c r="N50" s="7">
        <f>24*60*SUM($M50:$M50)</f>
        <v>38.966666660271585</v>
      </c>
      <c r="O50" s="7"/>
      <c r="P50" s="7"/>
      <c r="Q50" s="35"/>
      <c r="R50" s="35"/>
      <c r="S50" s="59">
        <f>SUM(U50:U50)/12</f>
        <v>1</v>
      </c>
      <c r="T50" s="1" t="str">
        <f>IF(ISEVEN(LEFT(A50,3)),"Southbound","NorthBound")</f>
        <v>NorthBound</v>
      </c>
      <c r="U50" s="1">
        <f>COUNTIFS(Variables!$M$2:$M$19,IF(T50="NorthBound","&gt;=","&lt;=")&amp;Y50,Variables!$M$2:$M$19,IF(T50="NorthBound","&lt;=","&gt;=")&amp;Z50)</f>
        <v>12</v>
      </c>
      <c r="V50" s="3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https://search-rtdc-monitor-bjffxe2xuh6vdkpspy63sjmuny.us-east-1.es.amazonaws.com/_plugin/kibana/#/discover/Steve-Slow-Train-Analysis-(2080s-and-2083s)?_g=(refreshInterval:(display:Off,section:0,value:0),time:(from:'2016-07-05 07:56:14-0600',mode:absolute,to:'2016-07-05 08:39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0" s="38" t="str">
        <f>IF(AA50&lt;23,"Y","N")</f>
        <v>N</v>
      </c>
      <c r="X50" s="38">
        <f>VALUE(LEFT(A50,3))-VALUE(LEFT(A49,3))</f>
        <v>1</v>
      </c>
      <c r="Y50" s="38">
        <f>RIGHT(D50,LEN(D50)-4)/10000</f>
        <v>4.3299999999999998E-2</v>
      </c>
      <c r="Z50" s="38">
        <f>RIGHT(H50,LEN(H50)-4)/10000</f>
        <v>23.3278</v>
      </c>
      <c r="AA50" s="38">
        <f>ABS(Z50-Y50)</f>
        <v>23.284500000000001</v>
      </c>
      <c r="AB50" s="39" t="e">
        <f>VLOOKUP(A50,Enforcements!$C$7:$J$30,8,0)</f>
        <v>#N/A</v>
      </c>
      <c r="AC50" s="39" t="e">
        <f>VLOOKUP(A50,Enforcements!$C$7:$E$30,3,0)</f>
        <v>#N/A</v>
      </c>
      <c r="AD50" s="1" t="str">
        <f>IF(LEN(A50)=6,"0"&amp;A50,A50)</f>
        <v>0135-05</v>
      </c>
    </row>
    <row r="51" spans="1:30" s="1" customFormat="1" x14ac:dyDescent="0.25">
      <c r="A51" s="67" t="s">
        <v>369</v>
      </c>
      <c r="B51" s="34">
        <v>4037</v>
      </c>
      <c r="C51" s="34" t="s">
        <v>60</v>
      </c>
      <c r="D51" s="34" t="s">
        <v>210</v>
      </c>
      <c r="E51" s="20">
        <v>42556.368414351855</v>
      </c>
      <c r="F51" s="20">
        <v>42556.369560185187</v>
      </c>
      <c r="G51" s="23">
        <v>1</v>
      </c>
      <c r="H51" s="20" t="s">
        <v>593</v>
      </c>
      <c r="I51" s="20">
        <v>42556.402337962965</v>
      </c>
      <c r="J51" s="34">
        <v>2</v>
      </c>
      <c r="K51" s="34" t="str">
        <f>IF(ISEVEN(B51),(B51-1)&amp;"/"&amp;B51,B51&amp;"/"&amp;(B51+1))</f>
        <v>4037/4038</v>
      </c>
      <c r="L51" s="34" t="str">
        <f>VLOOKUP(A51,'Trips&amp;Operators'!$C$1:$E$10000,3,FALSE)</f>
        <v>YANAI</v>
      </c>
      <c r="M51" s="6">
        <f>I51-F51</f>
        <v>3.2777777778392192E-2</v>
      </c>
      <c r="N51" s="7">
        <f>24*60*SUM($M51:$M51)</f>
        <v>47.200000000884756</v>
      </c>
      <c r="O51" s="7"/>
      <c r="P51" s="7"/>
      <c r="Q51" s="35"/>
      <c r="R51" s="35"/>
      <c r="S51" s="59">
        <f>SUM(U51:U51)/12</f>
        <v>1</v>
      </c>
      <c r="T51" s="1" t="str">
        <f>IF(ISEVEN(LEFT(A51,3)),"Southbound","NorthBound")</f>
        <v>Southbound</v>
      </c>
      <c r="U51" s="1">
        <f>COUNTIFS(Variables!$M$2:$M$19,IF(T51="NorthBound","&gt;=","&lt;=")&amp;Y51,Variables!$M$2:$M$19,IF(T51="NorthBound","&lt;=","&gt;=")&amp;Z51)</f>
        <v>12</v>
      </c>
      <c r="V51" s="3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1" s="38" t="str">
        <f>IF(AA51&lt;23,"Y","N")</f>
        <v>N</v>
      </c>
      <c r="X51" s="38">
        <f>VALUE(LEFT(A51,3))-VALUE(LEFT(A50,3))</f>
        <v>1</v>
      </c>
      <c r="Y51" s="38">
        <f>RIGHT(D51,LEN(D51)-4)/10000</f>
        <v>23.2957</v>
      </c>
      <c r="Z51" s="38">
        <f>RIGHT(H51,LEN(H51)-4)/10000</f>
        <v>1.3899999999999999E-2</v>
      </c>
      <c r="AA51" s="38">
        <f>ABS(Z51-Y51)</f>
        <v>23.2818</v>
      </c>
      <c r="AB51" s="39">
        <f>VLOOKUP(A51,Enforcements!$C$7:$J$30,8,0)</f>
        <v>109135</v>
      </c>
      <c r="AC51" s="39" t="str">
        <f>VLOOKUP(A51,Enforcements!$C$7:$E$30,3,0)</f>
        <v>GRADE CROSSING</v>
      </c>
      <c r="AD51" s="1" t="str">
        <f>IF(LEN(A51)=6,"0"&amp;A51,A51)</f>
        <v>0136-05</v>
      </c>
    </row>
    <row r="52" spans="1:30" s="1" customFormat="1" x14ac:dyDescent="0.25">
      <c r="A52" s="67" t="s">
        <v>366</v>
      </c>
      <c r="B52" s="34">
        <v>4027</v>
      </c>
      <c r="C52" s="34" t="s">
        <v>60</v>
      </c>
      <c r="D52" s="34" t="s">
        <v>326</v>
      </c>
      <c r="E52" s="20">
        <v>42556.340416666666</v>
      </c>
      <c r="F52" s="20">
        <v>42556.34134259259</v>
      </c>
      <c r="G52" s="23">
        <v>1</v>
      </c>
      <c r="H52" s="20" t="s">
        <v>88</v>
      </c>
      <c r="I52" s="20">
        <v>42556.369502314818</v>
      </c>
      <c r="J52" s="34">
        <v>1</v>
      </c>
      <c r="K52" s="34" t="str">
        <f>IF(ISEVEN(B52),(B52-1)&amp;"/"&amp;B52,B52&amp;"/"&amp;(B52+1))</f>
        <v>4027/4028</v>
      </c>
      <c r="L52" s="34" t="str">
        <f>VLOOKUP(A52,'Trips&amp;Operators'!$C$1:$E$10000,3,FALSE)</f>
        <v>BEAM</v>
      </c>
      <c r="M52" s="6">
        <f>I52-F52</f>
        <v>2.8159722227428574E-2</v>
      </c>
      <c r="N52" s="7">
        <f>24*60*SUM($M52:$M52)</f>
        <v>40.550000007497147</v>
      </c>
      <c r="O52" s="7"/>
      <c r="P52" s="7"/>
      <c r="Q52" s="35"/>
      <c r="R52" s="35"/>
      <c r="S52" s="59">
        <f>SUM(U52:U52)/12</f>
        <v>1</v>
      </c>
      <c r="T52" s="1" t="str">
        <f>IF(ISEVEN(LEFT(A52,3)),"Southbound","NorthBound")</f>
        <v>NorthBound</v>
      </c>
      <c r="U52" s="1">
        <f>COUNTIFS(Variables!$M$2:$M$19,IF(T52="NorthBound","&gt;=","&lt;=")&amp;Y52,Variables!$M$2:$M$19,IF(T52="NorthBound","&lt;=","&gt;=")&amp;Z52)</f>
        <v>12</v>
      </c>
      <c r="V52" s="3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38" t="str">
        <f>IF(AA52&lt;23,"Y","N")</f>
        <v>N</v>
      </c>
      <c r="X52" s="38">
        <f>VALUE(LEFT(A52,3))-VALUE(LEFT(A51,3))</f>
        <v>1</v>
      </c>
      <c r="Y52" s="38">
        <f>RIGHT(D52,LEN(D52)-4)/10000</f>
        <v>4.6199999999999998E-2</v>
      </c>
      <c r="Z52" s="38">
        <f>RIGHT(H52,LEN(H52)-4)/10000</f>
        <v>23.329499999999999</v>
      </c>
      <c r="AA52" s="38">
        <f>ABS(Z52-Y52)</f>
        <v>23.283300000000001</v>
      </c>
      <c r="AB52" s="39">
        <f>VLOOKUP(A52,Enforcements!$C$7:$J$30,8,0)</f>
        <v>0</v>
      </c>
      <c r="AC52" s="39" t="str">
        <f>VLOOKUP(A52,Enforcements!$C$7:$E$30,3,0)</f>
        <v>PERMANENT SPEED RESTRICTION</v>
      </c>
      <c r="AD52" s="1" t="str">
        <f>IF(LEN(A52)=6,"0"&amp;A52,A52)</f>
        <v>0137-05</v>
      </c>
    </row>
    <row r="53" spans="1:30" s="1" customFormat="1" x14ac:dyDescent="0.25">
      <c r="A53" s="67" t="s">
        <v>521</v>
      </c>
      <c r="B53" s="34">
        <v>4028</v>
      </c>
      <c r="C53" s="34" t="s">
        <v>60</v>
      </c>
      <c r="D53" s="34" t="s">
        <v>189</v>
      </c>
      <c r="E53" s="20">
        <v>42556.379282407404</v>
      </c>
      <c r="F53" s="20">
        <v>42556.380393518521</v>
      </c>
      <c r="G53" s="23">
        <v>1</v>
      </c>
      <c r="H53" s="20" t="s">
        <v>135</v>
      </c>
      <c r="I53" s="20">
        <v>42556.412141203706</v>
      </c>
      <c r="J53" s="34">
        <v>0</v>
      </c>
      <c r="K53" s="34" t="str">
        <f>IF(ISEVEN(B53),(B53-1)&amp;"/"&amp;B53,B53&amp;"/"&amp;(B53+1))</f>
        <v>4027/4028</v>
      </c>
      <c r="L53" s="34" t="str">
        <f>VLOOKUP(A53,'Trips&amp;Operators'!$C$1:$E$10000,3,FALSE)</f>
        <v>BEAM</v>
      </c>
      <c r="M53" s="6">
        <f>I53-F53</f>
        <v>3.1747685185109731E-2</v>
      </c>
      <c r="N53" s="7">
        <f>24*60*SUM($M53:$M53)</f>
        <v>45.716666666558012</v>
      </c>
      <c r="O53" s="7"/>
      <c r="P53" s="7"/>
      <c r="Q53" s="35"/>
      <c r="R53" s="35"/>
      <c r="S53" s="59">
        <f>SUM(U53:U53)/12</f>
        <v>1</v>
      </c>
      <c r="T53" s="1" t="str">
        <f>IF(ISEVEN(LEFT(A53,3)),"Southbound","NorthBound")</f>
        <v>Southbound</v>
      </c>
      <c r="U53" s="1">
        <f>COUNTIFS(Variables!$M$2:$M$19,IF(T53="NorthBound","&gt;=","&lt;=")&amp;Y53,Variables!$M$2:$M$19,IF(T53="NorthBound","&lt;=","&gt;=")&amp;Z53)</f>
        <v>12</v>
      </c>
      <c r="V53" s="3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https://search-rtdc-monitor-bjffxe2xuh6vdkpspy63sjmuny.us-east-1.es.amazonaws.com/_plugin/kibana/#/discover/Steve-Slow-Train-Analysis-(2080s-and-2083s)?_g=(refreshInterval:(display:Off,section:0,value:0),time:(from:'2016-07-05 09:05:10-0600',mode:absolute,to:'2016-07-05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38" t="str">
        <f>IF(AA53&lt;23,"Y","N")</f>
        <v>N</v>
      </c>
      <c r="X53" s="38">
        <f>VALUE(LEFT(A53,3))-VALUE(LEFT(A52,3))</f>
        <v>1</v>
      </c>
      <c r="Y53" s="38">
        <f>RIGHT(D53,LEN(D53)-4)/10000</f>
        <v>23.296700000000001</v>
      </c>
      <c r="Z53" s="38">
        <f>RIGHT(H53,LEN(H53)-4)/10000</f>
        <v>1.54E-2</v>
      </c>
      <c r="AA53" s="38">
        <f>ABS(Z53-Y53)</f>
        <v>23.281300000000002</v>
      </c>
      <c r="AB53" s="39" t="e">
        <f>VLOOKUP(A53,Enforcements!$C$7:$J$30,8,0)</f>
        <v>#N/A</v>
      </c>
      <c r="AC53" s="39" t="e">
        <f>VLOOKUP(A53,Enforcements!$C$7:$E$30,3,0)</f>
        <v>#N/A</v>
      </c>
      <c r="AD53" s="1" t="str">
        <f>IF(LEN(A53)=6,"0"&amp;A53,A53)</f>
        <v>0138-05</v>
      </c>
    </row>
    <row r="54" spans="1:30" s="1" customFormat="1" x14ac:dyDescent="0.25">
      <c r="A54" s="87" t="s">
        <v>505</v>
      </c>
      <c r="B54" s="34">
        <v>4018</v>
      </c>
      <c r="C54" s="34" t="s">
        <v>60</v>
      </c>
      <c r="D54" s="34" t="s">
        <v>197</v>
      </c>
      <c r="E54" s="20">
        <v>42556.350092592591</v>
      </c>
      <c r="F54" s="20">
        <v>42556.351701388892</v>
      </c>
      <c r="G54" s="23">
        <v>2</v>
      </c>
      <c r="H54" s="20" t="s">
        <v>88</v>
      </c>
      <c r="I54" s="20">
        <v>42556.380266203705</v>
      </c>
      <c r="J54" s="34">
        <v>0</v>
      </c>
      <c r="K54" s="34" t="str">
        <f>IF(ISEVEN(B54),(B54-1)&amp;"/"&amp;B54,B54&amp;"/"&amp;(B54+1))</f>
        <v>4017/4018</v>
      </c>
      <c r="L54" s="34" t="str">
        <f>VLOOKUP(A54,'Trips&amp;Operators'!$C$1:$E$10000,3,FALSE)</f>
        <v>GEBRETEKLE</v>
      </c>
      <c r="M54" s="6">
        <f>I54-F54</f>
        <v>2.8564814812853001E-2</v>
      </c>
      <c r="N54" s="7">
        <f>24*60*SUM($M54:$M54)</f>
        <v>41.133333330508322</v>
      </c>
      <c r="O54" s="7"/>
      <c r="P54" s="7"/>
      <c r="Q54" s="35"/>
      <c r="R54" s="35"/>
      <c r="S54" s="59">
        <f>SUM(U54:U54)/12</f>
        <v>1</v>
      </c>
      <c r="T54" s="1" t="str">
        <f>IF(ISEVEN(LEFT(A54,3)),"Southbound","NorthBound")</f>
        <v>NorthBound</v>
      </c>
      <c r="U54" s="1">
        <f>COUNTIFS(Variables!$M$2:$M$19,IF(T54="NorthBound","&gt;=","&lt;=")&amp;Y54,Variables!$M$2:$M$19,IF(T54="NorthBound","&lt;=","&gt;=")&amp;Z54)</f>
        <v>12</v>
      </c>
      <c r="V54" s="3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https://search-rtdc-monitor-bjffxe2xuh6vdkpspy63sjmuny.us-east-1.es.amazonaws.com/_plugin/kibana/#/discover/Steve-Slow-Train-Analysis-(2080s-and-2083s)?_g=(refreshInterval:(display:Off,section:0,value:0),time:(from:'2016-07-05 08:23:08-0600',mode:absolute,to:'2016-07-05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38" t="str">
        <f>IF(AA54&lt;23,"Y","N")</f>
        <v>N</v>
      </c>
      <c r="X54" s="38">
        <f>VALUE(LEFT(A54,3))-VALUE(LEFT(A53,3))</f>
        <v>1</v>
      </c>
      <c r="Y54" s="38">
        <f>RIGHT(D54,LEN(D54)-4)/10000</f>
        <v>4.6899999999999997E-2</v>
      </c>
      <c r="Z54" s="38">
        <f>RIGHT(H54,LEN(H54)-4)/10000</f>
        <v>23.329499999999999</v>
      </c>
      <c r="AA54" s="38">
        <f>ABS(Z54-Y54)</f>
        <v>23.282599999999999</v>
      </c>
      <c r="AB54" s="39" t="e">
        <f>VLOOKUP(A54,Enforcements!$C$7:$J$30,8,0)</f>
        <v>#N/A</v>
      </c>
      <c r="AC54" s="39" t="e">
        <f>VLOOKUP(A54,Enforcements!$C$7:$E$30,3,0)</f>
        <v>#N/A</v>
      </c>
      <c r="AD54" s="1" t="str">
        <f>IF(LEN(A54)=6,"0"&amp;A54,A54)</f>
        <v>0139-05</v>
      </c>
    </row>
    <row r="55" spans="1:30" s="1" customFormat="1" x14ac:dyDescent="0.25">
      <c r="A55" s="67" t="s">
        <v>546</v>
      </c>
      <c r="B55" s="34">
        <v>4017</v>
      </c>
      <c r="C55" s="34" t="s">
        <v>60</v>
      </c>
      <c r="D55" s="34" t="s">
        <v>70</v>
      </c>
      <c r="E55" s="20">
        <v>42556.384965277779</v>
      </c>
      <c r="F55" s="20">
        <v>42556.385740740741</v>
      </c>
      <c r="G55" s="23">
        <v>1</v>
      </c>
      <c r="H55" s="20" t="s">
        <v>67</v>
      </c>
      <c r="I55" s="20">
        <v>42556.421979166669</v>
      </c>
      <c r="J55" s="34">
        <v>0</v>
      </c>
      <c r="K55" s="34" t="str">
        <f>IF(ISEVEN(B55),(B55-1)&amp;"/"&amp;B55,B55&amp;"/"&amp;(B55+1))</f>
        <v>4017/4018</v>
      </c>
      <c r="L55" s="34" t="str">
        <f>VLOOKUP(A55,'Trips&amp;Operators'!$C$1:$E$10000,3,FALSE)</f>
        <v>GEBRETEKLE</v>
      </c>
      <c r="M55" s="6">
        <f>I55-F55</f>
        <v>3.623842592787696E-2</v>
      </c>
      <c r="N55" s="7">
        <f>24*60*SUM($M55:$M55)</f>
        <v>52.183333336142823</v>
      </c>
      <c r="O55" s="7"/>
      <c r="P55" s="7"/>
      <c r="Q55" s="35"/>
      <c r="R55" s="35"/>
      <c r="S55" s="59">
        <f>SUM(U55:U55)/12</f>
        <v>1</v>
      </c>
      <c r="T55" s="1" t="str">
        <f>IF(ISEVEN(LEFT(A55,3)),"Southbound","NorthBound")</f>
        <v>Southbound</v>
      </c>
      <c r="U55" s="1">
        <f>COUNTIFS(Variables!$M$2:$M$19,IF(T55="NorthBound","&gt;=","&lt;=")&amp;Y55,Variables!$M$2:$M$19,IF(T55="NorthBound","&lt;=","&gt;=")&amp;Z55)</f>
        <v>12</v>
      </c>
      <c r="V55" s="3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https://search-rtdc-monitor-bjffxe2xuh6vdkpspy63sjmuny.us-east-1.es.amazonaws.com/_plugin/kibana/#/discover/Steve-Slow-Train-Analysis-(2080s-and-2083s)?_g=(refreshInterval:(display:Off,section:0,value:0),time:(from:'2016-07-05 09:13:21-0600',mode:absolute,to:'2016-07-05 10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5" s="38" t="str">
        <f>IF(AA55&lt;23,"Y","N")</f>
        <v>N</v>
      </c>
      <c r="X55" s="38">
        <f>VALUE(LEFT(A55,3))-VALUE(LEFT(A54,3))</f>
        <v>1</v>
      </c>
      <c r="Y55" s="38">
        <f>RIGHT(D55,LEN(D55)-4)/10000</f>
        <v>23.297699999999999</v>
      </c>
      <c r="Z55" s="38">
        <f>RIGHT(H55,LEN(H55)-4)/10000</f>
        <v>1.47E-2</v>
      </c>
      <c r="AA55" s="38">
        <f>ABS(Z55-Y55)</f>
        <v>23.282999999999998</v>
      </c>
      <c r="AB55" s="39" t="e">
        <f>VLOOKUP(A55,Enforcements!$C$7:$J$30,8,0)</f>
        <v>#N/A</v>
      </c>
      <c r="AC55" s="39" t="e">
        <f>VLOOKUP(A55,Enforcements!$C$7:$E$30,3,0)</f>
        <v>#N/A</v>
      </c>
      <c r="AD55" s="1" t="str">
        <f>IF(LEN(A55)=6,"0"&amp;A55,A55)</f>
        <v>0140-05</v>
      </c>
    </row>
    <row r="56" spans="1:30" s="1" customFormat="1" x14ac:dyDescent="0.25">
      <c r="A56" s="67" t="s">
        <v>489</v>
      </c>
      <c r="B56" s="34">
        <v>4014</v>
      </c>
      <c r="C56" s="34" t="s">
        <v>60</v>
      </c>
      <c r="D56" s="34" t="s">
        <v>128</v>
      </c>
      <c r="E56" s="20">
        <v>42556.359675925924</v>
      </c>
      <c r="F56" s="20">
        <v>42556.360625000001</v>
      </c>
      <c r="G56" s="23">
        <v>1</v>
      </c>
      <c r="H56" s="20" t="s">
        <v>273</v>
      </c>
      <c r="I56" s="20">
        <v>42556.399930555555</v>
      </c>
      <c r="J56" s="34">
        <v>0</v>
      </c>
      <c r="K56" s="34" t="str">
        <f>IF(ISEVEN(B56),(B56-1)&amp;"/"&amp;B56,B56&amp;"/"&amp;(B56+1))</f>
        <v>4013/4014</v>
      </c>
      <c r="L56" s="34" t="str">
        <f>VLOOKUP(A56,'Trips&amp;Operators'!$C$1:$E$10000,3,FALSE)</f>
        <v>STURGEON</v>
      </c>
      <c r="M56" s="6">
        <f>I56-F56</f>
        <v>3.9305555554165039E-2</v>
      </c>
      <c r="N56" s="7">
        <f>24*60*SUM($M56:$M56)</f>
        <v>56.599999997997656</v>
      </c>
      <c r="O56" s="7"/>
      <c r="P56" s="7"/>
      <c r="Q56" s="35"/>
      <c r="R56" s="35"/>
      <c r="S56" s="59">
        <f>SUM(U56:U56)/12</f>
        <v>1</v>
      </c>
      <c r="T56" s="1" t="str">
        <f>IF(ISEVEN(LEFT(A56,3)),"Southbound","NorthBound")</f>
        <v>NorthBound</v>
      </c>
      <c r="U56" s="1">
        <f>COUNTIFS(Variables!$M$2:$M$19,IF(T56="NorthBound","&gt;=","&lt;=")&amp;Y56,Variables!$M$2:$M$19,IF(T56="NorthBound","&lt;=","&gt;=")&amp;Z56)</f>
        <v>12</v>
      </c>
      <c r="V56" s="3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https://search-rtdc-monitor-bjffxe2xuh6vdkpspy63sjmuny.us-east-1.es.amazonaws.com/_plugin/kibana/#/discover/Steve-Slow-Train-Analysis-(2080s-and-2083s)?_g=(refreshInterval:(display:Off,section:0,value:0),time:(from:'2016-07-05 08:36:56-0600',mode:absolute,to:'2016-07-05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6" s="38" t="str">
        <f>IF(AA56&lt;23,"Y","N")</f>
        <v>N</v>
      </c>
      <c r="X56" s="38">
        <f>VALUE(LEFT(A56,3))-VALUE(LEFT(A55,3))</f>
        <v>1</v>
      </c>
      <c r="Y56" s="38">
        <f>RIGHT(D56,LEN(D56)-4)/10000</f>
        <v>4.5100000000000001E-2</v>
      </c>
      <c r="Z56" s="38">
        <f>RIGHT(H56,LEN(H56)-4)/10000</f>
        <v>23.328900000000001</v>
      </c>
      <c r="AA56" s="38">
        <f>ABS(Z56-Y56)</f>
        <v>23.283799999999999</v>
      </c>
      <c r="AB56" s="39" t="e">
        <f>VLOOKUP(A56,Enforcements!$C$7:$J$30,8,0)</f>
        <v>#N/A</v>
      </c>
      <c r="AC56" s="39" t="e">
        <f>VLOOKUP(A56,Enforcements!$C$7:$E$30,3,0)</f>
        <v>#N/A</v>
      </c>
      <c r="AD56" s="1" t="str">
        <f>IF(LEN(A56)=6,"0"&amp;A56,A56)</f>
        <v>0141-05</v>
      </c>
    </row>
    <row r="57" spans="1:30" s="1" customFormat="1" x14ac:dyDescent="0.25">
      <c r="A57" s="67" t="s">
        <v>519</v>
      </c>
      <c r="B57" s="34">
        <v>4020</v>
      </c>
      <c r="C57" s="34" t="s">
        <v>60</v>
      </c>
      <c r="D57" s="34" t="s">
        <v>76</v>
      </c>
      <c r="E57" s="20">
        <v>42556.369583333333</v>
      </c>
      <c r="F57" s="20">
        <v>42556.370474537034</v>
      </c>
      <c r="G57" s="23">
        <v>1</v>
      </c>
      <c r="H57" s="20" t="s">
        <v>594</v>
      </c>
      <c r="I57" s="20">
        <v>42556.407094907408</v>
      </c>
      <c r="J57" s="34">
        <v>0</v>
      </c>
      <c r="K57" s="34" t="str">
        <f>IF(ISEVEN(B57),(B57-1)&amp;"/"&amp;B57,B57&amp;"/"&amp;(B57+1))</f>
        <v>4019/4020</v>
      </c>
      <c r="L57" s="34" t="str">
        <f>VLOOKUP(A57,'Trips&amp;Operators'!$C$1:$E$10000,3,FALSE)</f>
        <v>SPECTOR</v>
      </c>
      <c r="M57" s="6">
        <f>I57-F57</f>
        <v>3.6620370374293998E-2</v>
      </c>
      <c r="N57" s="7">
        <f>24*60*SUM($M57:$M57)</f>
        <v>52.733333338983357</v>
      </c>
      <c r="O57" s="7"/>
      <c r="P57" s="7"/>
      <c r="Q57" s="35"/>
      <c r="R57" s="35"/>
      <c r="S57" s="59">
        <f>SUM(U57:U57)/12</f>
        <v>1</v>
      </c>
      <c r="T57" s="1" t="str">
        <f>IF(ISEVEN(LEFT(A57,3)),"Southbound","NorthBound")</f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https://search-rtdc-monitor-bjffxe2xuh6vdkpspy63sjmuny.us-east-1.es.amazonaws.com/_plugin/kibana/#/discover/Steve-Slow-Train-Analysis-(2080s-and-2083s)?_g=(refreshInterval:(display:Off,section:0,value:0),time:(from:'2016-07-05 08:51:12-0600',mode:absolute,to:'2016-07-05 09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7" s="38" t="str">
        <f>IF(AA57&lt;23,"Y","N")</f>
        <v>N</v>
      </c>
      <c r="X57" s="38">
        <f>VALUE(LEFT(A57,3))-VALUE(LEFT(A56,3))</f>
        <v>2</v>
      </c>
      <c r="Y57" s="38">
        <f>RIGHT(D57,LEN(D57)-4)/10000</f>
        <v>4.53E-2</v>
      </c>
      <c r="Z57" s="38">
        <f>RIGHT(H57,LEN(H57)-4)/10000</f>
        <v>23.331700000000001</v>
      </c>
      <c r="AA57" s="38">
        <f>ABS(Z57-Y57)</f>
        <v>23.2864</v>
      </c>
      <c r="AB57" s="39" t="e">
        <f>VLOOKUP(A57,Enforcements!$C$7:$J$30,8,0)</f>
        <v>#N/A</v>
      </c>
      <c r="AC57" s="39" t="e">
        <f>VLOOKUP(A57,Enforcements!$C$7:$E$30,3,0)</f>
        <v>#N/A</v>
      </c>
      <c r="AD57" s="1" t="str">
        <f>IF(LEN(A57)=6,"0"&amp;A57,A57)</f>
        <v>0143-05</v>
      </c>
    </row>
    <row r="58" spans="1:30" s="1" customFormat="1" x14ac:dyDescent="0.25">
      <c r="A58" s="67" t="s">
        <v>487</v>
      </c>
      <c r="B58" s="34">
        <v>4019</v>
      </c>
      <c r="C58" s="34" t="s">
        <v>60</v>
      </c>
      <c r="D58" s="34" t="s">
        <v>324</v>
      </c>
      <c r="E58" s="20">
        <v>42556.411805555559</v>
      </c>
      <c r="F58" s="20">
        <v>42556.412812499999</v>
      </c>
      <c r="G58" s="23">
        <v>1</v>
      </c>
      <c r="H58" s="20" t="s">
        <v>196</v>
      </c>
      <c r="I58" s="20">
        <v>42556.443564814814</v>
      </c>
      <c r="J58" s="34">
        <v>0</v>
      </c>
      <c r="K58" s="34" t="str">
        <f>IF(ISEVEN(B58),(B58-1)&amp;"/"&amp;B58,B58&amp;"/"&amp;(B58+1))</f>
        <v>4019/4020</v>
      </c>
      <c r="L58" s="34" t="str">
        <f>VLOOKUP(A58,'Trips&amp;Operators'!$C$1:$E$10000,3,FALSE)</f>
        <v>SPECTOR</v>
      </c>
      <c r="M58" s="6">
        <f>I58-F58</f>
        <v>3.0752314814890269E-2</v>
      </c>
      <c r="N58" s="7">
        <f>24*60*SUM($M58:$M58)</f>
        <v>44.283333333441988</v>
      </c>
      <c r="O58" s="7"/>
      <c r="P58" s="7"/>
      <c r="Q58" s="35"/>
      <c r="R58" s="35"/>
      <c r="S58" s="59">
        <f>SUM(U58:U58)/12</f>
        <v>1</v>
      </c>
      <c r="T58" s="1" t="str">
        <f>IF(ISEVEN(LEFT(A58,3)),"Southbound","NorthBound")</f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https://search-rtdc-monitor-bjffxe2xuh6vdkpspy63sjmuny.us-east-1.es.amazonaws.com/_plugin/kibana/#/discover/Steve-Slow-Train-Analysis-(2080s-and-2083s)?_g=(refreshInterval:(display:Off,section:0,value:0),time:(from:'2016-07-05 09:52:00-0600',mode:absolute,to:'2016-07-05 10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8" s="38" t="str">
        <f>IF(AA58&lt;23,"Y","N")</f>
        <v>N</v>
      </c>
      <c r="X58" s="38">
        <f>VALUE(LEFT(A58,3))-VALUE(LEFT(A57,3))</f>
        <v>1</v>
      </c>
      <c r="Y58" s="38">
        <f>RIGHT(D58,LEN(D58)-4)/10000</f>
        <v>23.300599999999999</v>
      </c>
      <c r="Z58" s="38">
        <f>RIGHT(H58,LEN(H58)-4)/10000</f>
        <v>1.41E-2</v>
      </c>
      <c r="AA58" s="38">
        <f>ABS(Z58-Y58)</f>
        <v>23.2865</v>
      </c>
      <c r="AB58" s="39" t="e">
        <f>VLOOKUP(A58,Enforcements!$C$7:$J$30,8,0)</f>
        <v>#N/A</v>
      </c>
      <c r="AC58" s="39" t="e">
        <f>VLOOKUP(A58,Enforcements!$C$7:$E$30,3,0)</f>
        <v>#N/A</v>
      </c>
      <c r="AD58" s="1" t="str">
        <f>IF(LEN(A58)=6,"0"&amp;A58,A58)</f>
        <v>0144-05</v>
      </c>
    </row>
    <row r="59" spans="1:30" s="1" customFormat="1" x14ac:dyDescent="0.25">
      <c r="A59" s="67" t="s">
        <v>515</v>
      </c>
      <c r="B59" s="34">
        <v>4031</v>
      </c>
      <c r="C59" s="34" t="s">
        <v>60</v>
      </c>
      <c r="D59" s="34" t="s">
        <v>595</v>
      </c>
      <c r="E59" s="20">
        <v>42556.383599537039</v>
      </c>
      <c r="F59" s="20">
        <v>42556.384641203702</v>
      </c>
      <c r="G59" s="23">
        <v>1</v>
      </c>
      <c r="H59" s="20" t="s">
        <v>162</v>
      </c>
      <c r="I59" s="20">
        <v>42556.413217592592</v>
      </c>
      <c r="J59" s="34">
        <v>0</v>
      </c>
      <c r="K59" s="34" t="str">
        <f>IF(ISEVEN(B59),(B59-1)&amp;"/"&amp;B59,B59&amp;"/"&amp;(B59+1))</f>
        <v>4031/4032</v>
      </c>
      <c r="L59" s="34" t="str">
        <f>VLOOKUP(A59,'Trips&amp;Operators'!$C$1:$E$10000,3,FALSE)</f>
        <v>STARKS</v>
      </c>
      <c r="M59" s="6">
        <f>I59-F59</f>
        <v>2.8576388889632653E-2</v>
      </c>
      <c r="N59" s="7">
        <f>24*60*SUM($M59:$M59)</f>
        <v>41.150000001071021</v>
      </c>
      <c r="O59" s="7"/>
      <c r="P59" s="7"/>
      <c r="Q59" s="35"/>
      <c r="R59" s="35"/>
      <c r="S59" s="59">
        <f>SUM(U59:U59)/12</f>
        <v>1</v>
      </c>
      <c r="T59" s="1" t="str">
        <f>IF(ISEVEN(LEFT(A59,3)),"Southbound","NorthBound")</f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https://search-rtdc-monitor-bjffxe2xuh6vdkpspy63sjmuny.us-east-1.es.amazonaws.com/_plugin/kibana/#/discover/Steve-Slow-Train-Analysis-(2080s-and-2083s)?_g=(refreshInterval:(display:Off,section:0,value:0),time:(from:'2016-07-05 09:11:23-0600',mode:absolute,to:'2016-07-05 09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>IF(AA59&lt;23,"Y","N")</f>
        <v>N</v>
      </c>
      <c r="X59" s="38">
        <f>VALUE(LEFT(A59,3))-VALUE(LEFT(A58,3))</f>
        <v>1</v>
      </c>
      <c r="Y59" s="38">
        <f>RIGHT(D59,LEN(D59)-4)/10000</f>
        <v>4.3700000000000003E-2</v>
      </c>
      <c r="Z59" s="38">
        <f>RIGHT(H59,LEN(H59)-4)/10000</f>
        <v>23.330100000000002</v>
      </c>
      <c r="AA59" s="38">
        <f>ABS(Z59-Y59)</f>
        <v>23.2864</v>
      </c>
      <c r="AB59" s="39" t="e">
        <f>VLOOKUP(A59,Enforcements!$C$7:$J$30,8,0)</f>
        <v>#N/A</v>
      </c>
      <c r="AC59" s="39" t="e">
        <f>VLOOKUP(A59,Enforcements!$C$7:$E$30,3,0)</f>
        <v>#N/A</v>
      </c>
      <c r="AD59" s="1" t="str">
        <f>IF(LEN(A59)=6,"0"&amp;A59,A59)</f>
        <v>0145-05</v>
      </c>
    </row>
    <row r="60" spans="1:30" s="1" customFormat="1" x14ac:dyDescent="0.25">
      <c r="A60" s="67" t="s">
        <v>371</v>
      </c>
      <c r="B60" s="34">
        <v>4032</v>
      </c>
      <c r="C60" s="34" t="s">
        <v>60</v>
      </c>
      <c r="D60" s="34" t="s">
        <v>327</v>
      </c>
      <c r="E60" s="20">
        <v>42556.421469907407</v>
      </c>
      <c r="F60" s="20">
        <v>42556.423171296294</v>
      </c>
      <c r="G60" s="23">
        <v>2</v>
      </c>
      <c r="H60" s="20" t="s">
        <v>588</v>
      </c>
      <c r="I60" s="20">
        <v>42556.453043981484</v>
      </c>
      <c r="J60" s="34">
        <v>3</v>
      </c>
      <c r="K60" s="34" t="str">
        <f>IF(ISEVEN(B60),(B60-1)&amp;"/"&amp;B60,B60&amp;"/"&amp;(B60+1))</f>
        <v>4031/4032</v>
      </c>
      <c r="L60" s="34" t="str">
        <f>VLOOKUP(A60,'Trips&amp;Operators'!$C$1:$E$10000,3,FALSE)</f>
        <v>STARKS</v>
      </c>
      <c r="M60" s="6">
        <f>I60-F60</f>
        <v>2.9872685190639459E-2</v>
      </c>
      <c r="N60" s="7">
        <f>24*60*SUM($M60:$M60)</f>
        <v>43.01666667452082</v>
      </c>
      <c r="O60" s="7"/>
      <c r="P60" s="7"/>
      <c r="Q60" s="35"/>
      <c r="R60" s="35"/>
      <c r="S60" s="59">
        <f>SUM(U60:U60)/12</f>
        <v>1</v>
      </c>
      <c r="T60" s="1" t="str">
        <f>IF(ISEVEN(LEFT(A60,3)),"Southbound","NorthBound")</f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>IF(AA60&lt;23,"Y","N")</f>
        <v>N</v>
      </c>
      <c r="X60" s="38">
        <f>VALUE(LEFT(A60,3))-VALUE(LEFT(A59,3))</f>
        <v>1</v>
      </c>
      <c r="Y60" s="38">
        <f>RIGHT(D60,LEN(D60)-4)/10000</f>
        <v>23.297999999999998</v>
      </c>
      <c r="Z60" s="38">
        <v>0.01</v>
      </c>
      <c r="AA60" s="38">
        <f>ABS(Z60-Y60)</f>
        <v>23.287999999999997</v>
      </c>
      <c r="AB60" s="39">
        <f>VLOOKUP(A60,Enforcements!$C$7:$J$30,8,0)</f>
        <v>109135</v>
      </c>
      <c r="AC60" s="39" t="str">
        <f>VLOOKUP(A60,Enforcements!$C$7:$E$30,3,0)</f>
        <v>GRADE CROSSING</v>
      </c>
      <c r="AD60" s="1" t="str">
        <f>IF(LEN(A60)=6,"0"&amp;A60,A60)</f>
        <v>0146-05</v>
      </c>
    </row>
    <row r="61" spans="1:30" s="1" customFormat="1" x14ac:dyDescent="0.25">
      <c r="A61" s="67" t="s">
        <v>472</v>
      </c>
      <c r="B61" s="34">
        <v>4044</v>
      </c>
      <c r="C61" s="34" t="s">
        <v>60</v>
      </c>
      <c r="D61" s="34" t="s">
        <v>326</v>
      </c>
      <c r="E61" s="20">
        <v>42556.389837962961</v>
      </c>
      <c r="F61" s="20">
        <v>42556.390879629631</v>
      </c>
      <c r="G61" s="23">
        <v>1</v>
      </c>
      <c r="H61" s="20" t="s">
        <v>238</v>
      </c>
      <c r="I61" s="20">
        <v>42556.423171296294</v>
      </c>
      <c r="J61" s="34">
        <v>0</v>
      </c>
      <c r="K61" s="34" t="str">
        <f>IF(ISEVEN(B61),(B61-1)&amp;"/"&amp;B61,B61&amp;"/"&amp;(B61+1))</f>
        <v>4043/4044</v>
      </c>
      <c r="L61" s="34" t="str">
        <f>VLOOKUP(A61,'Trips&amp;Operators'!$C$1:$E$10000,3,FALSE)</f>
        <v>ROCHA</v>
      </c>
      <c r="M61" s="6">
        <f>I61-F61</f>
        <v>3.2291666662786156E-2</v>
      </c>
      <c r="N61" s="7">
        <f>24*60*SUM($M61:$M61)</f>
        <v>46.499999994412065</v>
      </c>
      <c r="O61" s="7"/>
      <c r="P61" s="7"/>
      <c r="Q61" s="35"/>
      <c r="R61" s="35"/>
      <c r="S61" s="59">
        <f>SUM(U61:U61)/12</f>
        <v>1</v>
      </c>
      <c r="T61" s="1" t="str">
        <f>IF(ISEVEN(LEFT(A61,3)),"Southbound","NorthBound")</f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https://search-rtdc-monitor-bjffxe2xuh6vdkpspy63sjmuny.us-east-1.es.amazonaws.com/_plugin/kibana/#/discover/Steve-Slow-Train-Analysis-(2080s-and-2083s)?_g=(refreshInterval:(display:Off,section:0,value:0),time:(from:'2016-07-05 09:20:22-0600',mode:absolute,to:'2016-07-05 10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1" s="38" t="str">
        <f>IF(AA61&lt;23,"Y","N")</f>
        <v>N</v>
      </c>
      <c r="X61" s="38">
        <f>VALUE(LEFT(A61,3))-VALUE(LEFT(A60,3))</f>
        <v>1</v>
      </c>
      <c r="Y61" s="38">
        <f>RIGHT(D61,LEN(D61)-4)/10000</f>
        <v>4.6199999999999998E-2</v>
      </c>
      <c r="Z61" s="38">
        <f>RIGHT(H61,LEN(H61)-4)/10000</f>
        <v>23.33</v>
      </c>
      <c r="AA61" s="38">
        <f>ABS(Z61-Y61)</f>
        <v>23.283799999999999</v>
      </c>
      <c r="AB61" s="39" t="e">
        <f>VLOOKUP(A61,Enforcements!$C$7:$J$30,8,0)</f>
        <v>#N/A</v>
      </c>
      <c r="AC61" s="39" t="e">
        <f>VLOOKUP(A61,Enforcements!$C$7:$E$30,3,0)</f>
        <v>#N/A</v>
      </c>
      <c r="AD61" s="1" t="str">
        <f>IF(LEN(A61)=6,"0"&amp;A61,A61)</f>
        <v>0147-05</v>
      </c>
    </row>
    <row r="62" spans="1:30" s="1" customFormat="1" x14ac:dyDescent="0.25">
      <c r="A62" s="67" t="s">
        <v>508</v>
      </c>
      <c r="B62" s="34">
        <v>4043</v>
      </c>
      <c r="C62" s="34" t="s">
        <v>60</v>
      </c>
      <c r="D62" s="34" t="s">
        <v>596</v>
      </c>
      <c r="E62" s="20">
        <v>42556.434930555559</v>
      </c>
      <c r="F62" s="20">
        <v>42556.435844907406</v>
      </c>
      <c r="G62" s="23">
        <v>1</v>
      </c>
      <c r="H62" s="20" t="s">
        <v>89</v>
      </c>
      <c r="I62" s="20">
        <v>42556.462037037039</v>
      </c>
      <c r="J62" s="34">
        <v>0</v>
      </c>
      <c r="K62" s="34" t="str">
        <f>IF(ISEVEN(B62),(B62-1)&amp;"/"&amp;B62,B62&amp;"/"&amp;(B62+1))</f>
        <v>4043/4044</v>
      </c>
      <c r="L62" s="34" t="str">
        <f>VLOOKUP(A62,'Trips&amp;Operators'!$C$1:$E$10000,3,FALSE)</f>
        <v>ROCHA</v>
      </c>
      <c r="M62" s="6">
        <f>I62-F62</f>
        <v>2.6192129633272998E-2</v>
      </c>
      <c r="N62" s="7">
        <f>24*60*SUM($M62:$M62)</f>
        <v>37.716666671913117</v>
      </c>
      <c r="O62" s="7"/>
      <c r="P62" s="7"/>
      <c r="Q62" s="35"/>
      <c r="R62" s="35"/>
      <c r="S62" s="59">
        <f>SUM(U62:U62)/12</f>
        <v>1</v>
      </c>
      <c r="T62" s="1" t="str">
        <f>IF(ISEVEN(LEFT(A62,3)),"Southbound","NorthBound")</f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https://search-rtdc-monitor-bjffxe2xuh6vdkpspy63sjmuny.us-east-1.es.amazonaws.com/_plugin/kibana/#/discover/Steve-Slow-Train-Analysis-(2080s-and-2083s)?_g=(refreshInterval:(display:Off,section:0,value:0),time:(from:'2016-07-05 10:25:18-0600',mode:absolute,to:'2016-07-05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2" s="38" t="str">
        <f>IF(AA62&lt;23,"Y","N")</f>
        <v>N</v>
      </c>
      <c r="X62" s="38">
        <f>VALUE(LEFT(A62,3))-VALUE(LEFT(A61,3))</f>
        <v>1</v>
      </c>
      <c r="Y62" s="38">
        <f>RIGHT(D62,LEN(D62)-4)/10000</f>
        <v>23.298500000000001</v>
      </c>
      <c r="Z62" s="38">
        <f>RIGHT(H62,LEN(H62)-4)/10000</f>
        <v>1.5800000000000002E-2</v>
      </c>
      <c r="AA62" s="38">
        <f>ABS(Z62-Y62)</f>
        <v>23.282700000000002</v>
      </c>
      <c r="AB62" s="39" t="e">
        <f>VLOOKUP(A62,Enforcements!$C$7:$J$30,8,0)</f>
        <v>#N/A</v>
      </c>
      <c r="AC62" s="39" t="e">
        <f>VLOOKUP(A62,Enforcements!$C$7:$E$30,3,0)</f>
        <v>#N/A</v>
      </c>
      <c r="AD62" s="1" t="str">
        <f>IF(LEN(A62)=6,"0"&amp;A62,A62)</f>
        <v>0148-05</v>
      </c>
    </row>
    <row r="63" spans="1:30" s="1" customFormat="1" x14ac:dyDescent="0.25">
      <c r="A63" s="87" t="s">
        <v>480</v>
      </c>
      <c r="B63" s="34">
        <v>4038</v>
      </c>
      <c r="C63" s="34" t="s">
        <v>60</v>
      </c>
      <c r="D63" s="34" t="s">
        <v>128</v>
      </c>
      <c r="E63" s="20">
        <v>42556.404074074075</v>
      </c>
      <c r="F63" s="20">
        <v>42556.405069444445</v>
      </c>
      <c r="G63" s="23">
        <v>1</v>
      </c>
      <c r="H63" s="20" t="s">
        <v>597</v>
      </c>
      <c r="I63" s="20">
        <v>42556.433958333335</v>
      </c>
      <c r="J63" s="34">
        <v>0</v>
      </c>
      <c r="K63" s="34" t="str">
        <f>IF(ISEVEN(B63),(B63-1)&amp;"/"&amp;B63,B63&amp;"/"&amp;(B63+1))</f>
        <v>4037/4038</v>
      </c>
      <c r="L63" s="34" t="str">
        <f>VLOOKUP(A63,'Trips&amp;Operators'!$C$1:$E$10000,3,FALSE)</f>
        <v>YANAI</v>
      </c>
      <c r="M63" s="6">
        <f>I63-F63</f>
        <v>2.8888888889923692E-2</v>
      </c>
      <c r="N63" s="7">
        <f>24*60*SUM($M63:$M63)</f>
        <v>41.600000001490116</v>
      </c>
      <c r="O63" s="7"/>
      <c r="P63" s="7"/>
      <c r="Q63" s="35"/>
      <c r="R63" s="35"/>
      <c r="S63" s="59">
        <f>SUM(U63:U63)/12</f>
        <v>1</v>
      </c>
      <c r="T63" s="1" t="str">
        <f>IF(ISEVEN(LEFT(A63,3)),"Southbound","NorthBound")</f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https://search-rtdc-monitor-bjffxe2xuh6vdkpspy63sjmuny.us-east-1.es.amazonaws.com/_plugin/kibana/#/discover/Steve-Slow-Train-Analysis-(2080s-and-2083s)?_g=(refreshInterval:(display:Off,section:0,value:0),time:(from:'2016-07-05 09:40:52-0600',mode:absolute,to:'2016-07-05 10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3" s="38" t="str">
        <f>IF(AA63&lt;23,"Y","N")</f>
        <v>N</v>
      </c>
      <c r="X63" s="38">
        <f>VALUE(LEFT(A63,3))-VALUE(LEFT(A62,3))</f>
        <v>1</v>
      </c>
      <c r="Y63" s="38">
        <f>RIGHT(D63,LEN(D63)-4)/10000</f>
        <v>4.5100000000000001E-2</v>
      </c>
      <c r="Z63" s="38">
        <f>RIGHT(H63,LEN(H63)-4)/10000</f>
        <v>23.331199999999999</v>
      </c>
      <c r="AA63" s="38">
        <f>ABS(Z63-Y63)</f>
        <v>23.286099999999998</v>
      </c>
      <c r="AB63" s="39" t="e">
        <f>VLOOKUP(A63,Enforcements!$C$7:$J$30,8,0)</f>
        <v>#N/A</v>
      </c>
      <c r="AC63" s="39" t="e">
        <f>VLOOKUP(A63,Enforcements!$C$7:$E$30,3,0)</f>
        <v>#N/A</v>
      </c>
      <c r="AD63" s="1" t="str">
        <f>IF(LEN(A63)=6,"0"&amp;A63,A63)</f>
        <v>0149-05</v>
      </c>
    </row>
    <row r="64" spans="1:30" s="1" customFormat="1" x14ac:dyDescent="0.25">
      <c r="A64" s="67" t="s">
        <v>375</v>
      </c>
      <c r="B64" s="34">
        <v>4037</v>
      </c>
      <c r="C64" s="34" t="s">
        <v>60</v>
      </c>
      <c r="D64" s="34" t="s">
        <v>578</v>
      </c>
      <c r="E64" s="20">
        <v>42556.442071759258</v>
      </c>
      <c r="F64" s="20">
        <v>42556.444710648146</v>
      </c>
      <c r="G64" s="23">
        <v>3</v>
      </c>
      <c r="H64" s="20" t="s">
        <v>593</v>
      </c>
      <c r="I64" s="20">
        <v>42556.474074074074</v>
      </c>
      <c r="J64" s="34">
        <v>1</v>
      </c>
      <c r="K64" s="34" t="str">
        <f>IF(ISEVEN(B64),(B64-1)&amp;"/"&amp;B64,B64&amp;"/"&amp;(B64+1))</f>
        <v>4037/4038</v>
      </c>
      <c r="L64" s="34" t="str">
        <f>VLOOKUP(A64,'Trips&amp;Operators'!$C$1:$E$10000,3,FALSE)</f>
        <v>YANAI</v>
      </c>
      <c r="M64" s="6">
        <f>I64-F64</f>
        <v>2.9363425928750075E-2</v>
      </c>
      <c r="N64" s="7">
        <f>24*60*SUM($M64:$M64)</f>
        <v>42.283333337400109</v>
      </c>
      <c r="O64" s="7"/>
      <c r="P64" s="7"/>
      <c r="Q64" s="35"/>
      <c r="R64" s="35"/>
      <c r="S64" s="59">
        <f>SUM(U64:U64)/12</f>
        <v>1</v>
      </c>
      <c r="T64" s="1" t="str">
        <f>IF(ISEVEN(LEFT(A64,3)),"Southbound","NorthBound")</f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4" s="38" t="str">
        <f>IF(AA64&lt;23,"Y","N")</f>
        <v>N</v>
      </c>
      <c r="X64" s="38">
        <f>VALUE(LEFT(A64,3))-VALUE(LEFT(A63,3))</f>
        <v>1</v>
      </c>
      <c r="Y64" s="38">
        <f>RIGHT(D64,LEN(D64)-4)/10000</f>
        <v>23.2988</v>
      </c>
      <c r="Z64" s="38">
        <f>RIGHT(H64,LEN(H64)-4)/10000</f>
        <v>1.3899999999999999E-2</v>
      </c>
      <c r="AA64" s="38">
        <f>ABS(Z64-Y64)</f>
        <v>23.2849</v>
      </c>
      <c r="AB64" s="39" t="e">
        <f>VLOOKUP(A64,Enforcements!$C$7:$J$30,8,0)</f>
        <v>#N/A</v>
      </c>
      <c r="AC64" s="39" t="e">
        <f>VLOOKUP(A64,Enforcements!$C$7:$E$30,3,0)</f>
        <v>#N/A</v>
      </c>
      <c r="AD64" s="1" t="str">
        <f>IF(LEN(A64)=6,"0"&amp;A64,A64)</f>
        <v>0150-05</v>
      </c>
    </row>
    <row r="65" spans="1:30" s="1" customFormat="1" x14ac:dyDescent="0.25">
      <c r="A65" s="67" t="s">
        <v>419</v>
      </c>
      <c r="B65" s="34">
        <v>4027</v>
      </c>
      <c r="C65" s="34" t="s">
        <v>60</v>
      </c>
      <c r="D65" s="34" t="s">
        <v>76</v>
      </c>
      <c r="E65" s="20">
        <v>42556.414467592593</v>
      </c>
      <c r="F65" s="20">
        <v>42556.415381944447</v>
      </c>
      <c r="G65" s="23">
        <v>1</v>
      </c>
      <c r="H65" s="20" t="s">
        <v>598</v>
      </c>
      <c r="I65" s="20">
        <v>42556.442488425928</v>
      </c>
      <c r="J65" s="34">
        <v>0</v>
      </c>
      <c r="K65" s="34" t="str">
        <f>IF(ISEVEN(B65),(B65-1)&amp;"/"&amp;B65,B65&amp;"/"&amp;(B65+1))</f>
        <v>4027/4028</v>
      </c>
      <c r="L65" s="34" t="str">
        <f>VLOOKUP(A65,'Trips&amp;Operators'!$C$1:$E$10000,3,FALSE)</f>
        <v>BEAM</v>
      </c>
      <c r="M65" s="6">
        <f>I65-F65</f>
        <v>2.7106481480586808E-2</v>
      </c>
      <c r="N65" s="7">
        <f>24*60*SUM($M65:$M65)</f>
        <v>39.033333332045004</v>
      </c>
      <c r="O65" s="7"/>
      <c r="P65" s="7"/>
      <c r="Q65" s="35"/>
      <c r="R65" s="35"/>
      <c r="S65" s="59">
        <f>SUM(U65:U65)/12</f>
        <v>1</v>
      </c>
      <c r="T65" s="1" t="str">
        <f>IF(ISEVEN(LEFT(A65,3)),"Southbound","NorthBound")</f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https://search-rtdc-monitor-bjffxe2xuh6vdkpspy63sjmuny.us-east-1.es.amazonaws.com/_plugin/kibana/#/discover/Steve-Slow-Train-Analysis-(2080s-and-2083s)?_g=(refreshInterval:(display:Off,section:0,value:0),time:(from:'2016-07-05 09:55:50-0600',mode:absolute,to:'2016-07-05 10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38" t="str">
        <f>IF(AA65&lt;23,"Y","N")</f>
        <v>N</v>
      </c>
      <c r="X65" s="38">
        <f>VALUE(LEFT(A65,3))-VALUE(LEFT(A64,3))</f>
        <v>1</v>
      </c>
      <c r="Y65" s="38">
        <f>RIGHT(D65,LEN(D65)-4)/10000</f>
        <v>4.53E-2</v>
      </c>
      <c r="Z65" s="38">
        <f>RIGHT(H65,LEN(H65)-4)/10000</f>
        <v>23.331499999999998</v>
      </c>
      <c r="AA65" s="38">
        <f>ABS(Z65-Y65)</f>
        <v>23.286199999999997</v>
      </c>
      <c r="AB65" s="39" t="e">
        <f>VLOOKUP(A65,Enforcements!$C$7:$J$30,8,0)</f>
        <v>#N/A</v>
      </c>
      <c r="AC65" s="39" t="e">
        <f>VLOOKUP(A65,Enforcements!$C$7:$E$30,3,0)</f>
        <v>#N/A</v>
      </c>
      <c r="AD65" s="1" t="str">
        <f>IF(LEN(A65)=6,"0"&amp;A65,A65)</f>
        <v>0151-05</v>
      </c>
    </row>
    <row r="66" spans="1:30" s="1" customFormat="1" x14ac:dyDescent="0.25">
      <c r="A66" s="67" t="s">
        <v>447</v>
      </c>
      <c r="B66" s="34">
        <v>4028</v>
      </c>
      <c r="C66" s="34" t="s">
        <v>60</v>
      </c>
      <c r="D66" s="34" t="s">
        <v>155</v>
      </c>
      <c r="E66" s="20">
        <v>42556.452546296299</v>
      </c>
      <c r="F66" s="20">
        <v>42556.453564814816</v>
      </c>
      <c r="G66" s="23">
        <v>1</v>
      </c>
      <c r="H66" s="20" t="s">
        <v>196</v>
      </c>
      <c r="I66" s="20">
        <v>42556.48296296296</v>
      </c>
      <c r="J66" s="34">
        <v>0</v>
      </c>
      <c r="K66" s="34" t="str">
        <f>IF(ISEVEN(B66),(B66-1)&amp;"/"&amp;B66,B66&amp;"/"&amp;(B66+1))</f>
        <v>4027/4028</v>
      </c>
      <c r="L66" s="34" t="str">
        <f>VLOOKUP(A66,'Trips&amp;Operators'!$C$1:$E$10000,3,FALSE)</f>
        <v>BEAM</v>
      </c>
      <c r="M66" s="6">
        <f>I66-F66</f>
        <v>2.9398148144537117E-2</v>
      </c>
      <c r="N66" s="7">
        <f>24*60*SUM($M66:$M66)</f>
        <v>42.333333328133449</v>
      </c>
      <c r="O66" s="7"/>
      <c r="P66" s="7"/>
      <c r="Q66" s="35"/>
      <c r="R66" s="35"/>
      <c r="S66" s="59">
        <f>SUM(U66:U66)/12</f>
        <v>1</v>
      </c>
      <c r="T66" s="1" t="str">
        <f>IF(ISEVEN(LEFT(A66,3)),"Southbound","NorthBound")</f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https://search-rtdc-monitor-bjffxe2xuh6vdkpspy63sjmuny.us-east-1.es.amazonaws.com/_plugin/kibana/#/discover/Steve-Slow-Train-Analysis-(2080s-and-2083s)?_g=(refreshInterval:(display:Off,section:0,value:0),time:(from:'2016-07-05 10:50:40-0600',mode:absolute,to:'2016-07-05 11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38" t="str">
        <f>IF(AA66&lt;23,"Y","N")</f>
        <v>N</v>
      </c>
      <c r="X66" s="38">
        <f>VALUE(LEFT(A66,3))-VALUE(LEFT(A65,3))</f>
        <v>1</v>
      </c>
      <c r="Y66" s="38">
        <f>RIGHT(D66,LEN(D66)-4)/10000</f>
        <v>23.3004</v>
      </c>
      <c r="Z66" s="38">
        <f>RIGHT(H66,LEN(H66)-4)/10000</f>
        <v>1.41E-2</v>
      </c>
      <c r="AA66" s="38">
        <f>ABS(Z66-Y66)</f>
        <v>23.286300000000001</v>
      </c>
      <c r="AB66" s="39" t="e">
        <f>VLOOKUP(A66,Enforcements!$C$7:$J$30,8,0)</f>
        <v>#N/A</v>
      </c>
      <c r="AC66" s="39" t="e">
        <f>VLOOKUP(A66,Enforcements!$C$7:$E$30,3,0)</f>
        <v>#N/A</v>
      </c>
      <c r="AD66" s="1" t="str">
        <f>IF(LEN(A66)=6,"0"&amp;A66,A66)</f>
        <v>0152-05</v>
      </c>
    </row>
    <row r="67" spans="1:30" s="1" customFormat="1" x14ac:dyDescent="0.25">
      <c r="A67" s="67" t="s">
        <v>373</v>
      </c>
      <c r="B67" s="34">
        <v>4018</v>
      </c>
      <c r="C67" s="34" t="s">
        <v>60</v>
      </c>
      <c r="D67" s="34" t="s">
        <v>599</v>
      </c>
      <c r="E67" s="20">
        <v>42556.424351851849</v>
      </c>
      <c r="F67" s="20">
        <v>42556.426076388889</v>
      </c>
      <c r="G67" s="23">
        <v>2</v>
      </c>
      <c r="H67" s="20" t="s">
        <v>88</v>
      </c>
      <c r="I67" s="20">
        <v>42556.455671296295</v>
      </c>
      <c r="J67" s="34">
        <v>2</v>
      </c>
      <c r="K67" s="34" t="str">
        <f>IF(ISEVEN(B67),(B67-1)&amp;"/"&amp;B67,B67&amp;"/"&amp;(B67+1))</f>
        <v>4017/4018</v>
      </c>
      <c r="L67" s="34" t="str">
        <f>VLOOKUP(A67,'Trips&amp;Operators'!$C$1:$E$10000,3,FALSE)</f>
        <v>KILLION</v>
      </c>
      <c r="M67" s="6">
        <f>I67-F67</f>
        <v>2.9594907406135462E-2</v>
      </c>
      <c r="N67" s="7">
        <f>24*60*SUM($M67:$M67)</f>
        <v>42.616666664835066</v>
      </c>
      <c r="O67" s="7"/>
      <c r="P67" s="7"/>
      <c r="Q67" s="35"/>
      <c r="R67" s="35"/>
      <c r="S67" s="59">
        <f>SUM(U67:U67)/12</f>
        <v>1</v>
      </c>
      <c r="T67" s="1" t="str">
        <f>IF(ISEVEN(LEFT(A67,3)),"Southbound","NorthBound")</f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38" t="str">
        <f>IF(AA67&lt;23,"Y","N")</f>
        <v>N</v>
      </c>
      <c r="X67" s="38">
        <f>VALUE(LEFT(A67,3))-VALUE(LEFT(A66,3))</f>
        <v>1</v>
      </c>
      <c r="Y67" s="38">
        <f>RIGHT(D67,LEN(D67)-4)/10000</f>
        <v>4.4699999999999997E-2</v>
      </c>
      <c r="Z67" s="38">
        <f>RIGHT(H67,LEN(H67)-4)/10000</f>
        <v>23.329499999999999</v>
      </c>
      <c r="AA67" s="38">
        <f>ABS(Z67-Y67)</f>
        <v>23.284800000000001</v>
      </c>
      <c r="AB67" s="39">
        <f>VLOOKUP(A67,Enforcements!$C$7:$J$30,8,0)</f>
        <v>108954</v>
      </c>
      <c r="AC67" s="39" t="str">
        <f>VLOOKUP(A67,Enforcements!$C$7:$E$30,3,0)</f>
        <v>GRADE CROSSING</v>
      </c>
      <c r="AD67" s="1" t="str">
        <f>IF(LEN(A67)=6,"0"&amp;A67,A67)</f>
        <v>0153-05</v>
      </c>
    </row>
    <row r="68" spans="1:30" s="1" customFormat="1" x14ac:dyDescent="0.25">
      <c r="A68" s="67" t="s">
        <v>467</v>
      </c>
      <c r="B68" s="34">
        <v>4017</v>
      </c>
      <c r="C68" s="34" t="s">
        <v>60</v>
      </c>
      <c r="D68" s="34" t="s">
        <v>70</v>
      </c>
      <c r="E68" s="20">
        <v>42556.461701388886</v>
      </c>
      <c r="F68" s="20">
        <v>42556.463067129633</v>
      </c>
      <c r="G68" s="23">
        <v>1</v>
      </c>
      <c r="H68" s="20" t="s">
        <v>600</v>
      </c>
      <c r="I68" s="20">
        <v>42556.485231481478</v>
      </c>
      <c r="J68" s="34">
        <v>0</v>
      </c>
      <c r="K68" s="34" t="str">
        <f>IF(ISEVEN(B68),(B68-1)&amp;"/"&amp;B68,B68&amp;"/"&amp;(B68+1))</f>
        <v>4017/4018</v>
      </c>
      <c r="L68" s="34" t="str">
        <f>VLOOKUP(A68,'Trips&amp;Operators'!$C$1:$E$10000,3,FALSE)</f>
        <v>KILLION</v>
      </c>
      <c r="M68" s="6">
        <f>I68-F68</f>
        <v>2.2164351845276542E-2</v>
      </c>
      <c r="N68" s="7"/>
      <c r="O68" s="7"/>
      <c r="P68" s="7">
        <f>24*60*SUM($M68:$M68)</f>
        <v>31.91666665719822</v>
      </c>
      <c r="Q68" s="35"/>
      <c r="R68" s="35" t="s">
        <v>726</v>
      </c>
      <c r="S68" s="59">
        <f>SUM(U68:U68)/12</f>
        <v>0.25</v>
      </c>
      <c r="T68" s="1" t="str">
        <f>IF(ISEVEN(LEFT(A68,3)),"Southbound","NorthBound")</f>
        <v>Southbound</v>
      </c>
      <c r="U68" s="1">
        <f>COUNTIFS(Variables!$M$2:$M$19,IF(T68="NorthBound","&gt;=","&lt;=")&amp;Y68,Variables!$M$2:$M$19,IF(T68="NorthBound","&lt;=","&gt;=")&amp;Z68)</f>
        <v>3</v>
      </c>
      <c r="V68" s="3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https://search-rtdc-monitor-bjffxe2xuh6vdkpspy63sjmuny.us-east-1.es.amazonaws.com/_plugin/kibana/#/discover/Steve-Slow-Train-Analysis-(2080s-and-2083s)?_g=(refreshInterval:(display:Off,section:0,value:0),time:(from:'2016-07-05 11:03:51-0600',mode:absolute,to:'2016-07-05 11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8" s="38" t="str">
        <f>IF(AA68&lt;23,"Y","N")</f>
        <v>Y</v>
      </c>
      <c r="X68" s="38">
        <f>VALUE(LEFT(A68,3))-VALUE(LEFT(A67,3))</f>
        <v>1</v>
      </c>
      <c r="Y68" s="38">
        <f>RIGHT(D68,LEN(D68)-4)/10000</f>
        <v>23.297699999999999</v>
      </c>
      <c r="Z68" s="38">
        <f>RIGHT(H68,LEN(H68)-4)/10000</f>
        <v>6.4108999999999998</v>
      </c>
      <c r="AA68" s="38">
        <f>ABS(Z68-Y68)</f>
        <v>16.886800000000001</v>
      </c>
      <c r="AB68" s="39" t="e">
        <f>VLOOKUP(A68,Enforcements!$C$7:$J$30,8,0)</f>
        <v>#N/A</v>
      </c>
      <c r="AC68" s="39" t="e">
        <f>VLOOKUP(A68,Enforcements!$C$7:$E$30,3,0)</f>
        <v>#N/A</v>
      </c>
      <c r="AD68" s="1" t="str">
        <f>IF(LEN(A68)=6,"0"&amp;A68,A68)</f>
        <v>0154-05</v>
      </c>
    </row>
    <row r="69" spans="1:30" s="1" customFormat="1" x14ac:dyDescent="0.25">
      <c r="A69" s="67" t="s">
        <v>464</v>
      </c>
      <c r="B69" s="34">
        <v>4014</v>
      </c>
      <c r="C69" s="34" t="s">
        <v>60</v>
      </c>
      <c r="D69" s="34" t="s">
        <v>601</v>
      </c>
      <c r="E69" s="20">
        <v>42556.438379629632</v>
      </c>
      <c r="F69" s="20">
        <v>42556.439803240741</v>
      </c>
      <c r="G69" s="23">
        <v>2</v>
      </c>
      <c r="H69" s="20" t="s">
        <v>202</v>
      </c>
      <c r="I69" s="20">
        <v>42556.465844907405</v>
      </c>
      <c r="J69" s="34">
        <v>0</v>
      </c>
      <c r="K69" s="34" t="str">
        <f>IF(ISEVEN(B69),(B69-1)&amp;"/"&amp;B69,B69&amp;"/"&amp;(B69+1))</f>
        <v>4013/4014</v>
      </c>
      <c r="L69" s="34" t="str">
        <f>VLOOKUP(A69,'Trips&amp;Operators'!$C$1:$E$10000,3,FALSE)</f>
        <v>GEBRETEKLE</v>
      </c>
      <c r="M69" s="6">
        <f>I69-F69</f>
        <v>2.6041666664241347E-2</v>
      </c>
      <c r="N69" s="7">
        <f>24*60*SUM($M69:$M69)</f>
        <v>37.49999999650754</v>
      </c>
      <c r="O69" s="7"/>
      <c r="P69" s="7"/>
      <c r="Q69" s="35"/>
      <c r="R69" s="35"/>
      <c r="S69" s="59">
        <f>SUM(U69:U69)/12</f>
        <v>1</v>
      </c>
      <c r="T69" s="1" t="str">
        <f>IF(ISEVEN(LEFT(A69,3)),"Southbound","NorthBound")</f>
        <v>NorthBound</v>
      </c>
      <c r="U69" s="1">
        <f>COUNTIFS(Variables!$M$2:$M$19,IF(T69="NorthBound","&gt;=","&lt;=")&amp;Y69,Variables!$M$2:$M$19,IF(T69="NorthBound","&lt;=","&gt;=")&amp;Z69)</f>
        <v>12</v>
      </c>
      <c r="V69" s="3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https://search-rtdc-monitor-bjffxe2xuh6vdkpspy63sjmuny.us-east-1.es.amazonaws.com/_plugin/kibana/#/discover/Steve-Slow-Train-Analysis-(2080s-and-2083s)?_g=(refreshInterval:(display:Off,section:0,value:0),time:(from:'2016-07-05 10:30:16-0600',mode:absolute,to:'2016-07-05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9" s="38" t="str">
        <f>IF(AA69&lt;23,"Y","N")</f>
        <v>N</v>
      </c>
      <c r="X69" s="38">
        <f>VALUE(LEFT(A69,3))-VALUE(LEFT(A68,3))</f>
        <v>1</v>
      </c>
      <c r="Y69" s="38">
        <f>RIGHT(D69,LEN(D69)-4)/10000</f>
        <v>4.8599999999999997E-2</v>
      </c>
      <c r="Z69" s="38">
        <f>RIGHT(H69,LEN(H69)-4)/10000</f>
        <v>23.3306</v>
      </c>
      <c r="AA69" s="38">
        <f>ABS(Z69-Y69)</f>
        <v>23.282</v>
      </c>
      <c r="AB69" s="39" t="e">
        <f>VLOOKUP(A69,Enforcements!$C$7:$J$30,8,0)</f>
        <v>#N/A</v>
      </c>
      <c r="AC69" s="39" t="e">
        <f>VLOOKUP(A69,Enforcements!$C$7:$E$30,3,0)</f>
        <v>#N/A</v>
      </c>
      <c r="AD69" s="1" t="str">
        <f>IF(LEN(A69)=6,"0"&amp;A69,A69)</f>
        <v>0155-05</v>
      </c>
    </row>
    <row r="70" spans="1:30" s="1" customFormat="1" x14ac:dyDescent="0.25">
      <c r="A70" s="67" t="s">
        <v>449</v>
      </c>
      <c r="B70" s="34">
        <v>4013</v>
      </c>
      <c r="C70" s="34" t="s">
        <v>60</v>
      </c>
      <c r="D70" s="34" t="s">
        <v>602</v>
      </c>
      <c r="E70" s="20">
        <v>42556.471574074072</v>
      </c>
      <c r="F70" s="20">
        <v>42556.472581018519</v>
      </c>
      <c r="G70" s="23">
        <v>1</v>
      </c>
      <c r="H70" s="20" t="s">
        <v>593</v>
      </c>
      <c r="I70" s="20">
        <v>42556.504837962966</v>
      </c>
      <c r="J70" s="34">
        <v>0</v>
      </c>
      <c r="K70" s="34" t="str">
        <f>IF(ISEVEN(B70),(B70-1)&amp;"/"&amp;B70,B70&amp;"/"&amp;(B70+1))</f>
        <v>4013/4014</v>
      </c>
      <c r="L70" s="34" t="str">
        <f>VLOOKUP(A70,'Trips&amp;Operators'!$C$1:$E$10000,3,FALSE)</f>
        <v>GEBRETEKLE</v>
      </c>
      <c r="M70" s="6">
        <f>I70-F70</f>
        <v>3.2256944446999114E-2</v>
      </c>
      <c r="N70" s="7">
        <f>24*60*SUM($M70:$M70)</f>
        <v>46.450000003678724</v>
      </c>
      <c r="O70" s="7"/>
      <c r="P70" s="7"/>
      <c r="Q70" s="35"/>
      <c r="R70" s="35"/>
      <c r="S70" s="59">
        <f>SUM(U70:U70)/12</f>
        <v>1</v>
      </c>
      <c r="T70" s="1" t="str">
        <f>IF(ISEVEN(LEFT(A70,3)),"Southbound","NorthBound")</f>
        <v>Southbound</v>
      </c>
      <c r="U70" s="1">
        <f>COUNTIFS(Variables!$M$2:$M$19,IF(T70="NorthBound","&gt;=","&lt;=")&amp;Y70,Variables!$M$2:$M$19,IF(T70="NorthBound","&lt;=","&gt;=")&amp;Z70)</f>
        <v>12</v>
      </c>
      <c r="V70" s="3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https://search-rtdc-monitor-bjffxe2xuh6vdkpspy63sjmuny.us-east-1.es.amazonaws.com/_plugin/kibana/#/discover/Steve-Slow-Train-Analysis-(2080s-and-2083s)?_g=(refreshInterval:(display:Off,section:0,value:0),time:(from:'2016-07-05 11:18:04-0600',mode:absolute,to:'2016-07-05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0" s="38" t="str">
        <f>IF(AA70&lt;23,"Y","N")</f>
        <v>N</v>
      </c>
      <c r="X70" s="38">
        <f>VALUE(LEFT(A70,3))-VALUE(LEFT(A69,3))</f>
        <v>1</v>
      </c>
      <c r="Y70" s="38">
        <f>RIGHT(D70,LEN(D70)-4)/10000</f>
        <v>23.297599999999999</v>
      </c>
      <c r="Z70" s="38">
        <f>RIGHT(H70,LEN(H70)-4)/10000</f>
        <v>1.3899999999999999E-2</v>
      </c>
      <c r="AA70" s="38">
        <f>ABS(Z70-Y70)</f>
        <v>23.2837</v>
      </c>
      <c r="AB70" s="39" t="e">
        <f>VLOOKUP(A70,Enforcements!$C$7:$J$30,8,0)</f>
        <v>#N/A</v>
      </c>
      <c r="AC70" s="39" t="e">
        <f>VLOOKUP(A70,Enforcements!$C$7:$E$30,3,0)</f>
        <v>#N/A</v>
      </c>
      <c r="AD70" s="1" t="str">
        <f>IF(LEN(A70)=6,"0"&amp;A70,A70)</f>
        <v>0156-05</v>
      </c>
    </row>
    <row r="71" spans="1:30" s="1" customFormat="1" x14ac:dyDescent="0.25">
      <c r="A71" s="67" t="s">
        <v>516</v>
      </c>
      <c r="B71" s="34">
        <v>4020</v>
      </c>
      <c r="C71" s="34" t="s">
        <v>60</v>
      </c>
      <c r="D71" s="34" t="s">
        <v>603</v>
      </c>
      <c r="E71" s="20">
        <v>42556.445532407408</v>
      </c>
      <c r="F71" s="20">
        <v>42556.446423611109</v>
      </c>
      <c r="G71" s="23">
        <v>1</v>
      </c>
      <c r="H71" s="20" t="s">
        <v>604</v>
      </c>
      <c r="I71" s="20">
        <v>42556.474085648151</v>
      </c>
      <c r="J71" s="34">
        <v>0</v>
      </c>
      <c r="K71" s="34" t="str">
        <f>IF(ISEVEN(B71),(B71-1)&amp;"/"&amp;B71,B71&amp;"/"&amp;(B71+1))</f>
        <v>4019/4020</v>
      </c>
      <c r="L71" s="34" t="str">
        <f>VLOOKUP(A71,'Trips&amp;Operators'!$C$1:$E$10000,3,FALSE)</f>
        <v>BONDS</v>
      </c>
      <c r="M71" s="6">
        <f>I71-F71</f>
        <v>2.7662037042318843E-2</v>
      </c>
      <c r="N71" s="7">
        <f>24*60*SUM($M71:$M71)</f>
        <v>39.833333340939134</v>
      </c>
      <c r="O71" s="7"/>
      <c r="P71" s="7"/>
      <c r="Q71" s="35"/>
      <c r="R71" s="35"/>
      <c r="S71" s="59">
        <f>SUM(U71:U71)/12</f>
        <v>1</v>
      </c>
      <c r="T71" s="1" t="str">
        <f>IF(ISEVEN(LEFT(A71,3)),"Southbound","NorthBound")</f>
        <v>NorthBound</v>
      </c>
      <c r="U71" s="1">
        <f>COUNTIFS(Variables!$M$2:$M$19,IF(T71="NorthBound","&gt;=","&lt;=")&amp;Y71,Variables!$M$2:$M$19,IF(T71="NorthBound","&lt;=","&gt;=")&amp;Z71)</f>
        <v>12</v>
      </c>
      <c r="V71" s="3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https://search-rtdc-monitor-bjffxe2xuh6vdkpspy63sjmuny.us-east-1.es.amazonaws.com/_plugin/kibana/#/discover/Steve-Slow-Train-Analysis-(2080s-and-2083s)?_g=(refreshInterval:(display:Off,section:0,value:0),time:(from:'2016-07-05 10:40:34-0600',mode:absolute,to:'2016-07-05 11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1" s="38" t="str">
        <f>IF(AA71&lt;23,"Y","N")</f>
        <v>N</v>
      </c>
      <c r="X71" s="38">
        <f>VALUE(LEFT(A71,3))-VALUE(LEFT(A70,3))</f>
        <v>1</v>
      </c>
      <c r="Y71" s="38">
        <f>RIGHT(D71,LEN(D71)-4)/10000</f>
        <v>4.82E-2</v>
      </c>
      <c r="Z71" s="38">
        <f>RIGHT(H71,LEN(H71)-4)/10000</f>
        <v>23.333200000000001</v>
      </c>
      <c r="AA71" s="38">
        <f>ABS(Z71-Y71)</f>
        <v>23.285</v>
      </c>
      <c r="AB71" s="39" t="e">
        <f>VLOOKUP(A71,Enforcements!$C$7:$J$30,8,0)</f>
        <v>#N/A</v>
      </c>
      <c r="AC71" s="39" t="e">
        <f>VLOOKUP(A71,Enforcements!$C$7:$E$30,3,0)</f>
        <v>#N/A</v>
      </c>
      <c r="AD71" s="1" t="str">
        <f>IF(LEN(A71)=6,"0"&amp;A71,A71)</f>
        <v>0157-05</v>
      </c>
    </row>
    <row r="72" spans="1:30" s="1" customFormat="1" x14ac:dyDescent="0.25">
      <c r="A72" s="67" t="s">
        <v>378</v>
      </c>
      <c r="B72" s="34">
        <v>4019</v>
      </c>
      <c r="C72" s="34" t="s">
        <v>60</v>
      </c>
      <c r="D72" s="34" t="s">
        <v>331</v>
      </c>
      <c r="E72" s="20">
        <v>42556.479861111111</v>
      </c>
      <c r="F72" s="20">
        <v>42556.480949074074</v>
      </c>
      <c r="G72" s="23">
        <v>1</v>
      </c>
      <c r="H72" s="20" t="s">
        <v>95</v>
      </c>
      <c r="I72" s="20">
        <v>42556.515717592592</v>
      </c>
      <c r="J72" s="34">
        <v>1</v>
      </c>
      <c r="K72" s="34" t="str">
        <f>IF(ISEVEN(B72),(B72-1)&amp;"/"&amp;B72,B72&amp;"/"&amp;(B72+1))</f>
        <v>4019/4020</v>
      </c>
      <c r="L72" s="34" t="str">
        <f>VLOOKUP(A72,'Trips&amp;Operators'!$C$1:$E$10000,3,FALSE)</f>
        <v>BONDS</v>
      </c>
      <c r="M72" s="6">
        <f>I72-F72</f>
        <v>3.4768518518831115E-2</v>
      </c>
      <c r="N72" s="7">
        <f>24*60*SUM($M72:$M72)</f>
        <v>50.066666667116806</v>
      </c>
      <c r="O72" s="7"/>
      <c r="P72" s="7"/>
      <c r="Q72" s="35"/>
      <c r="R72" s="35"/>
      <c r="S72" s="59">
        <f>SUM(U72:U72)/12</f>
        <v>1</v>
      </c>
      <c r="T72" s="1" t="str">
        <f>IF(ISEVEN(LEFT(A72,3)),"Southbound","NorthBound")</f>
        <v>Southbound</v>
      </c>
      <c r="U72" s="1">
        <f>COUNTIFS(Variables!$M$2:$M$19,IF(T72="NorthBound","&gt;=","&lt;=")&amp;Y72,Variables!$M$2:$M$19,IF(T72="NorthBound","&lt;=","&gt;=")&amp;Z72)</f>
        <v>12</v>
      </c>
      <c r="V72" s="3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2" s="38" t="str">
        <f>IF(AA72&lt;23,"Y","N")</f>
        <v>N</v>
      </c>
      <c r="X72" s="38">
        <f>VALUE(LEFT(A72,3))-VALUE(LEFT(A71,3))</f>
        <v>1</v>
      </c>
      <c r="Y72" s="38">
        <f>RIGHT(D72,LEN(D72)-4)/10000</f>
        <v>23.3017</v>
      </c>
      <c r="Z72" s="38">
        <f>RIGHT(H72,LEN(H72)-4)/10000</f>
        <v>1.4999999999999999E-2</v>
      </c>
      <c r="AA72" s="38">
        <f>ABS(Z72-Y72)</f>
        <v>23.2867</v>
      </c>
      <c r="AB72" s="39" t="e">
        <f>VLOOKUP(A72,Enforcements!$C$7:$J$30,8,0)</f>
        <v>#N/A</v>
      </c>
      <c r="AC72" s="39" t="e">
        <f>VLOOKUP(A72,Enforcements!$C$7:$E$30,3,0)</f>
        <v>#N/A</v>
      </c>
      <c r="AD72" s="1" t="str">
        <f>IF(LEN(A72)=6,"0"&amp;A72,A72)</f>
        <v>0158-05</v>
      </c>
    </row>
    <row r="73" spans="1:30" s="1" customFormat="1" x14ac:dyDescent="0.25">
      <c r="A73" s="67" t="s">
        <v>514</v>
      </c>
      <c r="B73" s="34">
        <v>4031</v>
      </c>
      <c r="C73" s="34" t="s">
        <v>60</v>
      </c>
      <c r="D73" s="34" t="s">
        <v>326</v>
      </c>
      <c r="E73" s="20">
        <v>42556.457071759258</v>
      </c>
      <c r="F73" s="20">
        <v>42556.458229166667</v>
      </c>
      <c r="G73" s="23">
        <v>1</v>
      </c>
      <c r="H73" s="20" t="s">
        <v>598</v>
      </c>
      <c r="I73" s="20">
        <v>42556.48704861111</v>
      </c>
      <c r="J73" s="34">
        <v>0</v>
      </c>
      <c r="K73" s="34" t="str">
        <f>IF(ISEVEN(B73),(B73-1)&amp;"/"&amp;B73,B73&amp;"/"&amp;(B73+1))</f>
        <v>4031/4032</v>
      </c>
      <c r="L73" s="34" t="str">
        <f>VLOOKUP(A73,'Trips&amp;Operators'!$C$1:$E$10000,3,FALSE)</f>
        <v>SPECTOR</v>
      </c>
      <c r="M73" s="6">
        <f>I73-F73</f>
        <v>2.8819444443797693E-2</v>
      </c>
      <c r="N73" s="7">
        <f>24*60*SUM($M73:$M73)</f>
        <v>41.499999999068677</v>
      </c>
      <c r="O73" s="7"/>
      <c r="P73" s="7"/>
      <c r="Q73" s="35"/>
      <c r="R73" s="35"/>
      <c r="S73" s="59">
        <f>SUM(U73:U73)/12</f>
        <v>1</v>
      </c>
      <c r="T73" s="1" t="str">
        <f>IF(ISEVEN(LEFT(A73,3)),"Southbound","NorthBound")</f>
        <v>NorthBound</v>
      </c>
      <c r="U73" s="1">
        <f>COUNTIFS(Variables!$M$2:$M$19,IF(T73="NorthBound","&gt;=","&lt;=")&amp;Y73,Variables!$M$2:$M$19,IF(T73="NorthBound","&lt;=","&gt;=")&amp;Z73)</f>
        <v>12</v>
      </c>
      <c r="V73" s="3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https://search-rtdc-monitor-bjffxe2xuh6vdkpspy63sjmuny.us-east-1.es.amazonaws.com/_plugin/kibana/#/discover/Steve-Slow-Train-Analysis-(2080s-and-2083s)?_g=(refreshInterval:(display:Off,section:0,value:0),time:(from:'2016-07-05 10:57:11-0600',mode:absolute,to:'2016-07-05 11:42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38" t="str">
        <f>IF(AA73&lt;23,"Y","N")</f>
        <v>N</v>
      </c>
      <c r="X73" s="38">
        <f>VALUE(LEFT(A73,3))-VALUE(LEFT(A72,3))</f>
        <v>1</v>
      </c>
      <c r="Y73" s="38">
        <f>RIGHT(D73,LEN(D73)-4)/10000</f>
        <v>4.6199999999999998E-2</v>
      </c>
      <c r="Z73" s="38">
        <f>RIGHT(H73,LEN(H73)-4)/10000</f>
        <v>23.331499999999998</v>
      </c>
      <c r="AA73" s="38">
        <f>ABS(Z73-Y73)</f>
        <v>23.285299999999999</v>
      </c>
      <c r="AB73" s="39" t="e">
        <f>VLOOKUP(A73,Enforcements!$C$7:$J$30,8,0)</f>
        <v>#N/A</v>
      </c>
      <c r="AC73" s="39" t="e">
        <f>VLOOKUP(A73,Enforcements!$C$7:$E$30,3,0)</f>
        <v>#N/A</v>
      </c>
      <c r="AD73" s="1" t="str">
        <f>IF(LEN(A73)=6,"0"&amp;A73,A73)</f>
        <v>0159-05</v>
      </c>
    </row>
    <row r="74" spans="1:30" s="1" customFormat="1" ht="16.5" customHeight="1" x14ac:dyDescent="0.25">
      <c r="A74" s="87" t="s">
        <v>420</v>
      </c>
      <c r="B74" s="34">
        <v>4032</v>
      </c>
      <c r="C74" s="34" t="s">
        <v>60</v>
      </c>
      <c r="D74" s="34" t="s">
        <v>264</v>
      </c>
      <c r="E74" s="20">
        <v>42556.492245370369</v>
      </c>
      <c r="F74" s="20">
        <v>42556.493275462963</v>
      </c>
      <c r="G74" s="20">
        <v>1</v>
      </c>
      <c r="H74" s="20" t="s">
        <v>196</v>
      </c>
      <c r="I74" s="20">
        <v>42556.526562500003</v>
      </c>
      <c r="J74" s="34">
        <v>0</v>
      </c>
      <c r="K74" s="34" t="str">
        <f>IF(ISEVEN(B74),(B74-1)&amp;"/"&amp;B74,B74&amp;"/"&amp;(B74+1))</f>
        <v>4031/4032</v>
      </c>
      <c r="L74" s="34" t="str">
        <f>VLOOKUP(A74,'Trips&amp;Operators'!$C$1:$E$10000,3,FALSE)</f>
        <v>SPECTOR</v>
      </c>
      <c r="M74" s="6">
        <f>I74-F74</f>
        <v>3.3287037040281575E-2</v>
      </c>
      <c r="N74" s="7">
        <f>24*60*SUM($M74:$M74)</f>
        <v>47.933333338005468</v>
      </c>
      <c r="O74" s="7"/>
      <c r="P74" s="7"/>
      <c r="Q74" s="35"/>
      <c r="R74" s="35"/>
      <c r="S74" s="59">
        <f>SUM(U74:U74)/12</f>
        <v>1</v>
      </c>
      <c r="T74" s="1" t="str">
        <f>IF(ISEVEN(LEFT(A74,3)),"Southbound","NorthBound")</f>
        <v>Southbound</v>
      </c>
      <c r="U74" s="1">
        <f>COUNTIFS(Variables!$M$2:$M$19,IF(T74="NorthBound","&gt;=","&lt;=")&amp;Y74,Variables!$M$2:$M$19,IF(T74="NorthBound","&lt;=","&gt;=")&amp;Z74)</f>
        <v>12</v>
      </c>
      <c r="V74" s="3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https://search-rtdc-monitor-bjffxe2xuh6vdkpspy63sjmuny.us-east-1.es.amazonaws.com/_plugin/kibana/#/discover/Steve-Slow-Train-Analysis-(2080s-and-2083s)?_g=(refreshInterval:(display:Off,section:0,value:0),time:(from:'2016-07-05 11:47:50-0600',mode:absolute,to:'2016-07-05 12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38" t="str">
        <f>IF(AA74&lt;23,"Y","N")</f>
        <v>N</v>
      </c>
      <c r="X74" s="38">
        <f>VALUE(LEFT(A74,3))-VALUE(LEFT(A73,3))</f>
        <v>1</v>
      </c>
      <c r="Y74" s="38">
        <f>RIGHT(D74,LEN(D74)-4)/10000</f>
        <v>23.299399999999999</v>
      </c>
      <c r="Z74" s="38">
        <f>RIGHT(H74,LEN(H74)-4)/10000</f>
        <v>1.41E-2</v>
      </c>
      <c r="AA74" s="38">
        <f>ABS(Z74-Y74)</f>
        <v>23.285299999999999</v>
      </c>
      <c r="AB74" s="39" t="e">
        <f>VLOOKUP(A74,Enforcements!$C$7:$J$30,8,0)</f>
        <v>#N/A</v>
      </c>
      <c r="AC74" s="39" t="e">
        <f>VLOOKUP(A74,Enforcements!$C$7:$E$30,3,0)</f>
        <v>#N/A</v>
      </c>
      <c r="AD74" s="1" t="str">
        <f>IF(LEN(A74)=6,"0"&amp;A74,A74)</f>
        <v>0160-05</v>
      </c>
    </row>
    <row r="75" spans="1:30" s="1" customFormat="1" x14ac:dyDescent="0.25">
      <c r="A75" s="67" t="s">
        <v>445</v>
      </c>
      <c r="B75" s="34">
        <v>4044</v>
      </c>
      <c r="C75" s="34" t="s">
        <v>60</v>
      </c>
      <c r="D75" s="34" t="s">
        <v>605</v>
      </c>
      <c r="E75" s="20">
        <v>42556.4684375</v>
      </c>
      <c r="F75" s="20">
        <v>42556.470648148148</v>
      </c>
      <c r="G75" s="23">
        <v>3</v>
      </c>
      <c r="H75" s="20" t="s">
        <v>198</v>
      </c>
      <c r="I75" s="20">
        <v>42556.495729166665</v>
      </c>
      <c r="J75" s="34">
        <v>0</v>
      </c>
      <c r="K75" s="34" t="str">
        <f>IF(ISEVEN(B75),(B75-1)&amp;"/"&amp;B75,B75&amp;"/"&amp;(B75+1))</f>
        <v>4043/4044</v>
      </c>
      <c r="L75" s="34" t="str">
        <f>VLOOKUP(A75,'Trips&amp;Operators'!$C$1:$E$10000,3,FALSE)</f>
        <v>STAMBAUGH</v>
      </c>
      <c r="M75" s="6">
        <f>I75-F75</f>
        <v>2.5081018517084885E-2</v>
      </c>
      <c r="N75" s="7">
        <f>24*60*SUM($M75:$M75)</f>
        <v>36.116666664602235</v>
      </c>
      <c r="O75" s="7"/>
      <c r="P75" s="7"/>
      <c r="Q75" s="35"/>
      <c r="R75" s="35"/>
      <c r="S75" s="59">
        <f>SUM(U75:U75)/12</f>
        <v>1</v>
      </c>
      <c r="T75" s="1" t="str">
        <f>IF(ISEVEN(LEFT(A75,3)),"Southbound","NorthBound")</f>
        <v>NorthBound</v>
      </c>
      <c r="U75" s="1">
        <f>COUNTIFS(Variables!$M$2:$M$19,IF(T75="NorthBound","&gt;=","&lt;=")&amp;Y75,Variables!$M$2:$M$19,IF(T75="NorthBound","&lt;=","&gt;=")&amp;Z75)</f>
        <v>12</v>
      </c>
      <c r="V75" s="3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https://search-rtdc-monitor-bjffxe2xuh6vdkpspy63sjmuny.us-east-1.es.amazonaws.com/_plugin/kibana/#/discover/Steve-Slow-Train-Analysis-(2080s-and-2083s)?_g=(refreshInterval:(display:Off,section:0,value:0),time:(from:'2016-07-05 11:13:33-0600',mode:absolute,to:'2016-07-05 11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38" t="str">
        <f>IF(AA75&lt;23,"Y","N")</f>
        <v>N</v>
      </c>
      <c r="X75" s="38">
        <f>VALUE(LEFT(A75,3))-VALUE(LEFT(A74,3))</f>
        <v>1</v>
      </c>
      <c r="Y75" s="38">
        <f>RIGHT(D75,LEN(D75)-4)/10000</f>
        <v>4.3799999999999999E-2</v>
      </c>
      <c r="Z75" s="38">
        <f>RIGHT(H75,LEN(H75)-4)/10000</f>
        <v>23.330300000000001</v>
      </c>
      <c r="AA75" s="38">
        <f>ABS(Z75-Y75)</f>
        <v>23.2865</v>
      </c>
      <c r="AB75" s="39" t="e">
        <f>VLOOKUP(A75,Enforcements!$C$7:$J$30,8,0)</f>
        <v>#N/A</v>
      </c>
      <c r="AC75" s="39" t="e">
        <f>VLOOKUP(A75,Enforcements!$C$7:$E$30,3,0)</f>
        <v>#N/A</v>
      </c>
      <c r="AD75" s="1" t="str">
        <f>IF(LEN(A75)=6,"0"&amp;A75,A75)</f>
        <v>0161-05</v>
      </c>
    </row>
    <row r="76" spans="1:30" s="1" customFormat="1" x14ac:dyDescent="0.25">
      <c r="A76" s="67" t="s">
        <v>512</v>
      </c>
      <c r="B76" s="34">
        <v>4043</v>
      </c>
      <c r="C76" s="34" t="s">
        <v>60</v>
      </c>
      <c r="D76" s="34" t="s">
        <v>327</v>
      </c>
      <c r="E76" s="20">
        <v>42556.505543981482</v>
      </c>
      <c r="F76" s="20">
        <v>42556.506724537037</v>
      </c>
      <c r="G76" s="23">
        <v>1</v>
      </c>
      <c r="H76" s="20" t="s">
        <v>122</v>
      </c>
      <c r="I76" s="20">
        <v>42556.533067129632</v>
      </c>
      <c r="J76" s="34">
        <v>0</v>
      </c>
      <c r="K76" s="34" t="str">
        <f>IF(ISEVEN(B76),(B76-1)&amp;"/"&amp;B76,B76&amp;"/"&amp;(B76+1))</f>
        <v>4043/4044</v>
      </c>
      <c r="L76" s="34" t="str">
        <f>VLOOKUP(A76,'Trips&amp;Operators'!$C$1:$E$10000,3,FALSE)</f>
        <v>STAMBAUGH</v>
      </c>
      <c r="M76" s="6">
        <f>I76-F76</f>
        <v>2.6342592595028691E-2</v>
      </c>
      <c r="N76" s="7">
        <f>24*60*SUM($M76:$M76)</f>
        <v>37.933333336841315</v>
      </c>
      <c r="O76" s="7"/>
      <c r="P76" s="7"/>
      <c r="Q76" s="35"/>
      <c r="R76" s="35"/>
      <c r="S76" s="59">
        <f>SUM(U76:U76)/12</f>
        <v>1</v>
      </c>
      <c r="T76" s="1" t="str">
        <f>IF(ISEVEN(LEFT(A76,3)),"Southbound","NorthBound")</f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https://search-rtdc-monitor-bjffxe2xuh6vdkpspy63sjmuny.us-east-1.es.amazonaws.com/_plugin/kibana/#/discover/Steve-Slow-Train-Analysis-(2080s-and-2083s)?_g=(refreshInterval:(display:Off,section:0,value:0),time:(from:'2016-07-05 12:06:59-0600',mode:absolute,to:'2016-07-05 12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38" t="str">
        <f>IF(AA76&lt;23,"Y","N")</f>
        <v>N</v>
      </c>
      <c r="X76" s="38">
        <f>VALUE(LEFT(A76,3))-VALUE(LEFT(A75,3))</f>
        <v>1</v>
      </c>
      <c r="Y76" s="38">
        <f>RIGHT(D76,LEN(D76)-4)/10000</f>
        <v>23.297999999999998</v>
      </c>
      <c r="Z76" s="38">
        <f>RIGHT(H76,LEN(H76)-4)/10000</f>
        <v>1.43E-2</v>
      </c>
      <c r="AA76" s="38">
        <f>ABS(Z76-Y76)</f>
        <v>23.2837</v>
      </c>
      <c r="AB76" s="39" t="e">
        <f>VLOOKUP(A76,Enforcements!$C$7:$J$30,8,0)</f>
        <v>#N/A</v>
      </c>
      <c r="AC76" s="39" t="e">
        <f>VLOOKUP(A76,Enforcements!$C$7:$E$30,3,0)</f>
        <v>#N/A</v>
      </c>
      <c r="AD76" s="1" t="str">
        <f>IF(LEN(A76)=6,"0"&amp;A76,A76)</f>
        <v>0162-05</v>
      </c>
    </row>
    <row r="77" spans="1:30" s="1" customFormat="1" x14ac:dyDescent="0.25">
      <c r="A77" s="67" t="s">
        <v>526</v>
      </c>
      <c r="B77" s="34">
        <v>4038</v>
      </c>
      <c r="C77" s="34" t="s">
        <v>60</v>
      </c>
      <c r="D77" s="34" t="s">
        <v>72</v>
      </c>
      <c r="E77" s="20">
        <v>42556.476215277777</v>
      </c>
      <c r="F77" s="20">
        <v>42556.47929398148</v>
      </c>
      <c r="G77" s="23">
        <v>4</v>
      </c>
      <c r="H77" s="20" t="s">
        <v>606</v>
      </c>
      <c r="I77" s="20">
        <v>42556.504861111112</v>
      </c>
      <c r="J77" s="34">
        <v>0</v>
      </c>
      <c r="K77" s="34" t="str">
        <f>IF(ISEVEN(B77),(B77-1)&amp;"/"&amp;B77,B77&amp;"/"&amp;(B77+1))</f>
        <v>4037/4038</v>
      </c>
      <c r="L77" s="34" t="str">
        <f>VLOOKUP(A77,'Trips&amp;Operators'!$C$1:$E$10000,3,FALSE)</f>
        <v>LOCKLEAR</v>
      </c>
      <c r="M77" s="6">
        <f>I77-F77</f>
        <v>2.5567129632690921E-2</v>
      </c>
      <c r="N77" s="7">
        <f>24*60*SUM($M77:$M77)</f>
        <v>36.816666671074927</v>
      </c>
      <c r="O77" s="7"/>
      <c r="P77" s="7"/>
      <c r="Q77" s="35"/>
      <c r="R77" s="35"/>
      <c r="S77" s="59">
        <f>SUM(U77:U77)/12</f>
        <v>1</v>
      </c>
      <c r="T77" s="1" t="str">
        <f>IF(ISEVEN(LEFT(A77,3)),"Southbound","NorthBound")</f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https://search-rtdc-monitor-bjffxe2xuh6vdkpspy63sjmuny.us-east-1.es.amazonaws.com/_plugin/kibana/#/discover/Steve-Slow-Train-Analysis-(2080s-and-2083s)?_g=(refreshInterval:(display:Off,section:0,value:0),time:(from:'2016-07-05 11:24:45-0600',mode:absolute,to:'2016-07-05 12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7" s="38" t="str">
        <f>IF(AA77&lt;23,"Y","N")</f>
        <v>N</v>
      </c>
      <c r="X77" s="38">
        <f>VALUE(LEFT(A77,3))-VALUE(LEFT(A76,3))</f>
        <v>1</v>
      </c>
      <c r="Y77" s="38">
        <f>RIGHT(D77,LEN(D77)-4)/10000</f>
        <v>4.5699999999999998E-2</v>
      </c>
      <c r="Z77" s="38">
        <f>RIGHT(H77,LEN(H77)-4)/10000</f>
        <v>23.334700000000002</v>
      </c>
      <c r="AA77" s="38">
        <f>ABS(Z77-Y77)</f>
        <v>23.289000000000001</v>
      </c>
      <c r="AB77" s="39" t="e">
        <f>VLOOKUP(A77,Enforcements!$C$7:$J$30,8,0)</f>
        <v>#N/A</v>
      </c>
      <c r="AC77" s="39" t="e">
        <f>VLOOKUP(A77,Enforcements!$C$7:$E$30,3,0)</f>
        <v>#N/A</v>
      </c>
      <c r="AD77" s="1" t="str">
        <f>IF(LEN(A77)=6,"0"&amp;A77,A77)</f>
        <v>0163-05</v>
      </c>
    </row>
    <row r="78" spans="1:30" s="53" customFormat="1" x14ac:dyDescent="0.25">
      <c r="A78" s="67" t="s">
        <v>528</v>
      </c>
      <c r="B78" s="34">
        <v>4037</v>
      </c>
      <c r="C78" s="34" t="s">
        <v>60</v>
      </c>
      <c r="D78" s="34" t="s">
        <v>607</v>
      </c>
      <c r="E78" s="20">
        <v>42556.515844907408</v>
      </c>
      <c r="F78" s="20">
        <v>42556.516805555555</v>
      </c>
      <c r="G78" s="23">
        <v>1</v>
      </c>
      <c r="H78" s="20" t="s">
        <v>608</v>
      </c>
      <c r="I78" s="20">
        <v>42556.544710648152</v>
      </c>
      <c r="J78" s="34">
        <v>0</v>
      </c>
      <c r="K78" s="34" t="str">
        <f>IF(ISEVEN(B78),(B78-1)&amp;"/"&amp;B78,B78&amp;"/"&amp;(B78+1))</f>
        <v>4037/4038</v>
      </c>
      <c r="L78" s="34" t="str">
        <f>VLOOKUP(A78,'Trips&amp;Operators'!$C$1:$E$10000,3,FALSE)</f>
        <v>LOCKLEAR</v>
      </c>
      <c r="M78" s="6">
        <f>I78-F78</f>
        <v>2.7905092596483883E-2</v>
      </c>
      <c r="N78" s="7">
        <f>24*60*SUM($M78:$M78)</f>
        <v>40.183333338936791</v>
      </c>
      <c r="O78" s="7"/>
      <c r="P78" s="7"/>
      <c r="Q78" s="35"/>
      <c r="R78" s="35"/>
      <c r="S78" s="59">
        <f>SUM(U78:U78)/12</f>
        <v>1</v>
      </c>
      <c r="T78" s="1" t="str">
        <f>IF(ISEVEN(LEFT(A78,3)),"Southbound","NorthBound")</f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https://search-rtdc-monitor-bjffxe2xuh6vdkpspy63sjmuny.us-east-1.es.amazonaws.com/_plugin/kibana/#/discover/Steve-Slow-Train-Analysis-(2080s-and-2083s)?_g=(refreshInterval:(display:Off,section:0,value:0),time:(from:'2016-07-05 12:21:49-0600',mode:absolute,to:'2016-07-05 13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8" s="38" t="str">
        <f>IF(AA78&lt;23,"Y","N")</f>
        <v>N</v>
      </c>
      <c r="X78" s="38">
        <f>VALUE(LEFT(A78,3))-VALUE(LEFT(A77,3))</f>
        <v>1</v>
      </c>
      <c r="Y78" s="38">
        <f>RIGHT(D78,LEN(D78)-4)/10000</f>
        <v>23.302700000000002</v>
      </c>
      <c r="Z78" s="38">
        <v>0.01</v>
      </c>
      <c r="AA78" s="38">
        <f>ABS(Z78-Y78)</f>
        <v>23.2927</v>
      </c>
      <c r="AB78" s="39" t="e">
        <f>VLOOKUP(A78,Enforcements!$C$7:$J$30,8,0)</f>
        <v>#N/A</v>
      </c>
      <c r="AC78" s="39" t="e">
        <f>VLOOKUP(A78,Enforcements!$C$7:$E$30,3,0)</f>
        <v>#N/A</v>
      </c>
      <c r="AD78" s="1" t="str">
        <f>IF(LEN(A78)=6,"0"&amp;A78,A78)</f>
        <v>0164-05</v>
      </c>
    </row>
    <row r="79" spans="1:30" s="1" customFormat="1" x14ac:dyDescent="0.25">
      <c r="A79" s="67" t="s">
        <v>544</v>
      </c>
      <c r="B79" s="34">
        <v>4027</v>
      </c>
      <c r="C79" s="34" t="s">
        <v>60</v>
      </c>
      <c r="D79" s="34" t="s">
        <v>206</v>
      </c>
      <c r="E79" s="20">
        <v>42556.486597222225</v>
      </c>
      <c r="F79" s="20">
        <v>42556.487928240742</v>
      </c>
      <c r="G79" s="23">
        <v>1</v>
      </c>
      <c r="H79" s="20" t="s">
        <v>338</v>
      </c>
      <c r="I79" s="20">
        <v>42556.521377314813</v>
      </c>
      <c r="J79" s="34">
        <v>0</v>
      </c>
      <c r="K79" s="34" t="str">
        <f>IF(ISEVEN(B79),(B79-1)&amp;"/"&amp;B79,B79&amp;"/"&amp;(B79+1))</f>
        <v>4027/4028</v>
      </c>
      <c r="L79" s="34" t="str">
        <f>VLOOKUP(A79,'Trips&amp;Operators'!$C$1:$E$10000,3,FALSE)</f>
        <v>SHOOK</v>
      </c>
      <c r="M79" s="6">
        <f>I79-F79</f>
        <v>3.3449074071540963E-2</v>
      </c>
      <c r="N79" s="7">
        <f>24*60*SUM($M79:$M79)</f>
        <v>48.166666663018987</v>
      </c>
      <c r="O79" s="7"/>
      <c r="P79" s="7"/>
      <c r="Q79" s="35"/>
      <c r="R79" s="35"/>
      <c r="S79" s="59">
        <f>SUM(U79:U79)/12</f>
        <v>1</v>
      </c>
      <c r="T79" s="1" t="str">
        <f>IF(ISEVEN(LEFT(A79,3)),"Southbound","NorthBound")</f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https://search-rtdc-monitor-bjffxe2xuh6vdkpspy63sjmuny.us-east-1.es.amazonaws.com/_plugin/kibana/#/discover/Steve-Slow-Train-Analysis-(2080s-and-2083s)?_g=(refreshInterval:(display:Off,section:0,value:0),time:(from:'2016-07-05 11:39:42-0600',mode:absolute,to:'2016-07-05 12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38" t="str">
        <f>IF(AA79&lt;23,"Y","N")</f>
        <v>N</v>
      </c>
      <c r="X79" s="38">
        <f>VALUE(LEFT(A79,3))-VALUE(LEFT(A78,3))</f>
        <v>1</v>
      </c>
      <c r="Y79" s="38">
        <f>RIGHT(D79,LEN(D79)-4)/10000</f>
        <v>4.4900000000000002E-2</v>
      </c>
      <c r="Z79" s="38">
        <f>RIGHT(H79,LEN(H79)-4)/10000</f>
        <v>23.329899999999999</v>
      </c>
      <c r="AA79" s="38">
        <f>ABS(Z79-Y79)</f>
        <v>23.285</v>
      </c>
      <c r="AB79" s="39" t="e">
        <f>VLOOKUP(A79,Enforcements!$C$7:$J$30,8,0)</f>
        <v>#N/A</v>
      </c>
      <c r="AC79" s="39" t="e">
        <f>VLOOKUP(A79,Enforcements!$C$7:$E$30,3,0)</f>
        <v>#N/A</v>
      </c>
      <c r="AD79" s="1" t="str">
        <f>IF(LEN(A79)=6,"0"&amp;A79,A79)</f>
        <v>0165-05</v>
      </c>
    </row>
    <row r="80" spans="1:30" s="1" customFormat="1" ht="14.25" customHeight="1" x14ac:dyDescent="0.25">
      <c r="A80" s="67" t="s">
        <v>527</v>
      </c>
      <c r="B80" s="34">
        <v>4028</v>
      </c>
      <c r="C80" s="34" t="s">
        <v>60</v>
      </c>
      <c r="D80" s="34" t="s">
        <v>192</v>
      </c>
      <c r="E80" s="20">
        <v>42556.526875000003</v>
      </c>
      <c r="F80" s="20">
        <v>42556.528020833335</v>
      </c>
      <c r="G80" s="23">
        <v>1</v>
      </c>
      <c r="H80" s="20" t="s">
        <v>61</v>
      </c>
      <c r="I80" s="20">
        <v>42556.557743055557</v>
      </c>
      <c r="J80" s="34">
        <v>0</v>
      </c>
      <c r="K80" s="34" t="str">
        <f>IF(ISEVEN(B80),(B80-1)&amp;"/"&amp;B80,B80&amp;"/"&amp;(B80+1))</f>
        <v>4027/4028</v>
      </c>
      <c r="L80" s="34" t="str">
        <f>VLOOKUP(A80,'Trips&amp;Operators'!$C$1:$E$10000,3,FALSE)</f>
        <v>SHOOK</v>
      </c>
      <c r="M80" s="6">
        <f>I80-F80</f>
        <v>2.9722222221607808E-2</v>
      </c>
      <c r="N80" s="7">
        <f>24*60*SUM($M80:$M80)</f>
        <v>42.799999999115244</v>
      </c>
      <c r="O80" s="7"/>
      <c r="P80" s="7"/>
      <c r="Q80" s="35"/>
      <c r="R80" s="35"/>
      <c r="S80" s="59">
        <f>SUM(U80:U80)/12</f>
        <v>1</v>
      </c>
      <c r="T80" s="1" t="str">
        <f>IF(ISEVEN(LEFT(A80,3)),"Southbound","NorthBound")</f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https://search-rtdc-monitor-bjffxe2xuh6vdkpspy63sjmuny.us-east-1.es.amazonaws.com/_plugin/kibana/#/discover/Steve-Slow-Train-Analysis-(2080s-and-2083s)?_g=(refreshInterval:(display:Off,section:0,value:0),time:(from:'2016-07-05 12:37:42-0600',mode:absolute,to:'2016-07-05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38" t="str">
        <f>IF(AA80&lt;23,"Y","N")</f>
        <v>N</v>
      </c>
      <c r="X80" s="38">
        <f>VALUE(LEFT(A80,3))-VALUE(LEFT(A79,3))</f>
        <v>1</v>
      </c>
      <c r="Y80" s="38">
        <f>RIGHT(D80,LEN(D80)-4)/10000</f>
        <v>23.298999999999999</v>
      </c>
      <c r="Z80" s="38">
        <f>RIGHT(H80,LEN(H80)-4)/10000</f>
        <v>1.4500000000000001E-2</v>
      </c>
      <c r="AA80" s="38">
        <f>ABS(Z80-Y80)</f>
        <v>23.284499999999998</v>
      </c>
      <c r="AB80" s="39" t="e">
        <f>VLOOKUP(A80,Enforcements!$C$7:$J$30,8,0)</f>
        <v>#N/A</v>
      </c>
      <c r="AC80" s="39" t="e">
        <f>VLOOKUP(A80,Enforcements!$C$7:$E$30,3,0)</f>
        <v>#N/A</v>
      </c>
      <c r="AD80" s="1" t="str">
        <f>IF(LEN(A80)=6,"0"&amp;A80,A80)</f>
        <v>0166-05</v>
      </c>
    </row>
    <row r="81" spans="1:30" s="1" customFormat="1" x14ac:dyDescent="0.25">
      <c r="A81" s="67" t="s">
        <v>380</v>
      </c>
      <c r="B81" s="34">
        <v>4018</v>
      </c>
      <c r="C81" s="34" t="s">
        <v>60</v>
      </c>
      <c r="D81" s="34" t="s">
        <v>128</v>
      </c>
      <c r="E81" s="20">
        <v>42556.49796296296</v>
      </c>
      <c r="F81" s="20">
        <v>42556.499212962961</v>
      </c>
      <c r="G81" s="23">
        <v>1</v>
      </c>
      <c r="H81" s="20" t="s">
        <v>200</v>
      </c>
      <c r="I81" s="20">
        <v>42556.525682870371</v>
      </c>
      <c r="J81" s="34">
        <v>1</v>
      </c>
      <c r="K81" s="34" t="str">
        <f>IF(ISEVEN(B81),(B81-1)&amp;"/"&amp;B81,B81&amp;"/"&amp;(B81+1))</f>
        <v>4017/4018</v>
      </c>
      <c r="L81" s="34" t="str">
        <f>VLOOKUP(A81,'Trips&amp;Operators'!$C$1:$E$10000,3,FALSE)</f>
        <v>KILLION</v>
      </c>
      <c r="M81" s="6">
        <f>I81-F81</f>
        <v>2.6469907410501037E-2</v>
      </c>
      <c r="N81" s="7">
        <f>24*60*SUM($M81:$M81)</f>
        <v>38.116666671121493</v>
      </c>
      <c r="O81" s="7"/>
      <c r="P81" s="7"/>
      <c r="Q81" s="35"/>
      <c r="R81" s="35"/>
      <c r="S81" s="59">
        <f>SUM(U81:U81)/12</f>
        <v>1</v>
      </c>
      <c r="T81" s="1" t="str">
        <f>IF(ISEVEN(LEFT(A81,3)),"Southbound","NorthBound")</f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38" t="str">
        <f>IF(AA81&lt;23,"Y","N")</f>
        <v>N</v>
      </c>
      <c r="X81" s="38">
        <f>VALUE(LEFT(A81,3))-VALUE(LEFT(A80,3))</f>
        <v>1</v>
      </c>
      <c r="Y81" s="38">
        <f>RIGHT(D81,LEN(D81)-4)/10000</f>
        <v>4.5100000000000001E-2</v>
      </c>
      <c r="Z81" s="38">
        <f>RIGHT(H81,LEN(H81)-4)/10000</f>
        <v>23.330200000000001</v>
      </c>
      <c r="AA81" s="38">
        <f>ABS(Z81-Y81)</f>
        <v>23.2851</v>
      </c>
      <c r="AB81" s="39">
        <f>VLOOKUP(A81,Enforcements!$C$7:$J$30,8,0)</f>
        <v>161962</v>
      </c>
      <c r="AC81" s="39" t="str">
        <f>VLOOKUP(A81,Enforcements!$C$7:$E$30,3,0)</f>
        <v>PERMANENT SPEED RESTRICTION</v>
      </c>
      <c r="AD81" s="1" t="str">
        <f>IF(LEN(A81)=6,"0"&amp;A81,A81)</f>
        <v>0167-05</v>
      </c>
    </row>
    <row r="82" spans="1:30" s="1" customFormat="1" x14ac:dyDescent="0.25">
      <c r="A82" s="67" t="s">
        <v>381</v>
      </c>
      <c r="B82" s="34">
        <v>4017</v>
      </c>
      <c r="C82" s="34" t="s">
        <v>60</v>
      </c>
      <c r="D82" s="34" t="s">
        <v>264</v>
      </c>
      <c r="E82" s="20">
        <v>42556.532534722224</v>
      </c>
      <c r="F82" s="20">
        <v>42556.533356481479</v>
      </c>
      <c r="G82" s="23">
        <v>1</v>
      </c>
      <c r="H82" s="20" t="s">
        <v>209</v>
      </c>
      <c r="I82" s="20">
        <v>42556.567187499997</v>
      </c>
      <c r="J82" s="34">
        <v>1</v>
      </c>
      <c r="K82" s="34" t="str">
        <f>IF(ISEVEN(B82),(B82-1)&amp;"/"&amp;B82,B82&amp;"/"&amp;(B82+1))</f>
        <v>4017/4018</v>
      </c>
      <c r="L82" s="34" t="str">
        <f>VLOOKUP(A82,'Trips&amp;Operators'!$C$1:$E$10000,3,FALSE)</f>
        <v>KILLION</v>
      </c>
      <c r="M82" s="6">
        <f>I82-F82</f>
        <v>3.3831018517958E-2</v>
      </c>
      <c r="N82" s="7">
        <f>24*60*SUM($M82:$M82)</f>
        <v>48.71666666585952</v>
      </c>
      <c r="O82" s="7"/>
      <c r="P82" s="7"/>
      <c r="Q82" s="35"/>
      <c r="R82" s="35"/>
      <c r="S82" s="59">
        <f>SUM(U82:U82)/12</f>
        <v>1</v>
      </c>
      <c r="T82" s="1" t="str">
        <f>IF(ISEVEN(LEFT(A82,3)),"Southbound","NorthBound")</f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38" t="str">
        <f>IF(AA82&lt;23,"Y","N")</f>
        <v>N</v>
      </c>
      <c r="X82" s="38">
        <f>VALUE(LEFT(A82,3))-VALUE(LEFT(A81,3))</f>
        <v>1</v>
      </c>
      <c r="Y82" s="38">
        <f>RIGHT(D82,LEN(D82)-4)/10000</f>
        <v>23.299399999999999</v>
      </c>
      <c r="Z82" s="38">
        <f>RIGHT(H82,LEN(H82)-4)/10000</f>
        <v>1.61E-2</v>
      </c>
      <c r="AA82" s="38">
        <f>ABS(Z82-Y82)</f>
        <v>23.283299999999997</v>
      </c>
      <c r="AB82" s="39">
        <f>VLOOKUP(A82,Enforcements!$C$7:$J$30,8,0)</f>
        <v>4677</v>
      </c>
      <c r="AC82" s="39" t="str">
        <f>VLOOKUP(A82,Enforcements!$C$7:$E$30,3,0)</f>
        <v>PERMANENT SPEED RESTRICTION</v>
      </c>
      <c r="AD82" s="1" t="str">
        <f>IF(LEN(A82)=6,"0"&amp;A82,A82)</f>
        <v>0168-05</v>
      </c>
    </row>
    <row r="83" spans="1:30" s="1" customFormat="1" x14ac:dyDescent="0.25">
      <c r="A83" s="67" t="s">
        <v>529</v>
      </c>
      <c r="B83" s="34">
        <v>4014</v>
      </c>
      <c r="C83" s="34" t="s">
        <v>60</v>
      </c>
      <c r="D83" s="34" t="s">
        <v>609</v>
      </c>
      <c r="E83" s="20">
        <v>42556.508634259262</v>
      </c>
      <c r="F83" s="20">
        <v>42556.509895833333</v>
      </c>
      <c r="G83" s="23">
        <v>1</v>
      </c>
      <c r="H83" s="20" t="s">
        <v>610</v>
      </c>
      <c r="I83" s="20">
        <v>42556.538298611114</v>
      </c>
      <c r="J83" s="34">
        <v>0</v>
      </c>
      <c r="K83" s="34" t="str">
        <f>IF(ISEVEN(B83),(B83-1)&amp;"/"&amp;B83,B83&amp;"/"&amp;(B83+1))</f>
        <v>4013/4014</v>
      </c>
      <c r="L83" s="34" t="str">
        <f>VLOOKUP(A83,'Trips&amp;Operators'!$C$1:$E$10000,3,FALSE)</f>
        <v>YOUNG</v>
      </c>
      <c r="M83" s="6">
        <f>I83-F83</f>
        <v>2.8402777781593613E-2</v>
      </c>
      <c r="N83" s="7">
        <f>24*60*SUM($M83:$M83)</f>
        <v>40.900000005494803</v>
      </c>
      <c r="O83" s="7"/>
      <c r="P83" s="7"/>
      <c r="Q83" s="35"/>
      <c r="R83" s="35"/>
      <c r="S83" s="59">
        <f>SUM(U83:U83)/12</f>
        <v>1</v>
      </c>
      <c r="T83" s="1" t="str">
        <f>IF(ISEVEN(LEFT(A83,3)),"Southbound","NorthBound")</f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https://search-rtdc-monitor-bjffxe2xuh6vdkpspy63sjmuny.us-east-1.es.amazonaws.com/_plugin/kibana/#/discover/Steve-Slow-Train-Analysis-(2080s-and-2083s)?_g=(refreshInterval:(display:Off,section:0,value:0),time:(from:'2016-07-05 12:11:26-0600',mode:absolute,to:'2016-07-05 12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3" s="38" t="str">
        <f>IF(AA83&lt;23,"Y","N")</f>
        <v>N</v>
      </c>
      <c r="X83" s="38">
        <f>VALUE(LEFT(A83,3))-VALUE(LEFT(A82,3))</f>
        <v>1</v>
      </c>
      <c r="Y83" s="38">
        <f>RIGHT(D83,LEN(D83)-4)/10000</f>
        <v>4.3099999999999999E-2</v>
      </c>
      <c r="Z83" s="38">
        <f>RIGHT(H83,LEN(H83)-4)/10000</f>
        <v>23.3276</v>
      </c>
      <c r="AA83" s="38">
        <f>ABS(Z83-Y83)</f>
        <v>23.284500000000001</v>
      </c>
      <c r="AB83" s="39" t="e">
        <f>VLOOKUP(A83,Enforcements!$C$7:$J$30,8,0)</f>
        <v>#N/A</v>
      </c>
      <c r="AC83" s="39" t="e">
        <f>VLOOKUP(A83,Enforcements!$C$7:$E$30,3,0)</f>
        <v>#N/A</v>
      </c>
      <c r="AD83" s="1" t="str">
        <f>IF(LEN(A83)=6,"0"&amp;A83,A83)</f>
        <v>0169-05</v>
      </c>
    </row>
    <row r="84" spans="1:30" s="1" customFormat="1" x14ac:dyDescent="0.25">
      <c r="A84" s="67" t="s">
        <v>543</v>
      </c>
      <c r="B84" s="34">
        <v>4020</v>
      </c>
      <c r="C84" s="34" t="s">
        <v>60</v>
      </c>
      <c r="D84" s="34" t="s">
        <v>206</v>
      </c>
      <c r="E84" s="20">
        <v>42556.517280092594</v>
      </c>
      <c r="F84" s="20">
        <v>42556.518333333333</v>
      </c>
      <c r="G84" s="23">
        <v>1</v>
      </c>
      <c r="H84" s="20" t="s">
        <v>330</v>
      </c>
      <c r="I84" s="20">
        <v>42556.55259259259</v>
      </c>
      <c r="J84" s="34">
        <v>0</v>
      </c>
      <c r="K84" s="34" t="str">
        <f>IF(ISEVEN(B84),(B84-1)&amp;"/"&amp;B84,B84&amp;"/"&amp;(B84+1))</f>
        <v>4019/4020</v>
      </c>
      <c r="L84" s="34" t="str">
        <f>VLOOKUP(A84,'Trips&amp;Operators'!$C$1:$E$10000,3,FALSE)</f>
        <v>BONDS</v>
      </c>
      <c r="M84" s="6">
        <f>I84-F84</f>
        <v>3.4259259256941732E-2</v>
      </c>
      <c r="N84" s="7">
        <f>24*60*SUM($M84:$M84)</f>
        <v>49.333333329996094</v>
      </c>
      <c r="O84" s="7"/>
      <c r="P84" s="7"/>
      <c r="Q84" s="35"/>
      <c r="R84" s="35"/>
      <c r="S84" s="59">
        <f>SUM(U84:U84)/12</f>
        <v>1</v>
      </c>
      <c r="T84" s="1" t="str">
        <f>IF(ISEVEN(LEFT(A84,3)),"Southbound","NorthBound")</f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https://search-rtdc-monitor-bjffxe2xuh6vdkpspy63sjmuny.us-east-1.es.amazonaws.com/_plugin/kibana/#/discover/Steve-Slow-Train-Analysis-(2080s-and-2083s)?_g=(refreshInterval:(display:Off,section:0,value:0),time:(from:'2016-07-05 12:23:53-0600',mode:absolute,to:'2016-07-05 13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38" t="str">
        <f>IF(AA84&lt;23,"Y","N")</f>
        <v>N</v>
      </c>
      <c r="X84" s="38">
        <f>VALUE(LEFT(A84,3))-VALUE(LEFT(A83,3))</f>
        <v>2</v>
      </c>
      <c r="Y84" s="38">
        <f>RIGHT(D84,LEN(D84)-4)/10000</f>
        <v>4.4900000000000002E-2</v>
      </c>
      <c r="Z84" s="38">
        <f>RIGHT(H84,LEN(H84)-4)/10000</f>
        <v>23.3323</v>
      </c>
      <c r="AA84" s="38">
        <f>ABS(Z84-Y84)</f>
        <v>23.287400000000002</v>
      </c>
      <c r="AB84" s="39" t="e">
        <f>VLOOKUP(A84,Enforcements!$C$7:$J$30,8,0)</f>
        <v>#N/A</v>
      </c>
      <c r="AC84" s="39" t="e">
        <f>VLOOKUP(A84,Enforcements!$C$7:$E$30,3,0)</f>
        <v>#N/A</v>
      </c>
      <c r="AD84" s="1" t="str">
        <f>IF(LEN(A84)=6,"0"&amp;A84,A84)</f>
        <v>0171-05</v>
      </c>
    </row>
    <row r="85" spans="1:30" s="1" customFormat="1" x14ac:dyDescent="0.25">
      <c r="A85" s="67" t="s">
        <v>382</v>
      </c>
      <c r="B85" s="34">
        <v>4019</v>
      </c>
      <c r="C85" s="34" t="s">
        <v>60</v>
      </c>
      <c r="D85" s="34" t="s">
        <v>611</v>
      </c>
      <c r="E85" s="20">
        <v>42556.555821759262</v>
      </c>
      <c r="F85" s="20">
        <v>42556.556805555556</v>
      </c>
      <c r="G85" s="23">
        <v>1</v>
      </c>
      <c r="H85" s="20" t="s">
        <v>612</v>
      </c>
      <c r="I85" s="20">
        <v>42556.587094907409</v>
      </c>
      <c r="J85" s="34">
        <v>1</v>
      </c>
      <c r="K85" s="34" t="str">
        <f>IF(ISEVEN(B85),(B85-1)&amp;"/"&amp;B85,B85&amp;"/"&amp;(B85+1))</f>
        <v>4019/4020</v>
      </c>
      <c r="L85" s="34" t="str">
        <f>VLOOKUP(A85,'Trips&amp;Operators'!$C$1:$E$10000,3,FALSE)</f>
        <v>BONDS</v>
      </c>
      <c r="M85" s="6">
        <f>I85-F85</f>
        <v>3.0289351852843538E-2</v>
      </c>
      <c r="N85" s="7">
        <f>24*60*SUM($M85:$M85)</f>
        <v>43.616666668094695</v>
      </c>
      <c r="O85" s="7"/>
      <c r="P85" s="7"/>
      <c r="Q85" s="35"/>
      <c r="R85" s="35"/>
      <c r="S85" s="59">
        <f>SUM(U85:U85)/12</f>
        <v>1</v>
      </c>
      <c r="T85" s="1" t="str">
        <f>IF(ISEVEN(LEFT(A85,3)),"Southbound","NorthBound")</f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38" t="str">
        <f>IF(AA85&lt;23,"Y","N")</f>
        <v>N</v>
      </c>
      <c r="X85" s="38">
        <f>VALUE(LEFT(A85,3))-VALUE(LEFT(A84,3))</f>
        <v>1</v>
      </c>
      <c r="Y85" s="38">
        <f>RIGHT(D85,LEN(D85)-4)/10000</f>
        <v>23.3032</v>
      </c>
      <c r="Z85" s="38">
        <f>RIGHT(H85,LEN(H85)-4)/10000</f>
        <v>1.7600000000000001E-2</v>
      </c>
      <c r="AA85" s="38">
        <f>ABS(Z85-Y85)</f>
        <v>23.285599999999999</v>
      </c>
      <c r="AB85" s="39">
        <f>VLOOKUP(A85,Enforcements!$C$7:$J$30,8,0)</f>
        <v>33257</v>
      </c>
      <c r="AC85" s="39" t="str">
        <f>VLOOKUP(A85,Enforcements!$C$7:$E$30,3,0)</f>
        <v>GRADE CROSSING</v>
      </c>
      <c r="AD85" s="1" t="str">
        <f>IF(LEN(A85)=6,"0"&amp;A85,A85)</f>
        <v>0172-05</v>
      </c>
    </row>
    <row r="86" spans="1:30" s="1" customFormat="1" x14ac:dyDescent="0.25">
      <c r="A86" s="67" t="s">
        <v>510</v>
      </c>
      <c r="B86" s="34">
        <v>4031</v>
      </c>
      <c r="C86" s="34" t="s">
        <v>60</v>
      </c>
      <c r="D86" s="34" t="s">
        <v>72</v>
      </c>
      <c r="E86" s="20">
        <v>42556.52784722222</v>
      </c>
      <c r="F86" s="20">
        <v>42556.531365740739</v>
      </c>
      <c r="G86" s="23">
        <v>5</v>
      </c>
      <c r="H86" s="20" t="s">
        <v>613</v>
      </c>
      <c r="I86" s="20">
        <v>42556.556539351855</v>
      </c>
      <c r="J86" s="34">
        <v>0</v>
      </c>
      <c r="K86" s="34" t="str">
        <f>IF(ISEVEN(B86),(B86-1)&amp;"/"&amp;B86,B86&amp;"/"&amp;(B86+1))</f>
        <v>4031/4032</v>
      </c>
      <c r="L86" s="34" t="str">
        <f>VLOOKUP(A86,'Trips&amp;Operators'!$C$1:$E$10000,3,FALSE)</f>
        <v>COOLAHAN</v>
      </c>
      <c r="M86" s="6">
        <f>I86-F86</f>
        <v>2.5173611116770189E-2</v>
      </c>
      <c r="N86" s="7">
        <f>24*60*SUM($M86:$M86)</f>
        <v>36.250000008149073</v>
      </c>
      <c r="O86" s="7"/>
      <c r="P86" s="7"/>
      <c r="Q86" s="35"/>
      <c r="R86" s="35"/>
      <c r="S86" s="59">
        <f>SUM(U86:U86)/12</f>
        <v>1</v>
      </c>
      <c r="T86" s="1" t="str">
        <f>IF(ISEVEN(LEFT(A86,3)),"Southbound","NorthBound")</f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https://search-rtdc-monitor-bjffxe2xuh6vdkpspy63sjmuny.us-east-1.es.amazonaws.com/_plugin/kibana/#/discover/Steve-Slow-Train-Analysis-(2080s-and-2083s)?_g=(refreshInterval:(display:Off,section:0,value:0),time:(from:'2016-07-05 12:39:06-0600',mode:absolute,to:'2016-07-05 13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38" t="str">
        <f>IF(AA86&lt;23,"Y","N")</f>
        <v>N</v>
      </c>
      <c r="X86" s="38">
        <f>VALUE(LEFT(A86,3))-VALUE(LEFT(A85,3))</f>
        <v>1</v>
      </c>
      <c r="Y86" s="38">
        <f>RIGHT(D86,LEN(D86)-4)/10000</f>
        <v>4.5699999999999998E-2</v>
      </c>
      <c r="Z86" s="38">
        <f>RIGHT(H86,LEN(H86)-4)/10000</f>
        <v>23.330500000000001</v>
      </c>
      <c r="AA86" s="38">
        <f>ABS(Z86-Y86)</f>
        <v>23.284800000000001</v>
      </c>
      <c r="AB86" s="39" t="e">
        <f>VLOOKUP(A86,Enforcements!$C$7:$J$30,8,0)</f>
        <v>#N/A</v>
      </c>
      <c r="AC86" s="39" t="e">
        <f>VLOOKUP(A86,Enforcements!$C$7:$E$30,3,0)</f>
        <v>#N/A</v>
      </c>
      <c r="AD86" s="1" t="str">
        <f>IF(LEN(A86)=6,"0"&amp;A86,A86)</f>
        <v>0173-05</v>
      </c>
    </row>
    <row r="87" spans="1:30" s="1" customFormat="1" x14ac:dyDescent="0.25">
      <c r="A87" s="67" t="s">
        <v>386</v>
      </c>
      <c r="B87" s="34">
        <v>4032</v>
      </c>
      <c r="C87" s="34" t="s">
        <v>60</v>
      </c>
      <c r="D87" s="34" t="s">
        <v>195</v>
      </c>
      <c r="E87" s="20">
        <v>42556.56722222222</v>
      </c>
      <c r="F87" s="20">
        <v>42556.56827546296</v>
      </c>
      <c r="G87" s="23">
        <v>1</v>
      </c>
      <c r="H87" s="20" t="s">
        <v>614</v>
      </c>
      <c r="I87" s="20">
        <v>42556.598136574074</v>
      </c>
      <c r="J87" s="34">
        <v>1</v>
      </c>
      <c r="K87" s="34" t="str">
        <f>IF(ISEVEN(B87),(B87-1)&amp;"/"&amp;B87,B87&amp;"/"&amp;(B87+1))</f>
        <v>4031/4032</v>
      </c>
      <c r="L87" s="34" t="str">
        <f>VLOOKUP(A87,'Trips&amp;Operators'!$C$1:$E$10000,3,FALSE)</f>
        <v>COOLAHAN</v>
      </c>
      <c r="M87" s="6">
        <f>I87-F87</f>
        <v>2.9861111113859806E-2</v>
      </c>
      <c r="N87" s="7">
        <f>24*60*SUM($M87:$M87)</f>
        <v>43.000000003958121</v>
      </c>
      <c r="O87" s="7"/>
      <c r="P87" s="7"/>
      <c r="Q87" s="35"/>
      <c r="R87" s="35"/>
      <c r="S87" s="59">
        <f>SUM(U87:U87)/12</f>
        <v>1</v>
      </c>
      <c r="T87" s="1" t="str">
        <f>IF(ISEVEN(LEFT(A87,3)),"Southbound","NorthBound")</f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38" t="str">
        <f>IF(AA87&lt;23,"Y","N")</f>
        <v>N</v>
      </c>
      <c r="X87" s="38">
        <f>VALUE(LEFT(A87,3))-VALUE(LEFT(A86,3))</f>
        <v>1</v>
      </c>
      <c r="Y87" s="38">
        <f>RIGHT(D87,LEN(D87)-4)/10000</f>
        <v>23.299800000000001</v>
      </c>
      <c r="Z87" s="38">
        <f>RIGHT(H87,LEN(H87)-4)/10000</f>
        <v>2.18E-2</v>
      </c>
      <c r="AA87" s="38">
        <f>ABS(Z87-Y87)</f>
        <v>23.278000000000002</v>
      </c>
      <c r="AB87" s="39" t="e">
        <f>VLOOKUP(A87,Enforcements!$C$7:$J$30,8,0)</f>
        <v>#N/A</v>
      </c>
      <c r="AC87" s="39" t="e">
        <f>VLOOKUP(A87,Enforcements!$C$7:$E$30,3,0)</f>
        <v>#N/A</v>
      </c>
      <c r="AD87" s="1" t="str">
        <f>IF(LEN(A87)=6,"0"&amp;A87,A87)</f>
        <v>0174-05</v>
      </c>
    </row>
    <row r="88" spans="1:30" s="1" customFormat="1" x14ac:dyDescent="0.25">
      <c r="A88" s="67" t="s">
        <v>488</v>
      </c>
      <c r="B88" s="34">
        <v>4044</v>
      </c>
      <c r="C88" s="34" t="s">
        <v>60</v>
      </c>
      <c r="D88" s="34" t="s">
        <v>128</v>
      </c>
      <c r="E88" s="20">
        <v>42556.53601851852</v>
      </c>
      <c r="F88" s="20">
        <v>42556.537187499998</v>
      </c>
      <c r="G88" s="23">
        <v>1</v>
      </c>
      <c r="H88" s="20" t="s">
        <v>615</v>
      </c>
      <c r="I88" s="20">
        <v>42556.567523148151</v>
      </c>
      <c r="J88" s="34">
        <v>0</v>
      </c>
      <c r="K88" s="34" t="str">
        <f>IF(ISEVEN(B88),(B88-1)&amp;"/"&amp;B88,B88&amp;"/"&amp;(B88+1))</f>
        <v>4043/4044</v>
      </c>
      <c r="L88" s="34" t="str">
        <f>VLOOKUP(A88,'Trips&amp;Operators'!$C$1:$E$10000,3,FALSE)</f>
        <v>STAMBAUGH</v>
      </c>
      <c r="M88" s="6">
        <f>I88-F88</f>
        <v>3.033564815268619E-2</v>
      </c>
      <c r="N88" s="7">
        <f>24*60*SUM($M88:$M88)</f>
        <v>43.683333339868113</v>
      </c>
      <c r="O88" s="7"/>
      <c r="P88" s="7"/>
      <c r="Q88" s="35"/>
      <c r="R88" s="35"/>
      <c r="S88" s="59">
        <f>SUM(U88:U88)/12</f>
        <v>1</v>
      </c>
      <c r="T88" s="1" t="str">
        <f>IF(ISEVEN(LEFT(A88,3)),"Southbound","NorthBound")</f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https://search-rtdc-monitor-bjffxe2xuh6vdkpspy63sjmuny.us-east-1.es.amazonaws.com/_plugin/kibana/#/discover/Steve-Slow-Train-Analysis-(2080s-and-2083s)?_g=(refreshInterval:(display:Off,section:0,value:0),time:(from:'2016-07-05 12:50:52-0600',mode:absolute,to:'2016-07-05 13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38" t="str">
        <f>IF(AA88&lt;23,"Y","N")</f>
        <v>N</v>
      </c>
      <c r="X88" s="38">
        <f>VALUE(LEFT(A88,3))-VALUE(LEFT(A87,3))</f>
        <v>1</v>
      </c>
      <c r="Y88" s="38">
        <f>RIGHT(D88,LEN(D88)-4)/10000</f>
        <v>4.5100000000000001E-2</v>
      </c>
      <c r="Z88" s="38">
        <f>RIGHT(H88,LEN(H88)-4)/10000</f>
        <v>23.328499999999998</v>
      </c>
      <c r="AA88" s="38">
        <f>ABS(Z88-Y88)</f>
        <v>23.283399999999997</v>
      </c>
      <c r="AB88" s="39" t="e">
        <f>VLOOKUP(A88,Enforcements!$C$7:$J$30,8,0)</f>
        <v>#N/A</v>
      </c>
      <c r="AC88" s="39" t="e">
        <f>VLOOKUP(A88,Enforcements!$C$7:$E$30,3,0)</f>
        <v>#N/A</v>
      </c>
      <c r="AD88" s="1" t="str">
        <f>IF(LEN(A88)=6,"0"&amp;A88,A88)</f>
        <v>0175-05</v>
      </c>
    </row>
    <row r="89" spans="1:30" s="1" customFormat="1" x14ac:dyDescent="0.25">
      <c r="A89" s="67" t="s">
        <v>463</v>
      </c>
      <c r="B89" s="34">
        <v>4043</v>
      </c>
      <c r="C89" s="34" t="s">
        <v>60</v>
      </c>
      <c r="D89" s="34" t="s">
        <v>616</v>
      </c>
      <c r="E89" s="20">
        <v>42556.576504629629</v>
      </c>
      <c r="F89" s="20">
        <v>42556.580810185187</v>
      </c>
      <c r="G89" s="23">
        <v>6</v>
      </c>
      <c r="H89" s="20" t="s">
        <v>62</v>
      </c>
      <c r="I89" s="20">
        <v>42556.607233796298</v>
      </c>
      <c r="J89" s="34">
        <v>0</v>
      </c>
      <c r="K89" s="34" t="str">
        <f>IF(ISEVEN(B89),(B89-1)&amp;"/"&amp;B89,B89&amp;"/"&amp;(B89+1))</f>
        <v>4043/4044</v>
      </c>
      <c r="L89" s="34" t="str">
        <f>VLOOKUP(A89,'Trips&amp;Operators'!$C$1:$E$10000,3,FALSE)</f>
        <v>STAMBAUGH</v>
      </c>
      <c r="M89" s="6">
        <f>I89-F89</f>
        <v>2.6423611110658385E-2</v>
      </c>
      <c r="N89" s="7">
        <f>24*60*SUM($M89:$M89)</f>
        <v>38.049999999348074</v>
      </c>
      <c r="O89" s="7"/>
      <c r="P89" s="7"/>
      <c r="Q89" s="35"/>
      <c r="R89" s="35"/>
      <c r="S89" s="59">
        <f>SUM(U89:U89)/12</f>
        <v>1</v>
      </c>
      <c r="T89" s="1" t="str">
        <f>IF(ISEVEN(LEFT(A89,3)),"Southbound","NorthBound")</f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https://search-rtdc-monitor-bjffxe2xuh6vdkpspy63sjmuny.us-east-1.es.amazonaws.com/_plugin/kibana/#/discover/Steve-Slow-Train-Analysis-(2080s-and-2083s)?_g=(refreshInterval:(display:Off,section:0,value:0),time:(from:'2016-07-05 13:49:10-0600',mode:absolute,to:'2016-07-05 14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38" t="str">
        <f>IF(AA89&lt;23,"Y","N")</f>
        <v>N</v>
      </c>
      <c r="X89" s="38">
        <f>VALUE(LEFT(A89,3))-VALUE(LEFT(A88,3))</f>
        <v>1</v>
      </c>
      <c r="Y89" s="38">
        <f>RIGHT(D89,LEN(D89)-4)/10000</f>
        <v>23.297000000000001</v>
      </c>
      <c r="Z89" s="38">
        <f>RIGHT(H89,LEN(H89)-4)/10000</f>
        <v>1.52E-2</v>
      </c>
      <c r="AA89" s="38">
        <f>ABS(Z89-Y89)</f>
        <v>23.2818</v>
      </c>
      <c r="AB89" s="39" t="e">
        <f>VLOOKUP(A89,Enforcements!$C$7:$J$30,8,0)</f>
        <v>#N/A</v>
      </c>
      <c r="AC89" s="39" t="e">
        <f>VLOOKUP(A89,Enforcements!$C$7:$E$30,3,0)</f>
        <v>#N/A</v>
      </c>
      <c r="AD89" s="1" t="str">
        <f>IF(LEN(A89)=6,"0"&amp;A89,A89)</f>
        <v>0176-05</v>
      </c>
    </row>
    <row r="90" spans="1:30" s="1" customFormat="1" x14ac:dyDescent="0.25">
      <c r="A90" s="67" t="s">
        <v>471</v>
      </c>
      <c r="B90" s="34">
        <v>4038</v>
      </c>
      <c r="C90" s="34" t="s">
        <v>60</v>
      </c>
      <c r="D90" s="34" t="s">
        <v>81</v>
      </c>
      <c r="E90" s="20">
        <v>42556.549675925926</v>
      </c>
      <c r="F90" s="20">
        <v>42556.550405092596</v>
      </c>
      <c r="G90" s="23">
        <v>1</v>
      </c>
      <c r="H90" s="20" t="s">
        <v>341</v>
      </c>
      <c r="I90" s="20">
        <v>42556.576805555553</v>
      </c>
      <c r="J90" s="34">
        <v>0</v>
      </c>
      <c r="K90" s="34" t="str">
        <f>IF(ISEVEN(B90),(B90-1)&amp;"/"&amp;B90,B90&amp;"/"&amp;(B90+1))</f>
        <v>4037/4038</v>
      </c>
      <c r="L90" s="34" t="str">
        <f>VLOOKUP(A90,'Trips&amp;Operators'!$C$1:$E$10000,3,FALSE)</f>
        <v>LOCKLEAR</v>
      </c>
      <c r="M90" s="6">
        <f>I90-F90</f>
        <v>2.640046295709908E-2</v>
      </c>
      <c r="N90" s="7">
        <f>24*60*SUM($M90:$M90)</f>
        <v>38.016666658222675</v>
      </c>
      <c r="O90" s="7"/>
      <c r="P90" s="7"/>
      <c r="Q90" s="35"/>
      <c r="R90" s="35"/>
      <c r="S90" s="59">
        <f>SUM(U90:U90)/12</f>
        <v>1</v>
      </c>
      <c r="T90" s="1" t="str">
        <f>IF(ISEVEN(LEFT(A90,3)),"Southbound","NorthBound")</f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https://search-rtdc-monitor-bjffxe2xuh6vdkpspy63sjmuny.us-east-1.es.amazonaws.com/_plugin/kibana/#/discover/Steve-Slow-Train-Analysis-(2080s-and-2083s)?_g=(refreshInterval:(display:Off,section:0,value:0),time:(from:'2016-07-05 13:10:32-0600',mode:absolute,to:'2016-07-05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38" t="str">
        <f>IF(AA90&lt;23,"Y","N")</f>
        <v>N</v>
      </c>
      <c r="X90" s="38">
        <f>VALUE(LEFT(A90,3))-VALUE(LEFT(A89,3))</f>
        <v>1</v>
      </c>
      <c r="Y90" s="38">
        <f>RIGHT(D90,LEN(D90)-4)/10000</f>
        <v>4.6399999999999997E-2</v>
      </c>
      <c r="Z90" s="38">
        <f>RIGHT(H90,LEN(H90)-4)/10000</f>
        <v>23.3324</v>
      </c>
      <c r="AA90" s="38">
        <f>ABS(Z90-Y90)</f>
        <v>23.286000000000001</v>
      </c>
      <c r="AB90" s="39" t="e">
        <f>VLOOKUP(A90,Enforcements!$C$7:$J$30,8,0)</f>
        <v>#N/A</v>
      </c>
      <c r="AC90" s="39" t="e">
        <f>VLOOKUP(A90,Enforcements!$C$7:$E$30,3,0)</f>
        <v>#N/A</v>
      </c>
      <c r="AD90" s="1" t="str">
        <f>IF(LEN(A90)=6,"0"&amp;A90,A90)</f>
        <v>0177-05</v>
      </c>
    </row>
    <row r="91" spans="1:30" s="1" customFormat="1" x14ac:dyDescent="0.25">
      <c r="A91" s="67" t="s">
        <v>535</v>
      </c>
      <c r="B91" s="34">
        <v>4037</v>
      </c>
      <c r="C91" s="34" t="s">
        <v>60</v>
      </c>
      <c r="D91" s="34" t="s">
        <v>225</v>
      </c>
      <c r="E91" s="20">
        <v>42556.588333333333</v>
      </c>
      <c r="F91" s="20">
        <v>42556.589583333334</v>
      </c>
      <c r="G91" s="23">
        <v>1</v>
      </c>
      <c r="H91" s="20" t="s">
        <v>73</v>
      </c>
      <c r="I91" s="20">
        <v>42556.619201388887</v>
      </c>
      <c r="J91" s="34">
        <v>0</v>
      </c>
      <c r="K91" s="34" t="str">
        <f>IF(ISEVEN(B91),(B91-1)&amp;"/"&amp;B91,B91&amp;"/"&amp;(B91+1))</f>
        <v>4037/4038</v>
      </c>
      <c r="L91" s="34" t="str">
        <f>VLOOKUP(A91,'Trips&amp;Operators'!$C$1:$E$10000,3,FALSE)</f>
        <v>LOCKLEAR</v>
      </c>
      <c r="M91" s="6">
        <f>I91-F91</f>
        <v>2.9618055552418809E-2</v>
      </c>
      <c r="N91" s="7">
        <f>24*60*SUM($M91:$M91)</f>
        <v>42.649999995483086</v>
      </c>
      <c r="O91" s="7"/>
      <c r="P91" s="7"/>
      <c r="Q91" s="35"/>
      <c r="R91" s="35"/>
      <c r="S91" s="59">
        <f>SUM(U91:U91)/12</f>
        <v>1</v>
      </c>
      <c r="T91" s="1" t="str">
        <f>IF(ISEVEN(LEFT(A91,3)),"Southbound","NorthBound")</f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https://search-rtdc-monitor-bjffxe2xuh6vdkpspy63sjmuny.us-east-1.es.amazonaws.com/_plugin/kibana/#/discover/Steve-Slow-Train-Analysis-(2080s-and-2083s)?_g=(refreshInterval:(display:Off,section:0,value:0),time:(from:'2016-07-05 14:06:12-0600',mode:absolute,to:'2016-07-05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38" t="str">
        <f>IF(AA91&lt;23,"Y","N")</f>
        <v>N</v>
      </c>
      <c r="X91" s="38">
        <f>VALUE(LEFT(A91,3))-VALUE(LEFT(A90,3))</f>
        <v>1</v>
      </c>
      <c r="Y91" s="38">
        <f>RIGHT(D91,LEN(D91)-4)/10000</f>
        <v>23.3019</v>
      </c>
      <c r="Z91" s="38">
        <f>RIGHT(H91,LEN(H91)-4)/10000</f>
        <v>1.49E-2</v>
      </c>
      <c r="AA91" s="38">
        <f>ABS(Z91-Y91)</f>
        <v>23.286999999999999</v>
      </c>
      <c r="AB91" s="39" t="e">
        <f>VLOOKUP(A91,Enforcements!$C$7:$J$30,8,0)</f>
        <v>#N/A</v>
      </c>
      <c r="AC91" s="39" t="e">
        <f>VLOOKUP(A91,Enforcements!$C$7:$E$30,3,0)</f>
        <v>#N/A</v>
      </c>
      <c r="AD91" s="1" t="str">
        <f>IF(LEN(A91)=6,"0"&amp;A91,A91)</f>
        <v>0178-05</v>
      </c>
    </row>
    <row r="92" spans="1:30" s="1" customFormat="1" x14ac:dyDescent="0.25">
      <c r="A92" s="67" t="s">
        <v>384</v>
      </c>
      <c r="B92" s="34">
        <v>4027</v>
      </c>
      <c r="C92" s="34" t="s">
        <v>60</v>
      </c>
      <c r="D92" s="34" t="s">
        <v>332</v>
      </c>
      <c r="E92" s="20">
        <v>42556.560115740744</v>
      </c>
      <c r="F92" s="20">
        <v>42556.561226851853</v>
      </c>
      <c r="G92" s="20">
        <v>1</v>
      </c>
      <c r="H92" s="20" t="s">
        <v>617</v>
      </c>
      <c r="I92" s="20">
        <v>42556.588807870372</v>
      </c>
      <c r="J92" s="34">
        <v>1</v>
      </c>
      <c r="K92" s="34" t="str">
        <f>IF(ISEVEN(B92),(B92-1)&amp;"/"&amp;B92,B92&amp;"/"&amp;(B92+1))</f>
        <v>4027/4028</v>
      </c>
      <c r="L92" s="34" t="str">
        <f>VLOOKUP(A92,'Trips&amp;Operators'!$C$1:$E$10000,3,FALSE)</f>
        <v>SHOOK</v>
      </c>
      <c r="M92" s="6">
        <f>I92-F92</f>
        <v>2.7581018519413192E-2</v>
      </c>
      <c r="N92" s="7">
        <f>24*60*SUM($M92:$M92)</f>
        <v>39.716666667954996</v>
      </c>
      <c r="O92" s="7"/>
      <c r="P92" s="7"/>
      <c r="Q92" s="35"/>
      <c r="R92" s="35"/>
      <c r="S92" s="59">
        <f>SUM(U92:U92)/12</f>
        <v>1</v>
      </c>
      <c r="T92" s="1" t="str">
        <f>IF(ISEVEN(LEFT(A92,3)),"Southbound","NorthBound")</f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38" t="str">
        <f>IF(AA92&lt;23,"Y","N")</f>
        <v>N</v>
      </c>
      <c r="X92" s="38">
        <f>VALUE(LEFT(A92,3))-VALUE(LEFT(A91,3))</f>
        <v>1</v>
      </c>
      <c r="Y92" s="38">
        <f>RIGHT(D92,LEN(D92)-4)/10000</f>
        <v>4.2900000000000001E-2</v>
      </c>
      <c r="Z92" s="38">
        <f>RIGHT(H92,LEN(H92)-4)/10000</f>
        <v>23.327200000000001</v>
      </c>
      <c r="AA92" s="38">
        <f>ABS(Z92-Y92)</f>
        <v>23.284300000000002</v>
      </c>
      <c r="AB92" s="39" t="e">
        <f>VLOOKUP(A92,Enforcements!$C$7:$J$30,8,0)</f>
        <v>#N/A</v>
      </c>
      <c r="AC92" s="39" t="e">
        <f>VLOOKUP(A92,Enforcements!$C$7:$E$30,3,0)</f>
        <v>#N/A</v>
      </c>
      <c r="AD92" s="1" t="str">
        <f>IF(LEN(A92)=6,"0"&amp;A92,A92)</f>
        <v>0179-05</v>
      </c>
    </row>
    <row r="93" spans="1:30" s="1" customFormat="1" x14ac:dyDescent="0.25">
      <c r="A93" s="34" t="s">
        <v>477</v>
      </c>
      <c r="B93" s="34">
        <v>4028</v>
      </c>
      <c r="C93" s="34" t="s">
        <v>60</v>
      </c>
      <c r="D93" s="34" t="s">
        <v>322</v>
      </c>
      <c r="E93" s="20">
        <v>42556.600659722222</v>
      </c>
      <c r="F93" s="20">
        <v>42556.602013888885</v>
      </c>
      <c r="G93" s="20">
        <v>1</v>
      </c>
      <c r="H93" s="20" t="s">
        <v>618</v>
      </c>
      <c r="I93" s="20">
        <v>42556.643391203703</v>
      </c>
      <c r="J93" s="34">
        <v>1</v>
      </c>
      <c r="K93" s="34" t="str">
        <f>IF(ISEVEN(B93),(B93-1)&amp;"/"&amp;B93,B93&amp;"/"&amp;(B93+1))</f>
        <v>4027/4028</v>
      </c>
      <c r="L93" s="34" t="str">
        <f>VLOOKUP(A93,'Trips&amp;Operators'!$C$1:$E$10000,3,FALSE)</f>
        <v>SHOOK</v>
      </c>
      <c r="M93" s="6">
        <f>I93-F93</f>
        <v>4.1377314817509614E-2</v>
      </c>
      <c r="N93" s="7">
        <f>24*60*SUM($M93:$M93)</f>
        <v>59.583333337213844</v>
      </c>
      <c r="O93" s="7"/>
      <c r="P93" s="7"/>
      <c r="Q93" s="35"/>
      <c r="R93" s="35"/>
      <c r="S93" s="59">
        <f>SUM(U93:U93)/12</f>
        <v>1</v>
      </c>
      <c r="T93" s="1" t="str">
        <f>IF(ISEVEN(LEFT(A93,3)),"Southbound","NorthBound")</f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https://search-rtdc-monitor-bjffxe2xuh6vdkpspy63sjmuny.us-east-1.es.amazonaws.com/_plugin/kibana/#/discover/Steve-Slow-Train-Analysis-(2080s-and-2083s)?_g=(refreshInterval:(display:Off,section:0,value:0),time:(from:'2016-07-05 14:23:57-0600',mode:absolute,to:'2016-07-05 15:27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38" t="str">
        <f>IF(AA93&lt;23,"Y","N")</f>
        <v>Y</v>
      </c>
      <c r="X93" s="38">
        <f>VALUE(LEFT(A93,3))-VALUE(LEFT(A92,3))</f>
        <v>1</v>
      </c>
      <c r="Y93" s="38">
        <f>RIGHT(D93,LEN(D93)-4)/10000</f>
        <v>23.296800000000001</v>
      </c>
      <c r="Z93" s="38">
        <v>0.4</v>
      </c>
      <c r="AA93" s="38">
        <f>ABS(Z93-Y93)</f>
        <v>22.896800000000002</v>
      </c>
      <c r="AB93" s="39" t="e">
        <f>VLOOKUP(A93,Enforcements!$C$7:$J$30,8,0)</f>
        <v>#N/A</v>
      </c>
      <c r="AC93" s="39" t="e">
        <f>VLOOKUP(A93,Enforcements!$C$7:$E$30,3,0)</f>
        <v>#N/A</v>
      </c>
      <c r="AD93" s="1" t="str">
        <f>IF(LEN(A93)=6,"0"&amp;A93,A93)</f>
        <v>0180-05</v>
      </c>
    </row>
    <row r="94" spans="1:30" s="1" customFormat="1" x14ac:dyDescent="0.25">
      <c r="A94" s="34" t="s">
        <v>385</v>
      </c>
      <c r="B94" s="69">
        <v>4018</v>
      </c>
      <c r="C94" s="69" t="s">
        <v>60</v>
      </c>
      <c r="D94" s="69" t="s">
        <v>215</v>
      </c>
      <c r="E94" s="75">
        <v>42556.568530092591</v>
      </c>
      <c r="F94" s="75">
        <v>42556.569305555553</v>
      </c>
      <c r="G94" s="76">
        <v>1</v>
      </c>
      <c r="H94" s="75" t="s">
        <v>162</v>
      </c>
      <c r="I94" s="75">
        <v>42556.597430555557</v>
      </c>
      <c r="J94" s="69">
        <v>1</v>
      </c>
      <c r="K94" s="34" t="str">
        <f>IF(ISEVEN(B94),(B94-1)&amp;"/"&amp;B94,B94&amp;"/"&amp;(B94+1))</f>
        <v>4017/4018</v>
      </c>
      <c r="L94" s="34" t="str">
        <f>VLOOKUP(A94,'Trips&amp;Operators'!$C$1:$E$10000,3,FALSE)</f>
        <v>KILLION</v>
      </c>
      <c r="M94" s="6">
        <f>I94-F94</f>
        <v>2.8125000004365575E-2</v>
      </c>
      <c r="N94" s="7">
        <f>24*60*SUM($M94:$M94)</f>
        <v>40.500000006286427</v>
      </c>
      <c r="O94" s="7"/>
      <c r="P94" s="7"/>
      <c r="Q94" s="35"/>
      <c r="R94" s="35"/>
      <c r="S94" s="59">
        <f>SUM(U94:U94)/12</f>
        <v>1</v>
      </c>
      <c r="T94" s="1" t="str">
        <f>IF(ISEVEN(LEFT(A94,3)),"Southbound","NorthBound")</f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38" t="str">
        <f>IF(AA94&lt;23,"Y","N")</f>
        <v>N</v>
      </c>
      <c r="X94" s="38">
        <f>VALUE(LEFT(A94,3))-VALUE(LEFT(A93,3))</f>
        <v>1</v>
      </c>
      <c r="Y94" s="38">
        <f>RIGHT(D94,LEN(D94)-4)/10000</f>
        <v>4.3499999999999997E-2</v>
      </c>
      <c r="Z94" s="38">
        <f>RIGHT(H94,LEN(H94)-4)/10000</f>
        <v>23.330100000000002</v>
      </c>
      <c r="AA94" s="38">
        <f>ABS(Z94-Y94)</f>
        <v>23.2866</v>
      </c>
      <c r="AB94" s="39" t="e">
        <f>VLOOKUP(A94,Enforcements!$C$7:$J$30,8,0)</f>
        <v>#N/A</v>
      </c>
      <c r="AC94" s="39" t="e">
        <f>VLOOKUP(A94,Enforcements!$C$7:$E$30,3,0)</f>
        <v>#N/A</v>
      </c>
      <c r="AD94" s="1" t="str">
        <f>IF(LEN(A94)=6,"0"&amp;A94,A94)</f>
        <v>0181-05</v>
      </c>
    </row>
    <row r="95" spans="1:30" s="1" customFormat="1" x14ac:dyDescent="0.25">
      <c r="A95" s="34" t="s">
        <v>390</v>
      </c>
      <c r="B95" s="69">
        <v>4017</v>
      </c>
      <c r="C95" s="69" t="s">
        <v>60</v>
      </c>
      <c r="D95" s="69" t="s">
        <v>619</v>
      </c>
      <c r="E95" s="75">
        <v>42556.606874999998</v>
      </c>
      <c r="F95" s="75">
        <v>42556.60769675926</v>
      </c>
      <c r="G95" s="76">
        <v>1</v>
      </c>
      <c r="H95" s="75" t="s">
        <v>62</v>
      </c>
      <c r="I95" s="75">
        <v>42556.638715277775</v>
      </c>
      <c r="J95" s="69">
        <v>1</v>
      </c>
      <c r="K95" s="34" t="str">
        <f>IF(ISEVEN(B95),(B95-1)&amp;"/"&amp;B95,B95&amp;"/"&amp;(B95+1))</f>
        <v>4017/4018</v>
      </c>
      <c r="L95" s="34" t="str">
        <f>VLOOKUP(A95,'Trips&amp;Operators'!$C$1:$E$10000,3,FALSE)</f>
        <v>KILLION</v>
      </c>
      <c r="M95" s="6">
        <f>I95-F95</f>
        <v>3.1018518515338656E-2</v>
      </c>
      <c r="N95" s="7">
        <f>24*60*SUM($M95:$M95)</f>
        <v>44.666666662087664</v>
      </c>
      <c r="O95" s="7"/>
      <c r="P95" s="7"/>
      <c r="Q95" s="35"/>
      <c r="R95" s="35"/>
      <c r="S95" s="59">
        <f>SUM(U95:U95)/12</f>
        <v>1</v>
      </c>
      <c r="T95" s="1" t="str">
        <f>IF(ISEVEN(LEFT(A95,3)),"Southbound","NorthBound")</f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38" t="str">
        <f>IF(AA95&lt;23,"Y","N")</f>
        <v>N</v>
      </c>
      <c r="X95" s="38">
        <f>VALUE(LEFT(A95,3))-VALUE(LEFT(A94,3))</f>
        <v>1</v>
      </c>
      <c r="Y95" s="38">
        <f>RIGHT(D95,LEN(D95)-4)/10000</f>
        <v>23.2971</v>
      </c>
      <c r="Z95" s="38">
        <f>RIGHT(H95,LEN(H95)-4)/10000</f>
        <v>1.52E-2</v>
      </c>
      <c r="AA95" s="38">
        <f>ABS(Z95-Y95)</f>
        <v>23.2819</v>
      </c>
      <c r="AB95" s="39" t="e">
        <f>VLOOKUP(A95,Enforcements!$C$7:$J$30,8,0)</f>
        <v>#N/A</v>
      </c>
      <c r="AC95" s="39" t="e">
        <f>VLOOKUP(A95,Enforcements!$C$7:$E$30,3,0)</f>
        <v>#N/A</v>
      </c>
      <c r="AD95" s="1" t="str">
        <f>IF(LEN(A95)=6,"0"&amp;A95,A95)</f>
        <v>0182-05</v>
      </c>
    </row>
    <row r="96" spans="1:30" s="1" customFormat="1" x14ac:dyDescent="0.25">
      <c r="A96" s="34" t="s">
        <v>383</v>
      </c>
      <c r="B96" s="69">
        <v>4014</v>
      </c>
      <c r="C96" s="69" t="s">
        <v>60</v>
      </c>
      <c r="D96" s="69" t="s">
        <v>197</v>
      </c>
      <c r="E96" s="75">
        <v>42556.583703703705</v>
      </c>
      <c r="F96" s="75">
        <v>42556.584594907406</v>
      </c>
      <c r="G96" s="76">
        <v>1</v>
      </c>
      <c r="H96" s="75" t="s">
        <v>330</v>
      </c>
      <c r="I96" s="75">
        <v>42556.61314814815</v>
      </c>
      <c r="J96" s="69">
        <v>1</v>
      </c>
      <c r="K96" s="34" t="str">
        <f>IF(ISEVEN(B96),(B96-1)&amp;"/"&amp;B96,B96&amp;"/"&amp;(B96+1))</f>
        <v>4013/4014</v>
      </c>
      <c r="L96" s="34" t="str">
        <f>VLOOKUP(A96,'Trips&amp;Operators'!$C$1:$E$10000,3,FALSE)</f>
        <v>YOUNG</v>
      </c>
      <c r="M96" s="6">
        <f>I96-F96</f>
        <v>2.8553240743349306E-2</v>
      </c>
      <c r="N96" s="7">
        <f>24*60*SUM($M96:$M96)</f>
        <v>41.116666670423001</v>
      </c>
      <c r="O96" s="7"/>
      <c r="P96" s="7"/>
      <c r="Q96" s="35"/>
      <c r="R96" s="35"/>
      <c r="S96" s="59">
        <f>SUM(U96:U96)/12</f>
        <v>1</v>
      </c>
      <c r="T96" s="1" t="str">
        <f>IF(ISEVEN(LEFT(A96,3)),"Southbound","NorthBound")</f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6" s="38" t="str">
        <f>IF(AA96&lt;23,"Y","N")</f>
        <v>N</v>
      </c>
      <c r="X96" s="38">
        <f>VALUE(LEFT(A96,3))-VALUE(LEFT(A95,3))</f>
        <v>1</v>
      </c>
      <c r="Y96" s="38">
        <f>RIGHT(D96,LEN(D96)-4)/10000</f>
        <v>4.6899999999999997E-2</v>
      </c>
      <c r="Z96" s="38">
        <f>RIGHT(H96,LEN(H96)-4)/10000</f>
        <v>23.3323</v>
      </c>
      <c r="AA96" s="38">
        <f>ABS(Z96-Y96)</f>
        <v>23.285399999999999</v>
      </c>
      <c r="AB96" s="39" t="e">
        <f>VLOOKUP(A96,Enforcements!$C$7:$J$30,8,0)</f>
        <v>#N/A</v>
      </c>
      <c r="AC96" s="39" t="e">
        <f>VLOOKUP(A96,Enforcements!$C$7:$E$30,3,0)</f>
        <v>#N/A</v>
      </c>
      <c r="AD96" s="1" t="str">
        <f>IF(LEN(A96)=6,"0"&amp;A96,A96)</f>
        <v>0183-05</v>
      </c>
    </row>
    <row r="97" spans="1:30" s="1" customFormat="1" x14ac:dyDescent="0.25">
      <c r="A97" s="34" t="s">
        <v>536</v>
      </c>
      <c r="B97" s="69">
        <v>4013</v>
      </c>
      <c r="C97" s="69" t="s">
        <v>60</v>
      </c>
      <c r="D97" s="69" t="s">
        <v>328</v>
      </c>
      <c r="E97" s="75">
        <v>42556.619004629632</v>
      </c>
      <c r="F97" s="75">
        <v>42556.620208333334</v>
      </c>
      <c r="G97" s="76">
        <v>1</v>
      </c>
      <c r="H97" s="75" t="s">
        <v>620</v>
      </c>
      <c r="I97" s="75">
        <v>42556.650879629633</v>
      </c>
      <c r="J97" s="69">
        <v>0</v>
      </c>
      <c r="K97" s="34" t="str">
        <f>IF(ISEVEN(B97),(B97-1)&amp;"/"&amp;B97,B97&amp;"/"&amp;(B97+1))</f>
        <v>4013/4014</v>
      </c>
      <c r="L97" s="34" t="str">
        <f>VLOOKUP(A97,'Trips&amp;Operators'!$C$1:$E$10000,3,FALSE)</f>
        <v>YOUNG</v>
      </c>
      <c r="M97" s="6">
        <f>I97-F97</f>
        <v>3.0671296299260575E-2</v>
      </c>
      <c r="N97" s="7">
        <f>24*60*SUM($M97:$M97)</f>
        <v>44.166666670935228</v>
      </c>
      <c r="O97" s="7"/>
      <c r="P97" s="7"/>
      <c r="Q97" s="35"/>
      <c r="R97" s="35"/>
      <c r="S97" s="59">
        <f>SUM(U97:U97)/12</f>
        <v>1</v>
      </c>
      <c r="T97" s="1" t="str">
        <f>IF(ISEVEN(LEFT(A97,3)),"Southbound","NorthBound")</f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https://search-rtdc-monitor-bjffxe2xuh6vdkpspy63sjmuny.us-east-1.es.amazonaws.com/_plugin/kibana/#/discover/Steve-Slow-Train-Analysis-(2080s-and-2083s)?_g=(refreshInterval:(display:Off,section:0,value:0),time:(from:'2016-07-05 14:50:22-0600',mode:absolute,to:'2016-07-05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7" s="38" t="str">
        <f>IF(AA97&lt;23,"Y","N")</f>
        <v>Y</v>
      </c>
      <c r="X97" s="38">
        <f>VALUE(LEFT(A97,3))-VALUE(LEFT(A96,3))</f>
        <v>1</v>
      </c>
      <c r="Y97" s="38">
        <f>RIGHT(D97,LEN(D97)-4)/10000</f>
        <v>23.301500000000001</v>
      </c>
      <c r="Z97" s="38">
        <f>RIGHT(H97,LEN(H97)-4)/10000</f>
        <v>0.50409999999999999</v>
      </c>
      <c r="AA97" s="38">
        <f>ABS(Z97-Y97)</f>
        <v>22.7974</v>
      </c>
      <c r="AB97" s="39" t="e">
        <f>VLOOKUP(A97,Enforcements!$C$7:$J$30,8,0)</f>
        <v>#N/A</v>
      </c>
      <c r="AC97" s="39" t="e">
        <f>VLOOKUP(A97,Enforcements!$C$7:$E$30,3,0)</f>
        <v>#N/A</v>
      </c>
      <c r="AD97" s="1" t="str">
        <f>IF(LEN(A97)=6,"0"&amp;A97,A97)</f>
        <v>0184-05</v>
      </c>
    </row>
    <row r="98" spans="1:30" s="1" customFormat="1" x14ac:dyDescent="0.25">
      <c r="A98" s="34" t="s">
        <v>537</v>
      </c>
      <c r="B98" s="69">
        <v>4020</v>
      </c>
      <c r="C98" s="69" t="s">
        <v>60</v>
      </c>
      <c r="D98" s="69" t="s">
        <v>68</v>
      </c>
      <c r="E98" s="75">
        <v>42556.588738425926</v>
      </c>
      <c r="F98" s="75">
        <v>42556.589803240742</v>
      </c>
      <c r="G98" s="76">
        <v>1</v>
      </c>
      <c r="H98" s="75" t="s">
        <v>321</v>
      </c>
      <c r="I98" s="75">
        <v>42556.619884259257</v>
      </c>
      <c r="J98" s="69">
        <v>0</v>
      </c>
      <c r="K98" s="34" t="str">
        <f>IF(ISEVEN(B98),(B98-1)&amp;"/"&amp;B98,B98&amp;"/"&amp;(B98+1))</f>
        <v>4019/4020</v>
      </c>
      <c r="L98" s="34" t="str">
        <f>VLOOKUP(A98,'Trips&amp;Operators'!$C$1:$E$10000,3,FALSE)</f>
        <v>BONDS</v>
      </c>
      <c r="M98" s="6">
        <f>I98-F98</f>
        <v>3.0081018514465541E-2</v>
      </c>
      <c r="N98" s="7">
        <f>24*60*SUM($M98:$M98)</f>
        <v>43.316666660830379</v>
      </c>
      <c r="O98" s="7"/>
      <c r="P98" s="7"/>
      <c r="Q98" s="35"/>
      <c r="R98" s="35"/>
      <c r="S98" s="59">
        <f>SUM(U98:U98)/12</f>
        <v>1</v>
      </c>
      <c r="T98" s="1" t="str">
        <f>IF(ISEVEN(LEFT(A98,3)),"Southbound","NorthBound")</f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https://search-rtdc-monitor-bjffxe2xuh6vdkpspy63sjmuny.us-east-1.es.amazonaws.com/_plugin/kibana/#/discover/Steve-Slow-Train-Analysis-(2080s-and-2083s)?_g=(refreshInterval:(display:Off,section:0,value:0),time:(from:'2016-07-05 14:06:47-0600',mode:absolute,to:'2016-07-05 14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38" t="str">
        <f>IF(AA98&lt;23,"Y","N")</f>
        <v>N</v>
      </c>
      <c r="X98" s="38">
        <f>VALUE(LEFT(A98,3))-VALUE(LEFT(A97,3))</f>
        <v>1</v>
      </c>
      <c r="Y98" s="38">
        <f>RIGHT(D98,LEN(D98)-4)/10000</f>
        <v>4.5999999999999999E-2</v>
      </c>
      <c r="Z98" s="38">
        <f>RIGHT(H98,LEN(H98)-4)/10000</f>
        <v>23.333400000000001</v>
      </c>
      <c r="AA98" s="38">
        <f>ABS(Z98-Y98)</f>
        <v>23.287400000000002</v>
      </c>
      <c r="AB98" s="39" t="e">
        <f>VLOOKUP(A98,Enforcements!$C$7:$J$30,8,0)</f>
        <v>#N/A</v>
      </c>
      <c r="AC98" s="39" t="e">
        <f>VLOOKUP(A98,Enforcements!$C$7:$E$30,3,0)</f>
        <v>#N/A</v>
      </c>
      <c r="AD98" s="1" t="str">
        <f>IF(LEN(A98)=6,"0"&amp;A98,A98)</f>
        <v>0185-05</v>
      </c>
    </row>
    <row r="99" spans="1:30" s="1" customFormat="1" x14ac:dyDescent="0.25">
      <c r="A99" s="34" t="s">
        <v>439</v>
      </c>
      <c r="B99" s="69">
        <v>4019</v>
      </c>
      <c r="C99" s="69" t="s">
        <v>60</v>
      </c>
      <c r="D99" s="69" t="s">
        <v>621</v>
      </c>
      <c r="E99" s="75">
        <v>42556.626423611109</v>
      </c>
      <c r="F99" s="75">
        <v>42556.627314814818</v>
      </c>
      <c r="G99" s="76">
        <v>1</v>
      </c>
      <c r="H99" s="75" t="s">
        <v>622</v>
      </c>
      <c r="I99" s="75">
        <v>42556.65425925926</v>
      </c>
      <c r="J99" s="69">
        <v>0</v>
      </c>
      <c r="K99" s="34" t="str">
        <f>IF(ISEVEN(B99),(B99-1)&amp;"/"&amp;B99,B99&amp;"/"&amp;(B99+1))</f>
        <v>4019/4020</v>
      </c>
      <c r="L99" s="34" t="str">
        <f>VLOOKUP(A99,'Trips&amp;Operators'!$C$1:$E$10000,3,FALSE)</f>
        <v>BONDS</v>
      </c>
      <c r="M99" s="6">
        <f>I99-F99</f>
        <v>2.6944444442051463E-2</v>
      </c>
      <c r="N99" s="7"/>
      <c r="O99" s="7"/>
      <c r="P99" s="7">
        <f>24*60*SUM($M99:$M99)</f>
        <v>38.799999996554106</v>
      </c>
      <c r="Q99" s="35"/>
      <c r="R99" s="35" t="s">
        <v>727</v>
      </c>
      <c r="S99" s="59">
        <f>SUM(U99:U99)/12</f>
        <v>0.75</v>
      </c>
      <c r="T99" s="1" t="str">
        <f>IF(ISEVEN(LEFT(A99,3)),"Southbound","NorthBound")</f>
        <v>Southbound</v>
      </c>
      <c r="U99" s="1">
        <f>COUNTIFS(Variables!$M$2:$M$19,IF(T99="NorthBound","&gt;=","&lt;=")&amp;Y99,Variables!$M$2:$M$19,IF(T99="NorthBound","&lt;=","&gt;=")&amp;Z99)</f>
        <v>9</v>
      </c>
      <c r="V99" s="3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https://search-rtdc-monitor-bjffxe2xuh6vdkpspy63sjmuny.us-east-1.es.amazonaws.com/_plugin/kibana/#/discover/Steve-Slow-Train-Analysis-(2080s-and-2083s)?_g=(refreshInterval:(display:Off,section:0,value:0),time:(from:'2016-07-05 15:01:03-0600',mode:absolute,to:'2016-07-05 15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38" t="str">
        <f>IF(AA99&lt;23,"Y","N")</f>
        <v>Y</v>
      </c>
      <c r="X99" s="38">
        <f>VALUE(LEFT(A99,3))-VALUE(LEFT(A98,3))</f>
        <v>1</v>
      </c>
      <c r="Y99" s="38">
        <f>RIGHT(D99,LEN(D99)-4)/10000</f>
        <v>23.302499999999998</v>
      </c>
      <c r="Z99" s="38">
        <f>RIGHT(H99,LEN(H99)-4)/10000</f>
        <v>3.3321000000000001</v>
      </c>
      <c r="AA99" s="38">
        <f>ABS(Z99-Y99)</f>
        <v>19.970399999999998</v>
      </c>
      <c r="AB99" s="39" t="e">
        <f>VLOOKUP(A99,Enforcements!$C$7:$J$30,8,0)</f>
        <v>#N/A</v>
      </c>
      <c r="AC99" s="39" t="e">
        <f>VLOOKUP(A99,Enforcements!$C$7:$E$30,3,0)</f>
        <v>#N/A</v>
      </c>
      <c r="AD99" s="1" t="str">
        <f>IF(LEN(A99)=6,"0"&amp;A99,A99)</f>
        <v>0186-05</v>
      </c>
    </row>
    <row r="100" spans="1:30" s="1" customFormat="1" x14ac:dyDescent="0.25">
      <c r="A100" s="34" t="s">
        <v>389</v>
      </c>
      <c r="B100" s="69">
        <v>4031</v>
      </c>
      <c r="C100" s="69" t="s">
        <v>60</v>
      </c>
      <c r="D100" s="69" t="s">
        <v>623</v>
      </c>
      <c r="E100" s="75">
        <v>42556.601030092592</v>
      </c>
      <c r="F100" s="75">
        <v>42556.60428240741</v>
      </c>
      <c r="G100" s="76">
        <v>4</v>
      </c>
      <c r="H100" s="75" t="s">
        <v>88</v>
      </c>
      <c r="I100" s="75">
        <v>42556.631585648145</v>
      </c>
      <c r="J100" s="69">
        <v>1</v>
      </c>
      <c r="K100" s="34" t="str">
        <f>IF(ISEVEN(B100),(B100-1)&amp;"/"&amp;B100,B100&amp;"/"&amp;(B100+1))</f>
        <v>4031/4032</v>
      </c>
      <c r="L100" s="34" t="str">
        <f>VLOOKUP(A100,'Trips&amp;Operators'!$C$1:$E$10000,3,FALSE)</f>
        <v>COOLAHAN</v>
      </c>
      <c r="M100" s="6">
        <f>I100-F100</f>
        <v>2.7303240734909195E-2</v>
      </c>
      <c r="N100" s="7">
        <f>24*60*SUM($M100:$M100)</f>
        <v>39.316666658269241</v>
      </c>
      <c r="O100" s="7"/>
      <c r="P100" s="7"/>
      <c r="Q100" s="35"/>
      <c r="R100" s="35"/>
      <c r="S100" s="59">
        <f>SUM(U100:U100)/12</f>
        <v>1</v>
      </c>
      <c r="T100" s="1" t="str">
        <f>IF(ISEVEN(LEFT(A100,3)),"Southbound","NorthBound")</f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38" t="str">
        <f>IF(AA100&lt;23,"Y","N")</f>
        <v>N</v>
      </c>
      <c r="X100" s="38">
        <f>VALUE(LEFT(A100,3))-VALUE(LEFT(A99,3))</f>
        <v>1</v>
      </c>
      <c r="Y100" s="38">
        <f>RIGHT(D100,LEN(D100)-4)/10000</f>
        <v>5.3499999999999999E-2</v>
      </c>
      <c r="Z100" s="38">
        <f>RIGHT(H100,LEN(H100)-4)/10000</f>
        <v>23.329499999999999</v>
      </c>
      <c r="AA100" s="38">
        <f>ABS(Z100-Y100)</f>
        <v>23.276</v>
      </c>
      <c r="AB100" s="39">
        <f>VLOOKUP(A100,Enforcements!$C$7:$J$30,8,0)</f>
        <v>224578</v>
      </c>
      <c r="AC100" s="39" t="str">
        <f>VLOOKUP(A100,Enforcements!$C$7:$E$30,3,0)</f>
        <v>PERMANENT SPEED RESTRICTION</v>
      </c>
      <c r="AD100" s="1" t="str">
        <f>IF(LEN(A100)=6,"0"&amp;A100,A100)</f>
        <v>0187-05</v>
      </c>
    </row>
    <row r="101" spans="1:30" s="1" customFormat="1" x14ac:dyDescent="0.25">
      <c r="A101" s="34" t="s">
        <v>509</v>
      </c>
      <c r="B101" s="69">
        <v>4032</v>
      </c>
      <c r="C101" s="69" t="s">
        <v>60</v>
      </c>
      <c r="D101" s="69" t="s">
        <v>602</v>
      </c>
      <c r="E101" s="75">
        <v>42556.639108796298</v>
      </c>
      <c r="F101" s="75">
        <v>42556.640150462961</v>
      </c>
      <c r="G101" s="76">
        <v>1</v>
      </c>
      <c r="H101" s="75" t="s">
        <v>147</v>
      </c>
      <c r="I101" s="75">
        <v>42556.670011574075</v>
      </c>
      <c r="J101" s="69">
        <v>0</v>
      </c>
      <c r="K101" s="34" t="str">
        <f>IF(ISEVEN(B101),(B101-1)&amp;"/"&amp;B101,B101&amp;"/"&amp;(B101+1))</f>
        <v>4031/4032</v>
      </c>
      <c r="L101" s="34" t="str">
        <f>VLOOKUP(A101,'Trips&amp;Operators'!$C$1:$E$10000,3,FALSE)</f>
        <v>COOLAHAN</v>
      </c>
      <c r="M101" s="6">
        <f>I101-F101</f>
        <v>2.9861111113859806E-2</v>
      </c>
      <c r="N101" s="7">
        <f>24*60*SUM($M101:$M101)</f>
        <v>43.000000003958121</v>
      </c>
      <c r="O101" s="7"/>
      <c r="P101" s="7"/>
      <c r="Q101" s="35"/>
      <c r="R101" s="35"/>
      <c r="S101" s="59">
        <f>SUM(U101:U101)/12</f>
        <v>1</v>
      </c>
      <c r="T101" s="1" t="str">
        <f>IF(ISEVEN(LEFT(A101,3)),"Southbound","NorthBound")</f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https://search-rtdc-monitor-bjffxe2xuh6vdkpspy63sjmuny.us-east-1.es.amazonaws.com/_plugin/kibana/#/discover/Steve-Slow-Train-Analysis-(2080s-and-2083s)?_g=(refreshInterval:(display:Off,section:0,value:0),time:(from:'2016-07-05 15:19:19-0600',mode:absolute,to:'2016-07-05 16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38" t="str">
        <f>IF(AA101&lt;23,"Y","N")</f>
        <v>N</v>
      </c>
      <c r="X101" s="38">
        <f>VALUE(LEFT(A101,3))-VALUE(LEFT(A100,3))</f>
        <v>1</v>
      </c>
      <c r="Y101" s="38">
        <f>RIGHT(D101,LEN(D101)-4)/10000</f>
        <v>23.297599999999999</v>
      </c>
      <c r="Z101" s="38">
        <f>RIGHT(H101,LEN(H101)-4)/10000</f>
        <v>1.5599999999999999E-2</v>
      </c>
      <c r="AA101" s="38">
        <f>ABS(Z101-Y101)</f>
        <v>23.282</v>
      </c>
      <c r="AB101" s="39" t="e">
        <f>VLOOKUP(A101,Enforcements!$C$7:$J$30,8,0)</f>
        <v>#N/A</v>
      </c>
      <c r="AC101" s="39" t="e">
        <f>VLOOKUP(A101,Enforcements!$C$7:$E$30,3,0)</f>
        <v>#N/A</v>
      </c>
      <c r="AD101" s="1" t="str">
        <f>IF(LEN(A101)=6,"0"&amp;A101,A101)</f>
        <v>0188-05</v>
      </c>
    </row>
    <row r="102" spans="1:30" s="1" customFormat="1" x14ac:dyDescent="0.25">
      <c r="A102" s="34" t="s">
        <v>530</v>
      </c>
      <c r="B102" s="69">
        <v>4044</v>
      </c>
      <c r="C102" s="69" t="s">
        <v>60</v>
      </c>
      <c r="D102" s="69" t="s">
        <v>561</v>
      </c>
      <c r="E102" s="75">
        <v>42556.610046296293</v>
      </c>
      <c r="F102" s="75">
        <v>42556.611284722225</v>
      </c>
      <c r="G102" s="76">
        <v>1</v>
      </c>
      <c r="H102" s="75" t="s">
        <v>88</v>
      </c>
      <c r="I102" s="75">
        <v>42556.639166666668</v>
      </c>
      <c r="J102" s="69">
        <v>0</v>
      </c>
      <c r="K102" s="34" t="str">
        <f>IF(ISEVEN(B102),(B102-1)&amp;"/"&amp;B102,B102&amp;"/"&amp;(B102+1))</f>
        <v>4043/4044</v>
      </c>
      <c r="L102" s="34" t="str">
        <f>VLOOKUP(A102,'Trips&amp;Operators'!$C$1:$E$10000,3,FALSE)</f>
        <v>STAMBAUGH</v>
      </c>
      <c r="M102" s="6">
        <f>I102-F102</f>
        <v>2.7881944442924578E-2</v>
      </c>
      <c r="N102" s="7">
        <f>24*60*SUM($M102:$M102)</f>
        <v>40.149999997811392</v>
      </c>
      <c r="O102" s="7"/>
      <c r="P102" s="7"/>
      <c r="Q102" s="35"/>
      <c r="R102" s="35"/>
      <c r="S102" s="59">
        <f>SUM(U102:U102)/12</f>
        <v>1</v>
      </c>
      <c r="T102" s="1" t="str">
        <f>IF(ISEVEN(LEFT(A102,3)),"Southbound","NorthBound")</f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https://search-rtdc-monitor-bjffxe2xuh6vdkpspy63sjmuny.us-east-1.es.amazonaws.com/_plugin/kibana/#/discover/Steve-Slow-Train-Analysis-(2080s-and-2083s)?_g=(refreshInterval:(display:Off,section:0,value:0),time:(from:'2016-07-05 14:37:28-0600',mode:absolute,to:'2016-07-05 15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38" t="str">
        <f>IF(AA102&lt;23,"Y","N")</f>
        <v>N</v>
      </c>
      <c r="X102" s="38">
        <f>VALUE(LEFT(A102,3))-VALUE(LEFT(A101,3))</f>
        <v>1</v>
      </c>
      <c r="Y102" s="38">
        <f>RIGHT(D102,LEN(D102)-4)/10000</f>
        <v>4.3999999999999997E-2</v>
      </c>
      <c r="Z102" s="38">
        <f>RIGHT(H102,LEN(H102)-4)/10000</f>
        <v>23.329499999999999</v>
      </c>
      <c r="AA102" s="38">
        <f>ABS(Z102-Y102)</f>
        <v>23.285499999999999</v>
      </c>
      <c r="AB102" s="39" t="e">
        <f>VLOOKUP(A102,Enforcements!$C$7:$J$30,8,0)</f>
        <v>#N/A</v>
      </c>
      <c r="AC102" s="39" t="e">
        <f>VLOOKUP(A102,Enforcements!$C$7:$E$30,3,0)</f>
        <v>#N/A</v>
      </c>
      <c r="AD102" s="1" t="str">
        <f>IF(LEN(A102)=6,"0"&amp;A102,A102)</f>
        <v>0189-05</v>
      </c>
    </row>
    <row r="103" spans="1:30" s="1" customFormat="1" x14ac:dyDescent="0.25">
      <c r="A103" s="34" t="s">
        <v>490</v>
      </c>
      <c r="B103" s="69">
        <v>4043</v>
      </c>
      <c r="C103" s="69" t="s">
        <v>60</v>
      </c>
      <c r="D103" s="69" t="s">
        <v>190</v>
      </c>
      <c r="E103" s="75">
        <v>42556.649745370371</v>
      </c>
      <c r="F103" s="75">
        <v>42556.652199074073</v>
      </c>
      <c r="G103" s="76">
        <v>3</v>
      </c>
      <c r="H103" s="75" t="s">
        <v>624</v>
      </c>
      <c r="I103" s="75">
        <v>42556.68445601852</v>
      </c>
      <c r="J103" s="69">
        <v>0</v>
      </c>
      <c r="K103" s="34" t="str">
        <f>IF(ISEVEN(B103),(B103-1)&amp;"/"&amp;B103,B103&amp;"/"&amp;(B103+1))</f>
        <v>4043/4044</v>
      </c>
      <c r="L103" s="34" t="str">
        <f>VLOOKUP(A103,'Trips&amp;Operators'!$C$1:$E$10000,3,FALSE)</f>
        <v>STAMBAUGH</v>
      </c>
      <c r="M103" s="6">
        <f>I103-F103</f>
        <v>3.2256944446999114E-2</v>
      </c>
      <c r="N103" s="7">
        <f>24*60*SUM($M103:$M103)</f>
        <v>46.450000003678724</v>
      </c>
      <c r="O103" s="7"/>
      <c r="P103" s="7"/>
      <c r="Q103" s="35"/>
      <c r="R103" s="35"/>
      <c r="S103" s="59">
        <f>SUM(U103:U103)/12</f>
        <v>1</v>
      </c>
      <c r="T103" s="1" t="str">
        <f>IF(ISEVEN(LEFT(A103,3)),"Southbound","NorthBound")</f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https://search-rtdc-monitor-bjffxe2xuh6vdkpspy63sjmuny.us-east-1.es.amazonaws.com/_plugin/kibana/#/discover/Steve-Slow-Train-Analysis-(2080s-and-2083s)?_g=(refreshInterval:(display:Off,section:0,value:0),time:(from:'2016-07-05 15:34:38-0600',mode:absolute,to:'2016-07-05 16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3" s="38" t="str">
        <f>IF(AA103&lt;23,"Y","N")</f>
        <v>Y</v>
      </c>
      <c r="X103" s="38">
        <f>VALUE(LEFT(A103,3))-VALUE(LEFT(A102,3))</f>
        <v>1</v>
      </c>
      <c r="Y103" s="38">
        <f>RIGHT(D103,LEN(D103)-4)/10000</f>
        <v>23.2973</v>
      </c>
      <c r="Z103" s="38">
        <f>RIGHT(H103,LEN(H103)-4)/10000</f>
        <v>0.52459999999999996</v>
      </c>
      <c r="AA103" s="38">
        <f>ABS(Z103-Y103)</f>
        <v>22.7727</v>
      </c>
      <c r="AB103" s="39" t="e">
        <f>VLOOKUP(A103,Enforcements!$C$7:$J$30,8,0)</f>
        <v>#N/A</v>
      </c>
      <c r="AC103" s="39" t="e">
        <f>VLOOKUP(A103,Enforcements!$C$7:$E$30,3,0)</f>
        <v>#N/A</v>
      </c>
      <c r="AD103" s="1" t="str">
        <f>IF(LEN(A103)=6,"0"&amp;A103,A103)</f>
        <v>0190-05</v>
      </c>
    </row>
    <row r="104" spans="1:30" s="1" customFormat="1" x14ac:dyDescent="0.25">
      <c r="A104" s="34" t="s">
        <v>493</v>
      </c>
      <c r="B104" s="69">
        <v>4038</v>
      </c>
      <c r="C104" s="69" t="s">
        <v>60</v>
      </c>
      <c r="D104" s="69" t="s">
        <v>326</v>
      </c>
      <c r="E104" s="75">
        <v>42556.623067129629</v>
      </c>
      <c r="F104" s="75">
        <v>42556.62395833333</v>
      </c>
      <c r="G104" s="76">
        <v>1</v>
      </c>
      <c r="H104" s="75" t="s">
        <v>604</v>
      </c>
      <c r="I104" s="75">
        <v>42556.650081018517</v>
      </c>
      <c r="J104" s="69">
        <v>0</v>
      </c>
      <c r="K104" s="34" t="str">
        <f>IF(ISEVEN(B104),(B104-1)&amp;"/"&amp;B104,B104&amp;"/"&amp;(B104+1))</f>
        <v>4037/4038</v>
      </c>
      <c r="L104" s="34" t="str">
        <f>VLOOKUP(A104,'Trips&amp;Operators'!$C$1:$E$10000,3,FALSE)</f>
        <v>LOCKLEAR</v>
      </c>
      <c r="M104" s="6">
        <f>I104-F104</f>
        <v>2.6122685187146999E-2</v>
      </c>
      <c r="N104" s="7">
        <f>24*60*SUM($M104:$M104)</f>
        <v>37.616666669491678</v>
      </c>
      <c r="O104" s="7"/>
      <c r="P104" s="7"/>
      <c r="Q104" s="35"/>
      <c r="R104" s="35"/>
      <c r="S104" s="59">
        <f>SUM(U104:U104)/12</f>
        <v>1</v>
      </c>
      <c r="T104" s="1" t="str">
        <f>IF(ISEVEN(LEFT(A104,3)),"Southbound","NorthBound")</f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https://search-rtdc-monitor-bjffxe2xuh6vdkpspy63sjmuny.us-east-1.es.amazonaws.com/_plugin/kibana/#/discover/Steve-Slow-Train-Analysis-(2080s-and-2083s)?_g=(refreshInterval:(display:Off,section:0,value:0),time:(from:'2016-07-05 14:56:13-0600',mode:absolute,to:'2016-07-05 15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4" s="38" t="str">
        <f>IF(AA104&lt;23,"Y","N")</f>
        <v>N</v>
      </c>
      <c r="X104" s="38">
        <f>VALUE(LEFT(A104,3))-VALUE(LEFT(A103,3))</f>
        <v>1</v>
      </c>
      <c r="Y104" s="38">
        <f>RIGHT(D104,LEN(D104)-4)/10000</f>
        <v>4.6199999999999998E-2</v>
      </c>
      <c r="Z104" s="38">
        <f>RIGHT(H104,LEN(H104)-4)/10000</f>
        <v>23.333200000000001</v>
      </c>
      <c r="AA104" s="38">
        <f>ABS(Z104-Y104)</f>
        <v>23.287000000000003</v>
      </c>
      <c r="AB104" s="39" t="e">
        <f>VLOOKUP(A104,Enforcements!$C$7:$J$30,8,0)</f>
        <v>#N/A</v>
      </c>
      <c r="AC104" s="39" t="e">
        <f>VLOOKUP(A104,Enforcements!$C$7:$E$30,3,0)</f>
        <v>#N/A</v>
      </c>
      <c r="AD104" s="1" t="str">
        <f>IF(LEN(A104)=6,"0"&amp;A104,A104)</f>
        <v>0191-05</v>
      </c>
    </row>
    <row r="105" spans="1:30" s="1" customFormat="1" x14ac:dyDescent="0.25">
      <c r="A105" s="34" t="s">
        <v>393</v>
      </c>
      <c r="B105" s="69">
        <v>4027</v>
      </c>
      <c r="C105" s="69" t="s">
        <v>60</v>
      </c>
      <c r="D105" s="69" t="s">
        <v>625</v>
      </c>
      <c r="E105" s="75">
        <v>42556.647523148145</v>
      </c>
      <c r="F105" s="75">
        <v>42556.648680555554</v>
      </c>
      <c r="G105" s="76">
        <v>1</v>
      </c>
      <c r="H105" s="75" t="s">
        <v>626</v>
      </c>
      <c r="I105" s="75">
        <v>42556.653483796297</v>
      </c>
      <c r="J105" s="69">
        <v>1</v>
      </c>
      <c r="K105" s="34" t="str">
        <f>IF(ISEVEN(B105),(B105-1)&amp;"/"&amp;B105,B105&amp;"/"&amp;(B105+1))</f>
        <v>4027/4028</v>
      </c>
      <c r="L105" s="34" t="str">
        <f>VLOOKUP(A105,'Trips&amp;Operators'!$C$1:$E$10000,3,FALSE)</f>
        <v>SHOOK</v>
      </c>
      <c r="M105" s="6">
        <f>I105-F105</f>
        <v>4.803240743058268E-3</v>
      </c>
      <c r="N105" s="7"/>
      <c r="O105" s="7"/>
      <c r="P105" s="7">
        <f>24*60*SUM($M105:$M106)</f>
        <v>32.88333332980983</v>
      </c>
      <c r="Q105" s="35"/>
      <c r="R105" s="35" t="s">
        <v>728</v>
      </c>
      <c r="S105" s="59">
        <f>SUM(U105:U106)/12</f>
        <v>0.5</v>
      </c>
      <c r="T105" s="1" t="str">
        <f>IF(ISEVEN(LEFT(A105,3)),"Southbound","NorthBound")</f>
        <v>NorthBound</v>
      </c>
      <c r="U105" s="1">
        <f>COUNTIFS(Variables!$M$2:$M$19,IF(T105="NorthBound","&gt;=","&lt;=")&amp;Y105,Variables!$M$2:$M$19,IF(T105="NorthBound","&lt;=","&gt;=")&amp;Z105)</f>
        <v>3</v>
      </c>
      <c r="V105" s="3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5" s="38" t="str">
        <f>IF(AA105&lt;23,"Y","N")</f>
        <v>Y</v>
      </c>
      <c r="X105" s="38">
        <f>VALUE(LEFT(A105,3))-VALUE(LEFT(A104,3))</f>
        <v>2</v>
      </c>
      <c r="Y105" s="38">
        <f>RIGHT(D105,LEN(D105)-4)/10000</f>
        <v>1.9152</v>
      </c>
      <c r="Z105" s="38">
        <f>RIGHT(H105,LEN(H105)-4)/10000</f>
        <v>3.6837</v>
      </c>
      <c r="AA105" s="38">
        <f>ABS(Z105-Y105)</f>
        <v>1.7685</v>
      </c>
      <c r="AB105" s="39" t="e">
        <f>VLOOKUP(A105,Enforcements!$C$7:$J$30,8,0)</f>
        <v>#N/A</v>
      </c>
      <c r="AC105" s="39" t="e">
        <f>VLOOKUP(A105,Enforcements!$C$7:$E$30,3,0)</f>
        <v>#N/A</v>
      </c>
      <c r="AD105" s="1" t="str">
        <f>IF(LEN(A105)=6,"0"&amp;A105,A105)</f>
        <v>0193-05</v>
      </c>
    </row>
    <row r="106" spans="1:30" s="1" customFormat="1" x14ac:dyDescent="0.25">
      <c r="A106" s="34" t="s">
        <v>393</v>
      </c>
      <c r="B106" s="69">
        <v>4027</v>
      </c>
      <c r="C106" s="69" t="s">
        <v>60</v>
      </c>
      <c r="D106" s="69" t="s">
        <v>627</v>
      </c>
      <c r="E106" s="75">
        <v>42556.658796296295</v>
      </c>
      <c r="F106" s="75">
        <v>42556.65965277778</v>
      </c>
      <c r="G106" s="76">
        <v>1</v>
      </c>
      <c r="H106" s="75" t="s">
        <v>628</v>
      </c>
      <c r="I106" s="75">
        <v>42556.677685185183</v>
      </c>
      <c r="J106" s="69">
        <v>2</v>
      </c>
      <c r="K106" s="34" t="str">
        <f>IF(ISEVEN(B106),(B106-1)&amp;"/"&amp;B106,B106&amp;"/"&amp;(B106+1))</f>
        <v>4027/4028</v>
      </c>
      <c r="L106" s="34" t="str">
        <f>VLOOKUP(A106,'Trips&amp;Operators'!$C$1:$E$10000,3,FALSE)</f>
        <v>SHOOK</v>
      </c>
      <c r="M106" s="6">
        <f>I106-F106</f>
        <v>1.8032407402643003E-2</v>
      </c>
      <c r="N106" s="7"/>
      <c r="O106" s="7"/>
      <c r="P106" s="7"/>
      <c r="Q106" s="35"/>
      <c r="R106" s="35"/>
      <c r="S106" s="59"/>
      <c r="T106" s="1" t="str">
        <f>IF(ISEVEN(LEFT(A106,3)),"Southbound","NorthBound")</f>
        <v>NorthBound</v>
      </c>
      <c r="U106" s="1">
        <f>COUNTIFS(Variables!$M$2:$M$19,IF(T106="NorthBound","&gt;=","&lt;=")&amp;Y106,Variables!$M$2:$M$19,IF(T106="NorthBound","&lt;=","&gt;=")&amp;Z106)</f>
        <v>3</v>
      </c>
      <c r="V106" s="3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https://search-rtdc-monitor-bjffxe2xuh6vdkpspy63sjmuny.us-east-1.es.amazonaws.com/_plugin/kibana/#/discover/Steve-Slow-Train-Analysis-(2080s-and-2083s)?_g=(refreshInterval:(display:Off,section:0,value:0),time:(from:'2016-07-05 15:47:40-0600',mode:absolute,to:'2016-07-05 16:16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6" s="38" t="str">
        <f>IF(AA106&lt;23,"Y","N")</f>
        <v>Y</v>
      </c>
      <c r="X106" s="38">
        <f>VALUE(LEFT(A106,3))-VALUE(LEFT(A105,3))</f>
        <v>0</v>
      </c>
      <c r="Y106" s="38">
        <f>RIGHT(D106,LEN(D106)-4)/10000</f>
        <v>6.4892000000000003</v>
      </c>
      <c r="Z106" s="38">
        <f>RIGHT(H106,LEN(H106)-4)/10000</f>
        <v>23.328199999999999</v>
      </c>
      <c r="AA106" s="38">
        <f>ABS(Z106-Y106)</f>
        <v>16.838999999999999</v>
      </c>
      <c r="AB106" s="39" t="e">
        <f>VLOOKUP(A106,Enforcements!$C$7:$J$30,8,0)</f>
        <v>#N/A</v>
      </c>
      <c r="AC106" s="39" t="e">
        <f>VLOOKUP(A106,Enforcements!$C$7:$E$30,3,0)</f>
        <v>#N/A</v>
      </c>
      <c r="AD106" s="1" t="str">
        <f>IF(LEN(A106)=6,"0"&amp;A106,A106)</f>
        <v>0193-05</v>
      </c>
    </row>
    <row r="107" spans="1:30" s="1" customFormat="1" x14ac:dyDescent="0.25">
      <c r="A107" s="34" t="s">
        <v>392</v>
      </c>
      <c r="B107" s="69">
        <v>4018</v>
      </c>
      <c r="C107" s="69" t="s">
        <v>60</v>
      </c>
      <c r="D107" s="69" t="s">
        <v>68</v>
      </c>
      <c r="E107" s="75">
        <v>42556.640219907407</v>
      </c>
      <c r="F107" s="75">
        <v>42556.641215277778</v>
      </c>
      <c r="G107" s="76">
        <v>1</v>
      </c>
      <c r="H107" s="75" t="s">
        <v>133</v>
      </c>
      <c r="I107" s="75">
        <v>42556.682974537034</v>
      </c>
      <c r="J107" s="69">
        <v>1</v>
      </c>
      <c r="K107" s="34" t="str">
        <f>IF(ISEVEN(B107),(B107-1)&amp;"/"&amp;B107,B107&amp;"/"&amp;(B107+1))</f>
        <v>4017/4018</v>
      </c>
      <c r="L107" s="34" t="str">
        <f>VLOOKUP(A107,'Trips&amp;Operators'!$C$1:$E$10000,3,FALSE)</f>
        <v>KILLION</v>
      </c>
      <c r="M107" s="6">
        <f>I107-F107</f>
        <v>4.1759259256650694E-2</v>
      </c>
      <c r="N107" s="7">
        <f>24*60*SUM($M107:$M107)</f>
        <v>60.133333329576999</v>
      </c>
      <c r="O107" s="7"/>
      <c r="P107" s="7"/>
      <c r="Q107" s="35"/>
      <c r="R107" s="35"/>
      <c r="S107" s="59">
        <f>SUM(U107:U107)/12</f>
        <v>1</v>
      </c>
      <c r="T107" s="1" t="str">
        <f>IF(ISEVEN(LEFT(A107,3)),"Southbound","NorthBound")</f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38" t="str">
        <f>IF(AA107&lt;23,"Y","N")</f>
        <v>N</v>
      </c>
      <c r="X107" s="38">
        <f>VALUE(LEFT(A107,3))-VALUE(LEFT(A106,3))</f>
        <v>2</v>
      </c>
      <c r="Y107" s="38">
        <f>RIGHT(D107,LEN(D107)-4)/10000</f>
        <v>4.5999999999999999E-2</v>
      </c>
      <c r="Z107" s="38">
        <f>RIGHT(H107,LEN(H107)-4)/10000</f>
        <v>23.331399999999999</v>
      </c>
      <c r="AA107" s="38">
        <f>ABS(Z107-Y107)</f>
        <v>23.285399999999999</v>
      </c>
      <c r="AB107" s="39">
        <f>VLOOKUP(A107,Enforcements!$C$7:$J$30,8,0)</f>
        <v>5457</v>
      </c>
      <c r="AC107" s="39" t="str">
        <f>VLOOKUP(A107,Enforcements!$C$7:$E$30,3,0)</f>
        <v>PERMANENT SPEED RESTRICTION</v>
      </c>
      <c r="AD107" s="1" t="str">
        <f>IF(LEN(A107)=6,"0"&amp;A107,A107)</f>
        <v>0195-05</v>
      </c>
    </row>
    <row r="108" spans="1:30" s="1" customFormat="1" x14ac:dyDescent="0.25">
      <c r="A108" s="34" t="s">
        <v>397</v>
      </c>
      <c r="B108" s="69">
        <v>4017</v>
      </c>
      <c r="C108" s="69" t="s">
        <v>60</v>
      </c>
      <c r="D108" s="69" t="s">
        <v>191</v>
      </c>
      <c r="E108" s="75">
        <v>42556.686805555553</v>
      </c>
      <c r="F108" s="75">
        <v>42556.687627314815</v>
      </c>
      <c r="G108" s="76">
        <v>1</v>
      </c>
      <c r="H108" s="75" t="s">
        <v>629</v>
      </c>
      <c r="I108" s="75">
        <v>42556.714282407411</v>
      </c>
      <c r="J108" s="69">
        <v>1</v>
      </c>
      <c r="K108" s="34" t="str">
        <f>IF(ISEVEN(B108),(B108-1)&amp;"/"&amp;B108,B108&amp;"/"&amp;(B108+1))</f>
        <v>4017/4018</v>
      </c>
      <c r="L108" s="34" t="str">
        <f>VLOOKUP(A108,'Trips&amp;Operators'!$C$1:$E$10000,3,FALSE)</f>
        <v>KILLION</v>
      </c>
      <c r="M108" s="6">
        <f>I108-F108</f>
        <v>2.6655092595319729E-2</v>
      </c>
      <c r="N108" s="7"/>
      <c r="O108" s="7"/>
      <c r="P108" s="7">
        <f>24*60*SUM($M108:$M108)</f>
        <v>38.38333333726041</v>
      </c>
      <c r="Q108" s="35"/>
      <c r="R108" s="35" t="s">
        <v>729</v>
      </c>
      <c r="S108" s="59">
        <f>SUM(U108:U108)/12</f>
        <v>1</v>
      </c>
      <c r="T108" s="1" t="str">
        <f>IF(ISEVEN(LEFT(A108,3)),"Southbound","NorthBound")</f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38" t="str">
        <f>IF(AA108&lt;23,"Y","N")</f>
        <v>Y</v>
      </c>
      <c r="X108" s="38">
        <f>VALUE(LEFT(A108,3))-VALUE(LEFT(A107,3))</f>
        <v>1</v>
      </c>
      <c r="Y108" s="38">
        <f>RIGHT(D108,LEN(D108)-4)/10000</f>
        <v>23.2987</v>
      </c>
      <c r="Z108" s="38">
        <f>RIGHT(H108,LEN(H108)-4)/10000</f>
        <v>1.8766</v>
      </c>
      <c r="AA108" s="38">
        <f>ABS(Z108-Y108)</f>
        <v>21.4221</v>
      </c>
      <c r="AB108" s="39" t="e">
        <f>VLOOKUP(A108,Enforcements!$C$7:$J$30,8,0)</f>
        <v>#N/A</v>
      </c>
      <c r="AC108" s="39" t="e">
        <f>VLOOKUP(A108,Enforcements!$C$7:$E$30,3,0)</f>
        <v>#N/A</v>
      </c>
      <c r="AD108" s="1" t="str">
        <f>IF(LEN(A108)=6,"0"&amp;A108,A108)</f>
        <v>0196-05</v>
      </c>
    </row>
    <row r="109" spans="1:30" x14ac:dyDescent="0.25">
      <c r="A109" s="34" t="s">
        <v>461</v>
      </c>
      <c r="B109" s="69">
        <v>4014</v>
      </c>
      <c r="C109" s="69" t="s">
        <v>60</v>
      </c>
      <c r="D109" s="69" t="s">
        <v>623</v>
      </c>
      <c r="E109" s="75">
        <v>42556.654236111113</v>
      </c>
      <c r="F109" s="75">
        <v>42556.656736111108</v>
      </c>
      <c r="G109" s="76">
        <v>3</v>
      </c>
      <c r="H109" s="75" t="s">
        <v>630</v>
      </c>
      <c r="I109" s="75">
        <v>42556.687337962961</v>
      </c>
      <c r="J109" s="69">
        <v>0</v>
      </c>
      <c r="K109" s="34" t="str">
        <f>IF(ISEVEN(B109),(B109-1)&amp;"/"&amp;B109,B109&amp;"/"&amp;(B109+1))</f>
        <v>4013/4014</v>
      </c>
      <c r="L109" s="34" t="str">
        <f>VLOOKUP(A109,'Trips&amp;Operators'!$C$1:$E$10000,3,FALSE)</f>
        <v>YOUNG</v>
      </c>
      <c r="M109" s="6">
        <f>I109-F109</f>
        <v>3.0601851853134576E-2</v>
      </c>
      <c r="N109" s="7">
        <f>24*60*SUM($M109:$M109)</f>
        <v>44.06666666851379</v>
      </c>
      <c r="O109" s="7"/>
      <c r="P109" s="7"/>
      <c r="Q109" s="35"/>
      <c r="R109" s="35"/>
      <c r="S109" s="59">
        <f>SUM(U109:U109)/12</f>
        <v>1</v>
      </c>
      <c r="T109" s="1" t="str">
        <f>IF(ISEVEN(LEFT(A109,3)),"Southbound","NorthBound")</f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https://search-rtdc-monitor-bjffxe2xuh6vdkpspy63sjmuny.us-east-1.es.amazonaws.com/_plugin/kibana/#/discover/Steve-Slow-Train-Analysis-(2080s-and-2083s)?_g=(refreshInterval:(display:Off,section:0,value:0),time:(from:'2016-07-05 15:41:06-0600',mode:absolute,to:'2016-07-05 16:30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38" t="str">
        <f>IF(AA109&lt;23,"Y","N")</f>
        <v>N</v>
      </c>
      <c r="X109" s="38">
        <f>VALUE(LEFT(A109,3))-VALUE(LEFT(A108,3))</f>
        <v>1</v>
      </c>
      <c r="Y109" s="38">
        <f>RIGHT(D109,LEN(D109)-4)/10000</f>
        <v>5.3499999999999999E-2</v>
      </c>
      <c r="Z109" s="38">
        <f>RIGHT(H109,LEN(H109)-4)/10000</f>
        <v>23.329699999999999</v>
      </c>
      <c r="AA109" s="38">
        <f>ABS(Z109-Y109)</f>
        <v>23.276199999999999</v>
      </c>
      <c r="AB109" s="39" t="e">
        <f>VLOOKUP(A109,Enforcements!$C$7:$J$30,8,0)</f>
        <v>#N/A</v>
      </c>
      <c r="AC109" s="39" t="e">
        <f>VLOOKUP(A109,Enforcements!$C$7:$E$30,3,0)</f>
        <v>#N/A</v>
      </c>
      <c r="AD109" s="1" t="str">
        <f>IF(LEN(A109)=6,"0"&amp;A109,A109)</f>
        <v>0197-05</v>
      </c>
    </row>
    <row r="110" spans="1:30" x14ac:dyDescent="0.25">
      <c r="A110" s="34" t="s">
        <v>469</v>
      </c>
      <c r="B110" s="69">
        <v>4013</v>
      </c>
      <c r="C110" s="69" t="s">
        <v>60</v>
      </c>
      <c r="D110" s="69" t="s">
        <v>631</v>
      </c>
      <c r="E110" s="75">
        <v>42556.707465277781</v>
      </c>
      <c r="F110" s="75">
        <v>42556.708414351851</v>
      </c>
      <c r="G110" s="76">
        <v>1</v>
      </c>
      <c r="H110" s="75" t="s">
        <v>632</v>
      </c>
      <c r="I110" s="75">
        <v>42556.722800925927</v>
      </c>
      <c r="J110" s="69">
        <v>0</v>
      </c>
      <c r="K110" s="34" t="str">
        <f>IF(ISEVEN(B110),(B110-1)&amp;"/"&amp;B110,B110&amp;"/"&amp;(B110+1))</f>
        <v>4013/4014</v>
      </c>
      <c r="L110" s="34" t="str">
        <f>VLOOKUP(A110,'Trips&amp;Operators'!$C$1:$E$10000,3,FALSE)</f>
        <v>YOUNG</v>
      </c>
      <c r="M110" s="6">
        <f>I110-F110</f>
        <v>1.4386574075615499E-2</v>
      </c>
      <c r="N110" s="7"/>
      <c r="O110" s="7"/>
      <c r="P110" s="7">
        <f>24*60*SUM($M110:$M110)</f>
        <v>20.716666668886319</v>
      </c>
      <c r="Q110" s="35"/>
      <c r="R110" s="35" t="s">
        <v>729</v>
      </c>
      <c r="S110" s="59">
        <f>SUM(U110:U110)/12</f>
        <v>1</v>
      </c>
      <c r="T110" s="1" t="str">
        <f>IF(ISEVEN(LEFT(A110,3)),"Southbound","NorthBound")</f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https://search-rtdc-monitor-bjffxe2xuh6vdkpspy63sjmuny.us-east-1.es.amazonaws.com/_plugin/kibana/#/discover/Steve-Slow-Train-Analysis-(2080s-and-2083s)?_g=(refreshInterval:(display:Off,section:0,value:0),time:(from:'2016-07-05 16:57:45-0600',mode:absolute,to:'2016-07-05 17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38" t="str">
        <f>IF(AA110&lt;23,"Y","N")</f>
        <v>Y</v>
      </c>
      <c r="X110" s="38">
        <f>VALUE(LEFT(A110,3))-VALUE(LEFT(A109,3))</f>
        <v>1</v>
      </c>
      <c r="Y110" s="38">
        <f>RIGHT(D110,LEN(D110)-4)/10000</f>
        <v>12.7843</v>
      </c>
      <c r="Z110" s="38">
        <f>RIGHT(H110,LEN(H110)-4)/10000</f>
        <v>1.8765000000000001</v>
      </c>
      <c r="AA110" s="38">
        <f>ABS(Z110-Y110)</f>
        <v>10.9078</v>
      </c>
      <c r="AB110" s="39" t="e">
        <f>VLOOKUP(A110,Enforcements!$C$7:$J$30,8,0)</f>
        <v>#N/A</v>
      </c>
      <c r="AC110" s="39" t="e">
        <f>VLOOKUP(A110,Enforcements!$C$7:$E$30,3,0)</f>
        <v>#N/A</v>
      </c>
      <c r="AD110" s="1" t="str">
        <f>IF(LEN(A110)=6,"0"&amp;A110,A110)</f>
        <v>0198-05</v>
      </c>
    </row>
    <row r="111" spans="1:30" s="1" customFormat="1" x14ac:dyDescent="0.25">
      <c r="A111" s="34" t="s">
        <v>498</v>
      </c>
      <c r="B111" s="69">
        <v>4020</v>
      </c>
      <c r="C111" s="69" t="s">
        <v>60</v>
      </c>
      <c r="D111" s="69" t="s">
        <v>197</v>
      </c>
      <c r="E111" s="75">
        <v>42556.66333333333</v>
      </c>
      <c r="F111" s="75">
        <v>42556.6643287037</v>
      </c>
      <c r="G111" s="76">
        <v>1</v>
      </c>
      <c r="H111" s="75" t="s">
        <v>604</v>
      </c>
      <c r="I111" s="75">
        <v>42556.693738425929</v>
      </c>
      <c r="J111" s="69">
        <v>0</v>
      </c>
      <c r="K111" s="34" t="str">
        <f>IF(ISEVEN(B111),(B111-1)&amp;"/"&amp;B111,B111&amp;"/"&amp;(B111+1))</f>
        <v>4019/4020</v>
      </c>
      <c r="L111" s="34" t="str">
        <f>VLOOKUP(A111,'Trips&amp;Operators'!$C$1:$E$10000,3,FALSE)</f>
        <v>BONDS</v>
      </c>
      <c r="M111" s="6">
        <f>I111-F111</f>
        <v>2.9409722228592727E-2</v>
      </c>
      <c r="N111" s="7">
        <f>24*60*SUM($M111:$M111)</f>
        <v>42.350000009173527</v>
      </c>
      <c r="O111" s="7"/>
      <c r="P111" s="7"/>
      <c r="Q111" s="35"/>
      <c r="R111" s="35"/>
      <c r="S111" s="59">
        <f>SUM(U111:U111)/12</f>
        <v>1</v>
      </c>
      <c r="T111" s="1" t="str">
        <f>IF(ISEVEN(LEFT(A111,3)),"Southbound","NorthBound")</f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https://search-rtdc-monitor-bjffxe2xuh6vdkpspy63sjmuny.us-east-1.es.amazonaws.com/_plugin/kibana/#/discover/Steve-Slow-Train-Analysis-(2080s-and-2083s)?_g=(refreshInterval:(display:Off,section:0,value:0),time:(from:'2016-07-05 15:54:12-0600',mode:absolute,to:'2016-07-05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1" s="38" t="str">
        <f>IF(AA111&lt;23,"Y","N")</f>
        <v>N</v>
      </c>
      <c r="X111" s="38">
        <f>VALUE(LEFT(A111,3))-VALUE(LEFT(A110,3))</f>
        <v>1</v>
      </c>
      <c r="Y111" s="38">
        <f>RIGHT(D111,LEN(D111)-4)/10000</f>
        <v>4.6899999999999997E-2</v>
      </c>
      <c r="Z111" s="38">
        <f>RIGHT(H111,LEN(H111)-4)/10000</f>
        <v>23.333200000000001</v>
      </c>
      <c r="AA111" s="38">
        <f>ABS(Z111-Y111)</f>
        <v>23.286300000000001</v>
      </c>
      <c r="AB111" s="39" t="e">
        <f>VLOOKUP(A111,Enforcements!$C$7:$J$30,8,0)</f>
        <v>#N/A</v>
      </c>
      <c r="AC111" s="39" t="e">
        <f>VLOOKUP(A111,Enforcements!$C$7:$E$30,3,0)</f>
        <v>#N/A</v>
      </c>
      <c r="AD111" s="1" t="str">
        <f>IF(LEN(A111)=6,"0"&amp;A111,A111)</f>
        <v>0199-05</v>
      </c>
    </row>
    <row r="112" spans="1:30" x14ac:dyDescent="0.25">
      <c r="A112" s="34" t="s">
        <v>492</v>
      </c>
      <c r="B112" s="69">
        <v>4019</v>
      </c>
      <c r="C112" s="69" t="s">
        <v>60</v>
      </c>
      <c r="D112" s="69" t="s">
        <v>621</v>
      </c>
      <c r="E112" s="75">
        <v>42556.700601851851</v>
      </c>
      <c r="F112" s="75">
        <v>42556.701516203706</v>
      </c>
      <c r="G112" s="76">
        <v>1</v>
      </c>
      <c r="H112" s="75" t="s">
        <v>633</v>
      </c>
      <c r="I112" s="75">
        <v>42556.729953703703</v>
      </c>
      <c r="J112" s="69">
        <v>0</v>
      </c>
      <c r="K112" s="34" t="str">
        <f>IF(ISEVEN(B112),(B112-1)&amp;"/"&amp;B112,B112&amp;"/"&amp;(B112+1))</f>
        <v>4019/4020</v>
      </c>
      <c r="L112" s="34" t="str">
        <f>VLOOKUP(A112,'Trips&amp;Operators'!$C$1:$E$10000,3,FALSE)</f>
        <v>BONDS</v>
      </c>
      <c r="M112" s="6">
        <f>I112-F112</f>
        <v>2.8437499997380655E-2</v>
      </c>
      <c r="N112" s="7"/>
      <c r="O112" s="7"/>
      <c r="P112" s="7">
        <f>24*60*SUM($M112:$M112)</f>
        <v>40.949999996228144</v>
      </c>
      <c r="Q112" s="35"/>
      <c r="R112" s="35" t="s">
        <v>729</v>
      </c>
      <c r="S112" s="59">
        <f>SUM(U112:U112)/12</f>
        <v>1</v>
      </c>
      <c r="T112" s="1" t="str">
        <f>IF(ISEVEN(LEFT(A112,3)),"Southbound","NorthBound")</f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https://search-rtdc-monitor-bjffxe2xuh6vdkpspy63sjmuny.us-east-1.es.amazonaws.com/_plugin/kibana/#/discover/Steve-Slow-Train-Analysis-(2080s-and-2083s)?_g=(refreshInterval:(display:Off,section:0,value:0),time:(from:'2016-07-05 16:47:52-0600',mode:absolute,to:'2016-07-05 17:32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2" s="38" t="str">
        <f>IF(AA112&lt;23,"Y","N")</f>
        <v>Y</v>
      </c>
      <c r="X112" s="38">
        <f>VALUE(LEFT(A112,3))-VALUE(LEFT(A111,3))</f>
        <v>1</v>
      </c>
      <c r="Y112" s="38">
        <f>RIGHT(D112,LEN(D112)-4)/10000</f>
        <v>23.302499999999998</v>
      </c>
      <c r="Z112" s="38">
        <f>RIGHT(H112,LEN(H112)-4)/10000</f>
        <v>1.8754</v>
      </c>
      <c r="AA112" s="38">
        <f>ABS(Z112-Y112)</f>
        <v>21.427099999999999</v>
      </c>
      <c r="AB112" s="39" t="e">
        <f>VLOOKUP(A112,Enforcements!$C$7:$J$30,8,0)</f>
        <v>#N/A</v>
      </c>
      <c r="AC112" s="39" t="e">
        <f>VLOOKUP(A112,Enforcements!$C$7:$E$30,3,0)</f>
        <v>#N/A</v>
      </c>
      <c r="AD112" s="1" t="str">
        <f>IF(LEN(A112)=6,"0"&amp;A112,A112)</f>
        <v>0200-05</v>
      </c>
    </row>
    <row r="113" spans="1:30" x14ac:dyDescent="0.25">
      <c r="A113" s="34" t="s">
        <v>396</v>
      </c>
      <c r="B113" s="69">
        <v>4031</v>
      </c>
      <c r="C113" s="69" t="s">
        <v>60</v>
      </c>
      <c r="D113" s="69" t="s">
        <v>634</v>
      </c>
      <c r="E113" s="75">
        <v>42556.681354166663</v>
      </c>
      <c r="F113" s="75">
        <v>42556.682118055556</v>
      </c>
      <c r="G113" s="76">
        <v>1</v>
      </c>
      <c r="H113" s="75" t="s">
        <v>635</v>
      </c>
      <c r="I113" s="75">
        <v>42556.703969907408</v>
      </c>
      <c r="J113" s="69">
        <v>1</v>
      </c>
      <c r="K113" s="34" t="str">
        <f>IF(ISEVEN(B113),(B113-1)&amp;"/"&amp;B113,B113&amp;"/"&amp;(B113+1))</f>
        <v>4031/4032</v>
      </c>
      <c r="L113" s="34" t="str">
        <f>VLOOKUP(A113,'Trips&amp;Operators'!$C$1:$E$10000,3,FALSE)</f>
        <v>COOLAHAN</v>
      </c>
      <c r="M113" s="6">
        <f>I113-F113</f>
        <v>2.1851851852261461E-2</v>
      </c>
      <c r="N113" s="7"/>
      <c r="O113" s="7"/>
      <c r="P113" s="7">
        <f>24*60*SUM($M113:$M113)</f>
        <v>31.466666667256504</v>
      </c>
      <c r="Q113" s="35"/>
      <c r="R113" s="35" t="s">
        <v>729</v>
      </c>
      <c r="S113" s="59">
        <f>SUM(U113:U113)/12</f>
        <v>1</v>
      </c>
      <c r="T113" s="1" t="str">
        <f>IF(ISEVEN(LEFT(A113,3)),"Southbound","NorthBound")</f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38" t="str">
        <f>IF(AA113&lt;23,"Y","N")</f>
        <v>Y</v>
      </c>
      <c r="X113" s="38">
        <f>VALUE(LEFT(A113,3))-VALUE(LEFT(A112,3))</f>
        <v>1</v>
      </c>
      <c r="Y113" s="38">
        <f>RIGHT(D113,LEN(D113)-4)/10000</f>
        <v>1.9133</v>
      </c>
      <c r="Z113" s="38">
        <f>RIGHT(H113,LEN(H113)-4)/10000</f>
        <v>23.3215</v>
      </c>
      <c r="AA113" s="38">
        <f>ABS(Z113-Y113)</f>
        <v>21.408200000000001</v>
      </c>
      <c r="AB113" s="39" t="e">
        <f>VLOOKUP(A113,Enforcements!$C$7:$J$30,8,0)</f>
        <v>#N/A</v>
      </c>
      <c r="AC113" s="39" t="e">
        <f>VLOOKUP(A113,Enforcements!$C$7:$E$30,3,0)</f>
        <v>#N/A</v>
      </c>
      <c r="AD113" s="1" t="str">
        <f>IF(LEN(A113)=6,"0"&amp;A113,A113)</f>
        <v>0201-05</v>
      </c>
    </row>
    <row r="114" spans="1:30" x14ac:dyDescent="0.25">
      <c r="A114" s="34" t="s">
        <v>396</v>
      </c>
      <c r="B114" s="69">
        <v>4031</v>
      </c>
      <c r="C114" s="69" t="s">
        <v>60</v>
      </c>
      <c r="D114" s="69" t="s">
        <v>568</v>
      </c>
      <c r="E114" s="75">
        <v>42556.672615740739</v>
      </c>
      <c r="F114" s="75">
        <v>42556.674027777779</v>
      </c>
      <c r="G114" s="76">
        <v>2</v>
      </c>
      <c r="H114" s="75" t="s">
        <v>636</v>
      </c>
      <c r="I114" s="75">
        <v>42556.678391203706</v>
      </c>
      <c r="J114" s="69">
        <v>1</v>
      </c>
      <c r="K114" s="34" t="str">
        <f>IF(ISEVEN(B114),(B114-1)&amp;"/"&amp;B114,B114&amp;"/"&amp;(B114+1))</f>
        <v>4031/4032</v>
      </c>
      <c r="L114" s="34" t="str">
        <f>VLOOKUP(A114,'Trips&amp;Operators'!$C$1:$E$10000,3,FALSE)</f>
        <v>COOLAHAN</v>
      </c>
      <c r="M114" s="6">
        <f>I114-F114</f>
        <v>4.3634259272948839E-3</v>
      </c>
      <c r="N114" s="7">
        <f>24*60*SUM($M114:$M114)</f>
        <v>6.2833333353046328</v>
      </c>
      <c r="O114" s="7"/>
      <c r="P114" s="7"/>
      <c r="Q114" s="35"/>
      <c r="R114" s="35"/>
      <c r="S114" s="59">
        <f>SUM(U114:U114)/12</f>
        <v>0</v>
      </c>
      <c r="T114" s="1" t="str">
        <f>IF(ISEVEN(LEFT(A114,3)),"Southbound","NorthBound")</f>
        <v>NorthBound</v>
      </c>
      <c r="U114" s="1">
        <f>COUNTIFS(Variables!$M$2:$M$19,IF(T114="NorthBound","&gt;=","&lt;=")&amp;Y114,Variables!$M$2:$M$19,IF(T114="NorthBound","&lt;=","&gt;=")&amp;Z114)</f>
        <v>0</v>
      </c>
      <c r="V114" s="3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https://search-rtdc-monitor-bjffxe2xuh6vdkpspy63sjmuny.us-east-1.es.amazonaws.com/_plugin/kibana/#/discover/Steve-Slow-Train-Analysis-(2080s-and-2083s)?_g=(refreshInterval:(display:Off,section:0,value:0),time:(from:'2016-07-05 16:07:34-0600',mode:absolute,to:'2016-07-05 16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38" t="str">
        <f>IF(AA114&lt;23,"Y","N")</f>
        <v>Y</v>
      </c>
      <c r="X114" s="38">
        <f>VALUE(LEFT(A114,3))-VALUE(LEFT(A113,3))</f>
        <v>0</v>
      </c>
      <c r="Y114" s="38">
        <f>RIGHT(D114,LEN(D114)-4)/10000</f>
        <v>4.9099999999999998E-2</v>
      </c>
      <c r="Z114" s="38">
        <f>RIGHT(H114,LEN(H114)-4)/10000</f>
        <v>0.1366</v>
      </c>
      <c r="AA114" s="38">
        <f>ABS(Z114-Y114)</f>
        <v>8.7499999999999994E-2</v>
      </c>
      <c r="AB114" s="39" t="e">
        <f>VLOOKUP(A114,Enforcements!$C$7:$J$30,8,0)</f>
        <v>#N/A</v>
      </c>
      <c r="AC114" s="39" t="e">
        <f>VLOOKUP(A114,Enforcements!$C$7:$E$30,3,0)</f>
        <v>#N/A</v>
      </c>
      <c r="AD114" s="1" t="str">
        <f>IF(LEN(A114)=6,"0"&amp;A114,A114)</f>
        <v>0201-05</v>
      </c>
    </row>
    <row r="115" spans="1:30" x14ac:dyDescent="0.25">
      <c r="A115" s="34" t="s">
        <v>399</v>
      </c>
      <c r="B115" s="69">
        <v>4032</v>
      </c>
      <c r="C115" s="69" t="s">
        <v>60</v>
      </c>
      <c r="D115" s="69" t="s">
        <v>637</v>
      </c>
      <c r="E115" s="75">
        <v>42556.711446759262</v>
      </c>
      <c r="F115" s="75">
        <v>42556.712465277778</v>
      </c>
      <c r="G115" s="76">
        <v>1</v>
      </c>
      <c r="H115" s="75" t="s">
        <v>638</v>
      </c>
      <c r="I115" s="75">
        <v>42556.769687499997</v>
      </c>
      <c r="J115" s="69">
        <v>1</v>
      </c>
      <c r="K115" s="34" t="str">
        <f>IF(ISEVEN(B115),(B115-1)&amp;"/"&amp;B115,B115&amp;"/"&amp;(B115+1))</f>
        <v>4031/4032</v>
      </c>
      <c r="L115" s="34" t="str">
        <f>VLOOKUP(A115,'Trips&amp;Operators'!$C$1:$E$10000,3,FALSE)</f>
        <v>COOLAHAN</v>
      </c>
      <c r="M115" s="6">
        <f>I115-F115</f>
        <v>5.7222222218115348E-2</v>
      </c>
      <c r="N115" s="7">
        <f>24*60*SUM($M115:$M115)</f>
        <v>82.399999994086102</v>
      </c>
      <c r="O115" s="7"/>
      <c r="P115" s="7"/>
      <c r="Q115" s="35"/>
      <c r="R115" s="35"/>
      <c r="S115" s="59">
        <f>SUM(U115:U115)/12</f>
        <v>1</v>
      </c>
      <c r="T115" s="1" t="str">
        <f>IF(ISEVEN(LEFT(A115,3)),"Southbound","NorthBound")</f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5" s="38" t="str">
        <f>IF(AA115&lt;23,"Y","N")</f>
        <v>N</v>
      </c>
      <c r="X115" s="38">
        <f>VALUE(LEFT(A115,3))-VALUE(LEFT(A114,3))</f>
        <v>1</v>
      </c>
      <c r="Y115" s="38">
        <f>RIGHT(D115,LEN(D115)-4)/10000</f>
        <v>23.291499999999999</v>
      </c>
      <c r="Z115" s="38">
        <f>RIGHT(H115,LEN(H115)-4)/10000</f>
        <v>5.1900000000000002E-2</v>
      </c>
      <c r="AA115" s="38">
        <f>ABS(Z115-Y115)</f>
        <v>23.239599999999999</v>
      </c>
      <c r="AB115" s="39">
        <f>VLOOKUP(A115,Enforcements!$C$7:$J$30,8,0)</f>
        <v>33257</v>
      </c>
      <c r="AC115" s="39" t="str">
        <f>VLOOKUP(A115,Enforcements!$C$7:$E$30,3,0)</f>
        <v>GRADE CROSSING</v>
      </c>
      <c r="AD115" s="1" t="str">
        <f>IF(LEN(A115)=6,"0"&amp;A115,A115)</f>
        <v>0202-05</v>
      </c>
    </row>
    <row r="116" spans="1:30" x14ac:dyDescent="0.25">
      <c r="A116" s="34" t="s">
        <v>476</v>
      </c>
      <c r="B116" s="69">
        <v>4044</v>
      </c>
      <c r="C116" s="69" t="s">
        <v>60</v>
      </c>
      <c r="D116" s="69" t="s">
        <v>639</v>
      </c>
      <c r="E116" s="75">
        <v>42556.693761574075</v>
      </c>
      <c r="F116" s="75">
        <v>42556.694652777776</v>
      </c>
      <c r="G116" s="76">
        <v>1</v>
      </c>
      <c r="H116" s="75" t="s">
        <v>188</v>
      </c>
      <c r="I116" s="75">
        <v>42556.719502314816</v>
      </c>
      <c r="J116" s="69">
        <v>0</v>
      </c>
      <c r="K116" s="34" t="str">
        <f>IF(ISEVEN(B116),(B116-1)&amp;"/"&amp;B116,B116&amp;"/"&amp;(B116+1))</f>
        <v>4043/4044</v>
      </c>
      <c r="L116" s="34" t="str">
        <f>VLOOKUP(A116,'Trips&amp;Operators'!$C$1:$E$10000,3,FALSE)</f>
        <v>STAMBAUGH</v>
      </c>
      <c r="M116" s="6">
        <f>I116-F116</f>
        <v>2.4849537039699499E-2</v>
      </c>
      <c r="N116" s="7"/>
      <c r="O116" s="7"/>
      <c r="P116" s="7">
        <f>24*60*SUM($M116:$M116)</f>
        <v>35.783333337167278</v>
      </c>
      <c r="Q116" s="35"/>
      <c r="R116" s="35" t="s">
        <v>729</v>
      </c>
      <c r="S116" s="59">
        <f>SUM(U116:U116)/12</f>
        <v>1</v>
      </c>
      <c r="T116" s="1" t="str">
        <f>IF(ISEVEN(LEFT(A116,3)),"Southbound","NorthBound")</f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https://search-rtdc-monitor-bjffxe2xuh6vdkpspy63sjmuny.us-east-1.es.amazonaws.com/_plugin/kibana/#/discover/Steve-Slow-Train-Analysis-(2080s-and-2083s)?_g=(refreshInterval:(display:Off,section:0,value:0),time:(from:'2016-07-05 16:38:01-0600',mode:absolute,to:'2016-07-05 17:17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38" t="str">
        <f>IF(AA116&lt;23,"Y","N")</f>
        <v>Y</v>
      </c>
      <c r="X116" s="38">
        <f>VALUE(LEFT(A116,3))-VALUE(LEFT(A115,3))</f>
        <v>1</v>
      </c>
      <c r="Y116" s="38">
        <f>RIGHT(D116,LEN(D116)-4)/10000</f>
        <v>1.9132</v>
      </c>
      <c r="Z116" s="38">
        <f>RIGHT(H116,LEN(H116)-4)/10000</f>
        <v>23.328600000000002</v>
      </c>
      <c r="AA116" s="38">
        <f>ABS(Z116-Y116)</f>
        <v>21.415400000000002</v>
      </c>
      <c r="AB116" s="39" t="e">
        <f>VLOOKUP(A116,Enforcements!$C$7:$J$30,8,0)</f>
        <v>#N/A</v>
      </c>
      <c r="AC116" s="39" t="e">
        <f>VLOOKUP(A116,Enforcements!$C$7:$E$30,3,0)</f>
        <v>#N/A</v>
      </c>
      <c r="AD116" s="1" t="str">
        <f>IF(LEN(A116)=6,"0"&amp;A116,A116)</f>
        <v>0203-05</v>
      </c>
    </row>
    <row r="117" spans="1:30" x14ac:dyDescent="0.25">
      <c r="A117" s="34" t="s">
        <v>475</v>
      </c>
      <c r="B117" s="69">
        <v>4043</v>
      </c>
      <c r="C117" s="69" t="s">
        <v>60</v>
      </c>
      <c r="D117" s="69" t="s">
        <v>325</v>
      </c>
      <c r="E117" s="75">
        <v>42556.721967592595</v>
      </c>
      <c r="F117" s="75">
        <v>42556.72383101852</v>
      </c>
      <c r="G117" s="76">
        <v>2</v>
      </c>
      <c r="H117" s="75" t="s">
        <v>640</v>
      </c>
      <c r="I117" s="75">
        <v>42556.765162037038</v>
      </c>
      <c r="J117" s="69">
        <v>0</v>
      </c>
      <c r="K117" s="34" t="str">
        <f>IF(ISEVEN(B117),(B117-1)&amp;"/"&amp;B117,B117&amp;"/"&amp;(B117+1))</f>
        <v>4043/4044</v>
      </c>
      <c r="L117" s="34" t="str">
        <f>VLOOKUP(A117,'Trips&amp;Operators'!$C$1:$E$10000,3,FALSE)</f>
        <v>STAMBAUGH</v>
      </c>
      <c r="M117" s="6">
        <f>I117-F117</f>
        <v>4.1331018517666962E-2</v>
      </c>
      <c r="N117" s="7"/>
      <c r="O117" s="7"/>
      <c r="P117" s="7">
        <f>24*60*SUM($M117:$M117)</f>
        <v>59.516666665440425</v>
      </c>
      <c r="Q117" s="35"/>
      <c r="R117" s="35" t="s">
        <v>729</v>
      </c>
      <c r="S117" s="59">
        <f>SUM(U117:U117)/12</f>
        <v>1</v>
      </c>
      <c r="T117" s="1" t="str">
        <f>IF(ISEVEN(LEFT(A117,3)),"Southbound","NorthBound")</f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https://search-rtdc-monitor-bjffxe2xuh6vdkpspy63sjmuny.us-east-1.es.amazonaws.com/_plugin/kibana/#/discover/Steve-Slow-Train-Analysis-(2080s-and-2083s)?_g=(refreshInterval:(display:Off,section:0,value:0),time:(from:'2016-07-05 17:18:38-0600',mode:absolute,to:'2016-07-05 18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38" t="str">
        <f>IF(AA117&lt;23,"Y","N")</f>
        <v>Y</v>
      </c>
      <c r="X117" s="38">
        <f>VALUE(LEFT(A117,3))-VALUE(LEFT(A116,3))</f>
        <v>1</v>
      </c>
      <c r="Y117" s="38">
        <f>RIGHT(D117,LEN(D117)-4)/10000</f>
        <v>23.296299999999999</v>
      </c>
      <c r="Z117" s="38">
        <f>RIGHT(H117,LEN(H117)-4)/10000</f>
        <v>2.1089000000000002</v>
      </c>
      <c r="AA117" s="38">
        <f>ABS(Z117-Y117)</f>
        <v>21.187399999999997</v>
      </c>
      <c r="AB117" s="39" t="e">
        <f>VLOOKUP(A117,Enforcements!$C$7:$J$30,8,0)</f>
        <v>#N/A</v>
      </c>
      <c r="AC117" s="39" t="e">
        <f>VLOOKUP(A117,Enforcements!$C$7:$E$30,3,0)</f>
        <v>#N/A</v>
      </c>
      <c r="AD117" s="1" t="str">
        <f>IF(LEN(A117)=6,"0"&amp;A117,A117)</f>
        <v>0204-05</v>
      </c>
    </row>
    <row r="118" spans="1:30" x14ac:dyDescent="0.25">
      <c r="A118" s="34" t="s">
        <v>398</v>
      </c>
      <c r="B118" s="69">
        <v>4038</v>
      </c>
      <c r="C118" s="69" t="s">
        <v>60</v>
      </c>
      <c r="D118" s="69" t="s">
        <v>641</v>
      </c>
      <c r="E118" s="75">
        <v>42556.702974537038</v>
      </c>
      <c r="F118" s="75">
        <v>42556.703842592593</v>
      </c>
      <c r="G118" s="76">
        <v>1</v>
      </c>
      <c r="H118" s="75" t="s">
        <v>334</v>
      </c>
      <c r="I118" s="75">
        <v>42556.725937499999</v>
      </c>
      <c r="J118" s="69">
        <v>1</v>
      </c>
      <c r="K118" s="34" t="str">
        <f>IF(ISEVEN(B118),(B118-1)&amp;"/"&amp;B118,B118&amp;"/"&amp;(B118+1))</f>
        <v>4037/4038</v>
      </c>
      <c r="L118" s="34" t="str">
        <f>VLOOKUP(A118,'Trips&amp;Operators'!$C$1:$E$10000,3,FALSE)</f>
        <v>LOCKLEAR</v>
      </c>
      <c r="M118" s="6">
        <f>I118-F118</f>
        <v>2.2094907406426501E-2</v>
      </c>
      <c r="N118" s="7"/>
      <c r="O118" s="7"/>
      <c r="P118" s="7">
        <f>24*60*SUM($M118:$M118)</f>
        <v>31.816666665254161</v>
      </c>
      <c r="Q118" s="35"/>
      <c r="R118" s="35" t="s">
        <v>729</v>
      </c>
      <c r="S118" s="59">
        <f>SUM(U118:U118)/12</f>
        <v>1</v>
      </c>
      <c r="T118" s="1" t="str">
        <f>IF(ISEVEN(LEFT(A118,3)),"Southbound","NorthBound")</f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38" t="str">
        <f>IF(AA118&lt;23,"Y","N")</f>
        <v>Y</v>
      </c>
      <c r="X118" s="38">
        <f>VALUE(LEFT(A118,3))-VALUE(LEFT(A117,3))</f>
        <v>1</v>
      </c>
      <c r="Y118" s="38">
        <f>RIGHT(D118,LEN(D118)-4)/10000</f>
        <v>1.9593</v>
      </c>
      <c r="Z118" s="38">
        <f>RIGHT(H118,LEN(H118)-4)/10000</f>
        <v>23.334900000000001</v>
      </c>
      <c r="AA118" s="38">
        <f>ABS(Z118-Y118)</f>
        <v>21.375600000000002</v>
      </c>
      <c r="AB118" s="39" t="e">
        <f>VLOOKUP(A118,Enforcements!$C$7:$J$30,8,0)</f>
        <v>#N/A</v>
      </c>
      <c r="AC118" s="39" t="e">
        <f>VLOOKUP(A118,Enforcements!$C$7:$E$30,3,0)</f>
        <v>#N/A</v>
      </c>
      <c r="AD118" s="1" t="str">
        <f>IF(LEN(A118)=6,"0"&amp;A118,A118)</f>
        <v>0205-05</v>
      </c>
    </row>
    <row r="119" spans="1:30" x14ac:dyDescent="0.25">
      <c r="A119" s="34" t="s">
        <v>478</v>
      </c>
      <c r="B119" s="69">
        <v>4037</v>
      </c>
      <c r="C119" s="69" t="s">
        <v>60</v>
      </c>
      <c r="D119" s="69" t="s">
        <v>335</v>
      </c>
      <c r="E119" s="75">
        <v>42556.73673611111</v>
      </c>
      <c r="F119" s="75">
        <v>42556.73741898148</v>
      </c>
      <c r="G119" s="76">
        <v>0</v>
      </c>
      <c r="H119" s="75" t="s">
        <v>642</v>
      </c>
      <c r="I119" s="75">
        <v>42556.779988425929</v>
      </c>
      <c r="J119" s="69">
        <v>0</v>
      </c>
      <c r="K119" s="34" t="str">
        <f>IF(ISEVEN(B119),(B119-1)&amp;"/"&amp;B119,B119&amp;"/"&amp;(B119+1))</f>
        <v>4037/4038</v>
      </c>
      <c r="L119" s="34" t="str">
        <f>VLOOKUP(A119,'Trips&amp;Operators'!$C$1:$E$10000,3,FALSE)</f>
        <v>LOCKLEAR</v>
      </c>
      <c r="M119" s="6">
        <f>I119-F119</f>
        <v>4.256944444932742E-2</v>
      </c>
      <c r="N119" s="7">
        <f>24*60*SUM($M119:$M119)</f>
        <v>61.300000007031485</v>
      </c>
      <c r="O119" s="7"/>
      <c r="P119" s="7"/>
      <c r="Q119" s="35"/>
      <c r="R119" s="35"/>
      <c r="S119" s="59">
        <f>SUM(U119:U119)/12</f>
        <v>1</v>
      </c>
      <c r="T119" s="1" t="str">
        <f>IF(ISEVEN(LEFT(A119,3)),"Southbound","NorthBound")</f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https://search-rtdc-monitor-bjffxe2xuh6vdkpspy63sjmuny.us-east-1.es.amazonaws.com/_plugin/kibana/#/discover/Steve-Slow-Train-Analysis-(2080s-and-2083s)?_g=(refreshInterval:(display:Off,section:0,value:0),time:(from:'2016-07-05 17:39:54-0600',mode:absolute,to:'2016-07-05 18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38" t="str">
        <f>IF(AA119&lt;23,"Y","N")</f>
        <v>N</v>
      </c>
      <c r="X119" s="38">
        <f>VALUE(LEFT(A119,3))-VALUE(LEFT(A118,3))</f>
        <v>1</v>
      </c>
      <c r="Y119" s="38">
        <f>RIGHT(D119,LEN(D119)-4)/10000</f>
        <v>23.302800000000001</v>
      </c>
      <c r="Z119" s="38">
        <f>RIGHT(H119,LEN(H119)-4)/10000</f>
        <v>3.8399999999999997E-2</v>
      </c>
      <c r="AA119" s="38">
        <f>ABS(Z119-Y119)</f>
        <v>23.264400000000002</v>
      </c>
      <c r="AB119" s="39" t="e">
        <f>VLOOKUP(A119,Enforcements!$C$7:$J$30,8,0)</f>
        <v>#N/A</v>
      </c>
      <c r="AC119" s="39" t="e">
        <f>VLOOKUP(A119,Enforcements!$C$7:$E$30,3,0)</f>
        <v>#N/A</v>
      </c>
      <c r="AD119" s="1" t="str">
        <f>IF(LEN(A119)=6,"0"&amp;A119,A119)</f>
        <v>0206-05</v>
      </c>
    </row>
    <row r="120" spans="1:30" x14ac:dyDescent="0.25">
      <c r="A120" s="34" t="s">
        <v>400</v>
      </c>
      <c r="B120" s="69">
        <v>4027</v>
      </c>
      <c r="C120" s="69" t="s">
        <v>60</v>
      </c>
      <c r="D120" s="69" t="s">
        <v>643</v>
      </c>
      <c r="E120" s="75">
        <v>42556.725983796299</v>
      </c>
      <c r="F120" s="75">
        <v>42556.727210648147</v>
      </c>
      <c r="G120" s="76">
        <v>1</v>
      </c>
      <c r="H120" s="75" t="s">
        <v>644</v>
      </c>
      <c r="I120" s="75">
        <v>42556.756747685184</v>
      </c>
      <c r="J120" s="69">
        <v>4</v>
      </c>
      <c r="K120" s="34" t="str">
        <f>IF(ISEVEN(B120),(B120-1)&amp;"/"&amp;B120,B120&amp;"/"&amp;(B120+1))</f>
        <v>4027/4028</v>
      </c>
      <c r="L120" s="34" t="str">
        <f>VLOOKUP(A120,'Trips&amp;Operators'!$C$1:$E$10000,3,FALSE)</f>
        <v>SHOOK</v>
      </c>
      <c r="M120" s="6">
        <f>I120-F120</f>
        <v>2.9537037036789116E-2</v>
      </c>
      <c r="N120" s="7"/>
      <c r="O120" s="7"/>
      <c r="P120" s="7">
        <f>24*60*SUM($M120:$M120)</f>
        <v>42.533333332976326</v>
      </c>
      <c r="Q120" s="35"/>
      <c r="R120" s="35" t="s">
        <v>729</v>
      </c>
      <c r="S120" s="59">
        <f>SUM(U120:U120)/12</f>
        <v>1</v>
      </c>
      <c r="T120" s="1" t="str">
        <f>IF(ISEVEN(LEFT(A120,3)),"Southbound","NorthBound")</f>
        <v>NorthBound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0" s="38" t="str">
        <f>IF(AA120&lt;23,"Y","N")</f>
        <v>Y</v>
      </c>
      <c r="X120" s="38">
        <f>VALUE(LEFT(A120,3))-VALUE(LEFT(A119,3))</f>
        <v>1</v>
      </c>
      <c r="Y120" s="38">
        <f>RIGHT(D120,LEN(D120)-4)/10000</f>
        <v>1.9489000000000001</v>
      </c>
      <c r="Z120" s="38">
        <f>RIGHT(H120,LEN(H120)-4)/10000</f>
        <v>23.3337</v>
      </c>
      <c r="AA120" s="38">
        <f>ABS(Z120-Y120)</f>
        <v>21.384799999999998</v>
      </c>
      <c r="AB120" s="39" t="e">
        <f>VLOOKUP(A120,Enforcements!$C$7:$J$30,8,0)</f>
        <v>#N/A</v>
      </c>
      <c r="AC120" s="39" t="e">
        <f>VLOOKUP(A120,Enforcements!$C$7:$E$30,3,0)</f>
        <v>#N/A</v>
      </c>
      <c r="AD120" s="1" t="str">
        <f>IF(LEN(A120)=6,"0"&amp;A120,A120)</f>
        <v>0207-05</v>
      </c>
    </row>
    <row r="121" spans="1:30" x14ac:dyDescent="0.25">
      <c r="A121" s="34" t="s">
        <v>400</v>
      </c>
      <c r="B121" s="69">
        <v>4027</v>
      </c>
      <c r="C121" s="69" t="s">
        <v>60</v>
      </c>
      <c r="D121" s="69" t="s">
        <v>146</v>
      </c>
      <c r="E121" s="75">
        <v>42556.719027777777</v>
      </c>
      <c r="F121" s="75">
        <v>42556.720104166663</v>
      </c>
      <c r="G121" s="76">
        <v>1</v>
      </c>
      <c r="H121" s="75" t="s">
        <v>146</v>
      </c>
      <c r="I121" s="75">
        <v>42556.720219907409</v>
      </c>
      <c r="J121" s="69">
        <v>0</v>
      </c>
      <c r="K121" s="34" t="str">
        <f>IF(ISEVEN(B121),(B121-1)&amp;"/"&amp;B121,B121&amp;"/"&amp;(B121+1))</f>
        <v>4027/4028</v>
      </c>
      <c r="L121" s="34" t="str">
        <f>VLOOKUP(A121,'Trips&amp;Operators'!$C$1:$E$10000,3,FALSE)</f>
        <v>SHOOK</v>
      </c>
      <c r="M121" s="6">
        <f>I121-F121</f>
        <v>1.1574074596865103E-4</v>
      </c>
      <c r="N121" s="7"/>
      <c r="O121" s="7"/>
      <c r="P121" s="7"/>
      <c r="Q121" s="35"/>
      <c r="R121" s="35"/>
      <c r="S121" s="59"/>
      <c r="T121" s="1" t="str">
        <f>IF(ISEVEN(LEFT(A121,3)),"Southbound","NorthBound")</f>
        <v>NorthBound</v>
      </c>
      <c r="U121" s="1">
        <f>COUNTIFS(Variables!$M$2:$M$19,IF(T121="NorthBound","&gt;=","&lt;=")&amp;Y121,Variables!$M$2:$M$19,IF(T121="NorthBound","&lt;=","&gt;=")&amp;Z121)</f>
        <v>0</v>
      </c>
      <c r="V121" s="3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https://search-rtdc-monitor-bjffxe2xuh6vdkpspy63sjmuny.us-east-1.es.amazonaws.com/_plugin/kibana/#/discover/Steve-Slow-Train-Analysis-(2080s-and-2083s)?_g=(refreshInterval:(display:Off,section:0,value:0),time:(from:'2016-07-05 17:14:24-0600',mode:absolute,to:'2016-07-05 17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1" s="38" t="str">
        <f>IF(AA121&lt;23,"Y","N")</f>
        <v>Y</v>
      </c>
      <c r="X121" s="38">
        <f>VALUE(LEFT(A121,3))-VALUE(LEFT(A120,3))</f>
        <v>0</v>
      </c>
      <c r="Y121" s="38">
        <f>RIGHT(D121,LEN(D121)-4)/10000</f>
        <v>4.4600000000000001E-2</v>
      </c>
      <c r="Z121" s="38">
        <f>RIGHT(H121,LEN(H121)-4)/10000</f>
        <v>4.4600000000000001E-2</v>
      </c>
      <c r="AA121" s="38">
        <f>ABS(Z121-Y121)</f>
        <v>0</v>
      </c>
      <c r="AB121" s="39" t="e">
        <f>VLOOKUP(A121,Enforcements!$C$7:$J$30,8,0)</f>
        <v>#N/A</v>
      </c>
      <c r="AC121" s="39" t="e">
        <f>VLOOKUP(A121,Enforcements!$C$7:$E$30,3,0)</f>
        <v>#N/A</v>
      </c>
      <c r="AD121" s="1" t="str">
        <f>IF(LEN(A121)=6,"0"&amp;A121,A121)</f>
        <v>0207-05</v>
      </c>
    </row>
    <row r="122" spans="1:30" x14ac:dyDescent="0.25">
      <c r="A122" s="34" t="s">
        <v>402</v>
      </c>
      <c r="B122" s="69">
        <v>4028</v>
      </c>
      <c r="C122" s="69" t="s">
        <v>60</v>
      </c>
      <c r="D122" s="69" t="s">
        <v>222</v>
      </c>
      <c r="E122" s="75">
        <v>42556.759629629632</v>
      </c>
      <c r="F122" s="75">
        <v>42556.76090277778</v>
      </c>
      <c r="G122" s="76">
        <v>1</v>
      </c>
      <c r="H122" s="75" t="s">
        <v>618</v>
      </c>
      <c r="I122" s="75">
        <v>42556.769259259258</v>
      </c>
      <c r="J122" s="69">
        <v>1</v>
      </c>
      <c r="K122" s="34" t="str">
        <f>IF(ISEVEN(B122),(B122-1)&amp;"/"&amp;B122,B122&amp;"/"&amp;(B122+1))</f>
        <v>4027/4028</v>
      </c>
      <c r="L122" s="34" t="str">
        <f>VLOOKUP(A122,'Trips&amp;Operators'!$C$1:$E$10000,3,FALSE)</f>
        <v>SHOOK</v>
      </c>
      <c r="M122" s="6">
        <f>I122-F122</f>
        <v>8.3564814776764251E-3</v>
      </c>
      <c r="N122" s="7">
        <f>24*60*SUM($M122:$M122)</f>
        <v>12.033333327854052</v>
      </c>
      <c r="O122" s="7"/>
      <c r="P122" s="7"/>
      <c r="Q122" s="35"/>
      <c r="R122" s="35" t="s">
        <v>153</v>
      </c>
      <c r="S122" s="59">
        <f>SUM(U122:U122)/12</f>
        <v>0</v>
      </c>
      <c r="T122" s="1" t="str">
        <f>IF(ISEVEN(LEFT(A122,3)),"Southbound","NorthBound")</f>
        <v>Southbound</v>
      </c>
      <c r="U122" s="1">
        <f>COUNTIFS(Variables!$M$2:$M$19,IF(T122="NorthBound","&gt;=","&lt;=")&amp;Y122,Variables!$M$2:$M$19,IF(T122="NorthBound","&lt;=","&gt;=")&amp;Z122)</f>
        <v>0</v>
      </c>
      <c r="V122" s="3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2" s="38" t="str">
        <f>IF(AA122&lt;23,"Y","N")</f>
        <v>Y</v>
      </c>
      <c r="X122" s="38">
        <f>VALUE(LEFT(A122,3))-VALUE(LEFT(A121,3))</f>
        <v>1</v>
      </c>
      <c r="Y122" s="38">
        <f>RIGHT(D122,LEN(D122)-4)/10000</f>
        <v>23.3001</v>
      </c>
      <c r="Z122" s="38">
        <f>RIGHT(H122,LEN(H122)-4)/10000</f>
        <v>17.844200000000001</v>
      </c>
      <c r="AA122" s="38">
        <f>ABS(Z122-Y122)</f>
        <v>5.4558999999999997</v>
      </c>
      <c r="AB122" s="39" t="e">
        <f>VLOOKUP(A122,Enforcements!$C$7:$J$30,8,0)</f>
        <v>#N/A</v>
      </c>
      <c r="AC122" s="39" t="e">
        <f>VLOOKUP(A122,Enforcements!$C$7:$E$30,3,0)</f>
        <v>#N/A</v>
      </c>
      <c r="AD122" s="1" t="str">
        <f>IF(LEN(A122)=6,"0"&amp;A122,A122)</f>
        <v>0208-05</v>
      </c>
    </row>
    <row r="123" spans="1:30" x14ac:dyDescent="0.25">
      <c r="A123" s="34" t="s">
        <v>401</v>
      </c>
      <c r="B123" s="69">
        <v>4018</v>
      </c>
      <c r="C123" s="69" t="s">
        <v>60</v>
      </c>
      <c r="D123" s="69" t="s">
        <v>645</v>
      </c>
      <c r="E123" s="75">
        <v>42556.731909722221</v>
      </c>
      <c r="F123" s="75">
        <v>42556.732939814814</v>
      </c>
      <c r="G123" s="76">
        <v>1</v>
      </c>
      <c r="H123" s="75" t="s">
        <v>646</v>
      </c>
      <c r="I123" s="75">
        <v>42556.759398148148</v>
      </c>
      <c r="J123" s="69">
        <v>1</v>
      </c>
      <c r="K123" s="34" t="str">
        <f>IF(ISEVEN(B123),(B123-1)&amp;"/"&amp;B123,B123&amp;"/"&amp;(B123+1))</f>
        <v>4017/4018</v>
      </c>
      <c r="L123" s="34" t="str">
        <f>VLOOKUP(A123,'Trips&amp;Operators'!$C$1:$E$10000,3,FALSE)</f>
        <v>LEVERE</v>
      </c>
      <c r="M123" s="6">
        <f>I123-F123</f>
        <v>2.6458333333721384E-2</v>
      </c>
      <c r="N123" s="7"/>
      <c r="O123" s="7"/>
      <c r="P123" s="7">
        <f>24*60*SUM($M123:$M123)</f>
        <v>38.100000000558794</v>
      </c>
      <c r="Q123" s="35"/>
      <c r="R123" s="35" t="s">
        <v>729</v>
      </c>
      <c r="S123" s="59">
        <f>SUM(U123:U123)/12</f>
        <v>1</v>
      </c>
      <c r="T123" s="1" t="str">
        <f>IF(ISEVEN(LEFT(A123,3)),"Southbound","NorthBound")</f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38" t="str">
        <f>IF(AA123&lt;23,"Y","N")</f>
        <v>Y</v>
      </c>
      <c r="X123" s="38">
        <f>VALUE(LEFT(A123,3))-VALUE(LEFT(A122,3))</f>
        <v>1</v>
      </c>
      <c r="Y123" s="38">
        <f>RIGHT(D123,LEN(D123)-4)/10000</f>
        <v>1.9117999999999999</v>
      </c>
      <c r="Z123" s="38">
        <f>RIGHT(H123,LEN(H123)-4)/10000</f>
        <v>23.327999999999999</v>
      </c>
      <c r="AA123" s="38">
        <f>ABS(Z123-Y123)</f>
        <v>21.4162</v>
      </c>
      <c r="AB123" s="39" t="e">
        <f>VLOOKUP(A123,Enforcements!$C$7:$J$30,8,0)</f>
        <v>#N/A</v>
      </c>
      <c r="AC123" s="39" t="e">
        <f>VLOOKUP(A123,Enforcements!$C$7:$E$30,3,0)</f>
        <v>#N/A</v>
      </c>
      <c r="AD123" s="1" t="str">
        <f>IF(LEN(A123)=6,"0"&amp;A123,A123)</f>
        <v>0209-05</v>
      </c>
    </row>
    <row r="124" spans="1:30" x14ac:dyDescent="0.25">
      <c r="A124" s="34" t="s">
        <v>481</v>
      </c>
      <c r="B124" s="69">
        <v>4017</v>
      </c>
      <c r="C124" s="69" t="s">
        <v>60</v>
      </c>
      <c r="D124" s="69" t="s">
        <v>647</v>
      </c>
      <c r="E124" s="75">
        <v>42556.766041666669</v>
      </c>
      <c r="F124" s="75">
        <v>42556.767141203702</v>
      </c>
      <c r="G124" s="76">
        <v>1</v>
      </c>
      <c r="H124" s="75" t="s">
        <v>648</v>
      </c>
      <c r="I124" s="75">
        <v>42556.794756944444</v>
      </c>
      <c r="J124" s="69">
        <v>0</v>
      </c>
      <c r="K124" s="34" t="str">
        <f>IF(ISEVEN(B124),(B124-1)&amp;"/"&amp;B124,B124&amp;"/"&amp;(B124+1))</f>
        <v>4017/4018</v>
      </c>
      <c r="L124" s="34" t="str">
        <f>VLOOKUP(A124,'Trips&amp;Operators'!$C$1:$E$10000,3,FALSE)</f>
        <v>LEVERE</v>
      </c>
      <c r="M124" s="6">
        <f>I124-F124</f>
        <v>2.7615740742476191E-2</v>
      </c>
      <c r="N124" s="7">
        <f>24*60*SUM($M124:$M124)</f>
        <v>39.766666669165716</v>
      </c>
      <c r="O124" s="7"/>
      <c r="P124" s="7"/>
      <c r="Q124" s="35"/>
      <c r="R124" s="35"/>
      <c r="S124" s="59">
        <f>SUM(U124:U124)/12</f>
        <v>1</v>
      </c>
      <c r="T124" s="1" t="str">
        <f>IF(ISEVEN(LEFT(A124,3)),"Southbound","NorthBound")</f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https://search-rtdc-monitor-bjffxe2xuh6vdkpspy63sjmuny.us-east-1.es.amazonaws.com/_plugin/kibana/#/discover/Steve-Slow-Train-Analysis-(2080s-and-2083s)?_g=(refreshInterval:(display:Off,section:0,value:0),time:(from:'2016-07-05 18:22:06-0600',mode:absolute,to:'2016-07-05 19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38" t="str">
        <f>IF(AA124&lt;23,"Y","N")</f>
        <v>Y</v>
      </c>
      <c r="X124" s="38">
        <f>VALUE(LEFT(A124,3))-VALUE(LEFT(A123,3))</f>
        <v>1</v>
      </c>
      <c r="Y124" s="38">
        <f>RIGHT(D124,LEN(D124)-4)/10000</f>
        <v>23.2974</v>
      </c>
      <c r="Z124" s="38">
        <f>RIGHT(H124,LEN(H124)-4)/10000</f>
        <v>0.39700000000000002</v>
      </c>
      <c r="AA124" s="38">
        <f>ABS(Z124-Y124)</f>
        <v>22.900400000000001</v>
      </c>
      <c r="AB124" s="39" t="e">
        <f>VLOOKUP(A124,Enforcements!$C$7:$J$30,8,0)</f>
        <v>#N/A</v>
      </c>
      <c r="AC124" s="39" t="e">
        <f>VLOOKUP(A124,Enforcements!$C$7:$E$30,3,0)</f>
        <v>#N/A</v>
      </c>
      <c r="AD124" s="1" t="str">
        <f>IF(LEN(A124)=6,"0"&amp;A124,A124)</f>
        <v>0210-05</v>
      </c>
    </row>
    <row r="125" spans="1:30" x14ac:dyDescent="0.25">
      <c r="A125" s="67" t="s">
        <v>538</v>
      </c>
      <c r="B125" s="34">
        <v>4014</v>
      </c>
      <c r="C125" s="34" t="s">
        <v>60</v>
      </c>
      <c r="D125" s="34" t="s">
        <v>649</v>
      </c>
      <c r="E125" s="20">
        <v>42556.767071759263</v>
      </c>
      <c r="F125" s="20">
        <v>42556.768020833333</v>
      </c>
      <c r="G125" s="23">
        <v>1</v>
      </c>
      <c r="H125" s="20" t="s">
        <v>167</v>
      </c>
      <c r="I125" s="20">
        <v>42556.788263888891</v>
      </c>
      <c r="J125" s="34">
        <v>0</v>
      </c>
      <c r="K125" s="34" t="str">
        <f>IF(ISEVEN(B125),(B125-1)&amp;"/"&amp;B125,B125&amp;"/"&amp;(B125+1))</f>
        <v>4013/4014</v>
      </c>
      <c r="L125" s="34" t="str">
        <f>VLOOKUP(A125,'Trips&amp;Operators'!$C$1:$E$10000,3,FALSE)</f>
        <v>YOUNG</v>
      </c>
      <c r="M125" s="6">
        <f>I125-F125</f>
        <v>2.0243055558239575E-2</v>
      </c>
      <c r="N125" s="7"/>
      <c r="O125" s="7"/>
      <c r="P125" s="7">
        <f>24*60*SUM($M125:$M125)</f>
        <v>29.150000003864989</v>
      </c>
      <c r="Q125" s="35"/>
      <c r="R125" s="35" t="s">
        <v>730</v>
      </c>
      <c r="S125" s="59">
        <f>SUM(U125:U125)/12</f>
        <v>0.75</v>
      </c>
      <c r="T125" s="1" t="str">
        <f>IF(ISEVEN(LEFT(A125,3)),"Southbound","NorthBound")</f>
        <v>NorthBound</v>
      </c>
      <c r="U125" s="1">
        <f>COUNTIFS(Variables!$M$2:$M$19,IF(T125="NorthBound","&gt;=","&lt;=")&amp;Y125,Variables!$M$2:$M$19,IF(T125="NorthBound","&lt;=","&gt;=")&amp;Z125)</f>
        <v>9</v>
      </c>
      <c r="V125" s="3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https://search-rtdc-monitor-bjffxe2xuh6vdkpspy63sjmuny.us-east-1.es.amazonaws.com/_plugin/kibana/#/discover/Steve-Slow-Train-Analysis-(2080s-and-2083s)?_g=(refreshInterval:(display:Off,section:0,value:0),time:(from:'2016-07-05 18:23:35-0600',mode:absolute,to:'2016-07-05 18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5" s="38" t="str">
        <f>IF(AA125&lt;23,"Y","N")</f>
        <v>Y</v>
      </c>
      <c r="X125" s="38">
        <f>VALUE(LEFT(A125,3))-VALUE(LEFT(A124,3))</f>
        <v>1</v>
      </c>
      <c r="Y125" s="38">
        <f>RIGHT(D125,LEN(D125)-4)/10000</f>
        <v>3.7187999999999999</v>
      </c>
      <c r="Z125" s="38">
        <f>RIGHT(H125,LEN(H125)-4)/10000</f>
        <v>23.3309</v>
      </c>
      <c r="AA125" s="38">
        <f>ABS(Z125-Y125)</f>
        <v>19.612099999999998</v>
      </c>
      <c r="AB125" s="39" t="e">
        <f>VLOOKUP(A125,Enforcements!$C$7:$J$30,8,0)</f>
        <v>#N/A</v>
      </c>
      <c r="AC125" s="39" t="e">
        <f>VLOOKUP(A125,Enforcements!$C$7:$E$30,3,0)</f>
        <v>#N/A</v>
      </c>
      <c r="AD125" s="1" t="str">
        <f>IF(LEN(A125)=6,"0"&amp;A125,A125)</f>
        <v>0211-05</v>
      </c>
    </row>
    <row r="126" spans="1:30" x14ac:dyDescent="0.25">
      <c r="A126" s="67" t="s">
        <v>455</v>
      </c>
      <c r="B126" s="34">
        <v>4031</v>
      </c>
      <c r="C126" s="34" t="s">
        <v>60</v>
      </c>
      <c r="D126" s="34" t="s">
        <v>650</v>
      </c>
      <c r="E126" s="20">
        <v>42556.77548611111</v>
      </c>
      <c r="F126" s="20">
        <v>42556.776307870372</v>
      </c>
      <c r="G126" s="23">
        <v>1</v>
      </c>
      <c r="H126" s="20" t="s">
        <v>651</v>
      </c>
      <c r="I126" s="20">
        <v>42556.808518518519</v>
      </c>
      <c r="J126" s="34">
        <v>0</v>
      </c>
      <c r="K126" s="34" t="str">
        <f>IF(ISEVEN(B126),(B126-1)&amp;"/"&amp;B126,B126&amp;"/"&amp;(B126+1))</f>
        <v>4031/4032</v>
      </c>
      <c r="L126" s="34" t="str">
        <f>VLOOKUP(A126,'Trips&amp;Operators'!$C$1:$E$10000,3,FALSE)</f>
        <v>ADANE</v>
      </c>
      <c r="M126" s="6">
        <f>I126-F126</f>
        <v>3.2210648147156462E-2</v>
      </c>
      <c r="N126" s="7">
        <f>24*60*SUM($M126:$M126)</f>
        <v>46.383333331905305</v>
      </c>
      <c r="O126" s="7"/>
      <c r="P126" s="7"/>
      <c r="Q126" s="35"/>
      <c r="R126" s="35"/>
      <c r="S126" s="59">
        <f>SUM(U126:U126)/12</f>
        <v>1</v>
      </c>
      <c r="T126" s="1" t="str">
        <f>IF(ISEVEN(LEFT(A126,3)),"Southbound","NorthBound")</f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https://search-rtdc-monitor-bjffxe2xuh6vdkpspy63sjmuny.us-east-1.es.amazonaws.com/_plugin/kibana/#/discover/Steve-Slow-Train-Analysis-(2080s-and-2083s)?_g=(refreshInterval:(display:Off,section:0,value:0),time:(from:'2016-07-05 18:35:42-0600',mode:absolute,to:'2016-07-05 19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38" t="str">
        <f>IF(AA126&lt;23,"Y","N")</f>
        <v>N</v>
      </c>
      <c r="X126" s="38">
        <f>VALUE(LEFT(A126,3))-VALUE(LEFT(A125,3))</f>
        <v>6</v>
      </c>
      <c r="Y126" s="38">
        <f>RIGHT(D126,LEN(D126)-4)/10000</f>
        <v>3.6900000000000002E-2</v>
      </c>
      <c r="Z126" s="38">
        <f>RIGHT(H126,LEN(H126)-4)/10000</f>
        <v>23.331600000000002</v>
      </c>
      <c r="AA126" s="38">
        <f>ABS(Z126-Y126)</f>
        <v>23.294700000000002</v>
      </c>
      <c r="AB126" s="39" t="e">
        <f>VLOOKUP(A126,Enforcements!$C$7:$J$30,8,0)</f>
        <v>#N/A</v>
      </c>
      <c r="AC126" s="39" t="e">
        <f>VLOOKUP(A126,Enforcements!$C$7:$E$30,3,0)</f>
        <v>#N/A</v>
      </c>
      <c r="AD126" s="1" t="str">
        <f>IF(LEN(A126)=6,"0"&amp;A126,A126)</f>
        <v>0217-05</v>
      </c>
    </row>
    <row r="127" spans="1:30" x14ac:dyDescent="0.25">
      <c r="A127" s="67" t="s">
        <v>407</v>
      </c>
      <c r="B127" s="34">
        <v>4013</v>
      </c>
      <c r="C127" s="34" t="s">
        <v>60</v>
      </c>
      <c r="D127" s="34" t="s">
        <v>578</v>
      </c>
      <c r="E127" s="20">
        <v>42556.795393518521</v>
      </c>
      <c r="F127" s="20">
        <v>42556.796956018516</v>
      </c>
      <c r="G127" s="23">
        <v>2</v>
      </c>
      <c r="H127" s="20" t="s">
        <v>652</v>
      </c>
      <c r="I127" s="20">
        <v>42557.227106481485</v>
      </c>
      <c r="J127" s="34">
        <v>2</v>
      </c>
      <c r="K127" s="34" t="str">
        <f>IF(ISEVEN(B127),(B127-1)&amp;"/"&amp;B127,B127&amp;"/"&amp;(B127+1))</f>
        <v>4013/4014</v>
      </c>
      <c r="L127" s="34" t="str">
        <f>VLOOKUP(A127,'Trips&amp;Operators'!$C$1:$E$10000,3,FALSE)</f>
        <v>YOUNG</v>
      </c>
      <c r="M127" s="6">
        <f>I127-F127</f>
        <v>0.43015046296932269</v>
      </c>
      <c r="N127" s="7">
        <f>24*60*SUM($M127:$M127)</f>
        <v>619.41666667582467</v>
      </c>
      <c r="O127" s="7"/>
      <c r="P127" s="7"/>
      <c r="Q127" s="35"/>
      <c r="R127" s="35"/>
      <c r="S127" s="59">
        <f>SUM(U127:U127)/12</f>
        <v>1</v>
      </c>
      <c r="T127" s="1" t="str">
        <f>IF(ISEVEN(LEFT(A127,3)),"Southbound","NorthBound")</f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7" s="38" t="str">
        <f>IF(AA127&lt;23,"Y","N")</f>
        <v>N</v>
      </c>
      <c r="X127" s="38">
        <f>VALUE(LEFT(A127,3))-VALUE(LEFT(A126,3))</f>
        <v>1</v>
      </c>
      <c r="Y127" s="38">
        <f>RIGHT(D127,LEN(D127)-4)/10000</f>
        <v>23.2988</v>
      </c>
      <c r="Z127" s="38">
        <f>RIGHT(H127,LEN(H127)-4)/10000</f>
        <v>0.02</v>
      </c>
      <c r="AA127" s="38">
        <f>ABS(Z127-Y127)</f>
        <v>23.2788</v>
      </c>
      <c r="AB127" s="39">
        <f>VLOOKUP(A127,Enforcements!$C$7:$J$30,8,0)</f>
        <v>156300</v>
      </c>
      <c r="AC127" s="39" t="str">
        <f>VLOOKUP(A127,Enforcements!$C$7:$E$30,3,0)</f>
        <v>EQUIPMENT RESTRICTION</v>
      </c>
      <c r="AD127" s="1" t="str">
        <f>IF(LEN(A127)=6,"0"&amp;A127,A127)</f>
        <v>0218-05</v>
      </c>
    </row>
    <row r="128" spans="1:30" x14ac:dyDescent="0.25">
      <c r="A128" s="67" t="s">
        <v>474</v>
      </c>
      <c r="B128" s="34">
        <v>4019</v>
      </c>
      <c r="C128" s="34" t="s">
        <v>60</v>
      </c>
      <c r="D128" s="34" t="s">
        <v>653</v>
      </c>
      <c r="E128" s="20">
        <v>42556.807152777779</v>
      </c>
      <c r="F128" s="20">
        <v>42556.808622685188</v>
      </c>
      <c r="G128" s="23">
        <v>2</v>
      </c>
      <c r="H128" s="20" t="s">
        <v>135</v>
      </c>
      <c r="I128" s="20">
        <v>42556.838206018518</v>
      </c>
      <c r="J128" s="34">
        <v>0</v>
      </c>
      <c r="K128" s="34" t="str">
        <f>IF(ISEVEN(B128),(B128-1)&amp;"/"&amp;B128,B128&amp;"/"&amp;(B128+1))</f>
        <v>4019/4020</v>
      </c>
      <c r="L128" s="34" t="str">
        <f>VLOOKUP(A128,'Trips&amp;Operators'!$C$1:$E$10000,3,FALSE)</f>
        <v>GRASTON</v>
      </c>
      <c r="M128" s="6">
        <f>I128-F128</f>
        <v>2.958333332935581E-2</v>
      </c>
      <c r="N128" s="7">
        <f>24*60*SUM($M128:$M128)</f>
        <v>42.599999994272366</v>
      </c>
      <c r="O128" s="7"/>
      <c r="P128" s="7"/>
      <c r="Q128" s="35"/>
      <c r="R128" s="35"/>
      <c r="S128" s="59">
        <f>SUM(U128:U128)/12</f>
        <v>1</v>
      </c>
      <c r="T128" s="1" t="str">
        <f>IF(ISEVEN(LEFT(A128,3)),"Southbound","NorthBound")</f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https://search-rtdc-monitor-bjffxe2xuh6vdkpspy63sjmuny.us-east-1.es.amazonaws.com/_plugin/kibana/#/discover/Steve-Slow-Train-Analysis-(2080s-and-2083s)?_g=(refreshInterval:(display:Off,section:0,value:0),time:(from:'2016-07-05 19:21:18-0600',mode:absolute,to:'2016-07-05 20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38" t="str">
        <f>IF(AA128&lt;23,"Y","N")</f>
        <v>N</v>
      </c>
      <c r="X128" s="38">
        <f>VALUE(LEFT(A128,3))-VALUE(LEFT(A127,3))</f>
        <v>2</v>
      </c>
      <c r="Y128" s="38">
        <f>RIGHT(D128,LEN(D128)-4)/10000</f>
        <v>23.300999999999998</v>
      </c>
      <c r="Z128" s="38">
        <f>RIGHT(H128,LEN(H128)-4)/10000</f>
        <v>1.54E-2</v>
      </c>
      <c r="AA128" s="38">
        <f>ABS(Z128-Y128)</f>
        <v>23.285599999999999</v>
      </c>
      <c r="AB128" s="39" t="e">
        <f>VLOOKUP(A128,Enforcements!$C$7:$J$30,8,0)</f>
        <v>#N/A</v>
      </c>
      <c r="AC128" s="39" t="e">
        <f>VLOOKUP(A128,Enforcements!$C$7:$E$30,3,0)</f>
        <v>#N/A</v>
      </c>
      <c r="AD128" s="1" t="str">
        <f>IF(LEN(A128)=6,"0"&amp;A128,A128)</f>
        <v>0220-05</v>
      </c>
    </row>
    <row r="129" spans="1:30" x14ac:dyDescent="0.25">
      <c r="A129" s="67" t="s">
        <v>539</v>
      </c>
      <c r="B129" s="34">
        <v>4038</v>
      </c>
      <c r="C129" s="34" t="s">
        <v>60</v>
      </c>
      <c r="D129" s="34" t="s">
        <v>329</v>
      </c>
      <c r="E129" s="20">
        <v>42556.784201388888</v>
      </c>
      <c r="F129" s="20">
        <v>42556.786145833335</v>
      </c>
      <c r="G129" s="23">
        <v>2</v>
      </c>
      <c r="H129" s="20" t="s">
        <v>654</v>
      </c>
      <c r="I129" s="20">
        <v>42556.818194444444</v>
      </c>
      <c r="J129" s="34">
        <v>0</v>
      </c>
      <c r="K129" s="34" t="str">
        <f>IF(ISEVEN(B129),(B129-1)&amp;"/"&amp;B129,B129&amp;"/"&amp;(B129+1))</f>
        <v>4037/4038</v>
      </c>
      <c r="L129" s="34" t="str">
        <f>VLOOKUP(A129,'Trips&amp;Operators'!$C$1:$E$10000,3,FALSE)</f>
        <v>BARTLETT</v>
      </c>
      <c r="M129" s="6">
        <f>I129-F129</f>
        <v>3.2048611108621117E-2</v>
      </c>
      <c r="N129" s="7"/>
      <c r="O129" s="7"/>
      <c r="P129" s="7">
        <f>24*60*SUM($M129:$M129)</f>
        <v>46.149999996414408</v>
      </c>
      <c r="Q129" s="35"/>
      <c r="R129" s="35" t="s">
        <v>737</v>
      </c>
      <c r="S129" s="59">
        <f>SUM(U129:U129)/12</f>
        <v>1</v>
      </c>
      <c r="T129" s="1" t="str">
        <f>IF(ISEVEN(LEFT(A129,3)),"Southbound","NorthBound")</f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https://search-rtdc-monitor-bjffxe2xuh6vdkpspy63sjmuny.us-east-1.es.amazonaws.com/_plugin/kibana/#/discover/Steve-Slow-Train-Analysis-(2080s-and-2083s)?_g=(refreshInterval:(display:Off,section:0,value:0),time:(from:'2016-07-05 18:48:15-0600',mode:absolute,to:'2016-07-05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9" s="38" t="str">
        <f>IF(AA129&lt;23,"Y","N")</f>
        <v>Y</v>
      </c>
      <c r="X129" s="38">
        <f>VALUE(LEFT(A129,3))-VALUE(LEFT(A128,3))</f>
        <v>1</v>
      </c>
      <c r="Y129" s="38">
        <f>RIGHT(D129,LEN(D129)-4)/10000</f>
        <v>6.93E-2</v>
      </c>
      <c r="Z129" s="38">
        <f>RIGHT(H129,LEN(H129)-4)/10000</f>
        <v>22.825399999999998</v>
      </c>
      <c r="AA129" s="38">
        <f>ABS(Z129-Y129)</f>
        <v>22.7561</v>
      </c>
      <c r="AB129" s="39" t="e">
        <f>VLOOKUP(A129,Enforcements!$C$7:$J$30,8,0)</f>
        <v>#N/A</v>
      </c>
      <c r="AC129" s="39" t="e">
        <f>VLOOKUP(A129,Enforcements!$C$7:$E$30,3,0)</f>
        <v>#N/A</v>
      </c>
      <c r="AD129" s="1" t="str">
        <f>IF(LEN(A129)=6,"0"&amp;A129,A129)</f>
        <v>0221-05</v>
      </c>
    </row>
    <row r="130" spans="1:30" x14ac:dyDescent="0.25">
      <c r="A130" s="67" t="s">
        <v>408</v>
      </c>
      <c r="B130" s="34">
        <v>4032</v>
      </c>
      <c r="C130" s="34" t="s">
        <v>60</v>
      </c>
      <c r="D130" s="34" t="s">
        <v>154</v>
      </c>
      <c r="E130" s="20">
        <v>42556.828020833331</v>
      </c>
      <c r="F130" s="20">
        <v>42556.828993055555</v>
      </c>
      <c r="G130" s="20">
        <v>1</v>
      </c>
      <c r="H130" s="20" t="s">
        <v>62</v>
      </c>
      <c r="I130" s="20">
        <v>42556.860486111109</v>
      </c>
      <c r="J130" s="34">
        <v>1</v>
      </c>
      <c r="K130" s="34" t="str">
        <f>IF(ISEVEN(B130),(B130-1)&amp;"/"&amp;B130,B130&amp;"/"&amp;(B130+1))</f>
        <v>4031/4032</v>
      </c>
      <c r="L130" s="34" t="str">
        <f>VLOOKUP(A130,'Trips&amp;Operators'!$C$1:$E$10000,3,FALSE)</f>
        <v>ADANE</v>
      </c>
      <c r="M130" s="6">
        <f>I130-F130</f>
        <v>3.1493055554165039E-2</v>
      </c>
      <c r="N130" s="7">
        <f>24*60*SUM($M130:$M130)</f>
        <v>45.349999997997656</v>
      </c>
      <c r="O130" s="7"/>
      <c r="P130" s="7"/>
      <c r="Q130" s="35"/>
      <c r="R130" s="35"/>
      <c r="S130" s="59">
        <f>SUM(U130:U130)/12</f>
        <v>1</v>
      </c>
      <c r="T130" s="1" t="str">
        <f>IF(ISEVEN(LEFT(A130,3)),"Southbound","NorthBound")</f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0" s="38" t="str">
        <f>IF(AA130&lt;23,"Y","N")</f>
        <v>N</v>
      </c>
      <c r="X130" s="38">
        <f>VALUE(LEFT(A130,3))-VALUE(LEFT(A129,3))</f>
        <v>1</v>
      </c>
      <c r="Y130" s="38">
        <f>RIGHT(D130,LEN(D130)-4)/10000</f>
        <v>23.297799999999999</v>
      </c>
      <c r="Z130" s="38">
        <f>RIGHT(H130,LEN(H130)-4)/10000</f>
        <v>1.52E-2</v>
      </c>
      <c r="AA130" s="38">
        <f>ABS(Z130-Y130)</f>
        <v>23.282599999999999</v>
      </c>
      <c r="AB130" s="39" t="e">
        <f>VLOOKUP(A130,Enforcements!$C$7:$J$30,8,0)</f>
        <v>#N/A</v>
      </c>
      <c r="AC130" s="39" t="e">
        <f>VLOOKUP(A130,Enforcements!$C$7:$E$30,3,0)</f>
        <v>#N/A</v>
      </c>
      <c r="AD130" s="1" t="str">
        <f>IF(LEN(A130)=6,"0"&amp;A130,A130)</f>
        <v>0222-05</v>
      </c>
    </row>
    <row r="131" spans="1:30" x14ac:dyDescent="0.25">
      <c r="A131" s="67" t="s">
        <v>532</v>
      </c>
      <c r="B131" s="34">
        <v>4027</v>
      </c>
      <c r="C131" s="34" t="s">
        <v>60</v>
      </c>
      <c r="D131" s="34" t="s">
        <v>655</v>
      </c>
      <c r="E131" s="20">
        <v>42556.816041666665</v>
      </c>
      <c r="F131" s="20">
        <v>42556.817141203705</v>
      </c>
      <c r="G131" s="20">
        <v>1</v>
      </c>
      <c r="H131" s="20" t="s">
        <v>656</v>
      </c>
      <c r="I131" s="20">
        <v>42556.837870370371</v>
      </c>
      <c r="J131" s="34">
        <v>0</v>
      </c>
      <c r="K131" s="34" t="str">
        <f>IF(ISEVEN(B131),(B131-1)&amp;"/"&amp;B131,B131&amp;"/"&amp;(B131+1))</f>
        <v>4027/4028</v>
      </c>
      <c r="L131" s="34" t="str">
        <f>VLOOKUP(A131,'Trips&amp;Operators'!$C$1:$E$10000,3,FALSE)</f>
        <v>LEVERE</v>
      </c>
      <c r="M131" s="6">
        <f>I131-F131</f>
        <v>2.0729166666569654E-2</v>
      </c>
      <c r="N131" s="7"/>
      <c r="O131" s="7"/>
      <c r="P131" s="7">
        <f>24*60*SUM($M131:$M131)</f>
        <v>29.849999999860302</v>
      </c>
      <c r="Q131" s="35"/>
      <c r="R131" s="35" t="s">
        <v>153</v>
      </c>
      <c r="S131" s="59">
        <f>SUM(U131:U131)/12</f>
        <v>1</v>
      </c>
      <c r="T131" s="1" t="str">
        <f>IF(ISEVEN(LEFT(A131,3)),"Southbound","NorthBound")</f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https://search-rtdc-monitor-bjffxe2xuh6vdkpspy63sjmuny.us-east-1.es.amazonaws.com/_plugin/kibana/#/discover/Steve-Slow-Train-Analysis-(2080s-and-2083s)?_g=(refreshInterval:(display:Off,section:0,value:0),time:(from:'2016-07-05 19:34:06-0600',mode:absolute,to:'2016-07-05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38" t="str">
        <f>IF(AA131&lt;23,"Y","N")</f>
        <v>Y</v>
      </c>
      <c r="X131" s="38">
        <f>VALUE(LEFT(A131,3))-VALUE(LEFT(A130,3))</f>
        <v>1</v>
      </c>
      <c r="Y131" s="38">
        <f>RIGHT(D131,LEN(D131)-4)/10000</f>
        <v>1.9137999999999999</v>
      </c>
      <c r="Z131" s="38">
        <f>RIGHT(H131,LEN(H131)-4)/10000</f>
        <v>18.976099999999999</v>
      </c>
      <c r="AA131" s="38">
        <f>ABS(Z131-Y131)</f>
        <v>17.0623</v>
      </c>
      <c r="AB131" s="39" t="e">
        <f>VLOOKUP(A131,Enforcements!$C$7:$J$30,8,0)</f>
        <v>#N/A</v>
      </c>
      <c r="AC131" s="39" t="e">
        <f>VLOOKUP(A131,Enforcements!$C$7:$E$30,3,0)</f>
        <v>#N/A</v>
      </c>
      <c r="AD131" s="1" t="str">
        <f>IF(LEN(A131)=6,"0"&amp;A131,A131)</f>
        <v>0223-05</v>
      </c>
    </row>
    <row r="132" spans="1:30" x14ac:dyDescent="0.25">
      <c r="A132" s="67" t="s">
        <v>410</v>
      </c>
      <c r="B132" s="34">
        <v>4028</v>
      </c>
      <c r="C132" s="34" t="s">
        <v>60</v>
      </c>
      <c r="D132" s="34" t="s">
        <v>190</v>
      </c>
      <c r="E132" s="20">
        <v>42556.849247685182</v>
      </c>
      <c r="F132" s="20">
        <v>42556.85224537037</v>
      </c>
      <c r="G132" s="20">
        <v>4</v>
      </c>
      <c r="H132" s="20" t="s">
        <v>62</v>
      </c>
      <c r="I132" s="20">
        <v>42556.883391203701</v>
      </c>
      <c r="J132" s="34">
        <v>3</v>
      </c>
      <c r="K132" s="34" t="str">
        <f>IF(ISEVEN(B132),(B132-1)&amp;"/"&amp;B132,B132&amp;"/"&amp;(B132+1))</f>
        <v>4027/4028</v>
      </c>
      <c r="L132" s="34" t="str">
        <f>VLOOKUP(A132,'Trips&amp;Operators'!$C$1:$E$10000,3,FALSE)</f>
        <v>LEVERE</v>
      </c>
      <c r="M132" s="6">
        <f>I132-F132</f>
        <v>3.1145833330811001E-2</v>
      </c>
      <c r="N132" s="7">
        <f>24*60*SUM($M132:$M132)</f>
        <v>44.849999996367842</v>
      </c>
      <c r="O132" s="7"/>
      <c r="P132" s="7"/>
      <c r="Q132" s="35"/>
      <c r="R132" s="35"/>
      <c r="S132" s="59">
        <f>SUM(U132:U132)/12</f>
        <v>1</v>
      </c>
      <c r="T132" s="1" t="str">
        <f>IF(ISEVEN(LEFT(A132,3)),"Southbound","NorthBound")</f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38" t="str">
        <f>IF(AA132&lt;23,"Y","N")</f>
        <v>N</v>
      </c>
      <c r="X132" s="38">
        <f>VALUE(LEFT(A132,3))-VALUE(LEFT(A131,3))</f>
        <v>1</v>
      </c>
      <c r="Y132" s="38">
        <f>RIGHT(D132,LEN(D132)-4)/10000</f>
        <v>23.2973</v>
      </c>
      <c r="Z132" s="38">
        <f>RIGHT(H132,LEN(H132)-4)/10000</f>
        <v>1.52E-2</v>
      </c>
      <c r="AA132" s="38">
        <f>ABS(Z132-Y132)</f>
        <v>23.2821</v>
      </c>
      <c r="AB132" s="39" t="e">
        <f>VLOOKUP(A132,Enforcements!$C$7:$J$30,8,0)</f>
        <v>#N/A</v>
      </c>
      <c r="AC132" s="39" t="e">
        <f>VLOOKUP(A132,Enforcements!$C$7:$E$30,3,0)</f>
        <v>#N/A</v>
      </c>
      <c r="AD132" s="1" t="str">
        <f>IF(LEN(A132)=6,"0"&amp;A132,A132)</f>
        <v>0224-05</v>
      </c>
    </row>
    <row r="133" spans="1:30" x14ac:dyDescent="0.25">
      <c r="A133" s="67" t="s">
        <v>411</v>
      </c>
      <c r="B133" s="34">
        <v>4011</v>
      </c>
      <c r="C133" s="34" t="s">
        <v>60</v>
      </c>
      <c r="D133" s="34" t="s">
        <v>114</v>
      </c>
      <c r="E133" s="20">
        <v>42556.831469907411</v>
      </c>
      <c r="F133" s="20">
        <v>42556.832673611112</v>
      </c>
      <c r="G133" s="20">
        <v>1</v>
      </c>
      <c r="H133" s="20" t="s">
        <v>255</v>
      </c>
      <c r="I133" s="20">
        <v>42556.860925925925</v>
      </c>
      <c r="J133" s="34">
        <v>1</v>
      </c>
      <c r="K133" s="34" t="str">
        <f>IF(ISEVEN(B133),(B133-1)&amp;"/"&amp;B133,B133&amp;"/"&amp;(B133+1))</f>
        <v>4011/4012</v>
      </c>
      <c r="L133" s="34" t="str">
        <f>VLOOKUP(A133,'Trips&amp;Operators'!$C$1:$E$10000,3,FALSE)</f>
        <v>STRICKLAND</v>
      </c>
      <c r="M133" s="6">
        <f>I133-F133</f>
        <v>2.8252314812561963E-2</v>
      </c>
      <c r="N133" s="7">
        <f>24*60*SUM($M133:$M133)</f>
        <v>40.683333330089226</v>
      </c>
      <c r="O133" s="7"/>
      <c r="P133" s="7"/>
      <c r="Q133" s="35"/>
      <c r="R133" s="35"/>
      <c r="S133" s="59">
        <f>SUM(U133:U133)/12</f>
        <v>1</v>
      </c>
      <c r="T133" s="1" t="str">
        <f>IF(ISEVEN(LEFT(A133,3)),"Southbound","NorthBound")</f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38" t="str">
        <f>IF(AA133&lt;23,"Y","N")</f>
        <v>N</v>
      </c>
      <c r="X133" s="38">
        <f>VALUE(LEFT(A133,3))-VALUE(LEFT(A132,3))</f>
        <v>1</v>
      </c>
      <c r="Y133" s="38">
        <f>RIGHT(D133,LEN(D133)-4)/10000</f>
        <v>4.7300000000000002E-2</v>
      </c>
      <c r="Z133" s="38">
        <f>RIGHT(H133,LEN(H133)-4)/10000</f>
        <v>23.3307</v>
      </c>
      <c r="AA133" s="38">
        <f>ABS(Z133-Y133)</f>
        <v>23.2834</v>
      </c>
      <c r="AB133" s="39" t="e">
        <f>VLOOKUP(A133,Enforcements!$C$7:$J$30,8,0)</f>
        <v>#N/A</v>
      </c>
      <c r="AC133" s="39" t="e">
        <f>VLOOKUP(A133,Enforcements!$C$7:$E$30,3,0)</f>
        <v>#N/A</v>
      </c>
      <c r="AD133" s="1" t="str">
        <f>IF(LEN(A133)=6,"0"&amp;A133,A133)</f>
        <v>0225-05</v>
      </c>
    </row>
    <row r="134" spans="1:30" x14ac:dyDescent="0.25">
      <c r="A134" s="67" t="s">
        <v>412</v>
      </c>
      <c r="B134" s="34">
        <v>4012</v>
      </c>
      <c r="C134" s="34" t="s">
        <v>60</v>
      </c>
      <c r="D134" s="34" t="s">
        <v>170</v>
      </c>
      <c r="E134" s="20">
        <v>42556.871261574073</v>
      </c>
      <c r="F134" s="20">
        <v>42556.872071759259</v>
      </c>
      <c r="G134" s="20">
        <v>1</v>
      </c>
      <c r="H134" s="20" t="s">
        <v>95</v>
      </c>
      <c r="I134" s="20">
        <v>42556.901412037034</v>
      </c>
      <c r="J134" s="34">
        <v>2</v>
      </c>
      <c r="K134" s="34" t="str">
        <f>IF(ISEVEN(B134),(B134-1)&amp;"/"&amp;B134,B134&amp;"/"&amp;(B134+1))</f>
        <v>4011/4012</v>
      </c>
      <c r="L134" s="34" t="str">
        <f>VLOOKUP(A134,'Trips&amp;Operators'!$C$1:$E$10000,3,FALSE)</f>
        <v>STRICKLAND</v>
      </c>
      <c r="M134" s="6">
        <f>I134-F134</f>
        <v>2.9340277775190771E-2</v>
      </c>
      <c r="N134" s="7">
        <f>24*60*SUM($M134:$M134)</f>
        <v>42.24999999627471</v>
      </c>
      <c r="O134" s="7"/>
      <c r="P134" s="7"/>
      <c r="Q134" s="35"/>
      <c r="R134" s="35"/>
      <c r="S134" s="59">
        <f>SUM(U134:U134)/12</f>
        <v>1</v>
      </c>
      <c r="T134" s="1" t="str">
        <f>IF(ISEVEN(LEFT(A134,3)),"Southbound","NorthBound")</f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38" t="str">
        <f>IF(AA134&lt;23,"Y","N")</f>
        <v>N</v>
      </c>
      <c r="X134" s="38">
        <f>VALUE(LEFT(A134,3))-VALUE(LEFT(A133,3))</f>
        <v>1</v>
      </c>
      <c r="Y134" s="38">
        <f>RIGHT(D134,LEN(D134)-4)/10000</f>
        <v>23.296900000000001</v>
      </c>
      <c r="Z134" s="38">
        <f>RIGHT(H134,LEN(H134)-4)/10000</f>
        <v>1.4999999999999999E-2</v>
      </c>
      <c r="AA134" s="38">
        <f>ABS(Z134-Y134)</f>
        <v>23.2819</v>
      </c>
      <c r="AB134" s="39">
        <f>VLOOKUP(A134,Enforcements!$C$7:$J$30,8,0)</f>
        <v>33257</v>
      </c>
      <c r="AC134" s="39" t="str">
        <f>VLOOKUP(A134,Enforcements!$C$7:$E$30,3,0)</f>
        <v>GRADE CROSSING</v>
      </c>
      <c r="AD134" s="1" t="str">
        <f>IF(LEN(A134)=6,"0"&amp;A134,A134)</f>
        <v>0226-05</v>
      </c>
    </row>
    <row r="135" spans="1:30" x14ac:dyDescent="0.25">
      <c r="A135" s="67" t="s">
        <v>416</v>
      </c>
      <c r="B135" s="34">
        <v>4020</v>
      </c>
      <c r="C135" s="34" t="s">
        <v>60</v>
      </c>
      <c r="D135" s="34" t="s">
        <v>76</v>
      </c>
      <c r="E135" s="20">
        <v>42556.854351851849</v>
      </c>
      <c r="F135" s="20">
        <v>42556.85533564815</v>
      </c>
      <c r="G135" s="20">
        <v>1</v>
      </c>
      <c r="H135" s="20" t="s">
        <v>657</v>
      </c>
      <c r="I135" s="20">
        <v>42556.880335648151</v>
      </c>
      <c r="J135" s="34">
        <v>0</v>
      </c>
      <c r="K135" s="34" t="str">
        <f>IF(ISEVEN(B135),(B135-1)&amp;"/"&amp;B135,B135&amp;"/"&amp;(B135+1))</f>
        <v>4019/4020</v>
      </c>
      <c r="L135" s="34" t="str">
        <f>VLOOKUP(A135,'Trips&amp;Operators'!$C$1:$E$10000,3,FALSE)</f>
        <v>GRASTON</v>
      </c>
      <c r="M135" s="6">
        <f>I135-F135</f>
        <v>2.5000000001455192E-2</v>
      </c>
      <c r="N135" s="7">
        <f>24*60*SUM($M135:$M135)</f>
        <v>36.000000002095476</v>
      </c>
      <c r="O135" s="7"/>
      <c r="P135" s="7"/>
      <c r="Q135" s="35"/>
      <c r="R135" s="35"/>
      <c r="S135" s="59">
        <f>SUM(U135:U135)/12</f>
        <v>1</v>
      </c>
      <c r="T135" s="1" t="str">
        <f>IF(ISEVEN(LEFT(A135,3)),"Southbound","NorthBound")</f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https://search-rtdc-monitor-bjffxe2xuh6vdkpspy63sjmuny.us-east-1.es.amazonaws.com/_plugin/kibana/#/discover/Steve-Slow-Train-Analysis-(2080s-and-2083s)?_g=(refreshInterval:(display:Off,section:0,value:0),time:(from:'2016-07-05 20:29:16-0600',mode:absolute,to:'2016-07-05 21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5" s="38" t="str">
        <f>IF(AA135&lt;23,"Y","N")</f>
        <v>N</v>
      </c>
      <c r="X135" s="38">
        <f>VALUE(LEFT(A135,3))-VALUE(LEFT(A134,3))</f>
        <v>1</v>
      </c>
      <c r="Y135" s="38">
        <f>RIGHT(D135,LEN(D135)-4)/10000</f>
        <v>4.53E-2</v>
      </c>
      <c r="Z135" s="38">
        <f>RIGHT(H135,LEN(H135)-4)/10000</f>
        <v>23.331800000000001</v>
      </c>
      <c r="AA135" s="38">
        <f>ABS(Z135-Y135)</f>
        <v>23.2865</v>
      </c>
      <c r="AB135" s="39" t="e">
        <f>VLOOKUP(A135,Enforcements!$C$7:$J$30,8,0)</f>
        <v>#N/A</v>
      </c>
      <c r="AC135" s="39" t="e">
        <f>VLOOKUP(A135,Enforcements!$C$7:$E$30,3,0)</f>
        <v>#N/A</v>
      </c>
      <c r="AD135" s="1" t="str">
        <f>IF(LEN(A135)=6,"0"&amp;A135,A135)</f>
        <v>0227-05</v>
      </c>
    </row>
    <row r="136" spans="1:30" x14ac:dyDescent="0.25">
      <c r="A136" s="67" t="s">
        <v>421</v>
      </c>
      <c r="B136" s="34">
        <v>4019</v>
      </c>
      <c r="C136" s="34" t="s">
        <v>60</v>
      </c>
      <c r="D136" s="34" t="s">
        <v>190</v>
      </c>
      <c r="E136" s="20">
        <v>42556.890729166669</v>
      </c>
      <c r="F136" s="20">
        <v>42556.89166666667</v>
      </c>
      <c r="G136" s="20">
        <v>1</v>
      </c>
      <c r="H136" s="20" t="s">
        <v>319</v>
      </c>
      <c r="I136" s="20">
        <v>42556.919710648152</v>
      </c>
      <c r="J136" s="34">
        <v>0</v>
      </c>
      <c r="K136" s="34" t="str">
        <f>IF(ISEVEN(B136),(B136-1)&amp;"/"&amp;B136,B136&amp;"/"&amp;(B136+1))</f>
        <v>4019/4020</v>
      </c>
      <c r="L136" s="34" t="str">
        <f>VLOOKUP(A136,'Trips&amp;Operators'!$C$1:$E$10000,3,FALSE)</f>
        <v>GRASTON</v>
      </c>
      <c r="M136" s="6">
        <f>I136-F136</f>
        <v>2.8043981481459923E-2</v>
      </c>
      <c r="N136" s="7">
        <f>24*60*SUM($M136:$M136)</f>
        <v>40.383333333302289</v>
      </c>
      <c r="O136" s="7"/>
      <c r="P136" s="7"/>
      <c r="Q136" s="35"/>
      <c r="R136" s="35"/>
      <c r="S136" s="59">
        <f>SUM(U136:U136)/12</f>
        <v>1</v>
      </c>
      <c r="T136" s="1" t="str">
        <f>IF(ISEVEN(LEFT(A136,3)),"Southbound","NorthBound")</f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https://search-rtdc-monitor-bjffxe2xuh6vdkpspy63sjmuny.us-east-1.es.amazonaws.com/_plugin/kibana/#/discover/Steve-Slow-Train-Analysis-(2080s-and-2083s)?_g=(refreshInterval:(display:Off,section:0,value:0),time:(from:'2016-07-05 21:21:39-0600',mode:absolute,to:'2016-07-05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6" s="38" t="str">
        <f>IF(AA136&lt;23,"Y","N")</f>
        <v>N</v>
      </c>
      <c r="X136" s="38">
        <f>VALUE(LEFT(A136,3))-VALUE(LEFT(A135,3))</f>
        <v>1</v>
      </c>
      <c r="Y136" s="38">
        <f>RIGHT(D136,LEN(D136)-4)/10000</f>
        <v>23.2973</v>
      </c>
      <c r="Z136" s="38">
        <f>RIGHT(H136,LEN(H136)-4)/10000</f>
        <v>1.6500000000000001E-2</v>
      </c>
      <c r="AA136" s="38">
        <f>ABS(Z136-Y136)</f>
        <v>23.280799999999999</v>
      </c>
      <c r="AB136" s="39" t="e">
        <f>VLOOKUP(A136,Enforcements!$C$7:$J$30,8,0)</f>
        <v>#N/A</v>
      </c>
      <c r="AC136" s="39" t="e">
        <f>VLOOKUP(A136,Enforcements!$C$7:$E$30,3,0)</f>
        <v>#N/A</v>
      </c>
      <c r="AD136" s="1" t="str">
        <f>IF(LEN(A136)=6,"0"&amp;A136,A136)</f>
        <v>0228-05</v>
      </c>
    </row>
    <row r="137" spans="1:30" x14ac:dyDescent="0.25">
      <c r="A137" s="67" t="s">
        <v>482</v>
      </c>
      <c r="B137" s="34">
        <v>4031</v>
      </c>
      <c r="C137" s="34" t="s">
        <v>60</v>
      </c>
      <c r="D137" s="34" t="s">
        <v>72</v>
      </c>
      <c r="E137" s="20">
        <v>42556.870833333334</v>
      </c>
      <c r="F137" s="20">
        <v>42556.87164351852</v>
      </c>
      <c r="G137" s="20">
        <v>1</v>
      </c>
      <c r="H137" s="20" t="s">
        <v>646</v>
      </c>
      <c r="I137" s="20">
        <v>42556.900543981479</v>
      </c>
      <c r="J137" s="34">
        <v>0</v>
      </c>
      <c r="K137" s="34" t="str">
        <f>IF(ISEVEN(B137),(B137-1)&amp;"/"&amp;B137,B137&amp;"/"&amp;(B137+1))</f>
        <v>4031/4032</v>
      </c>
      <c r="L137" s="34" t="str">
        <f>VLOOKUP(A137,'Trips&amp;Operators'!$C$1:$E$10000,3,FALSE)</f>
        <v>ADANE</v>
      </c>
      <c r="M137" s="6">
        <f>I137-F137</f>
        <v>2.8900462959427387E-2</v>
      </c>
      <c r="N137" s="7">
        <f>24*60*SUM($M137:$M137)</f>
        <v>41.616666661575437</v>
      </c>
      <c r="O137" s="7"/>
      <c r="P137" s="7"/>
      <c r="Q137" s="35"/>
      <c r="R137" s="35"/>
      <c r="S137" s="59">
        <f>SUM(U137:U137)/12</f>
        <v>1</v>
      </c>
      <c r="T137" s="1" t="str">
        <f>IF(ISEVEN(LEFT(A137,3)),"Southbound","NorthBound")</f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https://search-rtdc-monitor-bjffxe2xuh6vdkpspy63sjmuny.us-east-1.es.amazonaws.com/_plugin/kibana/#/discover/Steve-Slow-Train-Analysis-(2080s-and-2083s)?_g=(refreshInterval:(display:Off,section:0,value:0),time:(from:'2016-07-05 20:53:00-0600',mode:absolute,to:'2016-07-05 21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7" s="38" t="str">
        <f>IF(AA137&lt;23,"Y","N")</f>
        <v>N</v>
      </c>
      <c r="X137" s="38">
        <f>VALUE(LEFT(A137,3))-VALUE(LEFT(A136,3))</f>
        <v>1</v>
      </c>
      <c r="Y137" s="38">
        <f>RIGHT(D137,LEN(D137)-4)/10000</f>
        <v>4.5699999999999998E-2</v>
      </c>
      <c r="Z137" s="38">
        <f>RIGHT(H137,LEN(H137)-4)/10000</f>
        <v>23.327999999999999</v>
      </c>
      <c r="AA137" s="38">
        <f>ABS(Z137-Y137)</f>
        <v>23.282299999999999</v>
      </c>
      <c r="AB137" s="39" t="e">
        <f>VLOOKUP(A137,Enforcements!$C$7:$J$30,8,0)</f>
        <v>#N/A</v>
      </c>
      <c r="AC137" s="39" t="e">
        <f>VLOOKUP(A137,Enforcements!$C$7:$E$30,3,0)</f>
        <v>#N/A</v>
      </c>
      <c r="AD137" s="1" t="str">
        <f>IF(LEN(A137)=6,"0"&amp;A137,A137)</f>
        <v>0229-05</v>
      </c>
    </row>
    <row r="138" spans="1:30" x14ac:dyDescent="0.25">
      <c r="A138" s="67" t="s">
        <v>518</v>
      </c>
      <c r="B138" s="34">
        <v>4032</v>
      </c>
      <c r="C138" s="34" t="s">
        <v>60</v>
      </c>
      <c r="D138" s="34" t="s">
        <v>619</v>
      </c>
      <c r="E138" s="20">
        <v>42556.910046296296</v>
      </c>
      <c r="F138" s="20">
        <v>42556.91133101852</v>
      </c>
      <c r="G138" s="20">
        <v>1</v>
      </c>
      <c r="H138" s="20" t="s">
        <v>658</v>
      </c>
      <c r="I138" s="20">
        <v>42556.941006944442</v>
      </c>
      <c r="J138" s="34">
        <v>0</v>
      </c>
      <c r="K138" s="34" t="str">
        <f>IF(ISEVEN(B138),(B138-1)&amp;"/"&amp;B138,B138&amp;"/"&amp;(B138+1))</f>
        <v>4031/4032</v>
      </c>
      <c r="L138" s="34" t="str">
        <f>VLOOKUP(A138,'Trips&amp;Operators'!$C$1:$E$10000,3,FALSE)</f>
        <v>ADANE</v>
      </c>
      <c r="M138" s="6">
        <f>I138-F138</f>
        <v>2.9675925921765156E-2</v>
      </c>
      <c r="N138" s="7">
        <f>24*60*SUM($M138:$M138)</f>
        <v>42.733333327341825</v>
      </c>
      <c r="O138" s="7"/>
      <c r="P138" s="7"/>
      <c r="Q138" s="35"/>
      <c r="R138" s="35"/>
      <c r="S138" s="59">
        <f>SUM(U138:U138)/12</f>
        <v>1</v>
      </c>
      <c r="T138" s="1" t="str">
        <f>IF(ISEVEN(LEFT(A138,3)),"Southbound","NorthBound")</f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https://search-rtdc-monitor-bjffxe2xuh6vdkpspy63sjmuny.us-east-1.es.amazonaws.com/_plugin/kibana/#/discover/Steve-Slow-Train-Analysis-(2080s-and-2083s)?_g=(refreshInterval:(display:Off,section:0,value:0),time:(from:'2016-07-05 21:49:28-0600',mode:absolute,to:'2016-07-05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8" s="38" t="str">
        <f>IF(AA138&lt;23,"Y","N")</f>
        <v>N</v>
      </c>
      <c r="X138" s="38">
        <f>VALUE(LEFT(A138,3))-VALUE(LEFT(A137,3))</f>
        <v>1</v>
      </c>
      <c r="Y138" s="38">
        <f>RIGHT(D138,LEN(D138)-4)/10000</f>
        <v>23.2971</v>
      </c>
      <c r="Z138" s="38">
        <f>RIGHT(H138,LEN(H138)-4)/10000</f>
        <v>1.7399999999999999E-2</v>
      </c>
      <c r="AA138" s="38">
        <f>ABS(Z138-Y138)</f>
        <v>23.279700000000002</v>
      </c>
      <c r="AB138" s="39" t="e">
        <f>VLOOKUP(A138,Enforcements!$C$7:$J$30,8,0)</f>
        <v>#N/A</v>
      </c>
      <c r="AC138" s="39" t="e">
        <f>VLOOKUP(A138,Enforcements!$C$7:$E$30,3,0)</f>
        <v>#N/A</v>
      </c>
      <c r="AD138" s="1" t="str">
        <f>IF(LEN(A138)=6,"0"&amp;A138,A138)</f>
        <v>0230-05</v>
      </c>
    </row>
    <row r="139" spans="1:30" x14ac:dyDescent="0.25">
      <c r="A139" s="67" t="s">
        <v>495</v>
      </c>
      <c r="B139" s="34">
        <v>4038</v>
      </c>
      <c r="C139" s="34" t="s">
        <v>60</v>
      </c>
      <c r="D139" s="34" t="s">
        <v>208</v>
      </c>
      <c r="E139" s="20">
        <v>42556.875798611109</v>
      </c>
      <c r="F139" s="20">
        <v>42556.878125000003</v>
      </c>
      <c r="G139" s="20">
        <v>3</v>
      </c>
      <c r="H139" s="20" t="s">
        <v>92</v>
      </c>
      <c r="I139" s="20">
        <v>42556.922465277778</v>
      </c>
      <c r="J139" s="34">
        <v>0</v>
      </c>
      <c r="K139" s="34" t="str">
        <f>IF(ISEVEN(B139),(B139-1)&amp;"/"&amp;B139,B139&amp;"/"&amp;(B139+1))</f>
        <v>4037/4038</v>
      </c>
      <c r="L139" s="34" t="str">
        <f>VLOOKUP(A139,'Trips&amp;Operators'!$C$1:$E$10000,3,FALSE)</f>
        <v>BARTLETT</v>
      </c>
      <c r="M139" s="6">
        <f>I139-F139</f>
        <v>4.4340277774608694E-2</v>
      </c>
      <c r="N139" s="7">
        <f>24*60*SUM($M139:$M139)</f>
        <v>63.849999995436519</v>
      </c>
      <c r="O139" s="7"/>
      <c r="P139" s="7"/>
      <c r="Q139" s="35"/>
      <c r="R139" s="35"/>
      <c r="S139" s="59">
        <f>SUM(U139:U139)/12</f>
        <v>1</v>
      </c>
      <c r="T139" s="1" t="str">
        <f>IF(ISEVEN(LEFT(A139,3)),"Southbound","NorthBound")</f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https://search-rtdc-monitor-bjffxe2xuh6vdkpspy63sjmuny.us-east-1.es.amazonaws.com/_plugin/kibana/#/discover/Steve-Slow-Train-Analysis-(2080s-and-2083s)?_g=(refreshInterval:(display:Off,section:0,value:0),time:(from:'2016-07-05 21:00:09-0600',mode:absolute,to:'2016-07-05 22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>IF(AA139&lt;23,"Y","N")</f>
        <v>N</v>
      </c>
      <c r="X139" s="38">
        <f>VALUE(LEFT(A139,3))-VALUE(LEFT(A138,3))</f>
        <v>1</v>
      </c>
      <c r="Y139" s="38">
        <f>RIGHT(D139,LEN(D139)-4)/10000</f>
        <v>4.7500000000000001E-2</v>
      </c>
      <c r="Z139" s="38">
        <f>RIGHT(H139,LEN(H139)-4)/10000</f>
        <v>23.3291</v>
      </c>
      <c r="AA139" s="38">
        <f>ABS(Z139-Y139)</f>
        <v>23.281600000000001</v>
      </c>
      <c r="AB139" s="39" t="e">
        <f>VLOOKUP(A139,Enforcements!$C$7:$J$30,8,0)</f>
        <v>#N/A</v>
      </c>
      <c r="AC139" s="39" t="e">
        <f>VLOOKUP(A139,Enforcements!$C$7:$E$30,3,0)</f>
        <v>#N/A</v>
      </c>
      <c r="AD139" s="1" t="str">
        <f>IF(LEN(A139)=6,"0"&amp;A139,A139)</f>
        <v>0231-05</v>
      </c>
    </row>
    <row r="140" spans="1:30" x14ac:dyDescent="0.25">
      <c r="A140" s="67" t="s">
        <v>541</v>
      </c>
      <c r="B140" s="34">
        <v>4037</v>
      </c>
      <c r="C140" s="34" t="s">
        <v>60</v>
      </c>
      <c r="D140" s="34" t="s">
        <v>337</v>
      </c>
      <c r="E140" s="20">
        <v>42556.930960648147</v>
      </c>
      <c r="F140" s="20">
        <v>42556.931666666664</v>
      </c>
      <c r="G140" s="20">
        <v>1</v>
      </c>
      <c r="H140" s="20" t="s">
        <v>89</v>
      </c>
      <c r="I140" s="20">
        <v>42556.967534722222</v>
      </c>
      <c r="J140" s="34">
        <v>0</v>
      </c>
      <c r="K140" s="34" t="str">
        <f>IF(ISEVEN(B140),(B140-1)&amp;"/"&amp;B140,B140&amp;"/"&amp;(B140+1))</f>
        <v>4037/4038</v>
      </c>
      <c r="L140" s="34" t="str">
        <f>VLOOKUP(A140,'Trips&amp;Operators'!$C$1:$E$10000,3,FALSE)</f>
        <v>BARTLETT</v>
      </c>
      <c r="M140" s="6">
        <f>I140-F140</f>
        <v>3.5868055558239575E-2</v>
      </c>
      <c r="N140" s="7">
        <f>24*60*SUM($M140:$M140)</f>
        <v>51.650000003864989</v>
      </c>
      <c r="O140" s="7"/>
      <c r="P140" s="7"/>
      <c r="Q140" s="35"/>
      <c r="R140" s="35"/>
      <c r="S140" s="59">
        <f>SUM(U140:U140)/12</f>
        <v>1</v>
      </c>
      <c r="T140" s="1" t="str">
        <f>IF(ISEVEN(LEFT(A140,3)),"Southbound","NorthBound")</f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https://search-rtdc-monitor-bjffxe2xuh6vdkpspy63sjmuny.us-east-1.es.amazonaws.com/_plugin/kibana/#/discover/Steve-Slow-Train-Analysis-(2080s-and-2083s)?_g=(refreshInterval:(display:Off,section:0,value:0),time:(from:'2016-07-05 22:19:35-0600',mode:absolute,to:'2016-07-05 23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>IF(AA140&lt;23,"Y","N")</f>
        <v>N</v>
      </c>
      <c r="X140" s="38">
        <f>VALUE(LEFT(A140,3))-VALUE(LEFT(A139,3))</f>
        <v>1</v>
      </c>
      <c r="Y140" s="38">
        <f>RIGHT(D140,LEN(D140)-4)/10000</f>
        <v>23.298200000000001</v>
      </c>
      <c r="Z140" s="38">
        <f>RIGHT(H140,LEN(H140)-4)/10000</f>
        <v>1.5800000000000002E-2</v>
      </c>
      <c r="AA140" s="38">
        <f>ABS(Z140-Y140)</f>
        <v>23.282400000000003</v>
      </c>
      <c r="AB140" s="39" t="e">
        <f>VLOOKUP(A140,Enforcements!$C$7:$J$30,8,0)</f>
        <v>#N/A</v>
      </c>
      <c r="AC140" s="39" t="e">
        <f>VLOOKUP(A140,Enforcements!$C$7:$E$30,3,0)</f>
        <v>#N/A</v>
      </c>
      <c r="AD140" s="1" t="str">
        <f>IF(LEN(A140)=6,"0"&amp;A140,A140)</f>
        <v>0232-05</v>
      </c>
    </row>
    <row r="141" spans="1:30" x14ac:dyDescent="0.25">
      <c r="A141" s="67" t="s">
        <v>545</v>
      </c>
      <c r="B141" s="34">
        <v>4027</v>
      </c>
      <c r="C141" s="34" t="s">
        <v>60</v>
      </c>
      <c r="D141" s="34" t="s">
        <v>127</v>
      </c>
      <c r="E141" s="20">
        <v>42556.91</v>
      </c>
      <c r="F141" s="20">
        <v>42556.911180555559</v>
      </c>
      <c r="G141" s="20">
        <v>1</v>
      </c>
      <c r="H141" s="20" t="s">
        <v>659</v>
      </c>
      <c r="I141" s="20">
        <v>42556.945960648147</v>
      </c>
      <c r="J141" s="34">
        <v>0</v>
      </c>
      <c r="K141" s="34" t="str">
        <f>IF(ISEVEN(B141),(B141-1)&amp;"/"&amp;B141,B141&amp;"/"&amp;(B141+1))</f>
        <v>4027/4028</v>
      </c>
      <c r="L141" s="34" t="str">
        <f>VLOOKUP(A141,'Trips&amp;Operators'!$C$1:$E$10000,3,FALSE)</f>
        <v>LEVERE</v>
      </c>
      <c r="M141" s="6">
        <f>I141-F141</f>
        <v>3.478009258833481E-2</v>
      </c>
      <c r="N141" s="7">
        <f>24*60*SUM($M141:$M141)</f>
        <v>50.083333327202126</v>
      </c>
      <c r="O141" s="7"/>
      <c r="P141" s="7"/>
      <c r="Q141" s="35"/>
      <c r="R141" s="35"/>
      <c r="S141" s="59">
        <f>SUM(U141:U141)/12</f>
        <v>1</v>
      </c>
      <c r="T141" s="1" t="str">
        <f>IF(ISEVEN(LEFT(A141,3)),"Southbound","NorthBound")</f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https://search-rtdc-monitor-bjffxe2xuh6vdkpspy63sjmuny.us-east-1.es.amazonaws.com/_plugin/kibana/#/discover/Steve-Slow-Train-Analysis-(2080s-and-2083s)?_g=(refreshInterval:(display:Off,section:0,value:0),time:(from:'2016-07-05 21:49:24-0600',mode:absolute,to:'2016-07-05 22:43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>IF(AA141&lt;23,"Y","N")</f>
        <v>N</v>
      </c>
      <c r="X141" s="38">
        <f>VALUE(LEFT(A141,3))-VALUE(LEFT(A140,3))</f>
        <v>1</v>
      </c>
      <c r="Y141" s="38">
        <f>RIGHT(D141,LEN(D141)-4)/10000</f>
        <v>4.7699999999999999E-2</v>
      </c>
      <c r="Z141" s="38">
        <f>RIGHT(H141,LEN(H141)-4)/10000</f>
        <v>23.326799999999999</v>
      </c>
      <c r="AA141" s="38">
        <f>ABS(Z141-Y141)</f>
        <v>23.2791</v>
      </c>
      <c r="AB141" s="39" t="e">
        <f>VLOOKUP(A141,Enforcements!$C$7:$J$30,8,0)</f>
        <v>#N/A</v>
      </c>
      <c r="AC141" s="39" t="e">
        <f>VLOOKUP(A141,Enforcements!$C$7:$E$30,3,0)</f>
        <v>#N/A</v>
      </c>
      <c r="AD141" s="1" t="str">
        <f>IF(LEN(A141)=6,"0"&amp;A141,A141)</f>
        <v>0233-05</v>
      </c>
    </row>
    <row r="142" spans="1:30" x14ac:dyDescent="0.25">
      <c r="A142" s="67" t="s">
        <v>448</v>
      </c>
      <c r="B142" s="34">
        <v>4028</v>
      </c>
      <c r="C142" s="34" t="s">
        <v>60</v>
      </c>
      <c r="D142" s="34" t="s">
        <v>210</v>
      </c>
      <c r="E142" s="20">
        <v>42556.952326388891</v>
      </c>
      <c r="F142" s="20">
        <v>42556.953402777777</v>
      </c>
      <c r="G142" s="20">
        <v>1</v>
      </c>
      <c r="H142" s="20" t="s">
        <v>209</v>
      </c>
      <c r="I142" s="20">
        <v>42556.983287037037</v>
      </c>
      <c r="J142" s="34">
        <v>0</v>
      </c>
      <c r="K142" s="34" t="str">
        <f>IF(ISEVEN(B142),(B142-1)&amp;"/"&amp;B142,B142&amp;"/"&amp;(B142+1))</f>
        <v>4027/4028</v>
      </c>
      <c r="L142" s="34" t="str">
        <f>VLOOKUP(A142,'Trips&amp;Operators'!$C$1:$E$10000,3,FALSE)</f>
        <v>LEVERE</v>
      </c>
      <c r="M142" s="6">
        <f>I142-F142</f>
        <v>2.9884259260143153E-2</v>
      </c>
      <c r="N142" s="7">
        <f>24*60*SUM($M142:$M142)</f>
        <v>43.033333334606141</v>
      </c>
      <c r="O142" s="7"/>
      <c r="P142" s="7"/>
      <c r="Q142" s="35"/>
      <c r="R142" s="35"/>
      <c r="S142" s="59">
        <f>SUM(U142:U142)/12</f>
        <v>1</v>
      </c>
      <c r="T142" s="1" t="str">
        <f>IF(ISEVEN(LEFT(A142,3)),"Southbound","NorthBound")</f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https://search-rtdc-monitor-bjffxe2xuh6vdkpspy63sjmuny.us-east-1.es.amazonaws.com/_plugin/kibana/#/discover/Steve-Slow-Train-Analysis-(2080s-and-2083s)?_g=(refreshInterval:(display:Off,section:0,value:0),time:(from:'2016-07-05 22:50:21-0600',mode:absolute,to:'2016-07-05 23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>IF(AA142&lt;23,"Y","N")</f>
        <v>N</v>
      </c>
      <c r="X142" s="38">
        <f>VALUE(LEFT(A142,3))-VALUE(LEFT(A141,3))</f>
        <v>1</v>
      </c>
      <c r="Y142" s="38">
        <f>RIGHT(D142,LEN(D142)-4)/10000</f>
        <v>23.2957</v>
      </c>
      <c r="Z142" s="38">
        <f>RIGHT(H142,LEN(H142)-4)/10000</f>
        <v>1.61E-2</v>
      </c>
      <c r="AA142" s="38">
        <f>ABS(Z142-Y142)</f>
        <v>23.279599999999999</v>
      </c>
      <c r="AB142" s="39" t="e">
        <f>VLOOKUP(A142,Enforcements!$C$7:$J$30,8,0)</f>
        <v>#N/A</v>
      </c>
      <c r="AC142" s="39" t="e">
        <f>VLOOKUP(A142,Enforcements!$C$7:$E$30,3,0)</f>
        <v>#N/A</v>
      </c>
      <c r="AD142" s="1" t="str">
        <f>IF(LEN(A142)=6,"0"&amp;A142,A142)</f>
        <v>0234-05</v>
      </c>
    </row>
    <row r="143" spans="1:30" x14ac:dyDescent="0.25">
      <c r="A143" s="67" t="s">
        <v>424</v>
      </c>
      <c r="B143" s="34">
        <v>4020</v>
      </c>
      <c r="C143" s="34" t="s">
        <v>60</v>
      </c>
      <c r="D143" s="34" t="s">
        <v>166</v>
      </c>
      <c r="E143" s="20">
        <v>42556.932858796295</v>
      </c>
      <c r="F143" s="20">
        <v>42556.933981481481</v>
      </c>
      <c r="G143" s="20">
        <v>1</v>
      </c>
      <c r="H143" s="20" t="s">
        <v>660</v>
      </c>
      <c r="I143" s="20">
        <v>42556.945752314816</v>
      </c>
      <c r="J143" s="34">
        <v>0</v>
      </c>
      <c r="K143" s="34" t="str">
        <f>IF(ISEVEN(B143),(B143-1)&amp;"/"&amp;B143,B143&amp;"/"&amp;(B143+1))</f>
        <v>4019/4020</v>
      </c>
      <c r="L143" s="34" t="str">
        <f>VLOOKUP(A143,'Trips&amp;Operators'!$C$1:$E$10000,3,FALSE)</f>
        <v>GRASTON</v>
      </c>
      <c r="M143" s="6">
        <f>I143-F143</f>
        <v>1.1770833334594499E-2</v>
      </c>
      <c r="N143" s="7"/>
      <c r="O143" s="7"/>
      <c r="P143" s="7">
        <f>24*60*SUM($M143:$M144)</f>
        <v>45.083333331858739</v>
      </c>
      <c r="Q143" s="35"/>
      <c r="R143" s="35" t="s">
        <v>725</v>
      </c>
      <c r="S143" s="59">
        <f>SUM(U143:U144)/12</f>
        <v>0.41666666666666669</v>
      </c>
      <c r="T143" s="1" t="str">
        <f>IF(ISEVEN(LEFT(A143,3)),"Southbound","NorthBound")</f>
        <v>NorthBound</v>
      </c>
      <c r="U143" s="1">
        <f>COUNTIFS(Variables!$M$2:$M$19,IF(T143="NorthBound","&gt;=","&lt;=")&amp;Y143,Variables!$M$2:$M$19,IF(T143="NorthBound","&lt;=","&gt;=")&amp;Z143)</f>
        <v>2</v>
      </c>
      <c r="V143" s="3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https://search-rtdc-monitor-bjffxe2xuh6vdkpspy63sjmuny.us-east-1.es.amazonaws.com/_plugin/kibana/#/discover/Steve-Slow-Train-Analysis-(2080s-and-2083s)?_g=(refreshInterval:(display:Off,section:0,value:0),time:(from:'2016-07-05 22:22:19-0600',mode:absolute,to:'2016-07-05 22:42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3" s="38" t="str">
        <f>IF(AA143&lt;23,"Y","N")</f>
        <v>Y</v>
      </c>
      <c r="X143" s="38">
        <f>VALUE(LEFT(A143,3))-VALUE(LEFT(A142,3))</f>
        <v>1</v>
      </c>
      <c r="Y143" s="38">
        <f>RIGHT(D143,LEN(D143)-4)/10000</f>
        <v>4.5499999999999999E-2</v>
      </c>
      <c r="Z143" s="38">
        <f>RIGHT(H143,LEN(H143)-4)/10000</f>
        <v>3.306</v>
      </c>
      <c r="AA143" s="38">
        <f>ABS(Z143-Y143)</f>
        <v>3.2605</v>
      </c>
      <c r="AB143" s="39" t="e">
        <f>VLOOKUP(A143,Enforcements!$C$7:$J$30,8,0)</f>
        <v>#N/A</v>
      </c>
      <c r="AC143" s="39" t="e">
        <f>VLOOKUP(A143,Enforcements!$C$7:$E$30,3,0)</f>
        <v>#N/A</v>
      </c>
      <c r="AD143" s="1" t="str">
        <f>IF(LEN(A143)=6,"0"&amp;A143,A143)</f>
        <v>0235-05</v>
      </c>
    </row>
    <row r="144" spans="1:30" x14ac:dyDescent="0.25">
      <c r="A144" s="67" t="s">
        <v>424</v>
      </c>
      <c r="B144" s="34">
        <v>4020</v>
      </c>
      <c r="C144" s="34" t="s">
        <v>60</v>
      </c>
      <c r="D144" s="34" t="s">
        <v>661</v>
      </c>
      <c r="E144" s="20">
        <v>42556.949629629627</v>
      </c>
      <c r="F144" s="20">
        <v>42556.950370370374</v>
      </c>
      <c r="G144" s="20">
        <v>1</v>
      </c>
      <c r="H144" s="20" t="s">
        <v>613</v>
      </c>
      <c r="I144" s="20">
        <v>42556.969907407409</v>
      </c>
      <c r="J144" s="34">
        <v>0</v>
      </c>
      <c r="K144" s="34" t="str">
        <f t="shared" ref="K143:K153" si="12">IF(ISEVEN(B144),(B144-1)&amp;"/"&amp;B144,B144&amp;"/"&amp;(B144+1))</f>
        <v>4019/4020</v>
      </c>
      <c r="L144" s="34" t="str">
        <f>VLOOKUP(A144,'Trips&amp;Operators'!$C$1:$E$10000,3,FALSE)</f>
        <v>GRASTON</v>
      </c>
      <c r="M144" s="6">
        <f t="shared" ref="M143:M153" si="13">I144-F144</f>
        <v>1.9537037034751847E-2</v>
      </c>
      <c r="N144" s="7"/>
      <c r="O144" s="7"/>
      <c r="P144" s="7"/>
      <c r="Q144" s="35"/>
      <c r="R144" s="35"/>
      <c r="S144" s="59"/>
      <c r="T144" s="1" t="str">
        <f t="shared" ref="T143:T153" si="14">IF(ISEVEN(LEFT(A144,3)),"Southbound","NorthBound")</f>
        <v>NorthBound</v>
      </c>
      <c r="U144" s="1">
        <f>COUNTIFS(Variables!$M$2:$M$19,IF(T144="NorthBound","&gt;=","&lt;=")&amp;Y144,Variables!$M$2:$M$19,IF(T144="NorthBound","&lt;=","&gt;=")&amp;Z144)</f>
        <v>3</v>
      </c>
      <c r="V144" s="38" t="str">
        <f t="shared" ref="V143:V153" si="15"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https://search-rtdc-monitor-bjffxe2xuh6vdkpspy63sjmuny.us-east-1.es.amazonaws.com/_plugin/kibana/#/discover/Steve-Slow-Train-Analysis-(2080s-and-2083s)?_g=(refreshInterval:(display:Off,section:0,value:0),time:(from:'2016-07-05 22:46:28-0600',mode:absolute,to:'2016-07-05 23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38" t="str">
        <f t="shared" ref="W143:W153" si="16">IF(AA144&lt;23,"Y","N")</f>
        <v>Y</v>
      </c>
      <c r="X144" s="38">
        <f t="shared" ref="X143:X153" si="17">VALUE(LEFT(A144,3))-VALUE(LEFT(A143,3))</f>
        <v>0</v>
      </c>
      <c r="Y144" s="38">
        <f t="shared" ref="Y143:Y153" si="18">RIGHT(D144,LEN(D144)-4)/10000</f>
        <v>6.4691999999999998</v>
      </c>
      <c r="Z144" s="38">
        <f t="shared" ref="Z143:Z153" si="19">RIGHT(H144,LEN(H144)-4)/10000</f>
        <v>23.330500000000001</v>
      </c>
      <c r="AA144" s="38">
        <f t="shared" ref="AA143:AA153" si="20">ABS(Z144-Y144)</f>
        <v>16.8613</v>
      </c>
      <c r="AB144" s="39" t="e">
        <f>VLOOKUP(A144,Enforcements!$C$7:$J$30,8,0)</f>
        <v>#N/A</v>
      </c>
      <c r="AC144" s="39" t="e">
        <f>VLOOKUP(A144,Enforcements!$C$7:$E$30,3,0)</f>
        <v>#N/A</v>
      </c>
      <c r="AD144" s="1" t="str">
        <f t="shared" ref="AD143:AD153" si="21">IF(LEN(A144)=6,"0"&amp;A144,A144)</f>
        <v>0235-05</v>
      </c>
    </row>
    <row r="145" spans="1:30" x14ac:dyDescent="0.25">
      <c r="A145" s="67" t="s">
        <v>497</v>
      </c>
      <c r="B145" s="34">
        <v>4019</v>
      </c>
      <c r="C145" s="34" t="s">
        <v>60</v>
      </c>
      <c r="D145" s="34" t="s">
        <v>192</v>
      </c>
      <c r="E145" s="20">
        <v>42556.974293981482</v>
      </c>
      <c r="F145" s="20">
        <v>42556.974953703706</v>
      </c>
      <c r="G145" s="20">
        <v>0</v>
      </c>
      <c r="H145" s="20" t="s">
        <v>89</v>
      </c>
      <c r="I145" s="20">
        <v>42557.085972222223</v>
      </c>
      <c r="J145" s="34">
        <v>0</v>
      </c>
      <c r="K145" s="34" t="str">
        <f t="shared" si="12"/>
        <v>4019/4020</v>
      </c>
      <c r="L145" s="34" t="str">
        <f>VLOOKUP(A145,'Trips&amp;Operators'!$C$1:$E$10000,3,FALSE)</f>
        <v>GRASTON</v>
      </c>
      <c r="M145" s="6">
        <f t="shared" si="13"/>
        <v>0.11101851851708489</v>
      </c>
      <c r="N145" s="7">
        <f t="shared" ref="N145:N153" si="22">24*60*SUM($M145:$M145)</f>
        <v>159.86666666460223</v>
      </c>
      <c r="O145" s="7"/>
      <c r="P145" s="7"/>
      <c r="Q145" s="35"/>
      <c r="R145" s="35"/>
      <c r="S145" s="59">
        <f t="shared" ref="S145:S153" si="23">SUM(U145:U145)/12</f>
        <v>1</v>
      </c>
      <c r="T145" s="1" t="str">
        <f t="shared" si="14"/>
        <v>Southbound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https://search-rtdc-monitor-bjffxe2xuh6vdkpspy63sjmuny.us-east-1.es.amazonaws.com/_plugin/kibana/#/discover/Steve-Slow-Train-Analysis-(2080s-and-2083s)?_g=(refreshInterval:(display:Off,section:0,value:0),time:(from:'2016-07-05 23:21:59-0600',mode:absolute,to:'2016-07-06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38" t="str">
        <f t="shared" si="16"/>
        <v>N</v>
      </c>
      <c r="X145" s="38">
        <f t="shared" si="17"/>
        <v>1</v>
      </c>
      <c r="Y145" s="38">
        <f t="shared" si="18"/>
        <v>23.298999999999999</v>
      </c>
      <c r="Z145" s="38">
        <f t="shared" si="19"/>
        <v>1.5800000000000002E-2</v>
      </c>
      <c r="AA145" s="38">
        <f t="shared" si="20"/>
        <v>23.283200000000001</v>
      </c>
      <c r="AB145" s="39" t="e">
        <f>VLOOKUP(A145,Enforcements!$C$7:$J$30,8,0)</f>
        <v>#N/A</v>
      </c>
      <c r="AC145" s="39" t="e">
        <f>VLOOKUP(A145,Enforcements!$C$7:$E$30,3,0)</f>
        <v>#N/A</v>
      </c>
      <c r="AD145" s="1" t="str">
        <f t="shared" si="21"/>
        <v>0236-05</v>
      </c>
    </row>
    <row r="146" spans="1:30" x14ac:dyDescent="0.25">
      <c r="A146" s="67" t="s">
        <v>548</v>
      </c>
      <c r="B146" s="34">
        <v>4031</v>
      </c>
      <c r="C146" s="34" t="s">
        <v>60</v>
      </c>
      <c r="D146" s="34" t="s">
        <v>326</v>
      </c>
      <c r="E146" s="20">
        <v>42556.953217592592</v>
      </c>
      <c r="F146" s="20">
        <v>42556.954085648147</v>
      </c>
      <c r="G146" s="20">
        <v>1</v>
      </c>
      <c r="H146" s="20" t="s">
        <v>162</v>
      </c>
      <c r="I146" s="20">
        <v>42556.983634259261</v>
      </c>
      <c r="J146" s="34">
        <v>0</v>
      </c>
      <c r="K146" s="34" t="str">
        <f t="shared" si="12"/>
        <v>4031/4032</v>
      </c>
      <c r="L146" s="34" t="str">
        <f>VLOOKUP(A146,'Trips&amp;Operators'!$C$1:$E$10000,3,FALSE)</f>
        <v>ADANE</v>
      </c>
      <c r="M146" s="6">
        <f t="shared" si="13"/>
        <v>2.9548611113568768E-2</v>
      </c>
      <c r="N146" s="7">
        <f t="shared" si="22"/>
        <v>42.550000003539026</v>
      </c>
      <c r="O146" s="7"/>
      <c r="P146" s="7"/>
      <c r="Q146" s="35"/>
      <c r="R146" s="35"/>
      <c r="S146" s="59">
        <f t="shared" si="23"/>
        <v>1</v>
      </c>
      <c r="T146" s="1" t="str">
        <f t="shared" si="14"/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https://search-rtdc-monitor-bjffxe2xuh6vdkpspy63sjmuny.us-east-1.es.amazonaws.com/_plugin/kibana/#/discover/Steve-Slow-Train-Analysis-(2080s-and-2083s)?_g=(refreshInterval:(display:Off,section:0,value:0),time:(from:'2016-07-05 22:51:38-0600',mode:absolute,to:'2016-07-05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38" t="str">
        <f t="shared" si="16"/>
        <v>N</v>
      </c>
      <c r="X146" s="38">
        <f t="shared" si="17"/>
        <v>1</v>
      </c>
      <c r="Y146" s="38">
        <f t="shared" si="18"/>
        <v>4.6199999999999998E-2</v>
      </c>
      <c r="Z146" s="38">
        <f t="shared" si="19"/>
        <v>23.330100000000002</v>
      </c>
      <c r="AA146" s="38">
        <f t="shared" si="20"/>
        <v>23.283900000000003</v>
      </c>
      <c r="AB146" s="39" t="e">
        <f>VLOOKUP(A146,Enforcements!$C$7:$J$30,8,0)</f>
        <v>#N/A</v>
      </c>
      <c r="AC146" s="39" t="e">
        <f>VLOOKUP(A146,Enforcements!$C$7:$E$30,3,0)</f>
        <v>#N/A</v>
      </c>
      <c r="AD146" s="1" t="str">
        <f t="shared" si="21"/>
        <v>0237-05</v>
      </c>
    </row>
    <row r="147" spans="1:30" x14ac:dyDescent="0.25">
      <c r="A147" s="67" t="s">
        <v>485</v>
      </c>
      <c r="B147" s="34">
        <v>4032</v>
      </c>
      <c r="C147" s="34" t="s">
        <v>60</v>
      </c>
      <c r="D147" s="34" t="s">
        <v>170</v>
      </c>
      <c r="E147" s="20">
        <v>42556.994872685187</v>
      </c>
      <c r="F147" s="20">
        <v>42556.996064814812</v>
      </c>
      <c r="G147" s="20">
        <v>1</v>
      </c>
      <c r="H147" s="20" t="s">
        <v>67</v>
      </c>
      <c r="I147" s="20">
        <v>42557.022997685184</v>
      </c>
      <c r="J147" s="34">
        <v>0</v>
      </c>
      <c r="K147" s="34" t="str">
        <f t="shared" si="12"/>
        <v>4031/4032</v>
      </c>
      <c r="L147" s="34" t="str">
        <f>VLOOKUP(A147,'Trips&amp;Operators'!$C$1:$E$10000,3,FALSE)</f>
        <v>ADANE</v>
      </c>
      <c r="M147" s="6">
        <f t="shared" si="13"/>
        <v>2.6932870372547768E-2</v>
      </c>
      <c r="N147" s="7">
        <f t="shared" si="22"/>
        <v>38.783333336468786</v>
      </c>
      <c r="O147" s="7"/>
      <c r="P147" s="7"/>
      <c r="Q147" s="35"/>
      <c r="R147" s="35"/>
      <c r="S147" s="59">
        <f t="shared" si="23"/>
        <v>1</v>
      </c>
      <c r="T147" s="1" t="str">
        <f t="shared" si="14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https://search-rtdc-monitor-bjffxe2xuh6vdkpspy63sjmuny.us-east-1.es.amazonaws.com/_plugin/kibana/#/discover/Steve-Slow-Train-Analysis-(2080s-and-2083s)?_g=(refreshInterval:(display:Off,section:0,value:0),time:(from:'2016-07-05 23:51:37-0600',mode:absolute,to:'2016-07-06 00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38" t="str">
        <f t="shared" si="16"/>
        <v>N</v>
      </c>
      <c r="X147" s="38">
        <f t="shared" si="17"/>
        <v>1</v>
      </c>
      <c r="Y147" s="38">
        <f t="shared" si="18"/>
        <v>23.296900000000001</v>
      </c>
      <c r="Z147" s="38">
        <f t="shared" si="19"/>
        <v>1.47E-2</v>
      </c>
      <c r="AA147" s="38">
        <f t="shared" si="20"/>
        <v>23.2822</v>
      </c>
      <c r="AB147" s="39" t="e">
        <f>VLOOKUP(A147,Enforcements!$C$7:$J$30,8,0)</f>
        <v>#N/A</v>
      </c>
      <c r="AC147" s="39" t="e">
        <f>VLOOKUP(A147,Enforcements!$C$7:$E$30,3,0)</f>
        <v>#N/A</v>
      </c>
      <c r="AD147" s="1" t="str">
        <f t="shared" si="21"/>
        <v>0238-05</v>
      </c>
    </row>
    <row r="148" spans="1:30" x14ac:dyDescent="0.25">
      <c r="A148" s="67" t="s">
        <v>542</v>
      </c>
      <c r="B148" s="34">
        <v>4038</v>
      </c>
      <c r="C148" s="34" t="s">
        <v>60</v>
      </c>
      <c r="D148" s="34" t="s">
        <v>326</v>
      </c>
      <c r="E148" s="20">
        <v>42556.975590277776</v>
      </c>
      <c r="F148" s="20">
        <v>42556.977013888885</v>
      </c>
      <c r="G148" s="20">
        <v>2</v>
      </c>
      <c r="H148" s="20" t="s">
        <v>657</v>
      </c>
      <c r="I148" s="20">
        <v>42557.005057870374</v>
      </c>
      <c r="J148" s="34">
        <v>0</v>
      </c>
      <c r="K148" s="34" t="str">
        <f t="shared" si="12"/>
        <v>4037/4038</v>
      </c>
      <c r="L148" s="34" t="str">
        <f>VLOOKUP(A148,'Trips&amp;Operators'!$C$1:$E$10000,3,FALSE)</f>
        <v>BARTLETT</v>
      </c>
      <c r="M148" s="6">
        <f t="shared" si="13"/>
        <v>2.8043981488735881E-2</v>
      </c>
      <c r="N148" s="7">
        <f t="shared" si="22"/>
        <v>40.383333343779668</v>
      </c>
      <c r="O148" s="7"/>
      <c r="P148" s="7"/>
      <c r="Q148" s="35"/>
      <c r="R148" s="35"/>
      <c r="S148" s="59">
        <f t="shared" si="23"/>
        <v>1</v>
      </c>
      <c r="T148" s="1" t="str">
        <f t="shared" si="14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https://search-rtdc-monitor-bjffxe2xuh6vdkpspy63sjmuny.us-east-1.es.amazonaws.com/_plugin/kibana/#/discover/Steve-Slow-Train-Analysis-(2080s-and-2083s)?_g=(refreshInterval:(display:Off,section:0,value:0),time:(from:'2016-07-05 23:23:51-0600',mode:absolute,to:'2016-07-06 00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8" s="38" t="str">
        <f t="shared" si="16"/>
        <v>N</v>
      </c>
      <c r="X148" s="38">
        <f t="shared" si="17"/>
        <v>1</v>
      </c>
      <c r="Y148" s="38">
        <f t="shared" si="18"/>
        <v>4.6199999999999998E-2</v>
      </c>
      <c r="Z148" s="38">
        <f t="shared" si="19"/>
        <v>23.331800000000001</v>
      </c>
      <c r="AA148" s="38">
        <f t="shared" si="20"/>
        <v>23.285600000000002</v>
      </c>
      <c r="AB148" s="39" t="e">
        <f>VLOOKUP(A148,Enforcements!$C$7:$J$30,8,0)</f>
        <v>#N/A</v>
      </c>
      <c r="AC148" s="39" t="e">
        <f>VLOOKUP(A148,Enforcements!$C$7:$E$30,3,0)</f>
        <v>#N/A</v>
      </c>
      <c r="AD148" s="1" t="str">
        <f t="shared" si="21"/>
        <v>0239-05</v>
      </c>
    </row>
    <row r="149" spans="1:30" x14ac:dyDescent="0.25">
      <c r="A149" s="34" t="s">
        <v>415</v>
      </c>
      <c r="B149" s="34">
        <v>4037</v>
      </c>
      <c r="C149" s="34" t="s">
        <v>60</v>
      </c>
      <c r="D149" s="34" t="s">
        <v>327</v>
      </c>
      <c r="E149" s="20">
        <v>42557.012546296297</v>
      </c>
      <c r="F149" s="20">
        <v>42557.013888888891</v>
      </c>
      <c r="G149" s="20">
        <v>1</v>
      </c>
      <c r="H149" s="20" t="s">
        <v>662</v>
      </c>
      <c r="I149" s="20">
        <v>42557.04515046296</v>
      </c>
      <c r="J149" s="34">
        <v>1</v>
      </c>
      <c r="K149" s="34" t="str">
        <f t="shared" si="12"/>
        <v>4037/4038</v>
      </c>
      <c r="L149" s="34" t="str">
        <f>VLOOKUP(A149,'Trips&amp;Operators'!$C$1:$E$10000,3,FALSE)</f>
        <v>BARTLETT</v>
      </c>
      <c r="M149" s="6">
        <f t="shared" si="13"/>
        <v>3.1261574069503695E-2</v>
      </c>
      <c r="N149" s="7">
        <f t="shared" si="22"/>
        <v>45.01666666008532</v>
      </c>
      <c r="O149" s="7"/>
      <c r="P149" s="7"/>
      <c r="Q149" s="35"/>
      <c r="R149" s="35"/>
      <c r="S149" s="59">
        <f t="shared" si="23"/>
        <v>1</v>
      </c>
      <c r="T149" s="1" t="str">
        <f t="shared" si="14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9" s="38" t="str">
        <f t="shared" si="16"/>
        <v>N</v>
      </c>
      <c r="X149" s="38">
        <f t="shared" si="17"/>
        <v>1</v>
      </c>
      <c r="Y149" s="38">
        <f t="shared" si="18"/>
        <v>23.297999999999998</v>
      </c>
      <c r="Z149" s="38">
        <f t="shared" si="19"/>
        <v>2.69E-2</v>
      </c>
      <c r="AA149" s="38">
        <f t="shared" si="20"/>
        <v>23.271099999999997</v>
      </c>
      <c r="AB149" s="39" t="e">
        <f>VLOOKUP(A149,Enforcements!$C$7:$J$30,8,0)</f>
        <v>#N/A</v>
      </c>
      <c r="AC149" s="39" t="e">
        <f>VLOOKUP(A149,Enforcements!$C$7:$E$30,3,0)</f>
        <v>#N/A</v>
      </c>
      <c r="AD149" s="1" t="str">
        <f t="shared" si="21"/>
        <v>0240-05</v>
      </c>
    </row>
    <row r="150" spans="1:30" x14ac:dyDescent="0.25">
      <c r="A150" s="34" t="s">
        <v>425</v>
      </c>
      <c r="B150" s="34">
        <v>4027</v>
      </c>
      <c r="C150" s="34" t="s">
        <v>60</v>
      </c>
      <c r="D150" s="34" t="s">
        <v>134</v>
      </c>
      <c r="E150" s="20">
        <v>42556.996701388889</v>
      </c>
      <c r="F150" s="20">
        <v>42556.997986111113</v>
      </c>
      <c r="G150" s="20">
        <v>1</v>
      </c>
      <c r="H150" s="20" t="s">
        <v>168</v>
      </c>
      <c r="I150" s="20">
        <v>42557.025983796295</v>
      </c>
      <c r="J150" s="34">
        <v>0</v>
      </c>
      <c r="K150" s="34" t="str">
        <f t="shared" si="12"/>
        <v>4027/4028</v>
      </c>
      <c r="L150" s="34" t="str">
        <f>VLOOKUP(A150,'Trips&amp;Operators'!$C$1:$E$10000,3,FALSE)</f>
        <v>LEVERE</v>
      </c>
      <c r="M150" s="6">
        <f t="shared" si="13"/>
        <v>2.7997685181617271E-2</v>
      </c>
      <c r="N150" s="7">
        <f t="shared" si="22"/>
        <v>40.31666666152887</v>
      </c>
      <c r="O150" s="7"/>
      <c r="P150" s="7"/>
      <c r="Q150" s="35"/>
      <c r="R150" s="35"/>
      <c r="S150" s="59">
        <f t="shared" si="23"/>
        <v>1</v>
      </c>
      <c r="T150" s="1" t="str">
        <f t="shared" si="14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https://search-rtdc-monitor-bjffxe2xuh6vdkpspy63sjmuny.us-east-1.es.amazonaws.com/_plugin/kibana/#/discover/Steve-Slow-Train-Analysis-(2080s-and-2083s)?_g=(refreshInterval:(display:Off,section:0,value:0),time:(from:'2016-07-05 23:54:15-0600',mode:absolute,to:'2016-07-06 00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0" s="38" t="str">
        <f t="shared" si="16"/>
        <v>N</v>
      </c>
      <c r="X150" s="38">
        <f t="shared" si="17"/>
        <v>1</v>
      </c>
      <c r="Y150" s="38">
        <f t="shared" si="18"/>
        <v>4.6600000000000003E-2</v>
      </c>
      <c r="Z150" s="38">
        <f t="shared" si="19"/>
        <v>23.328800000000001</v>
      </c>
      <c r="AA150" s="38">
        <f t="shared" si="20"/>
        <v>23.2822</v>
      </c>
      <c r="AB150" s="39" t="e">
        <f>VLOOKUP(A150,Enforcements!$C$7:$J$30,8,0)</f>
        <v>#N/A</v>
      </c>
      <c r="AC150" s="39" t="e">
        <f>VLOOKUP(A150,Enforcements!$C$7:$E$30,3,0)</f>
        <v>#N/A</v>
      </c>
      <c r="AD150" s="1" t="str">
        <f t="shared" si="21"/>
        <v>0241-05</v>
      </c>
    </row>
    <row r="151" spans="1:30" x14ac:dyDescent="0.25">
      <c r="A151" s="34" t="s">
        <v>414</v>
      </c>
      <c r="B151" s="34">
        <v>4028</v>
      </c>
      <c r="C151" s="34" t="s">
        <v>60</v>
      </c>
      <c r="D151" s="34" t="s">
        <v>325</v>
      </c>
      <c r="E151" s="20">
        <v>42557.032013888886</v>
      </c>
      <c r="F151" s="20">
        <v>42557.033125000002</v>
      </c>
      <c r="G151" s="20">
        <v>1</v>
      </c>
      <c r="H151" s="20" t="s">
        <v>663</v>
      </c>
      <c r="I151" s="20">
        <v>42557.06795138889</v>
      </c>
      <c r="J151" s="34">
        <v>2</v>
      </c>
      <c r="K151" s="34" t="str">
        <f t="shared" si="12"/>
        <v>4027/4028</v>
      </c>
      <c r="L151" s="34" t="str">
        <f>VLOOKUP(A151,'Trips&amp;Operators'!$C$1:$E$10000,3,FALSE)</f>
        <v>LEVERE</v>
      </c>
      <c r="M151" s="6">
        <f t="shared" si="13"/>
        <v>3.4826388888177462E-2</v>
      </c>
      <c r="N151" s="7">
        <f t="shared" si="22"/>
        <v>50.149999998975545</v>
      </c>
      <c r="O151" s="7"/>
      <c r="P151" s="7"/>
      <c r="Q151" s="35"/>
      <c r="R151" s="35"/>
      <c r="S151" s="59">
        <f t="shared" si="23"/>
        <v>1</v>
      </c>
      <c r="T151" s="1" t="str">
        <f t="shared" si="14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1" s="38" t="str">
        <f t="shared" si="16"/>
        <v>N</v>
      </c>
      <c r="X151" s="38">
        <f t="shared" si="17"/>
        <v>1</v>
      </c>
      <c r="Y151" s="38">
        <f t="shared" si="18"/>
        <v>23.296299999999999</v>
      </c>
      <c r="Z151" s="38">
        <f t="shared" si="19"/>
        <v>1.8100000000000002E-2</v>
      </c>
      <c r="AA151" s="38">
        <f t="shared" si="20"/>
        <v>23.278199999999998</v>
      </c>
      <c r="AB151" s="39" t="e">
        <f>VLOOKUP(A151,Enforcements!$C$7:$J$30,8,0)</f>
        <v>#N/A</v>
      </c>
      <c r="AC151" s="39" t="e">
        <f>VLOOKUP(A151,Enforcements!$C$7:$E$30,3,0)</f>
        <v>#N/A</v>
      </c>
      <c r="AD151" s="1" t="str">
        <f t="shared" si="21"/>
        <v>0242-05</v>
      </c>
    </row>
    <row r="152" spans="1:30" x14ac:dyDescent="0.25">
      <c r="A152" s="34" t="s">
        <v>484</v>
      </c>
      <c r="B152" s="34">
        <v>4020</v>
      </c>
      <c r="C152" s="34" t="s">
        <v>60</v>
      </c>
      <c r="D152" s="34" t="s">
        <v>320</v>
      </c>
      <c r="E152" s="20">
        <v>42557.016979166663</v>
      </c>
      <c r="F152" s="20">
        <v>42557.017777777779</v>
      </c>
      <c r="G152" s="20">
        <v>1</v>
      </c>
      <c r="H152" s="20" t="s">
        <v>275</v>
      </c>
      <c r="I152" s="20">
        <v>42557.04519675926</v>
      </c>
      <c r="J152" s="34">
        <v>0</v>
      </c>
      <c r="K152" s="34" t="str">
        <f t="shared" si="12"/>
        <v>4019/4020</v>
      </c>
      <c r="L152" s="34" t="str">
        <f>VLOOKUP(A152,'Trips&amp;Operators'!$C$1:$E$10000,3,FALSE)</f>
        <v>GRASTON</v>
      </c>
      <c r="M152" s="6">
        <f t="shared" si="13"/>
        <v>2.7418981480877846E-2</v>
      </c>
      <c r="N152" s="7">
        <f t="shared" si="22"/>
        <v>39.483333332464099</v>
      </c>
      <c r="O152" s="7"/>
      <c r="P152" s="7"/>
      <c r="Q152" s="35"/>
      <c r="R152" s="35"/>
      <c r="S152" s="59">
        <f t="shared" si="23"/>
        <v>1</v>
      </c>
      <c r="T152" s="1" t="str">
        <f t="shared" si="14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https://search-rtdc-monitor-bjffxe2xuh6vdkpspy63sjmuny.us-east-1.es.amazonaws.com/_plugin/kibana/#/discover/Steve-Slow-Train-Analysis-(2080s-and-2083s)?_g=(refreshInterval:(display:Off,section:0,value:0),time:(from:'2016-07-06 00:23:27-0600',mode:absolute,to:'2016-07-06 01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2" s="38" t="str">
        <f t="shared" si="16"/>
        <v>N</v>
      </c>
      <c r="X152" s="38">
        <f t="shared" si="17"/>
        <v>1</v>
      </c>
      <c r="Y152" s="38">
        <f t="shared" si="18"/>
        <v>4.58E-2</v>
      </c>
      <c r="Z152" s="38">
        <f t="shared" si="19"/>
        <v>23.331099999999999</v>
      </c>
      <c r="AA152" s="38">
        <f t="shared" si="20"/>
        <v>23.285299999999999</v>
      </c>
      <c r="AB152" s="39" t="e">
        <f>VLOOKUP(A152,Enforcements!$C$7:$J$30,8,0)</f>
        <v>#N/A</v>
      </c>
      <c r="AC152" s="39" t="e">
        <f>VLOOKUP(A152,Enforcements!$C$7:$E$30,3,0)</f>
        <v>#N/A</v>
      </c>
      <c r="AD152" s="1" t="str">
        <f t="shared" si="21"/>
        <v>0243-05</v>
      </c>
    </row>
    <row r="153" spans="1:30" x14ac:dyDescent="0.25">
      <c r="A153" s="34" t="s">
        <v>540</v>
      </c>
      <c r="B153" s="34">
        <v>4019</v>
      </c>
      <c r="C153" s="34" t="s">
        <v>60</v>
      </c>
      <c r="D153" s="34" t="s">
        <v>193</v>
      </c>
      <c r="E153" s="20">
        <v>42557.056331018517</v>
      </c>
      <c r="F153" s="20">
        <v>42557.057222222225</v>
      </c>
      <c r="G153" s="20">
        <v>1</v>
      </c>
      <c r="H153" s="20" t="s">
        <v>89</v>
      </c>
      <c r="I153" s="20">
        <v>42557.085972222223</v>
      </c>
      <c r="J153" s="34">
        <v>0</v>
      </c>
      <c r="K153" s="34" t="str">
        <f t="shared" si="12"/>
        <v>4019/4020</v>
      </c>
      <c r="L153" s="34" t="str">
        <f>VLOOKUP(A153,'Trips&amp;Operators'!$C$1:$E$10000,3,FALSE)</f>
        <v>GRASTON</v>
      </c>
      <c r="M153" s="6">
        <f t="shared" si="13"/>
        <v>2.8749999997671694E-2</v>
      </c>
      <c r="N153" s="7">
        <f t="shared" si="22"/>
        <v>41.399999996647239</v>
      </c>
      <c r="O153" s="7"/>
      <c r="P153" s="7"/>
      <c r="Q153" s="35"/>
      <c r="R153" s="35"/>
      <c r="S153" s="59">
        <f t="shared" si="23"/>
        <v>1</v>
      </c>
      <c r="T153" s="1" t="str">
        <f t="shared" si="14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https://search-rtdc-monitor-bjffxe2xuh6vdkpspy63sjmuny.us-east-1.es.amazonaws.com/_plugin/kibana/#/discover/Steve-Slow-Train-Analysis-(2080s-and-2083s)?_g=(refreshInterval:(display:Off,section:0,value:0),time:(from:'2016-07-06 01:20:07-0600',mode:absolute,to:'2016-07-06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3" s="38" t="str">
        <f t="shared" si="16"/>
        <v>N</v>
      </c>
      <c r="X153" s="38">
        <f t="shared" si="17"/>
        <v>1</v>
      </c>
      <c r="Y153" s="38">
        <f t="shared" si="18"/>
        <v>23.3</v>
      </c>
      <c r="Z153" s="38">
        <f t="shared" si="19"/>
        <v>1.5800000000000002E-2</v>
      </c>
      <c r="AA153" s="38">
        <f t="shared" si="20"/>
        <v>23.284200000000002</v>
      </c>
      <c r="AB153" s="39" t="e">
        <f>VLOOKUP(A153,Enforcements!$C$7:$J$30,8,0)</f>
        <v>#N/A</v>
      </c>
      <c r="AC153" s="39" t="e">
        <f>VLOOKUP(A153,Enforcements!$C$7:$E$30,3,0)</f>
        <v>#N/A</v>
      </c>
      <c r="AD153" s="1" t="str">
        <f t="shared" si="21"/>
        <v>0244-05</v>
      </c>
    </row>
    <row r="154" spans="1:30" x14ac:dyDescent="0.25">
      <c r="A154" s="34" t="s">
        <v>500</v>
      </c>
      <c r="B154" s="34">
        <v>4041</v>
      </c>
      <c r="C154" s="34" t="s">
        <v>60</v>
      </c>
      <c r="D154" s="34" t="s">
        <v>664</v>
      </c>
      <c r="E154" s="20">
        <v>42556.212835648148</v>
      </c>
      <c r="F154" s="20">
        <v>42556.214039351849</v>
      </c>
      <c r="G154" s="20">
        <v>1</v>
      </c>
      <c r="H154" s="20" t="s">
        <v>665</v>
      </c>
      <c r="I154" s="20">
        <v>42556.224803240744</v>
      </c>
      <c r="J154" s="34">
        <v>0</v>
      </c>
      <c r="K154" s="34" t="str">
        <f t="shared" ref="K154:K158" si="24">IF(ISEVEN(B154),(B154-1)&amp;"/"&amp;B154,B154&amp;"/"&amp;(B154+1))</f>
        <v>4041/4042</v>
      </c>
      <c r="L154" s="34" t="str">
        <f>VLOOKUP(A154,'Trips&amp;Operators'!$C$1:$E$10000,3,FALSE)</f>
        <v>HELVIE</v>
      </c>
      <c r="M154" s="6">
        <f t="shared" ref="M154:M158" si="25">I154-F154</f>
        <v>1.0763888894871343E-2</v>
      </c>
      <c r="N154" s="7"/>
      <c r="O154" s="7"/>
      <c r="P154" s="7"/>
      <c r="Q154" s="35"/>
      <c r="R154" s="35"/>
      <c r="S154" s="59"/>
      <c r="T154" s="1"/>
      <c r="U154" s="1"/>
      <c r="V154" s="38" t="str">
        <f t="shared" ref="V154:V162" si="26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https://search-rtdc-monitor-bjffxe2xuh6vdkpspy63sjmuny.us-east-1.es.amazonaws.com/_plugin/kibana/#/discover/Steve-Slow-Train-Analysis-(2080s-and-2083s)?_g=(refreshInterval:(display:Off,section:0,value:0),time:(from:'2016-07-05 05:05:29-0600',mode:absolute,to:'2016-07-05 05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4" s="38"/>
      <c r="X154" s="38"/>
      <c r="Y154" s="38"/>
      <c r="Z154" s="38"/>
      <c r="AA154" s="38"/>
      <c r="AB154" s="39"/>
      <c r="AC154" s="39"/>
      <c r="AD154" s="1" t="str">
        <f t="shared" ref="AD154:AD191" si="27">IF(LEN(A154)=6,"0"&amp;A154,A154)</f>
        <v>0800-05</v>
      </c>
    </row>
    <row r="155" spans="1:30" x14ac:dyDescent="0.25">
      <c r="A155" s="34" t="s">
        <v>438</v>
      </c>
      <c r="B155" s="34">
        <v>4042</v>
      </c>
      <c r="C155" s="34" t="s">
        <v>60</v>
      </c>
      <c r="D155" s="34" t="s">
        <v>666</v>
      </c>
      <c r="E155" s="20">
        <v>42556.239537037036</v>
      </c>
      <c r="F155" s="20">
        <v>42556.240520833337</v>
      </c>
      <c r="G155" s="20">
        <v>1</v>
      </c>
      <c r="H155" s="20" t="s">
        <v>667</v>
      </c>
      <c r="I155" s="20">
        <v>42556.25204861111</v>
      </c>
      <c r="J155" s="34">
        <v>0</v>
      </c>
      <c r="K155" s="34" t="str">
        <f t="shared" si="24"/>
        <v>4041/4042</v>
      </c>
      <c r="L155" s="34" t="str">
        <f>VLOOKUP(A155,'Trips&amp;Operators'!$C$1:$E$10000,3,FALSE)</f>
        <v>HELVIE</v>
      </c>
      <c r="M155" s="6">
        <f t="shared" si="25"/>
        <v>1.1527777773153502E-2</v>
      </c>
      <c r="N155" s="7"/>
      <c r="O155" s="7"/>
      <c r="P155" s="7"/>
      <c r="Q155" s="35"/>
      <c r="R155" s="35"/>
      <c r="S155" s="59"/>
      <c r="T155" s="1"/>
      <c r="U155" s="1"/>
      <c r="V155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05:43:56-0600',mode:absolute,to:'2016-07-05 06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5" s="38"/>
      <c r="X155" s="38"/>
      <c r="Y155" s="38"/>
      <c r="Z155" s="38"/>
      <c r="AA155" s="38"/>
      <c r="AB155" s="39"/>
      <c r="AC155" s="39"/>
      <c r="AD155" s="1" t="str">
        <f t="shared" si="27"/>
        <v>0801-05</v>
      </c>
    </row>
    <row r="156" spans="1:30" x14ac:dyDescent="0.25">
      <c r="A156" s="34" t="s">
        <v>494</v>
      </c>
      <c r="B156" s="34">
        <v>4041</v>
      </c>
      <c r="C156" s="34" t="s">
        <v>60</v>
      </c>
      <c r="D156" s="34" t="s">
        <v>349</v>
      </c>
      <c r="E156" s="20">
        <v>42556.256643518522</v>
      </c>
      <c r="F156" s="20">
        <v>42556.257615740738</v>
      </c>
      <c r="G156" s="20">
        <v>1</v>
      </c>
      <c r="H156" s="20" t="s">
        <v>668</v>
      </c>
      <c r="I156" s="20">
        <v>42556.266550925924</v>
      </c>
      <c r="J156" s="34">
        <v>0</v>
      </c>
      <c r="K156" s="34" t="str">
        <f t="shared" si="24"/>
        <v>4041/4042</v>
      </c>
      <c r="L156" s="34" t="str">
        <f>VLOOKUP(A156,'Trips&amp;Operators'!$C$1:$E$10000,3,FALSE)</f>
        <v>HELVIE</v>
      </c>
      <c r="M156" s="6">
        <f t="shared" si="25"/>
        <v>8.9351851856918074E-3</v>
      </c>
      <c r="N156" s="7"/>
      <c r="O156" s="7"/>
      <c r="P156" s="7"/>
      <c r="Q156" s="35"/>
      <c r="R156" s="35"/>
      <c r="S156" s="59"/>
      <c r="T156" s="1"/>
      <c r="U156" s="1"/>
      <c r="V156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06:08:34-0600',mode:absolute,to:'2016-07-05 06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6" s="38"/>
      <c r="X156" s="38"/>
      <c r="Y156" s="38"/>
      <c r="Z156" s="38"/>
      <c r="AA156" s="38"/>
      <c r="AB156" s="39"/>
      <c r="AC156" s="39"/>
      <c r="AD156" s="1" t="str">
        <f t="shared" si="27"/>
        <v>0802-05</v>
      </c>
    </row>
    <row r="157" spans="1:30" x14ac:dyDescent="0.25">
      <c r="A157" s="67" t="s">
        <v>457</v>
      </c>
      <c r="B157" s="34">
        <v>4040</v>
      </c>
      <c r="C157" s="34" t="s">
        <v>60</v>
      </c>
      <c r="D157" s="34" t="s">
        <v>669</v>
      </c>
      <c r="E157" s="20">
        <v>42556.258159722223</v>
      </c>
      <c r="F157" s="20">
        <v>42556.258900462963</v>
      </c>
      <c r="G157" s="20">
        <v>1</v>
      </c>
      <c r="H157" s="20" t="s">
        <v>670</v>
      </c>
      <c r="I157" s="20">
        <v>42556.274386574078</v>
      </c>
      <c r="J157" s="34">
        <v>0</v>
      </c>
      <c r="K157" s="34" t="str">
        <f t="shared" si="24"/>
        <v>4039/4040</v>
      </c>
      <c r="L157" s="34" t="str">
        <f>VLOOKUP(A157,'Trips&amp;Operators'!$C$1:$E$10000,3,FALSE)</f>
        <v>STORY</v>
      </c>
      <c r="M157" s="6">
        <f t="shared" si="25"/>
        <v>1.5486111115023959E-2</v>
      </c>
      <c r="N157" s="7"/>
      <c r="O157" s="7"/>
      <c r="P157" s="7"/>
      <c r="Q157" s="35"/>
      <c r="R157" s="35"/>
      <c r="S157" s="59"/>
      <c r="T157" s="1"/>
      <c r="U157" s="1"/>
      <c r="V157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06:10:45-0600',mode:absolute,to:'2016-07-05 06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38"/>
      <c r="X157" s="38"/>
      <c r="Y157" s="38"/>
      <c r="Z157" s="38"/>
      <c r="AA157" s="38"/>
      <c r="AB157" s="39"/>
      <c r="AC157" s="39"/>
      <c r="AD157" s="1" t="str">
        <f t="shared" si="27"/>
        <v>0803-05</v>
      </c>
    </row>
    <row r="158" spans="1:30" x14ac:dyDescent="0.25">
      <c r="A158" s="34" t="s">
        <v>361</v>
      </c>
      <c r="B158" s="34">
        <v>4039</v>
      </c>
      <c r="C158" s="34" t="s">
        <v>60</v>
      </c>
      <c r="D158" s="34" t="s">
        <v>344</v>
      </c>
      <c r="E158" s="20">
        <v>42556.275196759256</v>
      </c>
      <c r="F158" s="20">
        <v>42556.276469907411</v>
      </c>
      <c r="G158" s="20">
        <v>1</v>
      </c>
      <c r="H158" s="20" t="s">
        <v>671</v>
      </c>
      <c r="I158" s="20">
        <v>42556.289247685185</v>
      </c>
      <c r="J158" s="34">
        <v>1</v>
      </c>
      <c r="K158" s="34" t="str">
        <f t="shared" si="24"/>
        <v>4039/4040</v>
      </c>
      <c r="L158" s="34" t="str">
        <f>VLOOKUP(A158,'Trips&amp;Operators'!$C$1:$E$10000,3,FALSE)</f>
        <v>STORY</v>
      </c>
      <c r="M158" s="6">
        <f t="shared" si="25"/>
        <v>1.2777777774317656E-2</v>
      </c>
      <c r="N158" s="7"/>
      <c r="O158" s="7"/>
      <c r="P158" s="7"/>
      <c r="Q158" s="35"/>
      <c r="R158" s="35"/>
      <c r="S158" s="59"/>
      <c r="T158" s="1"/>
      <c r="U158" s="1"/>
      <c r="V158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38"/>
      <c r="X158" s="38"/>
      <c r="Y158" s="38"/>
      <c r="Z158" s="38"/>
      <c r="AA158" s="38"/>
      <c r="AB158" s="39"/>
      <c r="AC158" s="39"/>
      <c r="AD158" s="1" t="str">
        <f t="shared" si="27"/>
        <v>0804-05</v>
      </c>
    </row>
    <row r="159" spans="1:30" x14ac:dyDescent="0.25">
      <c r="A159" s="95" t="s">
        <v>465</v>
      </c>
      <c r="B159" s="95">
        <v>4042</v>
      </c>
      <c r="C159" s="95" t="s">
        <v>60</v>
      </c>
      <c r="D159" s="95" t="s">
        <v>672</v>
      </c>
      <c r="E159" s="96">
        <v>42556.282569444447</v>
      </c>
      <c r="F159" s="96">
        <v>42556.283564814818</v>
      </c>
      <c r="G159" s="96">
        <v>1</v>
      </c>
      <c r="H159" s="96" t="s">
        <v>673</v>
      </c>
      <c r="I159" s="96">
        <v>42556.29414351852</v>
      </c>
      <c r="J159" s="95">
        <v>0</v>
      </c>
      <c r="K159" s="100" t="str">
        <f t="shared" ref="K159:K191" si="28">IF(ISEVEN(B159),(B159-1)&amp;"/"&amp;B159,B159&amp;"/"&amp;(B159+1))</f>
        <v>4041/4042</v>
      </c>
      <c r="L159" s="100" t="str">
        <f>VLOOKUP(A159,'Trips&amp;Operators'!$C$1:$E$10000,3,FALSE)</f>
        <v>HELVIE</v>
      </c>
      <c r="M159" s="101">
        <f t="shared" ref="M159:M191" si="29">I159-F159</f>
        <v>1.0578703702776693E-2</v>
      </c>
      <c r="N159" s="102"/>
      <c r="O159" s="7"/>
      <c r="P159" s="7"/>
      <c r="Q159" s="35"/>
      <c r="R159" s="35"/>
      <c r="S159" s="59"/>
      <c r="T159" s="1"/>
      <c r="U159" s="1"/>
      <c r="V159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06:45:54-0600',mode:absolute,to:'2016-07-05 07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9" s="38"/>
      <c r="X159" s="38"/>
      <c r="Y159" s="38"/>
      <c r="Z159" s="38"/>
      <c r="AA159" s="38"/>
      <c r="AB159" s="39"/>
      <c r="AC159" s="39"/>
      <c r="AD159" s="1" t="str">
        <f t="shared" si="27"/>
        <v>0805-05</v>
      </c>
    </row>
    <row r="160" spans="1:30" x14ac:dyDescent="0.25">
      <c r="A160" s="95" t="s">
        <v>468</v>
      </c>
      <c r="B160" s="95">
        <v>4041</v>
      </c>
      <c r="C160" s="95" t="s">
        <v>60</v>
      </c>
      <c r="D160" s="95" t="s">
        <v>240</v>
      </c>
      <c r="E160" s="96">
        <v>42556.297546296293</v>
      </c>
      <c r="F160" s="96">
        <v>42556.298449074071</v>
      </c>
      <c r="G160" s="96">
        <v>1</v>
      </c>
      <c r="H160" s="96" t="s">
        <v>674</v>
      </c>
      <c r="I160" s="96">
        <v>42556.309583333335</v>
      </c>
      <c r="J160" s="95">
        <v>0</v>
      </c>
      <c r="K160" s="34" t="str">
        <f t="shared" si="28"/>
        <v>4041/4042</v>
      </c>
      <c r="L160" s="34" t="str">
        <f>VLOOKUP(A160,'Trips&amp;Operators'!$C$1:$E$10000,3,FALSE)</f>
        <v>HELVIE</v>
      </c>
      <c r="M160" s="6">
        <f t="shared" si="29"/>
        <v>1.1134259264508728E-2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07:07:28-0600',mode:absolute,to:'2016-07-05 07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0" s="38"/>
      <c r="X160" s="38"/>
      <c r="Y160" s="38"/>
      <c r="Z160" s="38"/>
      <c r="AA160" s="38"/>
      <c r="AB160" s="39"/>
      <c r="AC160" s="39"/>
      <c r="AD160" s="1" t="str">
        <f t="shared" si="27"/>
        <v>0806-05</v>
      </c>
    </row>
    <row r="161" spans="1:30" x14ac:dyDescent="0.25">
      <c r="A161" s="95" t="s">
        <v>531</v>
      </c>
      <c r="B161" s="95">
        <v>4040</v>
      </c>
      <c r="C161" s="95" t="s">
        <v>60</v>
      </c>
      <c r="D161" s="95" t="s">
        <v>346</v>
      </c>
      <c r="E161" s="96">
        <v>42556.302627314813</v>
      </c>
      <c r="F161" s="96">
        <v>42556.303379629629</v>
      </c>
      <c r="G161" s="96">
        <v>1</v>
      </c>
      <c r="H161" s="96" t="s">
        <v>675</v>
      </c>
      <c r="I161" s="96">
        <v>42556.315405092595</v>
      </c>
      <c r="J161" s="95">
        <v>0</v>
      </c>
      <c r="K161" s="34" t="str">
        <f t="shared" si="28"/>
        <v>4039/4040</v>
      </c>
      <c r="L161" s="34" t="str">
        <f>VLOOKUP(A161,'Trips&amp;Operators'!$C$1:$E$10000,3,FALSE)</f>
        <v>STORY</v>
      </c>
      <c r="M161" s="6">
        <f t="shared" si="29"/>
        <v>1.2025462965539191E-2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07:14:47-0600',mode:absolute,to:'2016-07-05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38"/>
      <c r="X161" s="38"/>
      <c r="Y161" s="38"/>
      <c r="Z161" s="38"/>
      <c r="AA161" s="38"/>
      <c r="AB161" s="39"/>
      <c r="AC161" s="39"/>
      <c r="AD161" s="1" t="str">
        <f t="shared" si="27"/>
        <v>0807-05</v>
      </c>
    </row>
    <row r="162" spans="1:30" x14ac:dyDescent="0.25">
      <c r="A162" s="95" t="s">
        <v>364</v>
      </c>
      <c r="B162" s="95">
        <v>4039</v>
      </c>
      <c r="C162" s="95" t="s">
        <v>60</v>
      </c>
      <c r="D162" s="95" t="s">
        <v>676</v>
      </c>
      <c r="E162" s="96">
        <v>42556.316238425927</v>
      </c>
      <c r="F162" s="96">
        <v>42556.317013888889</v>
      </c>
      <c r="G162" s="96">
        <v>1</v>
      </c>
      <c r="H162" s="96" t="s">
        <v>677</v>
      </c>
      <c r="I162" s="96">
        <v>42556.329710648148</v>
      </c>
      <c r="J162" s="95">
        <v>1</v>
      </c>
      <c r="K162" s="34" t="str">
        <f t="shared" si="28"/>
        <v>4039/4040</v>
      </c>
      <c r="L162" s="34" t="str">
        <f>VLOOKUP(A162,'Trips&amp;Operators'!$C$1:$E$10000,3,FALSE)</f>
        <v>STORY</v>
      </c>
      <c r="M162" s="6">
        <f t="shared" si="29"/>
        <v>1.2696759258687962E-2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26"/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38"/>
      <c r="X162" s="38"/>
      <c r="Y162" s="38"/>
      <c r="Z162" s="38"/>
      <c r="AA162" s="38"/>
      <c r="AB162" s="39"/>
      <c r="AC162" s="39"/>
      <c r="AD162" s="1" t="str">
        <f t="shared" si="27"/>
        <v>0808-05</v>
      </c>
    </row>
    <row r="163" spans="1:30" x14ac:dyDescent="0.25">
      <c r="A163" s="95" t="s">
        <v>428</v>
      </c>
      <c r="B163" s="95">
        <v>4042</v>
      </c>
      <c r="C163" s="95" t="s">
        <v>60</v>
      </c>
      <c r="D163" s="95" t="s">
        <v>678</v>
      </c>
      <c r="E163" s="96">
        <v>42556.322662037041</v>
      </c>
      <c r="F163" s="96">
        <v>42556.323622685188</v>
      </c>
      <c r="G163" s="96">
        <v>1</v>
      </c>
      <c r="H163" s="96" t="s">
        <v>679</v>
      </c>
      <c r="I163" s="96">
        <v>42556.335428240738</v>
      </c>
      <c r="J163" s="95">
        <v>0</v>
      </c>
      <c r="K163" s="34" t="str">
        <f t="shared" si="28"/>
        <v>4041/4042</v>
      </c>
      <c r="L163" s="34" t="str">
        <f>VLOOKUP(A163,'Trips&amp;Operators'!$C$1:$E$10000,3,FALSE)</f>
        <v>HELVIE</v>
      </c>
      <c r="M163" s="6">
        <f t="shared" si="29"/>
        <v>1.1805555550381541E-2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ref="V163:V191" si="30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https://search-rtdc-monitor-bjffxe2xuh6vdkpspy63sjmuny.us-east-1.es.amazonaws.com/_plugin/kibana/#/discover/Steve-Slow-Train-Analysis-(2080s-and-2083s)?_g=(refreshInterval:(display:Off,section:0,value:0),time:(from:'2016-07-05 07:43:38-0600',mode:absolute,to:'2016-07-05 08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3" s="38"/>
      <c r="X163" s="38"/>
      <c r="Y163" s="38"/>
      <c r="Z163" s="38"/>
      <c r="AA163" s="38"/>
      <c r="AB163" s="39"/>
      <c r="AC163" s="39"/>
      <c r="AD163" s="1" t="str">
        <f t="shared" si="27"/>
        <v>0809-05</v>
      </c>
    </row>
    <row r="164" spans="1:30" x14ac:dyDescent="0.25">
      <c r="A164" s="95" t="s">
        <v>483</v>
      </c>
      <c r="B164" s="95">
        <v>4041</v>
      </c>
      <c r="C164" s="95" t="s">
        <v>60</v>
      </c>
      <c r="D164" s="95" t="s">
        <v>680</v>
      </c>
      <c r="E164" s="96">
        <v>42556.339085648149</v>
      </c>
      <c r="F164" s="96">
        <v>42556.339988425927</v>
      </c>
      <c r="G164" s="96">
        <v>1</v>
      </c>
      <c r="H164" s="96" t="s">
        <v>681</v>
      </c>
      <c r="I164" s="96">
        <v>42556.351087962961</v>
      </c>
      <c r="J164" s="95">
        <v>0</v>
      </c>
      <c r="K164" s="34" t="str">
        <f t="shared" si="28"/>
        <v>4041/4042</v>
      </c>
      <c r="L164" s="34" t="str">
        <f>VLOOKUP(A164,'Trips&amp;Operators'!$C$1:$E$10000,3,FALSE)</f>
        <v>HELVIE</v>
      </c>
      <c r="M164" s="6">
        <f t="shared" si="29"/>
        <v>1.1099537034169771E-2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08:07:17-0600',mode:absolute,to:'2016-07-05 08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4" s="38"/>
      <c r="X164" s="38"/>
      <c r="Y164" s="38"/>
      <c r="Z164" s="38"/>
      <c r="AA164" s="38"/>
      <c r="AB164" s="39"/>
      <c r="AC164" s="39"/>
      <c r="AD164" s="1" t="str">
        <f t="shared" si="27"/>
        <v>0810-05</v>
      </c>
    </row>
    <row r="165" spans="1:30" x14ac:dyDescent="0.25">
      <c r="A165" s="95" t="s">
        <v>367</v>
      </c>
      <c r="B165" s="95">
        <v>4040</v>
      </c>
      <c r="C165" s="95" t="s">
        <v>60</v>
      </c>
      <c r="D165" s="95" t="s">
        <v>351</v>
      </c>
      <c r="E165" s="96">
        <v>42556.345972222225</v>
      </c>
      <c r="F165" s="96">
        <v>42556.347129629627</v>
      </c>
      <c r="G165" s="96">
        <v>1</v>
      </c>
      <c r="H165" s="96" t="s">
        <v>682</v>
      </c>
      <c r="I165" s="96">
        <v>42556.357604166667</v>
      </c>
      <c r="J165" s="95">
        <v>1</v>
      </c>
      <c r="K165" s="34" t="str">
        <f t="shared" si="28"/>
        <v>4039/4040</v>
      </c>
      <c r="L165" s="34" t="str">
        <f>VLOOKUP(A165,'Trips&amp;Operators'!$C$1:$E$10000,3,FALSE)</f>
        <v>STORY</v>
      </c>
      <c r="M165" s="6">
        <f t="shared" si="29"/>
        <v>1.0474537040863652E-2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38"/>
      <c r="X165" s="38"/>
      <c r="Y165" s="38"/>
      <c r="Z165" s="38"/>
      <c r="AA165" s="38"/>
      <c r="AB165" s="39"/>
      <c r="AC165" s="39"/>
      <c r="AD165" s="1" t="str">
        <f t="shared" si="27"/>
        <v>0811-05</v>
      </c>
    </row>
    <row r="166" spans="1:30" x14ac:dyDescent="0.25">
      <c r="A166" s="95" t="s">
        <v>368</v>
      </c>
      <c r="B166" s="95">
        <v>4039</v>
      </c>
      <c r="C166" s="95" t="s">
        <v>60</v>
      </c>
      <c r="D166" s="95" t="s">
        <v>683</v>
      </c>
      <c r="E166" s="96">
        <v>42556.358368055553</v>
      </c>
      <c r="F166" s="96">
        <v>42556.359456018516</v>
      </c>
      <c r="G166" s="96">
        <v>1</v>
      </c>
      <c r="H166" s="96" t="s">
        <v>684</v>
      </c>
      <c r="I166" s="96">
        <v>42556.371967592589</v>
      </c>
      <c r="J166" s="95">
        <v>1</v>
      </c>
      <c r="K166" s="34" t="str">
        <f t="shared" si="28"/>
        <v>4039/4040</v>
      </c>
      <c r="L166" s="34" t="str">
        <f>VLOOKUP(A166,'Trips&amp;Operators'!$C$1:$E$10000,3,FALSE)</f>
        <v>STORY</v>
      </c>
      <c r="M166" s="6">
        <f t="shared" si="29"/>
        <v>1.2511574073869269E-2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38"/>
      <c r="X166" s="38"/>
      <c r="Y166" s="38"/>
      <c r="Z166" s="38"/>
      <c r="AA166" s="38"/>
      <c r="AB166" s="39"/>
      <c r="AC166" s="39"/>
      <c r="AD166" s="1" t="str">
        <f t="shared" si="27"/>
        <v>0812-05</v>
      </c>
    </row>
    <row r="167" spans="1:30" x14ac:dyDescent="0.25">
      <c r="A167" s="95" t="s">
        <v>370</v>
      </c>
      <c r="B167" s="95">
        <v>4040</v>
      </c>
      <c r="C167" s="95" t="s">
        <v>60</v>
      </c>
      <c r="D167" s="95" t="s">
        <v>347</v>
      </c>
      <c r="E167" s="96">
        <v>42556.386747685188</v>
      </c>
      <c r="F167" s="96">
        <v>42556.387696759259</v>
      </c>
      <c r="G167" s="96">
        <v>1</v>
      </c>
      <c r="H167" s="96" t="s">
        <v>685</v>
      </c>
      <c r="I167" s="96">
        <v>42556.399293981478</v>
      </c>
      <c r="J167" s="95">
        <v>1</v>
      </c>
      <c r="K167" s="34" t="str">
        <f t="shared" si="28"/>
        <v>4039/4040</v>
      </c>
      <c r="L167" s="34" t="str">
        <f>VLOOKUP(A167,'Trips&amp;Operators'!$C$1:$E$10000,3,FALSE)</f>
        <v>STORY</v>
      </c>
      <c r="M167" s="6">
        <f t="shared" si="29"/>
        <v>1.1597222219279502E-2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7" s="38"/>
      <c r="X167" s="38"/>
      <c r="Y167" s="38"/>
      <c r="Z167" s="38"/>
      <c r="AA167" s="38"/>
      <c r="AB167" s="39"/>
      <c r="AC167" s="39"/>
      <c r="AD167" s="1" t="str">
        <f t="shared" si="27"/>
        <v>0813-05</v>
      </c>
    </row>
    <row r="168" spans="1:30" x14ac:dyDescent="0.25">
      <c r="A168" s="95" t="s">
        <v>522</v>
      </c>
      <c r="B168" s="95">
        <v>4039</v>
      </c>
      <c r="C168" s="95" t="s">
        <v>60</v>
      </c>
      <c r="D168" s="95" t="s">
        <v>686</v>
      </c>
      <c r="E168" s="96">
        <v>42556.399942129632</v>
      </c>
      <c r="F168" s="96">
        <v>42556.401076388887</v>
      </c>
      <c r="G168" s="96">
        <v>1</v>
      </c>
      <c r="H168" s="96" t="s">
        <v>352</v>
      </c>
      <c r="I168" s="96">
        <v>42556.41369212963</v>
      </c>
      <c r="J168" s="95">
        <v>0</v>
      </c>
      <c r="K168" s="34" t="str">
        <f t="shared" si="28"/>
        <v>4039/4040</v>
      </c>
      <c r="L168" s="34" t="str">
        <f>VLOOKUP(A168,'Trips&amp;Operators'!$C$1:$E$10000,3,FALSE)</f>
        <v>STORY</v>
      </c>
      <c r="M168" s="6">
        <f t="shared" si="29"/>
        <v>1.2615740743058268E-2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09:34:55-0600',mode:absolute,to:'2016-07-05 09:56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8" s="38"/>
      <c r="X168" s="38"/>
      <c r="Y168" s="38"/>
      <c r="Z168" s="38"/>
      <c r="AA168" s="38"/>
      <c r="AB168" s="39"/>
      <c r="AC168" s="39"/>
      <c r="AD168" s="1" t="str">
        <f t="shared" si="27"/>
        <v>0814-05</v>
      </c>
    </row>
    <row r="169" spans="1:30" x14ac:dyDescent="0.25">
      <c r="A169" s="95" t="s">
        <v>372</v>
      </c>
      <c r="B169" s="95">
        <v>4040</v>
      </c>
      <c r="C169" s="95" t="s">
        <v>60</v>
      </c>
      <c r="D169" s="95" t="s">
        <v>687</v>
      </c>
      <c r="E169" s="96">
        <v>42556.429606481484</v>
      </c>
      <c r="F169" s="96">
        <v>42556.430462962962</v>
      </c>
      <c r="G169" s="96">
        <v>1</v>
      </c>
      <c r="H169" s="96" t="s">
        <v>194</v>
      </c>
      <c r="I169" s="96">
        <v>42556.440162037034</v>
      </c>
      <c r="J169" s="95">
        <v>1</v>
      </c>
      <c r="K169" s="34" t="str">
        <f t="shared" si="28"/>
        <v>4039/4040</v>
      </c>
      <c r="L169" s="34" t="str">
        <f>VLOOKUP(A169,'Trips&amp;Operators'!$C$1:$E$10000,3,FALSE)</f>
        <v>STORY</v>
      </c>
      <c r="M169" s="6">
        <f t="shared" si="29"/>
        <v>9.6990740712499246E-3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38"/>
      <c r="X169" s="38"/>
      <c r="Y169" s="38"/>
      <c r="Z169" s="38"/>
      <c r="AA169" s="38"/>
      <c r="AB169" s="39"/>
      <c r="AC169" s="39"/>
      <c r="AD169" s="1" t="str">
        <f t="shared" si="27"/>
        <v>0815-05</v>
      </c>
    </row>
    <row r="170" spans="1:30" x14ac:dyDescent="0.25">
      <c r="A170" s="95" t="s">
        <v>374</v>
      </c>
      <c r="B170" s="95">
        <v>4039</v>
      </c>
      <c r="C170" s="95" t="s">
        <v>60</v>
      </c>
      <c r="D170" s="95" t="s">
        <v>344</v>
      </c>
      <c r="E170" s="96">
        <v>42556.440810185188</v>
      </c>
      <c r="F170" s="96">
        <v>42556.441469907404</v>
      </c>
      <c r="G170" s="96">
        <v>0</v>
      </c>
      <c r="H170" s="96" t="s">
        <v>350</v>
      </c>
      <c r="I170" s="96">
        <v>42556.454675925925</v>
      </c>
      <c r="J170" s="95">
        <v>1</v>
      </c>
      <c r="K170" s="34" t="str">
        <f t="shared" si="28"/>
        <v>4039/4040</v>
      </c>
      <c r="L170" s="34" t="str">
        <f>VLOOKUP(A170,'Trips&amp;Operators'!$C$1:$E$10000,3,FALSE)</f>
        <v>STORY</v>
      </c>
      <c r="M170" s="6">
        <f t="shared" si="29"/>
        <v>1.3206018520577345E-2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38"/>
      <c r="X170" s="38"/>
      <c r="Y170" s="38"/>
      <c r="Z170" s="38"/>
      <c r="AA170" s="38"/>
      <c r="AB170" s="39"/>
      <c r="AC170" s="39"/>
      <c r="AD170" s="1" t="str">
        <f t="shared" si="27"/>
        <v>0816-05</v>
      </c>
    </row>
    <row r="171" spans="1:30" x14ac:dyDescent="0.25">
      <c r="A171" s="95" t="s">
        <v>376</v>
      </c>
      <c r="B171" s="97">
        <v>4040</v>
      </c>
      <c r="C171" s="97" t="s">
        <v>60</v>
      </c>
      <c r="D171" s="97" t="s">
        <v>688</v>
      </c>
      <c r="E171" s="98">
        <v>42556.471226851849</v>
      </c>
      <c r="F171" s="98">
        <v>42556.472256944442</v>
      </c>
      <c r="G171" s="99">
        <v>1</v>
      </c>
      <c r="H171" s="98" t="s">
        <v>682</v>
      </c>
      <c r="I171" s="98">
        <v>42556.484120370369</v>
      </c>
      <c r="J171" s="97">
        <v>2</v>
      </c>
      <c r="K171" s="34" t="str">
        <f t="shared" si="28"/>
        <v>4039/4040</v>
      </c>
      <c r="L171" s="34" t="str">
        <f>VLOOKUP(A171,'Trips&amp;Operators'!$C$1:$E$10000,3,FALSE)</f>
        <v>STORY</v>
      </c>
      <c r="M171" s="6">
        <f t="shared" si="29"/>
        <v>1.1863425927003846E-2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38"/>
      <c r="X171" s="38"/>
      <c r="Y171" s="38"/>
      <c r="Z171" s="38"/>
      <c r="AA171" s="38"/>
      <c r="AB171" s="39"/>
      <c r="AC171" s="39"/>
      <c r="AD171" s="1" t="str">
        <f t="shared" si="27"/>
        <v>0817-05</v>
      </c>
    </row>
    <row r="172" spans="1:30" x14ac:dyDescent="0.25">
      <c r="A172" s="94" t="s">
        <v>377</v>
      </c>
      <c r="B172" s="95">
        <v>4039</v>
      </c>
      <c r="C172" s="95" t="s">
        <v>60</v>
      </c>
      <c r="D172" s="95" t="s">
        <v>689</v>
      </c>
      <c r="E172" s="96">
        <v>42556.484803240739</v>
      </c>
      <c r="F172" s="96">
        <v>42556.485810185186</v>
      </c>
      <c r="G172" s="96">
        <v>1</v>
      </c>
      <c r="H172" s="96" t="s">
        <v>690</v>
      </c>
      <c r="I172" s="96">
        <v>42556.496736111112</v>
      </c>
      <c r="J172" s="95">
        <v>1</v>
      </c>
      <c r="K172" s="34" t="str">
        <f t="shared" si="28"/>
        <v>4039/4040</v>
      </c>
      <c r="L172" s="34" t="str">
        <f>VLOOKUP(A172,'Trips&amp;Operators'!$C$1:$E$10000,3,FALSE)</f>
        <v>STORY</v>
      </c>
      <c r="M172" s="6">
        <f t="shared" si="29"/>
        <v>1.0925925926130731E-2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38"/>
      <c r="X172" s="38"/>
      <c r="Y172" s="38"/>
      <c r="Z172" s="38"/>
      <c r="AA172" s="38"/>
      <c r="AB172" s="39"/>
      <c r="AC172" s="39"/>
      <c r="AD172" s="1" t="str">
        <f t="shared" si="27"/>
        <v>0818-05</v>
      </c>
    </row>
    <row r="173" spans="1:30" x14ac:dyDescent="0.25">
      <c r="A173" s="95" t="s">
        <v>379</v>
      </c>
      <c r="B173" s="97">
        <v>4040</v>
      </c>
      <c r="C173" s="97" t="s">
        <v>60</v>
      </c>
      <c r="D173" s="97" t="s">
        <v>345</v>
      </c>
      <c r="E173" s="98">
        <v>42556.512199074074</v>
      </c>
      <c r="F173" s="98">
        <v>42556.512962962966</v>
      </c>
      <c r="G173" s="99">
        <v>1</v>
      </c>
      <c r="H173" s="98" t="s">
        <v>348</v>
      </c>
      <c r="I173" s="98">
        <v>42556.526006944441</v>
      </c>
      <c r="J173" s="97">
        <v>3</v>
      </c>
      <c r="K173" s="34" t="str">
        <f t="shared" si="28"/>
        <v>4039/4040</v>
      </c>
      <c r="L173" s="34" t="str">
        <f>VLOOKUP(A173,'Trips&amp;Operators'!$C$1:$E$10000,3,FALSE)</f>
        <v>STORY</v>
      </c>
      <c r="M173" s="6">
        <f t="shared" si="29"/>
        <v>1.3043981474766042E-2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38"/>
      <c r="X173" s="38"/>
      <c r="Y173" s="38"/>
      <c r="Z173" s="38"/>
      <c r="AA173" s="38"/>
      <c r="AB173" s="39"/>
      <c r="AC173" s="39"/>
      <c r="AD173" s="1" t="str">
        <f t="shared" si="27"/>
        <v>0819-05</v>
      </c>
    </row>
    <row r="174" spans="1:30" x14ac:dyDescent="0.25">
      <c r="A174" s="95" t="s">
        <v>523</v>
      </c>
      <c r="B174" s="97">
        <v>4039</v>
      </c>
      <c r="C174" s="97" t="s">
        <v>60</v>
      </c>
      <c r="D174" s="97" t="s">
        <v>169</v>
      </c>
      <c r="E174" s="98">
        <v>42556.526712962965</v>
      </c>
      <c r="F174" s="98">
        <v>42556.527638888889</v>
      </c>
      <c r="G174" s="99">
        <v>1</v>
      </c>
      <c r="H174" s="98" t="s">
        <v>691</v>
      </c>
      <c r="I174" s="98">
        <v>42556.537824074076</v>
      </c>
      <c r="J174" s="97">
        <v>0</v>
      </c>
      <c r="K174" s="34" t="str">
        <f t="shared" si="28"/>
        <v>4039/4040</v>
      </c>
      <c r="L174" s="34" t="str">
        <f>VLOOKUP(A174,'Trips&amp;Operators'!$C$1:$E$10000,3,FALSE)</f>
        <v>STORY</v>
      </c>
      <c r="M174" s="6">
        <f t="shared" si="29"/>
        <v>1.0185185186855961E-2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12:37:28-0600',mode:absolute,to:'2016-07-05 12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38"/>
      <c r="X174" s="38"/>
      <c r="Y174" s="38"/>
      <c r="Z174" s="38"/>
      <c r="AA174" s="38"/>
      <c r="AB174" s="39"/>
      <c r="AC174" s="39"/>
      <c r="AD174" s="1" t="str">
        <f t="shared" si="27"/>
        <v>0820-05</v>
      </c>
    </row>
    <row r="175" spans="1:30" x14ac:dyDescent="0.25">
      <c r="A175" s="95" t="s">
        <v>432</v>
      </c>
      <c r="B175" s="97">
        <v>4040</v>
      </c>
      <c r="C175" s="97" t="s">
        <v>60</v>
      </c>
      <c r="D175" s="97" t="s">
        <v>692</v>
      </c>
      <c r="E175" s="98">
        <v>42556.555462962962</v>
      </c>
      <c r="F175" s="98">
        <v>42556.55636574074</v>
      </c>
      <c r="G175" s="99">
        <v>1</v>
      </c>
      <c r="H175" s="98" t="s">
        <v>682</v>
      </c>
      <c r="I175" s="98">
        <v>42556.566238425927</v>
      </c>
      <c r="J175" s="97">
        <v>0</v>
      </c>
      <c r="K175" s="34" t="str">
        <f t="shared" si="28"/>
        <v>4039/4040</v>
      </c>
      <c r="L175" s="34" t="str">
        <f>VLOOKUP(A175,'Trips&amp;Operators'!$C$1:$E$10000,3,FALSE)</f>
        <v>STORY</v>
      </c>
      <c r="M175" s="6">
        <f t="shared" si="29"/>
        <v>9.8726851865649223E-3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13:18:52-0600',mode:absolute,to:'2016-07-05 13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38"/>
      <c r="X175" s="38"/>
      <c r="Y175" s="38"/>
      <c r="Z175" s="38"/>
      <c r="AA175" s="38"/>
      <c r="AB175" s="39"/>
      <c r="AC175" s="39"/>
      <c r="AD175" s="1" t="str">
        <f t="shared" si="27"/>
        <v>0821-05</v>
      </c>
    </row>
    <row r="176" spans="1:30" x14ac:dyDescent="0.25">
      <c r="A176" s="95" t="s">
        <v>429</v>
      </c>
      <c r="B176" s="97">
        <v>4039</v>
      </c>
      <c r="C176" s="97" t="s">
        <v>60</v>
      </c>
      <c r="D176" s="97" t="s">
        <v>344</v>
      </c>
      <c r="E176" s="98">
        <v>42556.566990740743</v>
      </c>
      <c r="F176" s="98">
        <v>42556.568182870367</v>
      </c>
      <c r="G176" s="99">
        <v>1</v>
      </c>
      <c r="H176" s="98" t="s">
        <v>693</v>
      </c>
      <c r="I176" s="98">
        <v>42556.579837962963</v>
      </c>
      <c r="J176" s="97">
        <v>0</v>
      </c>
      <c r="K176" s="34" t="str">
        <f t="shared" si="28"/>
        <v>4039/4040</v>
      </c>
      <c r="L176" s="34" t="str">
        <f>VLOOKUP(A176,'Trips&amp;Operators'!$C$1:$E$10000,3,FALSE)</f>
        <v>STORY</v>
      </c>
      <c r="M176" s="6">
        <f t="shared" si="29"/>
        <v>1.1655092595901806E-2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13:35:28-0600',mode:absolute,to:'2016-07-05 13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38"/>
      <c r="X176" s="38"/>
      <c r="Y176" s="38"/>
      <c r="Z176" s="38"/>
      <c r="AA176" s="38"/>
      <c r="AB176" s="39"/>
      <c r="AC176" s="39"/>
      <c r="AD176" s="1" t="str">
        <f t="shared" si="27"/>
        <v>0822-05</v>
      </c>
    </row>
    <row r="177" spans="1:30" x14ac:dyDescent="0.25">
      <c r="A177" s="95" t="s">
        <v>387</v>
      </c>
      <c r="B177" s="97">
        <v>4040</v>
      </c>
      <c r="C177" s="97" t="s">
        <v>60</v>
      </c>
      <c r="D177" s="97" t="s">
        <v>354</v>
      </c>
      <c r="E177" s="98">
        <v>42556.58216435185</v>
      </c>
      <c r="F177" s="98">
        <v>42556.583634259259</v>
      </c>
      <c r="G177" s="99">
        <v>2</v>
      </c>
      <c r="H177" s="98" t="s">
        <v>694</v>
      </c>
      <c r="I177" s="98">
        <v>42556.607812499999</v>
      </c>
      <c r="J177" s="97">
        <v>1</v>
      </c>
      <c r="K177" s="34" t="str">
        <f t="shared" si="28"/>
        <v>4039/4040</v>
      </c>
      <c r="L177" s="34" t="str">
        <f>VLOOKUP(A177,'Trips&amp;Operators'!$C$1:$E$10000,3,FALSE)</f>
        <v>SUR</v>
      </c>
      <c r="M177" s="6">
        <f t="shared" si="29"/>
        <v>2.417824073927477E-2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38"/>
      <c r="X177" s="38"/>
      <c r="Y177" s="38"/>
      <c r="Z177" s="38"/>
      <c r="AA177" s="38"/>
      <c r="AB177" s="39"/>
      <c r="AC177" s="39"/>
      <c r="AD177" s="1" t="str">
        <f t="shared" si="27"/>
        <v>0823-05</v>
      </c>
    </row>
    <row r="178" spans="1:30" x14ac:dyDescent="0.25">
      <c r="A178" s="95" t="s">
        <v>388</v>
      </c>
      <c r="B178" s="97">
        <v>4039</v>
      </c>
      <c r="C178" s="97" t="s">
        <v>60</v>
      </c>
      <c r="D178" s="97" t="s">
        <v>695</v>
      </c>
      <c r="E178" s="98">
        <v>42556.608981481484</v>
      </c>
      <c r="F178" s="98">
        <v>42556.610555555555</v>
      </c>
      <c r="G178" s="99">
        <v>2</v>
      </c>
      <c r="H178" s="98" t="s">
        <v>696</v>
      </c>
      <c r="I178" s="98">
        <v>42556.62158564815</v>
      </c>
      <c r="J178" s="97">
        <v>2</v>
      </c>
      <c r="K178" s="34" t="str">
        <f t="shared" si="28"/>
        <v>4039/4040</v>
      </c>
      <c r="L178" s="34" t="str">
        <f>VLOOKUP(A178,'Trips&amp;Operators'!$C$1:$E$10000,3,FALSE)</f>
        <v>SUR</v>
      </c>
      <c r="M178" s="6">
        <f t="shared" si="29"/>
        <v>1.1030092595319729E-2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38"/>
      <c r="X178" s="38"/>
      <c r="Y178" s="38"/>
      <c r="Z178" s="38"/>
      <c r="AA178" s="38"/>
      <c r="AB178" s="39"/>
      <c r="AC178" s="39"/>
      <c r="AD178" s="1" t="str">
        <f t="shared" si="27"/>
        <v>0824-05</v>
      </c>
    </row>
    <row r="179" spans="1:30" x14ac:dyDescent="0.25">
      <c r="A179" s="95" t="s">
        <v>391</v>
      </c>
      <c r="B179" s="97">
        <v>4040</v>
      </c>
      <c r="C179" s="97" t="s">
        <v>60</v>
      </c>
      <c r="D179" s="97" t="s">
        <v>697</v>
      </c>
      <c r="E179" s="98">
        <v>42556.637349537035</v>
      </c>
      <c r="F179" s="98">
        <v>42556.639062499999</v>
      </c>
      <c r="G179" s="99">
        <v>2</v>
      </c>
      <c r="H179" s="98" t="s">
        <v>698</v>
      </c>
      <c r="I179" s="98">
        <v>42556.648969907408</v>
      </c>
      <c r="J179" s="97">
        <v>2</v>
      </c>
      <c r="K179" s="34" t="str">
        <f t="shared" si="28"/>
        <v>4039/4040</v>
      </c>
      <c r="L179" s="34" t="str">
        <f>VLOOKUP(A179,'Trips&amp;Operators'!$C$1:$E$10000,3,FALSE)</f>
        <v>SUR</v>
      </c>
      <c r="M179" s="6">
        <f t="shared" si="29"/>
        <v>9.9074074096279219E-3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38"/>
      <c r="X179" s="38"/>
      <c r="Y179" s="38"/>
      <c r="Z179" s="38"/>
      <c r="AA179" s="38"/>
      <c r="AB179" s="39"/>
      <c r="AC179" s="39"/>
      <c r="AD179" s="1" t="str">
        <f t="shared" si="27"/>
        <v>0825-05</v>
      </c>
    </row>
    <row r="180" spans="1:30" x14ac:dyDescent="0.25">
      <c r="A180" s="95" t="s">
        <v>395</v>
      </c>
      <c r="B180" s="97">
        <v>4039</v>
      </c>
      <c r="C180" s="97" t="s">
        <v>60</v>
      </c>
      <c r="D180" s="97" t="s">
        <v>699</v>
      </c>
      <c r="E180" s="98">
        <v>42556.650104166663</v>
      </c>
      <c r="F180" s="98">
        <v>42556.652233796296</v>
      </c>
      <c r="G180" s="99">
        <v>3</v>
      </c>
      <c r="H180" s="98" t="s">
        <v>700</v>
      </c>
      <c r="I180" s="98">
        <v>42556.666122685187</v>
      </c>
      <c r="J180" s="97">
        <v>1</v>
      </c>
      <c r="K180" s="34" t="str">
        <f t="shared" si="28"/>
        <v>4039/4040</v>
      </c>
      <c r="L180" s="34" t="str">
        <f>VLOOKUP(A180,'Trips&amp;Operators'!$C$1:$E$10000,3,FALSE)</f>
        <v>SUR</v>
      </c>
      <c r="M180" s="6">
        <f t="shared" si="29"/>
        <v>1.3888888890505768E-2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38"/>
      <c r="X180" s="38"/>
      <c r="Y180" s="38"/>
      <c r="Z180" s="38"/>
      <c r="AA180" s="38"/>
      <c r="AB180" s="39"/>
      <c r="AC180" s="39"/>
      <c r="AD180" s="1" t="str">
        <f t="shared" si="27"/>
        <v>0826-05</v>
      </c>
    </row>
    <row r="181" spans="1:30" x14ac:dyDescent="0.25">
      <c r="A181" s="95" t="s">
        <v>426</v>
      </c>
      <c r="B181" s="97">
        <v>4041</v>
      </c>
      <c r="C181" s="97" t="s">
        <v>60</v>
      </c>
      <c r="D181" s="97" t="s">
        <v>701</v>
      </c>
      <c r="E181" s="98">
        <v>42556.674039351848</v>
      </c>
      <c r="F181" s="98">
        <v>42556.675324074073</v>
      </c>
      <c r="G181" s="99">
        <v>1</v>
      </c>
      <c r="H181" s="98" t="s">
        <v>702</v>
      </c>
      <c r="I181" s="98">
        <v>42556.760601851849</v>
      </c>
      <c r="J181" s="97">
        <v>0</v>
      </c>
      <c r="K181" s="34" t="str">
        <f t="shared" si="28"/>
        <v>4041/4042</v>
      </c>
      <c r="L181" s="34" t="str">
        <f>VLOOKUP(A181,'Trips&amp;Operators'!$C$1:$E$10000,3,FALSE)</f>
        <v>NATION</v>
      </c>
      <c r="M181" s="6">
        <f t="shared" si="29"/>
        <v>8.5277777776354924E-2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16:09:37-0600',mode:absolute,to:'2016-07-05 18:16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1" s="38"/>
      <c r="X181" s="38"/>
      <c r="Y181" s="38"/>
      <c r="Z181" s="38"/>
      <c r="AA181" s="38"/>
      <c r="AB181" s="39"/>
      <c r="AC181" s="39"/>
      <c r="AD181" s="1" t="str">
        <f t="shared" si="27"/>
        <v>0828-05</v>
      </c>
    </row>
    <row r="182" spans="1:30" x14ac:dyDescent="0.25">
      <c r="A182" s="95" t="s">
        <v>403</v>
      </c>
      <c r="B182" s="97">
        <v>4040</v>
      </c>
      <c r="C182" s="97" t="s">
        <v>60</v>
      </c>
      <c r="D182" s="97" t="s">
        <v>703</v>
      </c>
      <c r="E182" s="98">
        <v>42556.760555555556</v>
      </c>
      <c r="F182" s="98">
        <v>42556.762025462966</v>
      </c>
      <c r="G182" s="99">
        <v>2</v>
      </c>
      <c r="H182" s="98" t="s">
        <v>704</v>
      </c>
      <c r="I182" s="98">
        <v>42556.774375000001</v>
      </c>
      <c r="J182" s="97">
        <v>3</v>
      </c>
      <c r="K182" s="34" t="str">
        <f t="shared" si="28"/>
        <v>4039/4040</v>
      </c>
      <c r="L182" s="34" t="str">
        <f>VLOOKUP(A182,'Trips&amp;Operators'!$C$1:$E$10000,3,FALSE)</f>
        <v>SUR</v>
      </c>
      <c r="M182" s="6">
        <f t="shared" si="29"/>
        <v>1.2349537035333924E-2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2" s="38"/>
      <c r="X182" s="38"/>
      <c r="Y182" s="38"/>
      <c r="Z182" s="38"/>
      <c r="AA182" s="38"/>
      <c r="AB182" s="39"/>
      <c r="AC182" s="39"/>
      <c r="AD182" s="1" t="str">
        <f t="shared" si="27"/>
        <v>0837-05</v>
      </c>
    </row>
    <row r="183" spans="1:30" x14ac:dyDescent="0.25">
      <c r="A183" s="95" t="s">
        <v>404</v>
      </c>
      <c r="B183" s="97">
        <v>4039</v>
      </c>
      <c r="C183" s="97" t="s">
        <v>60</v>
      </c>
      <c r="D183" s="97" t="s">
        <v>705</v>
      </c>
      <c r="E183" s="98">
        <v>42556.775416666664</v>
      </c>
      <c r="F183" s="98">
        <v>42556.77616898148</v>
      </c>
      <c r="G183" s="99">
        <v>1</v>
      </c>
      <c r="H183" s="98" t="s">
        <v>706</v>
      </c>
      <c r="I183" s="98">
        <v>42556.787638888891</v>
      </c>
      <c r="J183" s="97">
        <v>1</v>
      </c>
      <c r="K183" s="34" t="str">
        <f t="shared" si="28"/>
        <v>4039/4040</v>
      </c>
      <c r="L183" s="34" t="str">
        <f>VLOOKUP(A183,'Trips&amp;Operators'!$C$1:$E$10000,3,FALSE)</f>
        <v>SUR</v>
      </c>
      <c r="M183" s="6">
        <f t="shared" si="29"/>
        <v>1.1469907411083113E-2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3" s="38"/>
      <c r="X183" s="38"/>
      <c r="Y183" s="38"/>
      <c r="Z183" s="38"/>
      <c r="AA183" s="38"/>
      <c r="AB183" s="39"/>
      <c r="AC183" s="39"/>
      <c r="AD183" s="1" t="str">
        <f t="shared" si="27"/>
        <v>0838-05</v>
      </c>
    </row>
    <row r="184" spans="1:30" x14ac:dyDescent="0.25">
      <c r="A184" s="95" t="s">
        <v>506</v>
      </c>
      <c r="B184" s="97">
        <v>4039</v>
      </c>
      <c r="C184" s="97" t="s">
        <v>60</v>
      </c>
      <c r="D184" s="97" t="s">
        <v>707</v>
      </c>
      <c r="E184" s="98">
        <v>42556.816504629627</v>
      </c>
      <c r="F184" s="98">
        <v>42556.818136574075</v>
      </c>
      <c r="G184" s="99">
        <v>2</v>
      </c>
      <c r="H184" s="98" t="s">
        <v>708</v>
      </c>
      <c r="I184" s="98">
        <v>42556.830428240741</v>
      </c>
      <c r="J184" s="97">
        <v>0</v>
      </c>
      <c r="K184" s="34" t="str">
        <f t="shared" si="28"/>
        <v>4039/4040</v>
      </c>
      <c r="L184" s="34" t="str">
        <f>VLOOKUP(A184,'Trips&amp;Operators'!$C$1:$E$10000,3,FALSE)</f>
        <v>SUR</v>
      </c>
      <c r="M184" s="6">
        <f t="shared" si="29"/>
        <v>1.2291666665987577E-2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19:34:46-0600',mode:absolute,to:'2016-07-05 19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38"/>
      <c r="X184" s="38"/>
      <c r="Y184" s="38"/>
      <c r="Z184" s="38"/>
      <c r="AA184" s="38"/>
      <c r="AB184" s="39"/>
      <c r="AC184" s="39"/>
      <c r="AD184" s="1" t="str">
        <f t="shared" si="27"/>
        <v>0840-05</v>
      </c>
    </row>
    <row r="185" spans="1:30" x14ac:dyDescent="0.25">
      <c r="A185" s="95" t="s">
        <v>406</v>
      </c>
      <c r="B185" s="97">
        <v>4040</v>
      </c>
      <c r="C185" s="97" t="s">
        <v>60</v>
      </c>
      <c r="D185" s="97" t="s">
        <v>709</v>
      </c>
      <c r="E185" s="98">
        <v>42556.801805555559</v>
      </c>
      <c r="F185" s="98">
        <v>42556.803703703707</v>
      </c>
      <c r="G185" s="99">
        <v>2</v>
      </c>
      <c r="H185" s="98" t="s">
        <v>704</v>
      </c>
      <c r="I185" s="98">
        <v>42556.815393518518</v>
      </c>
      <c r="J185" s="97">
        <v>1</v>
      </c>
      <c r="K185" s="34" t="str">
        <f t="shared" si="28"/>
        <v>4039/4040</v>
      </c>
      <c r="L185" s="34" t="str">
        <f>VLOOKUP(A185,'Trips&amp;Operators'!$C$1:$E$10000,3,FALSE)</f>
        <v>SUR</v>
      </c>
      <c r="M185" s="6">
        <f t="shared" si="29"/>
        <v>1.1689814811688848E-2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5" s="38"/>
      <c r="X185" s="38"/>
      <c r="Y185" s="38"/>
      <c r="Z185" s="38"/>
      <c r="AA185" s="38"/>
      <c r="AB185" s="39"/>
      <c r="AC185" s="39"/>
      <c r="AD185" s="1" t="str">
        <f t="shared" si="27"/>
        <v>0841-05</v>
      </c>
    </row>
    <row r="186" spans="1:30" x14ac:dyDescent="0.25">
      <c r="A186" s="95" t="s">
        <v>441</v>
      </c>
      <c r="B186" s="97">
        <v>4039</v>
      </c>
      <c r="C186" s="97" t="s">
        <v>60</v>
      </c>
      <c r="D186" s="97" t="s">
        <v>710</v>
      </c>
      <c r="E186" s="98">
        <v>42556.858449074076</v>
      </c>
      <c r="F186" s="98">
        <v>42556.859467592592</v>
      </c>
      <c r="G186" s="99">
        <v>1</v>
      </c>
      <c r="H186" s="98" t="s">
        <v>711</v>
      </c>
      <c r="I186" s="98">
        <v>42556.87091435185</v>
      </c>
      <c r="J186" s="97">
        <v>0</v>
      </c>
      <c r="K186" s="34" t="str">
        <f t="shared" si="28"/>
        <v>4039/4040</v>
      </c>
      <c r="L186" s="34" t="str">
        <f>VLOOKUP(A186,'Trips&amp;Operators'!$C$1:$E$10000,3,FALSE)</f>
        <v>SUR</v>
      </c>
      <c r="M186" s="6">
        <f t="shared" si="29"/>
        <v>1.1446759257523809E-2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20:35:10-0600',mode:absolute,to:'2016-07-05 20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6" s="38"/>
      <c r="X186" s="38"/>
      <c r="Y186" s="38"/>
      <c r="Z186" s="38"/>
      <c r="AA186" s="38"/>
      <c r="AB186" s="39"/>
      <c r="AC186" s="39"/>
      <c r="AD186" s="1" t="str">
        <f t="shared" si="27"/>
        <v>0842-05</v>
      </c>
    </row>
    <row r="187" spans="1:30" x14ac:dyDescent="0.25">
      <c r="A187" s="95" t="s">
        <v>409</v>
      </c>
      <c r="B187" s="97">
        <v>4040</v>
      </c>
      <c r="C187" s="97" t="s">
        <v>60</v>
      </c>
      <c r="D187" s="97" t="s">
        <v>712</v>
      </c>
      <c r="E187" s="98">
        <v>42556.832141203704</v>
      </c>
      <c r="F187" s="98">
        <v>42556.833020833335</v>
      </c>
      <c r="G187" s="99">
        <v>1</v>
      </c>
      <c r="H187" s="98" t="s">
        <v>713</v>
      </c>
      <c r="I187" s="98">
        <v>42556.856724537036</v>
      </c>
      <c r="J187" s="97">
        <v>1</v>
      </c>
      <c r="K187" s="34" t="str">
        <f t="shared" si="28"/>
        <v>4039/4040</v>
      </c>
      <c r="L187" s="34" t="str">
        <f>VLOOKUP(A187,'Trips&amp;Operators'!$C$1:$E$10000,3,FALSE)</f>
        <v>SUR</v>
      </c>
      <c r="M187" s="6">
        <f t="shared" si="29"/>
        <v>2.3703703700448386E-2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38"/>
      <c r="X187" s="38"/>
      <c r="Y187" s="38"/>
      <c r="Z187" s="38"/>
      <c r="AA187" s="38"/>
      <c r="AB187" s="39"/>
      <c r="AC187" s="39"/>
      <c r="AD187" s="1" t="str">
        <f t="shared" si="27"/>
        <v>0843-05</v>
      </c>
    </row>
    <row r="188" spans="1:30" x14ac:dyDescent="0.25">
      <c r="A188" s="95" t="s">
        <v>422</v>
      </c>
      <c r="B188" s="97">
        <v>4039</v>
      </c>
      <c r="C188" s="97" t="s">
        <v>60</v>
      </c>
      <c r="D188" s="97" t="s">
        <v>355</v>
      </c>
      <c r="E188" s="98">
        <v>42556.899826388886</v>
      </c>
      <c r="F188" s="98">
        <v>42556.901377314818</v>
      </c>
      <c r="G188" s="99">
        <v>2</v>
      </c>
      <c r="H188" s="98" t="s">
        <v>714</v>
      </c>
      <c r="I188" s="98">
        <v>42556.912662037037</v>
      </c>
      <c r="J188" s="97">
        <v>0</v>
      </c>
      <c r="K188" s="34" t="str">
        <f t="shared" si="28"/>
        <v>4039/4040</v>
      </c>
      <c r="L188" s="34" t="str">
        <f>VLOOKUP(A188,'Trips&amp;Operators'!$C$1:$E$10000,3,FALSE)</f>
        <v>SUR</v>
      </c>
      <c r="M188" s="6">
        <f t="shared" si="29"/>
        <v>1.1284722218988463E-2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21:34:45-0600',mode:absolute,to:'2016-07-05 21:55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38"/>
      <c r="X188" s="38"/>
      <c r="Y188" s="38"/>
      <c r="Z188" s="38"/>
      <c r="AA188" s="38"/>
      <c r="AB188" s="39"/>
      <c r="AC188" s="39"/>
      <c r="AD188" s="1" t="str">
        <f t="shared" si="27"/>
        <v>0844-05</v>
      </c>
    </row>
    <row r="189" spans="1:30" x14ac:dyDescent="0.25">
      <c r="A189" s="95" t="s">
        <v>534</v>
      </c>
      <c r="B189" s="97">
        <v>4040</v>
      </c>
      <c r="C189" s="97" t="s">
        <v>60</v>
      </c>
      <c r="D189" s="97" t="s">
        <v>715</v>
      </c>
      <c r="E189" s="98">
        <v>42556.885046296295</v>
      </c>
      <c r="F189" s="98">
        <v>42556.886134259257</v>
      </c>
      <c r="G189" s="99">
        <v>1</v>
      </c>
      <c r="H189" s="98" t="s">
        <v>716</v>
      </c>
      <c r="I189" s="98">
        <v>42556.898993055554</v>
      </c>
      <c r="J189" s="97">
        <v>0</v>
      </c>
      <c r="K189" s="34" t="str">
        <f t="shared" si="28"/>
        <v>4039/4040</v>
      </c>
      <c r="L189" s="34" t="str">
        <f>VLOOKUP(A189,'Trips&amp;Operators'!$C$1:$E$10000,3,FALSE)</f>
        <v>SUR</v>
      </c>
      <c r="M189" s="6">
        <f t="shared" si="29"/>
        <v>1.2858796297223307E-2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21:13:28-0600',mode:absolute,to:'2016-07-05 21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9" s="38"/>
      <c r="X189" s="38"/>
      <c r="Y189" s="38"/>
      <c r="Z189" s="38"/>
      <c r="AA189" s="38"/>
      <c r="AB189" s="39"/>
      <c r="AC189" s="39"/>
      <c r="AD189" s="1" t="str">
        <f t="shared" si="27"/>
        <v>0845-05</v>
      </c>
    </row>
    <row r="190" spans="1:30" x14ac:dyDescent="0.25">
      <c r="A190" s="95" t="s">
        <v>413</v>
      </c>
      <c r="B190" s="97">
        <v>4040</v>
      </c>
      <c r="C190" s="97" t="s">
        <v>60</v>
      </c>
      <c r="D190" s="97" t="s">
        <v>717</v>
      </c>
      <c r="E190" s="98">
        <v>42556.919710648152</v>
      </c>
      <c r="F190" s="98">
        <v>42556.921724537038</v>
      </c>
      <c r="G190" s="99">
        <v>2</v>
      </c>
      <c r="H190" s="98" t="s">
        <v>718</v>
      </c>
      <c r="I190" s="98">
        <v>42556.940532407411</v>
      </c>
      <c r="J190" s="97">
        <v>2</v>
      </c>
      <c r="K190" s="34" t="str">
        <f t="shared" si="28"/>
        <v>4039/4040</v>
      </c>
      <c r="L190" s="34" t="str">
        <f>VLOOKUP(A190,'Trips&amp;Operators'!$C$1:$E$10000,3,FALSE)</f>
        <v>SUR</v>
      </c>
      <c r="M190" s="6">
        <f t="shared" si="29"/>
        <v>1.880787037225673E-2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0" s="38"/>
      <c r="X190" s="38"/>
      <c r="Y190" s="38"/>
      <c r="Z190" s="38"/>
      <c r="AA190" s="38"/>
      <c r="AB190" s="39"/>
      <c r="AC190" s="39"/>
      <c r="AD190" s="1" t="str">
        <f t="shared" si="27"/>
        <v>0847-05</v>
      </c>
    </row>
    <row r="191" spans="1:30" x14ac:dyDescent="0.25">
      <c r="A191" s="95" t="s">
        <v>436</v>
      </c>
      <c r="B191" s="97">
        <v>4041</v>
      </c>
      <c r="C191" s="97" t="s">
        <v>60</v>
      </c>
      <c r="D191" s="97" t="s">
        <v>719</v>
      </c>
      <c r="E191" s="98">
        <v>42556.799004629633</v>
      </c>
      <c r="F191" s="98">
        <v>42556.800844907404</v>
      </c>
      <c r="G191" s="99">
        <v>2</v>
      </c>
      <c r="H191" s="98" t="s">
        <v>720</v>
      </c>
      <c r="I191" s="98">
        <v>42556.803657407407</v>
      </c>
      <c r="J191" s="97">
        <v>0</v>
      </c>
      <c r="K191" s="34" t="str">
        <f t="shared" si="28"/>
        <v>4041/4042</v>
      </c>
      <c r="L191" s="34" t="str">
        <f>VLOOKUP(A191,'Trips&amp;Operators'!$C$1:$E$10000,3,FALSE)</f>
        <v>NATION</v>
      </c>
      <c r="M191" s="6">
        <f t="shared" si="29"/>
        <v>2.8125000026193447E-3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30"/>
        <v>https://search-rtdc-monitor-bjffxe2xuh6vdkpspy63sjmuny.us-east-1.es.amazonaws.com/_plugin/kibana/#/discover/Steve-Slow-Train-Analysis-(2080s-and-2083s)?_g=(refreshInterval:(display:Off,section:0,value:0),time:(from:'2016-07-05 19:09:34-0600',mode:absolute,to:'2016-07-05 19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91" s="38"/>
      <c r="X191" s="38"/>
      <c r="Y191" s="38"/>
      <c r="Z191" s="38"/>
      <c r="AA191" s="38"/>
      <c r="AB191" s="39"/>
      <c r="AC191" s="39"/>
      <c r="AD191" s="1" t="str">
        <f t="shared" si="27"/>
        <v>0906-05</v>
      </c>
    </row>
  </sheetData>
  <autoFilter ref="A12:AD191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2" priority="75" operator="equal">
      <formula>"Y"</formula>
    </cfRule>
  </conditionalFormatting>
  <conditionalFormatting sqref="X13:X1048576">
    <cfRule type="cellIs" dxfId="11" priority="58" operator="greaterThan">
      <formula>1</formula>
    </cfRule>
  </conditionalFormatting>
  <conditionalFormatting sqref="X12:X1048576">
    <cfRule type="cellIs" dxfId="10" priority="55" operator="equal">
      <formula>0</formula>
    </cfRule>
  </conditionalFormatting>
  <conditionalFormatting sqref="A14:S14 A13:J13 A15:J139 A141:J156 L13:S13 K15:S191">
    <cfRule type="expression" dxfId="9" priority="51">
      <formula>$O13&gt;0</formula>
    </cfRule>
  </conditionalFormatting>
  <conditionalFormatting sqref="A14:S14 A13:J13 A15:J139 A141:J156 L13:S13 K15:S191">
    <cfRule type="expression" dxfId="8" priority="50">
      <formula>$P13&gt;0</formula>
    </cfRule>
  </conditionalFormatting>
  <conditionalFormatting sqref="K13">
    <cfRule type="expression" dxfId="7" priority="6">
      <formula>$O13&gt;0</formula>
    </cfRule>
  </conditionalFormatting>
  <conditionalFormatting sqref="K13">
    <cfRule type="expression" dxfId="6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A15:J139 A141:J156 L13:S13 K15:S191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showGridLines="0" tabSelected="1" topLeftCell="A19" zoomScale="85" zoomScaleNormal="85" workbookViewId="0">
      <selection activeCell="N16" sqref="N16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8" s="33" customFormat="1" ht="15.75" thickBot="1" x14ac:dyDescent="0.3">
      <c r="A1" s="8"/>
      <c r="F1" s="2"/>
      <c r="P1" s="44"/>
    </row>
    <row r="2" spans="1:18" s="33" customFormat="1" ht="30" x14ac:dyDescent="0.25">
      <c r="A2" s="8"/>
      <c r="F2" s="2"/>
      <c r="K2" s="60" t="s">
        <v>120</v>
      </c>
      <c r="L2" s="61"/>
      <c r="M2" s="62">
        <f>COUNTIF($M$7:$M$822,"=Y")</f>
        <v>20</v>
      </c>
      <c r="P2" s="44"/>
    </row>
    <row r="3" spans="1:18" s="33" customFormat="1" ht="15.75" thickBot="1" x14ac:dyDescent="0.3">
      <c r="A3" s="8"/>
      <c r="F3" s="2"/>
      <c r="K3" s="63" t="s">
        <v>121</v>
      </c>
      <c r="L3" s="64"/>
      <c r="M3" s="65">
        <f>COUNTA($M$7:$M$822)-M2</f>
        <v>65</v>
      </c>
      <c r="P3" s="44"/>
    </row>
    <row r="4" spans="1:18" s="33" customFormat="1" x14ac:dyDescent="0.25">
      <c r="A4" s="8"/>
      <c r="F4" s="2"/>
      <c r="P4" s="44"/>
    </row>
    <row r="5" spans="1:18" s="16" customFormat="1" ht="15" customHeight="1" x14ac:dyDescent="0.25">
      <c r="A5" s="116" t="str">
        <f>"Eagle P3 Braking Events - "&amp;TEXT(Variables!$A$2,"YYYY-mm-dd")</f>
        <v>Eagle P3 Braking Events - 2016-07-05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7"/>
      <c r="P5" s="42"/>
    </row>
    <row r="6" spans="1:18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0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71</v>
      </c>
    </row>
    <row r="7" spans="1:18" s="1" customFormat="1" x14ac:dyDescent="0.25">
      <c r="A7" s="66">
        <v>42556.663900462961</v>
      </c>
      <c r="B7" s="55" t="s">
        <v>141</v>
      </c>
      <c r="C7" s="55" t="s">
        <v>394</v>
      </c>
      <c r="D7" s="55" t="s">
        <v>50</v>
      </c>
      <c r="E7" s="88" t="s">
        <v>279</v>
      </c>
      <c r="F7" s="91">
        <v>790</v>
      </c>
      <c r="G7" s="55">
        <v>188</v>
      </c>
      <c r="H7" s="55">
        <v>63148</v>
      </c>
      <c r="I7" s="88" t="s">
        <v>59</v>
      </c>
      <c r="J7" s="55">
        <v>103864</v>
      </c>
      <c r="K7" s="55" t="s">
        <v>54</v>
      </c>
      <c r="L7" s="11" t="str">
        <f>VLOOKUP(C7,'Trips&amp;Operators'!$C$1:$E$10000,3,FALSE)</f>
        <v>LOCKLEAR</v>
      </c>
      <c r="M7" s="10" t="s">
        <v>118</v>
      </c>
      <c r="N7" s="11" t="s">
        <v>151</v>
      </c>
      <c r="O7" s="33"/>
      <c r="P7" s="43" t="e">
        <f>VLOOKUP(C7,'Train Runs'!$A$13:$V$954,22,0)</f>
        <v>#N/A</v>
      </c>
      <c r="Q7" s="9" t="str">
        <f t="shared" ref="Q7:Q38" si="0">MID(B7,13,4)</f>
        <v>4037</v>
      </c>
    </row>
    <row r="8" spans="1:18" s="1" customFormat="1" x14ac:dyDescent="0.25">
      <c r="A8" s="66">
        <v>42556.823807870373</v>
      </c>
      <c r="B8" s="55" t="s">
        <v>138</v>
      </c>
      <c r="C8" s="55" t="s">
        <v>407</v>
      </c>
      <c r="D8" s="55" t="s">
        <v>50</v>
      </c>
      <c r="E8" s="88" t="s">
        <v>279</v>
      </c>
      <c r="F8" s="91">
        <v>790</v>
      </c>
      <c r="G8" s="55">
        <v>658</v>
      </c>
      <c r="H8" s="55">
        <v>104560</v>
      </c>
      <c r="I8" s="88" t="s">
        <v>59</v>
      </c>
      <c r="J8" s="55">
        <v>156300</v>
      </c>
      <c r="K8" s="55" t="s">
        <v>54</v>
      </c>
      <c r="L8" s="11" t="str">
        <f>VLOOKUP(C8,'Trips&amp;Operators'!$C$1:$E$10000,3,FALSE)</f>
        <v>YOUNG</v>
      </c>
      <c r="M8" s="10" t="s">
        <v>118</v>
      </c>
      <c r="N8" s="11" t="s">
        <v>151</v>
      </c>
      <c r="P8" s="43" t="str">
        <f>VLOOKUP(C8,'Train Runs'!$A$13:$V$954,22,0)</f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" s="9" t="str">
        <f t="shared" si="0"/>
        <v>4013</v>
      </c>
    </row>
    <row r="9" spans="1:18" s="1" customFormat="1" x14ac:dyDescent="0.25">
      <c r="A9" s="13">
        <v>42556.580625000002</v>
      </c>
      <c r="B9" s="12" t="s">
        <v>77</v>
      </c>
      <c r="C9" s="12" t="s">
        <v>382</v>
      </c>
      <c r="D9" s="12" t="s">
        <v>50</v>
      </c>
      <c r="E9" s="89" t="s">
        <v>74</v>
      </c>
      <c r="F9" s="92">
        <v>0</v>
      </c>
      <c r="G9" s="12">
        <v>52</v>
      </c>
      <c r="H9" s="12">
        <v>33387</v>
      </c>
      <c r="I9" s="89" t="s">
        <v>75</v>
      </c>
      <c r="J9" s="12">
        <v>33257</v>
      </c>
      <c r="K9" s="11" t="s">
        <v>54</v>
      </c>
      <c r="L9" s="11" t="str">
        <f>VLOOKUP(C9,'Trips&amp;Operators'!$C$1:$E$10000,3,FALSE)</f>
        <v>BONDS</v>
      </c>
      <c r="M9" s="10" t="s">
        <v>119</v>
      </c>
      <c r="N9" s="11" t="s">
        <v>152</v>
      </c>
      <c r="O9" s="33"/>
      <c r="P9" s="43" t="str">
        <f>VLOOKUP(C9,'Train Runs'!$A$13:$V$954,22,0)</f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9" t="str">
        <f t="shared" si="0"/>
        <v>4019</v>
      </c>
    </row>
    <row r="10" spans="1:18" s="1" customFormat="1" x14ac:dyDescent="0.25">
      <c r="A10" s="66">
        <v>42556.736863425926</v>
      </c>
      <c r="B10" s="55" t="s">
        <v>69</v>
      </c>
      <c r="C10" s="55" t="s">
        <v>399</v>
      </c>
      <c r="D10" s="55" t="s">
        <v>50</v>
      </c>
      <c r="E10" s="88" t="s">
        <v>74</v>
      </c>
      <c r="F10" s="91">
        <v>0</v>
      </c>
      <c r="G10" s="55">
        <v>156</v>
      </c>
      <c r="H10" s="55">
        <v>34184</v>
      </c>
      <c r="I10" s="88" t="s">
        <v>75</v>
      </c>
      <c r="J10" s="55">
        <v>33257</v>
      </c>
      <c r="K10" s="55" t="s">
        <v>54</v>
      </c>
      <c r="L10" s="11" t="str">
        <f>VLOOKUP(C10,'Trips&amp;Operators'!$C$1:$E$10000,3,FALSE)</f>
        <v>COOLAHAN</v>
      </c>
      <c r="M10" s="10" t="s">
        <v>119</v>
      </c>
      <c r="N10" s="11" t="s">
        <v>152</v>
      </c>
      <c r="O10" s="33"/>
      <c r="P10" s="43" t="str">
        <f>VLOOKUP(C10,'Train Runs'!$A$13:$V$954,22,0)</f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" s="9" t="str">
        <f t="shared" si="0"/>
        <v>4032</v>
      </c>
    </row>
    <row r="11" spans="1:18" s="1" customFormat="1" x14ac:dyDescent="0.25">
      <c r="A11" s="66">
        <v>42556.893645833334</v>
      </c>
      <c r="B11" s="55" t="s">
        <v>131</v>
      </c>
      <c r="C11" s="55" t="s">
        <v>412</v>
      </c>
      <c r="D11" s="55" t="s">
        <v>50</v>
      </c>
      <c r="E11" s="88" t="s">
        <v>74</v>
      </c>
      <c r="F11" s="91">
        <v>0</v>
      </c>
      <c r="G11" s="55">
        <v>153</v>
      </c>
      <c r="H11" s="55">
        <v>34134</v>
      </c>
      <c r="I11" s="88" t="s">
        <v>75</v>
      </c>
      <c r="J11" s="55">
        <v>33257</v>
      </c>
      <c r="K11" s="55" t="s">
        <v>54</v>
      </c>
      <c r="L11" s="11" t="str">
        <f>VLOOKUP(C11,'Trips&amp;Operators'!$C$1:$E$10000,3,FALSE)</f>
        <v>STRICKLAND</v>
      </c>
      <c r="M11" s="10" t="s">
        <v>119</v>
      </c>
      <c r="N11" s="11" t="s">
        <v>152</v>
      </c>
      <c r="P11" s="43" t="str">
        <f>VLOOKUP(C11,'Train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1" s="9" t="str">
        <f t="shared" si="0"/>
        <v>4012</v>
      </c>
    </row>
    <row r="12" spans="1:18" s="1" customFormat="1" x14ac:dyDescent="0.25">
      <c r="A12" s="66">
        <v>42556.443865740737</v>
      </c>
      <c r="B12" s="55" t="s">
        <v>79</v>
      </c>
      <c r="C12" s="55" t="s">
        <v>373</v>
      </c>
      <c r="D12" s="55" t="s">
        <v>50</v>
      </c>
      <c r="E12" s="88" t="s">
        <v>74</v>
      </c>
      <c r="F12" s="91">
        <v>0</v>
      </c>
      <c r="G12" s="55">
        <v>50</v>
      </c>
      <c r="H12" s="55">
        <v>108462</v>
      </c>
      <c r="I12" s="88" t="s">
        <v>75</v>
      </c>
      <c r="J12" s="55">
        <v>108954</v>
      </c>
      <c r="K12" s="55" t="s">
        <v>53</v>
      </c>
      <c r="L12" s="11" t="str">
        <f>VLOOKUP(C12,'Trips&amp;Operators'!$C$1:$E$10000,3,FALSE)</f>
        <v>KILLION</v>
      </c>
      <c r="M12" s="10" t="s">
        <v>119</v>
      </c>
      <c r="N12" s="11" t="s">
        <v>152</v>
      </c>
      <c r="P12" s="43" t="str">
        <f>VLOOKUP(C12,'Train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9" t="str">
        <f t="shared" si="0"/>
        <v>4018</v>
      </c>
    </row>
    <row r="13" spans="1:18" s="1" customFormat="1" x14ac:dyDescent="0.25">
      <c r="A13" s="13">
        <v>42556.387789351851</v>
      </c>
      <c r="B13" s="12" t="s">
        <v>141</v>
      </c>
      <c r="C13" s="12" t="s">
        <v>369</v>
      </c>
      <c r="D13" s="12" t="s">
        <v>50</v>
      </c>
      <c r="E13" s="89" t="s">
        <v>74</v>
      </c>
      <c r="F13" s="92">
        <v>0</v>
      </c>
      <c r="G13" s="12">
        <v>224</v>
      </c>
      <c r="H13" s="12">
        <v>110149</v>
      </c>
      <c r="I13" s="89" t="s">
        <v>75</v>
      </c>
      <c r="J13" s="12">
        <v>109135</v>
      </c>
      <c r="K13" s="11" t="s">
        <v>54</v>
      </c>
      <c r="L13" s="11" t="str">
        <f>VLOOKUP(C13,'Trips&amp;Operators'!$C$1:$E$10000,3,FALSE)</f>
        <v>YANAI</v>
      </c>
      <c r="M13" s="10" t="s">
        <v>119</v>
      </c>
      <c r="N13" s="11" t="s">
        <v>152</v>
      </c>
      <c r="P13" s="43" t="str">
        <f>VLOOKUP(C13,'Train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3" s="9" t="str">
        <f t="shared" si="0"/>
        <v>4037</v>
      </c>
    </row>
    <row r="14" spans="1:18" s="1" customFormat="1" x14ac:dyDescent="0.25">
      <c r="A14" s="66">
        <v>42556.437858796293</v>
      </c>
      <c r="B14" s="55" t="s">
        <v>69</v>
      </c>
      <c r="C14" s="55" t="s">
        <v>371</v>
      </c>
      <c r="D14" s="55" t="s">
        <v>50</v>
      </c>
      <c r="E14" s="55" t="s">
        <v>74</v>
      </c>
      <c r="F14" s="91">
        <v>150</v>
      </c>
      <c r="G14" s="55">
        <v>205</v>
      </c>
      <c r="H14" s="55">
        <v>110048</v>
      </c>
      <c r="I14" s="55" t="s">
        <v>75</v>
      </c>
      <c r="J14" s="55">
        <v>109135</v>
      </c>
      <c r="K14" s="55" t="s">
        <v>54</v>
      </c>
      <c r="L14" s="11" t="str">
        <f>VLOOKUP(C14,'Trips&amp;Operators'!$C$1:$E$10000,3,FALSE)</f>
        <v>STARKS</v>
      </c>
      <c r="M14" s="10" t="s">
        <v>119</v>
      </c>
      <c r="N14" s="11" t="s">
        <v>152</v>
      </c>
      <c r="O14" s="33"/>
      <c r="P14" s="43" t="str">
        <f>VLOOKUP(C14,'Train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9" t="str">
        <f t="shared" si="0"/>
        <v>4032</v>
      </c>
    </row>
    <row r="15" spans="1:18" s="1" customFormat="1" x14ac:dyDescent="0.25">
      <c r="A15" s="66">
        <v>42556.438298611109</v>
      </c>
      <c r="B15" s="55" t="s">
        <v>69</v>
      </c>
      <c r="C15" s="55" t="s">
        <v>371</v>
      </c>
      <c r="D15" s="55" t="s">
        <v>50</v>
      </c>
      <c r="E15" s="88" t="s">
        <v>74</v>
      </c>
      <c r="F15" s="91">
        <v>150</v>
      </c>
      <c r="G15" s="55">
        <v>101</v>
      </c>
      <c r="H15" s="55">
        <v>109261</v>
      </c>
      <c r="I15" s="88" t="s">
        <v>75</v>
      </c>
      <c r="J15" s="55">
        <v>109135</v>
      </c>
      <c r="K15" s="55" t="s">
        <v>54</v>
      </c>
      <c r="L15" s="11" t="str">
        <f>VLOOKUP(C15,'Trips&amp;Operators'!$C$1:$E$10000,3,FALSE)</f>
        <v>STARKS</v>
      </c>
      <c r="M15" s="10" t="s">
        <v>119</v>
      </c>
      <c r="N15" s="11" t="s">
        <v>152</v>
      </c>
      <c r="P15" s="43" t="str">
        <f>VLOOKUP(C15,'Train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5" s="9" t="str">
        <f t="shared" si="0"/>
        <v>4032</v>
      </c>
      <c r="R15" s="1">
        <f>H15-J15</f>
        <v>126</v>
      </c>
    </row>
    <row r="16" spans="1:18" s="1" customFormat="1" x14ac:dyDescent="0.25">
      <c r="A16" s="13">
        <v>42556.344849537039</v>
      </c>
      <c r="B16" s="12" t="s">
        <v>145</v>
      </c>
      <c r="C16" s="12" t="s">
        <v>366</v>
      </c>
      <c r="D16" s="12" t="s">
        <v>55</v>
      </c>
      <c r="E16" s="89" t="s">
        <v>58</v>
      </c>
      <c r="F16" s="92">
        <v>150</v>
      </c>
      <c r="G16" s="12">
        <v>204</v>
      </c>
      <c r="H16" s="12">
        <v>3710</v>
      </c>
      <c r="I16" s="89" t="s">
        <v>59</v>
      </c>
      <c r="J16" s="12">
        <v>0</v>
      </c>
      <c r="K16" s="11" t="s">
        <v>53</v>
      </c>
      <c r="L16" s="11" t="str">
        <f>VLOOKUP(C16,'Trips&amp;Operators'!$C$1:$E$10000,3,FALSE)</f>
        <v>BEAM</v>
      </c>
      <c r="M16" s="10" t="s">
        <v>119</v>
      </c>
      <c r="N16" s="11"/>
      <c r="O16" s="33"/>
      <c r="P16" s="43" t="str">
        <f>VLOOKUP(C16,'Train Runs'!$A$13:$V$954,22,0)</f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6" s="9" t="str">
        <f t="shared" si="0"/>
        <v>4027</v>
      </c>
    </row>
    <row r="17" spans="1:17" s="1" customFormat="1" x14ac:dyDescent="0.25">
      <c r="A17" s="13">
        <v>42556.293715277781</v>
      </c>
      <c r="B17" s="12" t="s">
        <v>77</v>
      </c>
      <c r="C17" s="12" t="s">
        <v>363</v>
      </c>
      <c r="D17" s="12" t="s">
        <v>50</v>
      </c>
      <c r="E17" s="89" t="s">
        <v>58</v>
      </c>
      <c r="F17" s="92">
        <v>150</v>
      </c>
      <c r="G17" s="12">
        <v>131</v>
      </c>
      <c r="H17" s="12">
        <v>4985</v>
      </c>
      <c r="I17" s="89" t="s">
        <v>59</v>
      </c>
      <c r="J17" s="12">
        <v>4677</v>
      </c>
      <c r="K17" s="11" t="s">
        <v>54</v>
      </c>
      <c r="L17" s="11" t="str">
        <f>VLOOKUP(C17,'Trips&amp;Operators'!$C$1:$E$10000,3,FALSE)</f>
        <v>SPECTOR</v>
      </c>
      <c r="M17" s="10" t="s">
        <v>119</v>
      </c>
      <c r="N17" s="11"/>
      <c r="P17" s="43" t="str">
        <f>VLOOKUP(C17,'Train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9" t="str">
        <f t="shared" si="0"/>
        <v>4019</v>
      </c>
    </row>
    <row r="18" spans="1:17" s="1" customFormat="1" x14ac:dyDescent="0.25">
      <c r="A18" s="13">
        <v>42556.564768518518</v>
      </c>
      <c r="B18" s="12" t="s">
        <v>80</v>
      </c>
      <c r="C18" s="12" t="s">
        <v>381</v>
      </c>
      <c r="D18" s="12" t="s">
        <v>50</v>
      </c>
      <c r="E18" s="89" t="s">
        <v>58</v>
      </c>
      <c r="F18" s="92">
        <v>150</v>
      </c>
      <c r="G18" s="12">
        <v>177</v>
      </c>
      <c r="H18" s="12">
        <v>5045</v>
      </c>
      <c r="I18" s="89" t="s">
        <v>59</v>
      </c>
      <c r="J18" s="12">
        <v>4677</v>
      </c>
      <c r="K18" s="11" t="s">
        <v>54</v>
      </c>
      <c r="L18" s="11" t="str">
        <f>VLOOKUP(C18,'Trips&amp;Operators'!$C$1:$E$10000,3,FALSE)</f>
        <v>KILLION</v>
      </c>
      <c r="M18" s="10" t="s">
        <v>119</v>
      </c>
      <c r="N18" s="11"/>
      <c r="O18" s="33"/>
      <c r="P18" s="43" t="str">
        <f>VLOOKUP(C18,'Train Runs'!$A$13:$V$954,22,0)</f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9" t="str">
        <f t="shared" si="0"/>
        <v>4017</v>
      </c>
    </row>
    <row r="19" spans="1:17" s="1" customFormat="1" x14ac:dyDescent="0.25">
      <c r="A19" s="66">
        <v>42556.651446759257</v>
      </c>
      <c r="B19" s="55" t="s">
        <v>79</v>
      </c>
      <c r="C19" s="55" t="s">
        <v>392</v>
      </c>
      <c r="D19" s="55" t="s">
        <v>55</v>
      </c>
      <c r="E19" s="55" t="s">
        <v>58</v>
      </c>
      <c r="F19" s="91">
        <v>400</v>
      </c>
      <c r="G19" s="55">
        <v>455</v>
      </c>
      <c r="H19" s="55">
        <v>7181</v>
      </c>
      <c r="I19" s="55" t="s">
        <v>59</v>
      </c>
      <c r="J19" s="55">
        <v>5457</v>
      </c>
      <c r="K19" s="55" t="s">
        <v>53</v>
      </c>
      <c r="L19" s="11" t="str">
        <f>VLOOKUP(C19,'Trips&amp;Operators'!$C$1:$E$10000,3,FALSE)</f>
        <v>KILLION</v>
      </c>
      <c r="M19" s="10" t="s">
        <v>119</v>
      </c>
      <c r="N19" s="11"/>
      <c r="O19" s="33"/>
      <c r="P19" s="43" t="str">
        <f>VLOOKUP(C19,'Train Runs'!$A$13:$V$954,22,0)</f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9" t="str">
        <f t="shared" si="0"/>
        <v>4018</v>
      </c>
    </row>
    <row r="20" spans="1:17" s="1" customFormat="1" x14ac:dyDescent="0.25">
      <c r="A20" s="66">
        <v>42556.519409722219</v>
      </c>
      <c r="B20" s="55" t="s">
        <v>185</v>
      </c>
      <c r="C20" s="55" t="s">
        <v>379</v>
      </c>
      <c r="D20" s="55" t="s">
        <v>50</v>
      </c>
      <c r="E20" s="88" t="s">
        <v>58</v>
      </c>
      <c r="F20" s="91">
        <v>300</v>
      </c>
      <c r="G20" s="55">
        <v>297</v>
      </c>
      <c r="H20" s="55">
        <v>20117</v>
      </c>
      <c r="I20" s="88" t="s">
        <v>59</v>
      </c>
      <c r="J20" s="55">
        <v>21299</v>
      </c>
      <c r="K20" s="55" t="s">
        <v>53</v>
      </c>
      <c r="L20" s="11" t="str">
        <f>VLOOKUP(C20,'Trips&amp;Operators'!$C$1:$E$10000,3,FALSE)</f>
        <v>STORY</v>
      </c>
      <c r="M20" s="10" t="s">
        <v>119</v>
      </c>
      <c r="N20" s="11"/>
      <c r="O20" s="33"/>
      <c r="P20" s="43" t="str">
        <f>VLOOKUP(C20,'Train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0" s="9" t="str">
        <f t="shared" si="0"/>
        <v>4040</v>
      </c>
    </row>
    <row r="21" spans="1:17" s="1" customFormat="1" x14ac:dyDescent="0.25">
      <c r="A21" s="66">
        <v>42556.809664351851</v>
      </c>
      <c r="B21" s="55" t="s">
        <v>185</v>
      </c>
      <c r="C21" s="55" t="s">
        <v>406</v>
      </c>
      <c r="D21" s="55" t="s">
        <v>50</v>
      </c>
      <c r="E21" s="88" t="s">
        <v>58</v>
      </c>
      <c r="F21" s="91">
        <v>300</v>
      </c>
      <c r="G21" s="55">
        <v>237</v>
      </c>
      <c r="H21" s="55">
        <v>20780</v>
      </c>
      <c r="I21" s="88" t="s">
        <v>59</v>
      </c>
      <c r="J21" s="55">
        <v>21299</v>
      </c>
      <c r="K21" s="55" t="s">
        <v>53</v>
      </c>
      <c r="L21" s="11" t="str">
        <f>VLOOKUP(C21,'Trips&amp;Operators'!$C$1:$E$10000,3,FALSE)</f>
        <v>SUR</v>
      </c>
      <c r="M21" s="10" t="s">
        <v>119</v>
      </c>
      <c r="N21" s="11"/>
      <c r="P21" s="43" t="str">
        <f>VLOOKUP(C21,'Train Runs'!$A$13:$V$954,22,0)</f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1" s="9" t="str">
        <f t="shared" si="0"/>
        <v>4040</v>
      </c>
    </row>
    <row r="22" spans="1:17" s="1" customFormat="1" x14ac:dyDescent="0.25">
      <c r="A22" s="13">
        <v>42556.936365740738</v>
      </c>
      <c r="B22" s="12" t="s">
        <v>185</v>
      </c>
      <c r="C22" s="12" t="s">
        <v>413</v>
      </c>
      <c r="D22" s="12" t="s">
        <v>50</v>
      </c>
      <c r="E22" s="89" t="s">
        <v>58</v>
      </c>
      <c r="F22" s="92">
        <v>400</v>
      </c>
      <c r="G22" s="12">
        <v>506</v>
      </c>
      <c r="H22" s="12">
        <v>35348</v>
      </c>
      <c r="I22" s="89" t="s">
        <v>59</v>
      </c>
      <c r="J22" s="12">
        <v>38171</v>
      </c>
      <c r="K22" s="11" t="s">
        <v>53</v>
      </c>
      <c r="L22" s="11" t="str">
        <f>VLOOKUP(C22,'Trips&amp;Operators'!$C$1:$E$10000,3,FALSE)</f>
        <v>SUR</v>
      </c>
      <c r="M22" s="10" t="s">
        <v>119</v>
      </c>
      <c r="N22" s="11"/>
      <c r="P22" s="43" t="str">
        <f>VLOOKUP(C22,'Train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2" s="9" t="str">
        <f t="shared" si="0"/>
        <v>4040</v>
      </c>
    </row>
    <row r="23" spans="1:17" s="1" customFormat="1" x14ac:dyDescent="0.25">
      <c r="A23" s="66">
        <v>42556.478738425925</v>
      </c>
      <c r="B23" s="55" t="s">
        <v>185</v>
      </c>
      <c r="C23" s="55" t="s">
        <v>376</v>
      </c>
      <c r="D23" s="55" t="s">
        <v>50</v>
      </c>
      <c r="E23" s="88" t="s">
        <v>58</v>
      </c>
      <c r="F23" s="91">
        <v>300</v>
      </c>
      <c r="G23" s="55">
        <v>316</v>
      </c>
      <c r="H23" s="55">
        <v>40055</v>
      </c>
      <c r="I23" s="88" t="s">
        <v>59</v>
      </c>
      <c r="J23" s="55">
        <v>40977</v>
      </c>
      <c r="K23" s="55" t="s">
        <v>53</v>
      </c>
      <c r="L23" s="11" t="str">
        <f>VLOOKUP(C23,'Trips&amp;Operators'!$C$1:$E$10000,3,FALSE)</f>
        <v>STORY</v>
      </c>
      <c r="M23" s="10" t="s">
        <v>119</v>
      </c>
      <c r="N23" s="11"/>
      <c r="P23" s="43" t="str">
        <f>VLOOKUP(C23,'Train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3" s="9" t="str">
        <f t="shared" si="0"/>
        <v>4040</v>
      </c>
    </row>
    <row r="24" spans="1:17" s="1" customFormat="1" x14ac:dyDescent="0.25">
      <c r="A24" s="66">
        <v>42556.480219907404</v>
      </c>
      <c r="B24" s="55" t="s">
        <v>185</v>
      </c>
      <c r="C24" s="55" t="s">
        <v>376</v>
      </c>
      <c r="D24" s="55" t="s">
        <v>50</v>
      </c>
      <c r="E24" s="88" t="s">
        <v>58</v>
      </c>
      <c r="F24" s="91">
        <v>400</v>
      </c>
      <c r="G24" s="55">
        <v>403</v>
      </c>
      <c r="H24" s="55">
        <v>47748</v>
      </c>
      <c r="I24" s="88" t="s">
        <v>59</v>
      </c>
      <c r="J24" s="55">
        <v>47808</v>
      </c>
      <c r="K24" s="55" t="s">
        <v>53</v>
      </c>
      <c r="L24" s="11" t="str">
        <f>VLOOKUP(C24,'Trips&amp;Operators'!$C$1:$E$10000,3,FALSE)</f>
        <v>STORY</v>
      </c>
      <c r="M24" s="10" t="s">
        <v>119</v>
      </c>
      <c r="N24" s="11"/>
      <c r="P24" s="43" t="str">
        <f>VLOOKUP(C24,'Train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4" s="9" t="str">
        <f t="shared" si="0"/>
        <v>4040</v>
      </c>
    </row>
    <row r="25" spans="1:17" s="1" customFormat="1" x14ac:dyDescent="0.25">
      <c r="A25" s="66">
        <v>42556.356053240743</v>
      </c>
      <c r="B25" s="55" t="s">
        <v>185</v>
      </c>
      <c r="C25" s="55" t="s">
        <v>367</v>
      </c>
      <c r="D25" s="55" t="s">
        <v>50</v>
      </c>
      <c r="E25" s="88" t="s">
        <v>58</v>
      </c>
      <c r="F25" s="91">
        <v>150</v>
      </c>
      <c r="G25" s="55">
        <v>120</v>
      </c>
      <c r="H25" s="55">
        <v>56604</v>
      </c>
      <c r="I25" s="88" t="s">
        <v>59</v>
      </c>
      <c r="J25" s="55">
        <v>57008</v>
      </c>
      <c r="K25" s="55" t="s">
        <v>53</v>
      </c>
      <c r="L25" s="11" t="str">
        <f>VLOOKUP(C25,'Trips&amp;Operators'!$C$1:$E$10000,3,FALSE)</f>
        <v>STORY</v>
      </c>
      <c r="M25" s="10" t="s">
        <v>119</v>
      </c>
      <c r="N25" s="11"/>
      <c r="P25" s="43" t="str">
        <f>VLOOKUP(C25,'Train Runs'!$A$13:$V$954,22,0)</f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 t="shared" si="0"/>
        <v>4040</v>
      </c>
    </row>
    <row r="26" spans="1:17" s="1" customFormat="1" x14ac:dyDescent="0.25">
      <c r="A26" s="66">
        <v>42556.646898148145</v>
      </c>
      <c r="B26" s="55" t="s">
        <v>185</v>
      </c>
      <c r="C26" s="55" t="s">
        <v>391</v>
      </c>
      <c r="D26" s="55" t="s">
        <v>50</v>
      </c>
      <c r="E26" s="55" t="s">
        <v>58</v>
      </c>
      <c r="F26" s="91">
        <v>150</v>
      </c>
      <c r="G26" s="55">
        <v>376</v>
      </c>
      <c r="H26" s="55">
        <v>55351</v>
      </c>
      <c r="I26" s="55" t="s">
        <v>59</v>
      </c>
      <c r="J26" s="55">
        <v>57008</v>
      </c>
      <c r="K26" s="55" t="s">
        <v>53</v>
      </c>
      <c r="L26" s="11" t="str">
        <f>VLOOKUP(C26,'Trips&amp;Operators'!$C$1:$E$10000,3,FALSE)</f>
        <v>SUR</v>
      </c>
      <c r="M26" s="10" t="s">
        <v>119</v>
      </c>
      <c r="N26" s="11"/>
      <c r="O26" s="33"/>
      <c r="P26" s="43" t="str">
        <f>VLOOKUP(C26,'Train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6" s="9" t="str">
        <f t="shared" si="0"/>
        <v>4040</v>
      </c>
    </row>
    <row r="27" spans="1:17" s="1" customFormat="1" x14ac:dyDescent="0.25">
      <c r="A27" s="13">
        <v>42556.794803240744</v>
      </c>
      <c r="B27" s="12" t="s">
        <v>91</v>
      </c>
      <c r="C27" s="12" t="s">
        <v>405</v>
      </c>
      <c r="D27" s="12" t="s">
        <v>50</v>
      </c>
      <c r="E27" s="89" t="s">
        <v>58</v>
      </c>
      <c r="F27" s="92">
        <v>150</v>
      </c>
      <c r="G27" s="12">
        <v>171</v>
      </c>
      <c r="H27" s="12">
        <v>56604</v>
      </c>
      <c r="I27" s="89" t="s">
        <v>59</v>
      </c>
      <c r="J27" s="12">
        <v>57008</v>
      </c>
      <c r="K27" s="11" t="s">
        <v>53</v>
      </c>
      <c r="L27" s="11" t="str">
        <f>VLOOKUP(C27,'Trips&amp;Operators'!$C$1:$E$10000,3,FALSE)</f>
        <v>NATION</v>
      </c>
      <c r="M27" s="10" t="s">
        <v>119</v>
      </c>
      <c r="N27" s="11"/>
      <c r="O27" s="33"/>
      <c r="P27" s="43" t="e">
        <f>VLOOKUP(C27,'Train Runs'!$A$13:$V$954,22,0)</f>
        <v>#N/A</v>
      </c>
      <c r="Q27" s="9" t="str">
        <f t="shared" si="0"/>
        <v>4042</v>
      </c>
    </row>
    <row r="28" spans="1:17" s="1" customFormat="1" x14ac:dyDescent="0.25">
      <c r="A28" s="66">
        <v>42556.613611111112</v>
      </c>
      <c r="B28" s="55" t="s">
        <v>278</v>
      </c>
      <c r="C28" s="55" t="s">
        <v>388</v>
      </c>
      <c r="D28" s="55" t="s">
        <v>55</v>
      </c>
      <c r="E28" s="55" t="s">
        <v>58</v>
      </c>
      <c r="F28" s="91">
        <v>150</v>
      </c>
      <c r="G28" s="55">
        <v>207</v>
      </c>
      <c r="H28" s="55">
        <v>57007</v>
      </c>
      <c r="I28" s="55" t="s">
        <v>59</v>
      </c>
      <c r="J28" s="55">
        <v>59050</v>
      </c>
      <c r="K28" s="55" t="s">
        <v>54</v>
      </c>
      <c r="L28" s="11" t="str">
        <f>VLOOKUP(C28,'Trips&amp;Operators'!$C$1:$E$10000,3,FALSE)</f>
        <v>SUR</v>
      </c>
      <c r="M28" s="10" t="s">
        <v>119</v>
      </c>
      <c r="N28" s="11"/>
      <c r="O28" s="33"/>
      <c r="P28" s="43" t="str">
        <f>VLOOKUP(C28,'Train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8" s="9" t="str">
        <f t="shared" si="0"/>
        <v>4039</v>
      </c>
    </row>
    <row r="29" spans="1:17" s="1" customFormat="1" x14ac:dyDescent="0.25">
      <c r="A29" s="66">
        <v>42556.520231481481</v>
      </c>
      <c r="B29" s="55" t="s">
        <v>79</v>
      </c>
      <c r="C29" s="55" t="s">
        <v>380</v>
      </c>
      <c r="D29" s="55" t="s">
        <v>55</v>
      </c>
      <c r="E29" s="88" t="s">
        <v>58</v>
      </c>
      <c r="F29" s="91">
        <v>700</v>
      </c>
      <c r="G29" s="55">
        <v>754</v>
      </c>
      <c r="H29" s="55">
        <v>178942</v>
      </c>
      <c r="I29" s="88" t="s">
        <v>59</v>
      </c>
      <c r="J29" s="55">
        <v>161962</v>
      </c>
      <c r="K29" s="55" t="s">
        <v>53</v>
      </c>
      <c r="L29" s="11" t="str">
        <f>VLOOKUP(C29,'Trips&amp;Operators'!$C$1:$E$10000,3,FALSE)</f>
        <v>KILLION</v>
      </c>
      <c r="M29" s="10" t="s">
        <v>119</v>
      </c>
      <c r="N29" s="11"/>
      <c r="O29" s="33"/>
      <c r="P29" s="43" t="str">
        <f>VLOOKUP(C29,'Train Runs'!$A$13:$V$954,22,0)</f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9" s="9" t="str">
        <f t="shared" si="0"/>
        <v>4018</v>
      </c>
    </row>
    <row r="30" spans="1:17" s="1" customFormat="1" x14ac:dyDescent="0.25">
      <c r="A30" s="66">
        <v>42556.628009259257</v>
      </c>
      <c r="B30" s="55" t="s">
        <v>82</v>
      </c>
      <c r="C30" s="55" t="s">
        <v>389</v>
      </c>
      <c r="D30" s="55" t="s">
        <v>50</v>
      </c>
      <c r="E30" s="55" t="s">
        <v>58</v>
      </c>
      <c r="F30" s="91">
        <v>350</v>
      </c>
      <c r="G30" s="55">
        <v>498</v>
      </c>
      <c r="H30" s="55">
        <v>223240</v>
      </c>
      <c r="I30" s="55" t="s">
        <v>59</v>
      </c>
      <c r="J30" s="55">
        <v>224578</v>
      </c>
      <c r="K30" s="55" t="s">
        <v>53</v>
      </c>
      <c r="L30" s="11" t="str">
        <f>VLOOKUP(C30,'Trips&amp;Operators'!$C$1:$E$10000,3,FALSE)</f>
        <v>COOLAHAN</v>
      </c>
      <c r="M30" s="10" t="s">
        <v>119</v>
      </c>
      <c r="N30" s="11"/>
      <c r="O30" s="33"/>
      <c r="P30" s="43" t="str">
        <f>VLOOKUP(C30,'Train Runs'!$A$13:$V$954,22,0)</f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9" t="str">
        <f t="shared" si="0"/>
        <v>4031</v>
      </c>
    </row>
    <row r="31" spans="1:17" x14ac:dyDescent="0.25">
      <c r="A31" s="66">
        <v>42557.040821759256</v>
      </c>
      <c r="B31" s="55" t="s">
        <v>140</v>
      </c>
      <c r="C31" s="55" t="s">
        <v>414</v>
      </c>
      <c r="D31" s="55" t="s">
        <v>50</v>
      </c>
      <c r="E31" s="88" t="s">
        <v>58</v>
      </c>
      <c r="F31" s="91">
        <v>150</v>
      </c>
      <c r="G31" s="55">
        <v>202</v>
      </c>
      <c r="H31" s="55">
        <v>229805</v>
      </c>
      <c r="I31" s="88" t="s">
        <v>59</v>
      </c>
      <c r="J31" s="55">
        <v>229055</v>
      </c>
      <c r="K31" s="55" t="s">
        <v>54</v>
      </c>
      <c r="L31" s="11" t="str">
        <f>VLOOKUP(C31,'Trips&amp;Operators'!$C$1:$E$10000,3,FALSE)</f>
        <v>LEVERE</v>
      </c>
      <c r="M31" s="10" t="s">
        <v>119</v>
      </c>
      <c r="N31" s="11"/>
      <c r="O31" s="1"/>
      <c r="P31" s="43" t="str">
        <f>VLOOKUP(C31,'Train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9" t="str">
        <f t="shared" si="0"/>
        <v>4028</v>
      </c>
    </row>
    <row r="32" spans="1:17" x14ac:dyDescent="0.25">
      <c r="A32" s="13">
        <v>42556.72388888889</v>
      </c>
      <c r="B32" s="12" t="s">
        <v>123</v>
      </c>
      <c r="C32" s="12" t="s">
        <v>398</v>
      </c>
      <c r="D32" s="12" t="s">
        <v>50</v>
      </c>
      <c r="E32" s="89" t="s">
        <v>58</v>
      </c>
      <c r="F32" s="92">
        <v>150</v>
      </c>
      <c r="G32" s="12">
        <v>141</v>
      </c>
      <c r="H32" s="12">
        <v>229771</v>
      </c>
      <c r="I32" s="89" t="s">
        <v>59</v>
      </c>
      <c r="J32" s="12">
        <v>230436</v>
      </c>
      <c r="K32" s="11" t="s">
        <v>53</v>
      </c>
      <c r="L32" s="11" t="str">
        <f>VLOOKUP(C32,'Trips&amp;Operators'!$C$1:$E$10000,3,FALSE)</f>
        <v>LOCKLEAR</v>
      </c>
      <c r="M32" s="10" t="s">
        <v>119</v>
      </c>
      <c r="N32" s="11"/>
      <c r="O32" s="33"/>
      <c r="P32" s="43" t="str">
        <f>VLOOKUP(C32,'Train Runs'!$A$13:$V$954,22,0)</f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9" t="str">
        <f t="shared" si="0"/>
        <v>4038</v>
      </c>
    </row>
    <row r="33" spans="1:17" x14ac:dyDescent="0.25">
      <c r="A33" s="66">
        <v>42556.831678240742</v>
      </c>
      <c r="B33" s="55" t="s">
        <v>69</v>
      </c>
      <c r="C33" s="55" t="s">
        <v>408</v>
      </c>
      <c r="D33" s="55" t="s">
        <v>55</v>
      </c>
      <c r="E33" s="88" t="s">
        <v>58</v>
      </c>
      <c r="F33" s="91">
        <v>150</v>
      </c>
      <c r="G33" s="55">
        <v>205</v>
      </c>
      <c r="H33" s="55">
        <v>232255</v>
      </c>
      <c r="I33" s="88" t="s">
        <v>59</v>
      </c>
      <c r="J33" s="55">
        <v>233492</v>
      </c>
      <c r="K33" s="55" t="s">
        <v>54</v>
      </c>
      <c r="L33" s="11" t="str">
        <f>VLOOKUP(C33,'Trips&amp;Operators'!$C$1:$E$10000,3,FALSE)</f>
        <v>ADANE</v>
      </c>
      <c r="M33" s="10" t="s">
        <v>119</v>
      </c>
      <c r="N33" s="11"/>
      <c r="O33" s="33"/>
      <c r="P33" s="43" t="str">
        <f>VLOOKUP(C33,'Train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3" s="9" t="str">
        <f t="shared" si="0"/>
        <v>4032</v>
      </c>
    </row>
    <row r="34" spans="1:17" x14ac:dyDescent="0.25">
      <c r="A34" s="66">
        <v>42556.678055555552</v>
      </c>
      <c r="B34" s="55" t="s">
        <v>82</v>
      </c>
      <c r="C34" s="55" t="s">
        <v>396</v>
      </c>
      <c r="D34" s="55" t="s">
        <v>50</v>
      </c>
      <c r="E34" s="55" t="s">
        <v>56</v>
      </c>
      <c r="F34" s="91">
        <v>0</v>
      </c>
      <c r="G34" s="55">
        <v>92</v>
      </c>
      <c r="H34" s="55">
        <v>1256</v>
      </c>
      <c r="I34" s="55" t="s">
        <v>57</v>
      </c>
      <c r="J34" s="55">
        <v>1692</v>
      </c>
      <c r="K34" s="55" t="s">
        <v>53</v>
      </c>
      <c r="L34" s="11" t="str">
        <f>VLOOKUP(C34,'Trips&amp;Operators'!$C$1:$E$10000,3,FALSE)</f>
        <v>COOLAHAN</v>
      </c>
      <c r="M34" s="10" t="s">
        <v>119</v>
      </c>
      <c r="N34" s="11" t="s">
        <v>357</v>
      </c>
      <c r="O34" s="33"/>
      <c r="P34" s="43" t="str">
        <f>VLOOKUP(C34,'Train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4" s="9" t="str">
        <f t="shared" si="0"/>
        <v>4031</v>
      </c>
    </row>
    <row r="35" spans="1:17" x14ac:dyDescent="0.25">
      <c r="A35" s="66">
        <v>42556.652939814812</v>
      </c>
      <c r="B35" s="55" t="s">
        <v>145</v>
      </c>
      <c r="C35" s="55" t="s">
        <v>393</v>
      </c>
      <c r="D35" s="55" t="s">
        <v>50</v>
      </c>
      <c r="E35" s="55" t="s">
        <v>56</v>
      </c>
      <c r="F35" s="91">
        <v>0</v>
      </c>
      <c r="G35" s="55">
        <v>265</v>
      </c>
      <c r="H35" s="55">
        <v>36576</v>
      </c>
      <c r="I35" s="55" t="s">
        <v>57</v>
      </c>
      <c r="J35" s="55">
        <v>36645</v>
      </c>
      <c r="K35" s="55" t="s">
        <v>53</v>
      </c>
      <c r="L35" s="11" t="str">
        <f>VLOOKUP(C35,'Trips&amp;Operators'!$C$1:$E$10000,3,FALSE)</f>
        <v>SHOOK</v>
      </c>
      <c r="M35" s="10" t="s">
        <v>118</v>
      </c>
      <c r="N35" s="11" t="s">
        <v>728</v>
      </c>
      <c r="O35" s="33"/>
      <c r="P35" s="43" t="str">
        <f>VLOOKUP(C35,'Train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9" t="str">
        <f t="shared" si="0"/>
        <v>4027</v>
      </c>
    </row>
    <row r="36" spans="1:17" x14ac:dyDescent="0.25">
      <c r="A36" s="66">
        <v>42556.806793981479</v>
      </c>
      <c r="B36" s="55" t="s">
        <v>91</v>
      </c>
      <c r="C36" s="55" t="s">
        <v>405</v>
      </c>
      <c r="D36" s="55" t="s">
        <v>55</v>
      </c>
      <c r="E36" s="88" t="s">
        <v>56</v>
      </c>
      <c r="F36" s="91">
        <v>200</v>
      </c>
      <c r="G36" s="55">
        <v>255</v>
      </c>
      <c r="H36" s="55">
        <v>55364</v>
      </c>
      <c r="I36" s="88" t="s">
        <v>57</v>
      </c>
      <c r="J36" s="55">
        <v>58472</v>
      </c>
      <c r="K36" s="55" t="s">
        <v>54</v>
      </c>
      <c r="L36" s="11" t="str">
        <f>VLOOKUP(C36,'Trips&amp;Operators'!$C$1:$E$10000,3,FALSE)</f>
        <v>NATION</v>
      </c>
      <c r="M36" s="10" t="s">
        <v>356</v>
      </c>
      <c r="N36" s="11"/>
      <c r="O36" s="1"/>
      <c r="P36" s="43" t="e">
        <f>VLOOKUP(C36,'Train Runs'!$A$13:$V$954,22,0)</f>
        <v>#N/A</v>
      </c>
      <c r="Q36" s="9" t="str">
        <f t="shared" si="0"/>
        <v>4042</v>
      </c>
    </row>
    <row r="37" spans="1:17" x14ac:dyDescent="0.25">
      <c r="A37" s="66">
        <v>42556.50335648148</v>
      </c>
      <c r="B37" s="55" t="s">
        <v>77</v>
      </c>
      <c r="C37" s="55" t="s">
        <v>378</v>
      </c>
      <c r="D37" s="55" t="s">
        <v>50</v>
      </c>
      <c r="E37" s="88" t="s">
        <v>56</v>
      </c>
      <c r="F37" s="91">
        <v>0</v>
      </c>
      <c r="G37" s="55">
        <v>775</v>
      </c>
      <c r="H37" s="55">
        <v>75939</v>
      </c>
      <c r="I37" s="88" t="s">
        <v>57</v>
      </c>
      <c r="J37" s="55">
        <v>75579</v>
      </c>
      <c r="K37" s="55" t="s">
        <v>54</v>
      </c>
      <c r="L37" s="11" t="str">
        <f>VLOOKUP(C37,'Trips&amp;Operators'!$C$1:$E$10000,3,FALSE)</f>
        <v>BONDS</v>
      </c>
      <c r="M37" s="10" t="s">
        <v>118</v>
      </c>
      <c r="N37" s="11" t="s">
        <v>726</v>
      </c>
      <c r="O37" s="1"/>
      <c r="P37" s="43" t="str">
        <f>VLOOKUP(C37,'Train Runs'!$A$13:$V$954,22,0)</f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9" t="str">
        <f t="shared" si="0"/>
        <v>4019</v>
      </c>
    </row>
    <row r="38" spans="1:17" x14ac:dyDescent="0.25">
      <c r="A38" s="66">
        <v>42556.381990740738</v>
      </c>
      <c r="B38" s="55" t="s">
        <v>141</v>
      </c>
      <c r="C38" s="55" t="s">
        <v>369</v>
      </c>
      <c r="D38" s="55" t="s">
        <v>50</v>
      </c>
      <c r="E38" s="88" t="s">
        <v>56</v>
      </c>
      <c r="F38" s="91">
        <v>0</v>
      </c>
      <c r="G38" s="55">
        <v>363</v>
      </c>
      <c r="H38" s="55">
        <v>128887</v>
      </c>
      <c r="I38" s="88" t="s">
        <v>57</v>
      </c>
      <c r="J38" s="55">
        <v>127587</v>
      </c>
      <c r="K38" s="55" t="s">
        <v>54</v>
      </c>
      <c r="L38" s="11" t="str">
        <f>VLOOKUP(C38,'Trips&amp;Operators'!$C$1:$E$10000,3,FALSE)</f>
        <v>YANAI</v>
      </c>
      <c r="M38" s="10" t="s">
        <v>119</v>
      </c>
      <c r="N38" s="11" t="s">
        <v>738</v>
      </c>
      <c r="O38" s="1"/>
      <c r="P38" s="43" t="str">
        <f>VLOOKUP(C38,'Train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9" t="str">
        <f t="shared" si="0"/>
        <v>4037</v>
      </c>
    </row>
    <row r="39" spans="1:17" x14ac:dyDescent="0.25">
      <c r="A39" s="66">
        <v>42556.457627314812</v>
      </c>
      <c r="B39" s="55" t="s">
        <v>141</v>
      </c>
      <c r="C39" s="55" t="s">
        <v>375</v>
      </c>
      <c r="D39" s="55" t="s">
        <v>50</v>
      </c>
      <c r="E39" s="88" t="s">
        <v>56</v>
      </c>
      <c r="F39" s="91">
        <v>0</v>
      </c>
      <c r="G39" s="55">
        <v>390</v>
      </c>
      <c r="H39" s="55">
        <v>129211</v>
      </c>
      <c r="I39" s="88" t="s">
        <v>57</v>
      </c>
      <c r="J39" s="55">
        <v>127587</v>
      </c>
      <c r="K39" s="55" t="s">
        <v>54</v>
      </c>
      <c r="L39" s="11" t="str">
        <f>VLOOKUP(C39,'Trips&amp;Operators'!$C$1:$E$10000,3,FALSE)</f>
        <v>YANAI</v>
      </c>
      <c r="M39" s="10" t="s">
        <v>119</v>
      </c>
      <c r="N39" s="11" t="s">
        <v>738</v>
      </c>
      <c r="O39" s="1"/>
      <c r="P39" s="43" t="str">
        <f>VLOOKUP(C39,'Train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 t="shared" ref="Q39:Q70" si="1">MID(B39,13,4)</f>
        <v>4037</v>
      </c>
    </row>
    <row r="40" spans="1:17" x14ac:dyDescent="0.25">
      <c r="A40" s="66">
        <v>42556.698796296296</v>
      </c>
      <c r="B40" s="55" t="s">
        <v>80</v>
      </c>
      <c r="C40" s="55" t="s">
        <v>397</v>
      </c>
      <c r="D40" s="55" t="s">
        <v>50</v>
      </c>
      <c r="E40" s="55" t="s">
        <v>56</v>
      </c>
      <c r="F40" s="91">
        <v>0</v>
      </c>
      <c r="G40" s="55">
        <v>529</v>
      </c>
      <c r="H40" s="55">
        <v>137003</v>
      </c>
      <c r="I40" s="55" t="s">
        <v>57</v>
      </c>
      <c r="J40" s="55">
        <v>133166</v>
      </c>
      <c r="K40" s="55" t="s">
        <v>54</v>
      </c>
      <c r="L40" s="11" t="str">
        <f>VLOOKUP(C40,'Trips&amp;Operators'!$C$1:$E$10000,3,FALSE)</f>
        <v>KILLION</v>
      </c>
      <c r="M40" s="10" t="s">
        <v>119</v>
      </c>
      <c r="N40" s="11" t="s">
        <v>739</v>
      </c>
      <c r="O40" s="33"/>
      <c r="P40" s="43" t="str">
        <f>VLOOKUP(C40,'Train Runs'!$A$13:$V$954,22,0)</f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9" t="str">
        <f t="shared" si="1"/>
        <v>4017</v>
      </c>
    </row>
    <row r="41" spans="1:17" x14ac:dyDescent="0.25">
      <c r="A41" s="66">
        <v>42556.860578703701</v>
      </c>
      <c r="B41" s="55" t="s">
        <v>140</v>
      </c>
      <c r="C41" s="55" t="s">
        <v>410</v>
      </c>
      <c r="D41" s="55" t="s">
        <v>55</v>
      </c>
      <c r="E41" s="88" t="s">
        <v>56</v>
      </c>
      <c r="F41" s="91">
        <v>0</v>
      </c>
      <c r="G41" s="55">
        <v>694</v>
      </c>
      <c r="H41" s="55">
        <v>167831</v>
      </c>
      <c r="I41" s="88" t="s">
        <v>57</v>
      </c>
      <c r="J41" s="55">
        <v>168014</v>
      </c>
      <c r="K41" s="55" t="s">
        <v>54</v>
      </c>
      <c r="L41" s="11" t="str">
        <f>VLOOKUP(C41,'Trips&amp;Operators'!$C$1:$E$10000,3,FALSE)</f>
        <v>LEVERE</v>
      </c>
      <c r="M41" s="10" t="s">
        <v>118</v>
      </c>
      <c r="N41" s="11" t="s">
        <v>153</v>
      </c>
      <c r="O41" s="1"/>
      <c r="P41" s="43" t="str">
        <f>VLOOKUP(C41,'Train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1" s="9" t="str">
        <f t="shared" si="1"/>
        <v>4028</v>
      </c>
    </row>
    <row r="42" spans="1:17" x14ac:dyDescent="0.25">
      <c r="A42" s="66">
        <v>42556.746469907404</v>
      </c>
      <c r="B42" s="55" t="s">
        <v>145</v>
      </c>
      <c r="C42" s="55" t="s">
        <v>400</v>
      </c>
      <c r="D42" s="55" t="s">
        <v>50</v>
      </c>
      <c r="E42" s="88" t="s">
        <v>56</v>
      </c>
      <c r="F42" s="91">
        <v>0</v>
      </c>
      <c r="G42" s="55">
        <v>703</v>
      </c>
      <c r="H42" s="55">
        <v>172602</v>
      </c>
      <c r="I42" s="88" t="s">
        <v>57</v>
      </c>
      <c r="J42" s="55">
        <v>175383</v>
      </c>
      <c r="K42" s="55" t="s">
        <v>53</v>
      </c>
      <c r="L42" s="11" t="str">
        <f>VLOOKUP(C42,'Trips&amp;Operators'!$C$1:$E$10000,3,FALSE)</f>
        <v>SHOOK</v>
      </c>
      <c r="M42" s="10" t="s">
        <v>118</v>
      </c>
      <c r="N42" s="11" t="s">
        <v>153</v>
      </c>
      <c r="O42" s="1"/>
      <c r="P42" s="43" t="str">
        <f>VLOOKUP(C42,'Train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2" s="9" t="str">
        <f t="shared" si="1"/>
        <v>4027</v>
      </c>
    </row>
    <row r="43" spans="1:17" x14ac:dyDescent="0.25">
      <c r="A43" s="13">
        <v>42556.767141203702</v>
      </c>
      <c r="B43" s="12" t="s">
        <v>140</v>
      </c>
      <c r="C43" s="12" t="s">
        <v>402</v>
      </c>
      <c r="D43" s="12" t="s">
        <v>50</v>
      </c>
      <c r="E43" s="89" t="s">
        <v>56</v>
      </c>
      <c r="F43" s="92">
        <v>0</v>
      </c>
      <c r="G43" s="12">
        <v>696</v>
      </c>
      <c r="H43" s="12">
        <v>181738</v>
      </c>
      <c r="I43" s="89" t="s">
        <v>57</v>
      </c>
      <c r="J43" s="12">
        <v>175398</v>
      </c>
      <c r="K43" s="11" t="s">
        <v>54</v>
      </c>
      <c r="L43" s="11" t="str">
        <f>VLOOKUP(C43,'Trips&amp;Operators'!$C$1:$E$10000,3,FALSE)</f>
        <v>SHOOK</v>
      </c>
      <c r="M43" s="10" t="s">
        <v>118</v>
      </c>
      <c r="N43" s="11" t="s">
        <v>153</v>
      </c>
      <c r="O43" s="33"/>
      <c r="P43" s="43" t="str">
        <f>VLOOKUP(C43,'Train Runs'!$A$13:$V$954,22,0)</f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3" s="9" t="str">
        <f t="shared" si="1"/>
        <v>4028</v>
      </c>
    </row>
    <row r="44" spans="1:17" x14ac:dyDescent="0.25">
      <c r="A44" s="66">
        <v>42556.8591087963</v>
      </c>
      <c r="B44" s="55" t="s">
        <v>140</v>
      </c>
      <c r="C44" s="55" t="s">
        <v>410</v>
      </c>
      <c r="D44" s="55" t="s">
        <v>50</v>
      </c>
      <c r="E44" s="88" t="s">
        <v>56</v>
      </c>
      <c r="F44" s="91">
        <v>0</v>
      </c>
      <c r="G44" s="55">
        <v>704</v>
      </c>
      <c r="H44" s="55">
        <v>181707</v>
      </c>
      <c r="I44" s="88" t="s">
        <v>57</v>
      </c>
      <c r="J44" s="55">
        <v>175398</v>
      </c>
      <c r="K44" s="55" t="s">
        <v>54</v>
      </c>
      <c r="L44" s="11" t="str">
        <f>VLOOKUP(C44,'Trips&amp;Operators'!$C$1:$E$10000,3,FALSE)</f>
        <v>LEVERE</v>
      </c>
      <c r="M44" s="10" t="s">
        <v>118</v>
      </c>
      <c r="N44" s="11" t="s">
        <v>153</v>
      </c>
      <c r="O44" s="33"/>
      <c r="P44" s="43" t="str">
        <f>VLOOKUP(C44,'Train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4" s="9" t="str">
        <f t="shared" si="1"/>
        <v>4028</v>
      </c>
    </row>
    <row r="45" spans="1:17" x14ac:dyDescent="0.25">
      <c r="A45" s="66">
        <v>42556.671064814815</v>
      </c>
      <c r="B45" s="55" t="s">
        <v>145</v>
      </c>
      <c r="C45" s="55" t="s">
        <v>393</v>
      </c>
      <c r="D45" s="55" t="s">
        <v>50</v>
      </c>
      <c r="E45" s="88" t="s">
        <v>56</v>
      </c>
      <c r="F45" s="91">
        <v>0</v>
      </c>
      <c r="G45" s="55">
        <v>498</v>
      </c>
      <c r="H45" s="55">
        <v>179602</v>
      </c>
      <c r="I45" s="88" t="s">
        <v>57</v>
      </c>
      <c r="J45" s="55">
        <v>182907</v>
      </c>
      <c r="K45" s="55" t="s">
        <v>53</v>
      </c>
      <c r="L45" s="11" t="str">
        <f>VLOOKUP(C45,'Trips&amp;Operators'!$C$1:$E$10000,3,FALSE)</f>
        <v>SHOOK</v>
      </c>
      <c r="M45" s="10" t="s">
        <v>118</v>
      </c>
      <c r="N45" s="11" t="s">
        <v>153</v>
      </c>
      <c r="O45" s="1"/>
      <c r="P45" s="43" t="str">
        <f>VLOOKUP(C45,'Train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9" t="str">
        <f t="shared" si="1"/>
        <v>4027</v>
      </c>
    </row>
    <row r="46" spans="1:17" x14ac:dyDescent="0.25">
      <c r="A46" s="66">
        <v>42556.748923611114</v>
      </c>
      <c r="B46" s="55" t="s">
        <v>145</v>
      </c>
      <c r="C46" s="55" t="s">
        <v>400</v>
      </c>
      <c r="D46" s="55" t="s">
        <v>50</v>
      </c>
      <c r="E46" s="88" t="s">
        <v>56</v>
      </c>
      <c r="F46" s="91">
        <v>0</v>
      </c>
      <c r="G46" s="55">
        <v>155</v>
      </c>
      <c r="H46" s="55">
        <v>182801</v>
      </c>
      <c r="I46" s="88" t="s">
        <v>57</v>
      </c>
      <c r="J46" s="55">
        <v>182907</v>
      </c>
      <c r="K46" s="55" t="s">
        <v>53</v>
      </c>
      <c r="L46" s="11" t="str">
        <f>VLOOKUP(C46,'Trips&amp;Operators'!$C$1:$E$10000,3,FALSE)</f>
        <v>SHOOK</v>
      </c>
      <c r="M46" s="10" t="s">
        <v>118</v>
      </c>
      <c r="N46" s="11" t="s">
        <v>153</v>
      </c>
      <c r="O46" s="1"/>
      <c r="P46" s="43" t="str">
        <f>VLOOKUP(C46,'Train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6" s="9" t="str">
        <f t="shared" si="1"/>
        <v>4027</v>
      </c>
    </row>
    <row r="47" spans="1:17" x14ac:dyDescent="0.25">
      <c r="A47" s="66">
        <v>42556.749618055554</v>
      </c>
      <c r="B47" s="55" t="s">
        <v>145</v>
      </c>
      <c r="C47" s="55" t="s">
        <v>400</v>
      </c>
      <c r="D47" s="55" t="s">
        <v>50</v>
      </c>
      <c r="E47" s="88" t="s">
        <v>56</v>
      </c>
      <c r="F47" s="91">
        <v>0</v>
      </c>
      <c r="G47" s="55">
        <v>155</v>
      </c>
      <c r="H47" s="55">
        <v>182801</v>
      </c>
      <c r="I47" s="88" t="s">
        <v>57</v>
      </c>
      <c r="J47" s="55">
        <v>182907</v>
      </c>
      <c r="K47" s="55" t="s">
        <v>53</v>
      </c>
      <c r="L47" s="11" t="str">
        <f>VLOOKUP(C47,'Trips&amp;Operators'!$C$1:$E$10000,3,FALSE)</f>
        <v>SHOOK</v>
      </c>
      <c r="M47" s="10" t="s">
        <v>118</v>
      </c>
      <c r="N47" s="11" t="s">
        <v>153</v>
      </c>
      <c r="O47" s="33"/>
      <c r="P47" s="43" t="str">
        <f>VLOOKUP(C47,'Train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7" s="9" t="str">
        <f t="shared" si="1"/>
        <v>4027</v>
      </c>
    </row>
    <row r="48" spans="1:17" x14ac:dyDescent="0.25">
      <c r="A48" s="66">
        <v>42556.7503125</v>
      </c>
      <c r="B48" s="55" t="s">
        <v>145</v>
      </c>
      <c r="C48" s="55" t="s">
        <v>400</v>
      </c>
      <c r="D48" s="55" t="s">
        <v>50</v>
      </c>
      <c r="E48" s="88" t="s">
        <v>56</v>
      </c>
      <c r="F48" s="91">
        <v>0</v>
      </c>
      <c r="G48" s="55">
        <v>155</v>
      </c>
      <c r="H48" s="55">
        <v>182801</v>
      </c>
      <c r="I48" s="88" t="s">
        <v>57</v>
      </c>
      <c r="J48" s="55">
        <v>182907</v>
      </c>
      <c r="K48" s="55" t="s">
        <v>53</v>
      </c>
      <c r="L48" s="11" t="str">
        <f>VLOOKUP(C48,'Trips&amp;Operators'!$C$1:$E$10000,3,FALSE)</f>
        <v>SHOOK</v>
      </c>
      <c r="M48" s="10" t="s">
        <v>118</v>
      </c>
      <c r="N48" s="11" t="s">
        <v>153</v>
      </c>
      <c r="O48" s="1"/>
      <c r="P48" s="43" t="str">
        <f>VLOOKUP(C48,'Train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8" s="9" t="str">
        <f t="shared" si="1"/>
        <v>4027</v>
      </c>
    </row>
    <row r="49" spans="1:17" x14ac:dyDescent="0.25">
      <c r="A49" s="66">
        <v>42556.179108796299</v>
      </c>
      <c r="B49" s="55" t="s">
        <v>78</v>
      </c>
      <c r="C49" s="55" t="s">
        <v>358</v>
      </c>
      <c r="D49" s="55" t="s">
        <v>50</v>
      </c>
      <c r="E49" s="88" t="s">
        <v>56</v>
      </c>
      <c r="F49" s="91">
        <v>0</v>
      </c>
      <c r="G49" s="55">
        <v>101</v>
      </c>
      <c r="H49" s="55">
        <v>189957</v>
      </c>
      <c r="I49" s="88" t="s">
        <v>57</v>
      </c>
      <c r="J49" s="55">
        <v>190738</v>
      </c>
      <c r="K49" s="55" t="s">
        <v>53</v>
      </c>
      <c r="L49" s="11" t="str">
        <f>VLOOKUP(C49,'Trips&amp;Operators'!$C$1:$E$10000,3,FALSE)</f>
        <v>STARKS</v>
      </c>
      <c r="M49" s="10" t="s">
        <v>118</v>
      </c>
      <c r="N49" s="11" t="s">
        <v>153</v>
      </c>
      <c r="O49" s="1"/>
      <c r="P49" s="43" t="str">
        <f>VLOOKUP(C49,'Train Runs'!$A$13:$V$954,22,0)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9" s="9" t="str">
        <f t="shared" si="1"/>
        <v>4020</v>
      </c>
    </row>
    <row r="50" spans="1:17" x14ac:dyDescent="0.25">
      <c r="A50" s="66">
        <v>42556.261793981481</v>
      </c>
      <c r="B50" s="55" t="s">
        <v>82</v>
      </c>
      <c r="C50" s="55" t="s">
        <v>360</v>
      </c>
      <c r="D50" s="55" t="s">
        <v>50</v>
      </c>
      <c r="E50" s="88" t="s">
        <v>56</v>
      </c>
      <c r="F50" s="91">
        <v>0</v>
      </c>
      <c r="G50" s="55">
        <v>480</v>
      </c>
      <c r="H50" s="55">
        <v>187735</v>
      </c>
      <c r="I50" s="88" t="s">
        <v>57</v>
      </c>
      <c r="J50" s="55">
        <v>190738</v>
      </c>
      <c r="K50" s="55" t="s">
        <v>53</v>
      </c>
      <c r="L50" s="11" t="str">
        <f>VLOOKUP(C50,'Trips&amp;Operators'!$C$1:$E$10000,3,FALSE)</f>
        <v>LOCKLEAR</v>
      </c>
      <c r="M50" s="10" t="s">
        <v>118</v>
      </c>
      <c r="N50" s="11" t="s">
        <v>153</v>
      </c>
      <c r="O50" s="1"/>
      <c r="P50" s="43" t="str">
        <f>VLOOKUP(C50,'Train Runs'!$A$13:$V$954,22,0)</f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 t="shared" si="1"/>
        <v>4031</v>
      </c>
    </row>
    <row r="51" spans="1:17" x14ac:dyDescent="0.25">
      <c r="A51" s="66">
        <v>42556.429583333331</v>
      </c>
      <c r="B51" s="55" t="s">
        <v>69</v>
      </c>
      <c r="C51" s="55" t="s">
        <v>371</v>
      </c>
      <c r="D51" s="55" t="s">
        <v>50</v>
      </c>
      <c r="E51" s="55" t="s">
        <v>56</v>
      </c>
      <c r="F51" s="91">
        <v>0</v>
      </c>
      <c r="G51" s="55">
        <v>93</v>
      </c>
      <c r="H51" s="55">
        <v>192186</v>
      </c>
      <c r="I51" s="55" t="s">
        <v>57</v>
      </c>
      <c r="J51" s="55">
        <v>191723</v>
      </c>
      <c r="K51" s="55" t="s">
        <v>54</v>
      </c>
      <c r="L51" s="11" t="str">
        <f>VLOOKUP(C51,'Trips&amp;Operators'!$C$1:$E$10000,3,FALSE)</f>
        <v>STARKS</v>
      </c>
      <c r="M51" s="10" t="s">
        <v>119</v>
      </c>
      <c r="N51" s="11" t="s">
        <v>740</v>
      </c>
      <c r="O51" s="33"/>
      <c r="P51" s="43" t="str">
        <f>VLOOKUP(C51,'Train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1" s="9" t="str">
        <f t="shared" si="1"/>
        <v>4032</v>
      </c>
    </row>
    <row r="52" spans="1:17" x14ac:dyDescent="0.25">
      <c r="A52" s="66">
        <v>42556.673518518517</v>
      </c>
      <c r="B52" s="55" t="s">
        <v>145</v>
      </c>
      <c r="C52" s="55" t="s">
        <v>393</v>
      </c>
      <c r="D52" s="55" t="s">
        <v>50</v>
      </c>
      <c r="E52" s="55" t="s">
        <v>56</v>
      </c>
      <c r="F52" s="91">
        <v>0</v>
      </c>
      <c r="G52" s="55">
        <v>766</v>
      </c>
      <c r="H52" s="55">
        <v>201785</v>
      </c>
      <c r="I52" s="55" t="s">
        <v>57</v>
      </c>
      <c r="J52" s="55">
        <v>204300</v>
      </c>
      <c r="K52" s="55" t="s">
        <v>53</v>
      </c>
      <c r="L52" s="11" t="str">
        <f>VLOOKUP(C52,'Trips&amp;Operators'!$C$1:$E$10000,3,FALSE)</f>
        <v>SHOOK</v>
      </c>
      <c r="M52" s="10" t="s">
        <v>118</v>
      </c>
      <c r="N52" s="11" t="s">
        <v>153</v>
      </c>
      <c r="O52" s="33"/>
      <c r="P52" s="43" t="str">
        <f>VLOOKUP(C52,'Train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2" s="9" t="str">
        <f t="shared" si="1"/>
        <v>4027</v>
      </c>
    </row>
    <row r="53" spans="1:17" x14ac:dyDescent="0.25">
      <c r="A53" s="13">
        <v>42556.291909722226</v>
      </c>
      <c r="B53" s="12" t="s">
        <v>176</v>
      </c>
      <c r="C53" s="12" t="s">
        <v>362</v>
      </c>
      <c r="D53" s="12" t="s">
        <v>50</v>
      </c>
      <c r="E53" s="89" t="s">
        <v>56</v>
      </c>
      <c r="F53" s="92">
        <v>0</v>
      </c>
      <c r="G53" s="12">
        <v>572</v>
      </c>
      <c r="H53" s="12">
        <v>207936</v>
      </c>
      <c r="I53" s="89" t="s">
        <v>57</v>
      </c>
      <c r="J53" s="12">
        <v>204340</v>
      </c>
      <c r="K53" s="11" t="s">
        <v>54</v>
      </c>
      <c r="L53" s="11" t="str">
        <f>VLOOKUP(C53,'Trips&amp;Operators'!$C$1:$E$10000,3,FALSE)</f>
        <v>ROCHA</v>
      </c>
      <c r="M53" s="10" t="s">
        <v>118</v>
      </c>
      <c r="N53" s="11" t="s">
        <v>153</v>
      </c>
      <c r="O53" s="1"/>
      <c r="P53" s="43" t="str">
        <f>VLOOKUP(C53,'Train Runs'!$A$13:$V$954,22,0)</f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3" s="9" t="str">
        <f t="shared" si="1"/>
        <v>4043</v>
      </c>
    </row>
    <row r="54" spans="1:17" x14ac:dyDescent="0.25">
      <c r="A54" s="66">
        <v>42556.586215277777</v>
      </c>
      <c r="B54" s="55" t="s">
        <v>137</v>
      </c>
      <c r="C54" s="55" t="s">
        <v>383</v>
      </c>
      <c r="D54" s="55" t="s">
        <v>55</v>
      </c>
      <c r="E54" s="88" t="s">
        <v>116</v>
      </c>
      <c r="F54" s="91">
        <v>0</v>
      </c>
      <c r="G54" s="55">
        <v>146</v>
      </c>
      <c r="H54" s="55">
        <v>3553</v>
      </c>
      <c r="I54" s="88" t="s">
        <v>117</v>
      </c>
      <c r="J54" s="55">
        <v>2789</v>
      </c>
      <c r="K54" s="55" t="s">
        <v>53</v>
      </c>
      <c r="L54" s="11" t="str">
        <f>VLOOKUP(C54,'Trips&amp;Operators'!$C$1:$E$10000,3,FALSE)</f>
        <v>YOUNG</v>
      </c>
      <c r="M54" s="10" t="s">
        <v>118</v>
      </c>
      <c r="N54" s="11" t="s">
        <v>153</v>
      </c>
      <c r="O54" s="33"/>
      <c r="P54" s="43" t="str">
        <f>VLOOKUP(C54,'Train Runs'!$A$13:$V$954,22,0)</f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 t="shared" si="1"/>
        <v>4014</v>
      </c>
    </row>
    <row r="55" spans="1:17" x14ac:dyDescent="0.25">
      <c r="A55" s="13">
        <v>42556.767511574071</v>
      </c>
      <c r="B55" s="12" t="s">
        <v>185</v>
      </c>
      <c r="C55" s="12" t="s">
        <v>403</v>
      </c>
      <c r="D55" s="12" t="s">
        <v>50</v>
      </c>
      <c r="E55" s="89" t="s">
        <v>116</v>
      </c>
      <c r="F55" s="92">
        <v>0</v>
      </c>
      <c r="G55" s="12">
        <v>409</v>
      </c>
      <c r="H55" s="12">
        <v>11326</v>
      </c>
      <c r="I55" s="89" t="s">
        <v>117</v>
      </c>
      <c r="J55" s="12">
        <v>13777</v>
      </c>
      <c r="K55" s="11" t="s">
        <v>53</v>
      </c>
      <c r="L55" s="11" t="str">
        <f>VLOOKUP(C55,'Trips&amp;Operators'!$C$1:$E$10000,3,FALSE)</f>
        <v>SUR</v>
      </c>
      <c r="M55" s="10" t="s">
        <v>118</v>
      </c>
      <c r="N55" s="11" t="s">
        <v>153</v>
      </c>
      <c r="O55" s="1"/>
      <c r="P55" s="43" t="str">
        <f>VLOOKUP(C55,'Train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5" s="9" t="str">
        <f t="shared" si="1"/>
        <v>4040</v>
      </c>
    </row>
    <row r="56" spans="1:17" x14ac:dyDescent="0.25">
      <c r="A56" s="13">
        <v>42556.768206018518</v>
      </c>
      <c r="B56" s="12" t="s">
        <v>185</v>
      </c>
      <c r="C56" s="12" t="s">
        <v>403</v>
      </c>
      <c r="D56" s="12" t="s">
        <v>50</v>
      </c>
      <c r="E56" s="89" t="s">
        <v>116</v>
      </c>
      <c r="F56" s="92">
        <v>0</v>
      </c>
      <c r="G56" s="12">
        <v>409</v>
      </c>
      <c r="H56" s="12">
        <v>11326</v>
      </c>
      <c r="I56" s="89" t="s">
        <v>117</v>
      </c>
      <c r="J56" s="12">
        <v>13777</v>
      </c>
      <c r="K56" s="11" t="s">
        <v>53</v>
      </c>
      <c r="L56" s="11" t="str">
        <f>VLOOKUP(C56,'Trips&amp;Operators'!$C$1:$E$10000,3,FALSE)</f>
        <v>SUR</v>
      </c>
      <c r="M56" s="10" t="s">
        <v>118</v>
      </c>
      <c r="N56" s="11" t="s">
        <v>153</v>
      </c>
      <c r="O56" s="1"/>
      <c r="P56" s="43" t="str">
        <f>VLOOKUP(C56,'Train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6" s="9" t="str">
        <f t="shared" si="1"/>
        <v>4040</v>
      </c>
    </row>
    <row r="57" spans="1:17" x14ac:dyDescent="0.25">
      <c r="A57" s="66">
        <v>42557.039780092593</v>
      </c>
      <c r="B57" s="55" t="s">
        <v>140</v>
      </c>
      <c r="C57" s="55" t="s">
        <v>414</v>
      </c>
      <c r="D57" s="55" t="s">
        <v>50</v>
      </c>
      <c r="E57" s="88" t="s">
        <v>116</v>
      </c>
      <c r="F57" s="91">
        <v>0</v>
      </c>
      <c r="G57" s="55">
        <v>153</v>
      </c>
      <c r="H57" s="55">
        <v>231468</v>
      </c>
      <c r="I57" s="88" t="s">
        <v>117</v>
      </c>
      <c r="J57" s="55">
        <v>231147</v>
      </c>
      <c r="K57" s="55" t="s">
        <v>54</v>
      </c>
      <c r="L57" s="11" t="str">
        <f>VLOOKUP(C57,'Trips&amp;Operators'!$C$1:$E$10000,3,FALSE)</f>
        <v>LEVERE</v>
      </c>
      <c r="M57" s="10" t="s">
        <v>118</v>
      </c>
      <c r="N57" s="11" t="s">
        <v>153</v>
      </c>
      <c r="O57" s="1"/>
      <c r="P57" s="43" t="str">
        <f>VLOOKUP(C57,'Train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7" s="9" t="str">
        <f t="shared" si="1"/>
        <v>4028</v>
      </c>
    </row>
    <row r="58" spans="1:17" x14ac:dyDescent="0.25">
      <c r="A58" s="13">
        <v>42556.243078703701</v>
      </c>
      <c r="B58" s="12" t="s">
        <v>131</v>
      </c>
      <c r="C58" s="12" t="s">
        <v>359</v>
      </c>
      <c r="D58" s="12" t="s">
        <v>50</v>
      </c>
      <c r="E58" s="89" t="s">
        <v>51</v>
      </c>
      <c r="F58" s="92">
        <v>0</v>
      </c>
      <c r="G58" s="12">
        <v>5</v>
      </c>
      <c r="H58" s="12">
        <v>112</v>
      </c>
      <c r="I58" s="89" t="s">
        <v>52</v>
      </c>
      <c r="J58" s="12">
        <v>1</v>
      </c>
      <c r="K58" s="11" t="s">
        <v>54</v>
      </c>
      <c r="L58" s="11" t="str">
        <f>VLOOKUP(C58,'Trips&amp;Operators'!$C$1:$E$10000,3,FALSE)</f>
        <v>ROCHA</v>
      </c>
      <c r="M58" s="10" t="s">
        <v>119</v>
      </c>
      <c r="N58" s="11"/>
      <c r="O58" s="33"/>
      <c r="P58" s="43" t="str">
        <f>VLOOKUP(C58,'Train Runs'!$A$13:$V$954,22,0)</f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8" s="9" t="str">
        <f t="shared" si="1"/>
        <v>4012</v>
      </c>
    </row>
    <row r="59" spans="1:17" x14ac:dyDescent="0.25">
      <c r="A59" s="13">
        <v>42556.296550925923</v>
      </c>
      <c r="B59" s="12" t="s">
        <v>77</v>
      </c>
      <c r="C59" s="12" t="s">
        <v>363</v>
      </c>
      <c r="D59" s="12" t="s">
        <v>50</v>
      </c>
      <c r="E59" s="89" t="s">
        <v>51</v>
      </c>
      <c r="F59" s="92">
        <v>0</v>
      </c>
      <c r="G59" s="12">
        <v>9</v>
      </c>
      <c r="H59" s="12">
        <v>116</v>
      </c>
      <c r="I59" s="89" t="s">
        <v>52</v>
      </c>
      <c r="J59" s="12">
        <v>1</v>
      </c>
      <c r="K59" s="11" t="s">
        <v>54</v>
      </c>
      <c r="L59" s="11" t="str">
        <f>VLOOKUP(C59,'Trips&amp;Operators'!$C$1:$E$10000,3,FALSE)</f>
        <v>SPECTOR</v>
      </c>
      <c r="M59" s="10" t="s">
        <v>119</v>
      </c>
      <c r="N59" s="11"/>
      <c r="O59" s="1"/>
      <c r="P59" s="43" t="str">
        <f>VLOOKUP(C59,'Train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9" t="str">
        <f t="shared" si="1"/>
        <v>4019</v>
      </c>
    </row>
    <row r="60" spans="1:17" x14ac:dyDescent="0.25">
      <c r="A60" s="66">
        <v>42556.452951388892</v>
      </c>
      <c r="B60" s="55" t="s">
        <v>69</v>
      </c>
      <c r="C60" s="55" t="s">
        <v>371</v>
      </c>
      <c r="D60" s="55" t="s">
        <v>50</v>
      </c>
      <c r="E60" s="88" t="s">
        <v>51</v>
      </c>
      <c r="F60" s="91">
        <v>0</v>
      </c>
      <c r="G60" s="55">
        <v>9</v>
      </c>
      <c r="H60" s="55">
        <v>118</v>
      </c>
      <c r="I60" s="88" t="s">
        <v>52</v>
      </c>
      <c r="J60" s="55">
        <v>1</v>
      </c>
      <c r="K60" s="55" t="s">
        <v>54</v>
      </c>
      <c r="L60" s="11" t="str">
        <f>VLOOKUP(C60,'Trips&amp;Operators'!$C$1:$E$10000,3,FALSE)</f>
        <v>STARKS</v>
      </c>
      <c r="M60" s="10" t="s">
        <v>119</v>
      </c>
      <c r="N60" s="11"/>
      <c r="O60" s="1"/>
      <c r="P60" s="43" t="str">
        <f>VLOOKUP(C60,'Train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0" s="9" t="str">
        <f t="shared" si="1"/>
        <v>4032</v>
      </c>
    </row>
    <row r="61" spans="1:17" x14ac:dyDescent="0.25">
      <c r="A61" s="66">
        <v>42556.598020833335</v>
      </c>
      <c r="B61" s="55" t="s">
        <v>69</v>
      </c>
      <c r="C61" s="55" t="s">
        <v>386</v>
      </c>
      <c r="D61" s="55" t="s">
        <v>50</v>
      </c>
      <c r="E61" s="55" t="s">
        <v>51</v>
      </c>
      <c r="F61" s="91">
        <v>0</v>
      </c>
      <c r="G61" s="55">
        <v>77</v>
      </c>
      <c r="H61" s="55">
        <v>267</v>
      </c>
      <c r="I61" s="55" t="s">
        <v>52</v>
      </c>
      <c r="J61" s="55">
        <v>1</v>
      </c>
      <c r="K61" s="55" t="s">
        <v>54</v>
      </c>
      <c r="L61" s="11" t="str">
        <f>VLOOKUP(C61,'Trips&amp;Operators'!$C$1:$E$10000,3,FALSE)</f>
        <v>COOLAHAN</v>
      </c>
      <c r="M61" s="10" t="s">
        <v>119</v>
      </c>
      <c r="N61" s="11"/>
      <c r="O61" s="33"/>
      <c r="P61" s="43" t="str">
        <f>VLOOKUP(C61,'Train Runs'!$A$13:$V$954,22,0)</f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1" s="9" t="str">
        <f t="shared" si="1"/>
        <v>4032</v>
      </c>
    </row>
    <row r="62" spans="1:17" x14ac:dyDescent="0.25">
      <c r="A62" s="66">
        <v>42556.63857638889</v>
      </c>
      <c r="B62" s="55" t="s">
        <v>80</v>
      </c>
      <c r="C62" s="55" t="s">
        <v>390</v>
      </c>
      <c r="D62" s="55" t="s">
        <v>50</v>
      </c>
      <c r="E62" s="55" t="s">
        <v>51</v>
      </c>
      <c r="F62" s="91">
        <v>0</v>
      </c>
      <c r="G62" s="55">
        <v>43</v>
      </c>
      <c r="H62" s="55">
        <v>154</v>
      </c>
      <c r="I62" s="55" t="s">
        <v>52</v>
      </c>
      <c r="J62" s="55">
        <v>1</v>
      </c>
      <c r="K62" s="55" t="s">
        <v>54</v>
      </c>
      <c r="L62" s="11" t="str">
        <f>VLOOKUP(C62,'Trips&amp;Operators'!$C$1:$E$10000,3,FALSE)</f>
        <v>KILLION</v>
      </c>
      <c r="M62" s="10" t="s">
        <v>119</v>
      </c>
      <c r="N62" s="11"/>
      <c r="O62" s="33"/>
      <c r="P62" s="43" t="str">
        <f>VLOOKUP(C62,'Train Runs'!$A$13:$V$954,22,0)</f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2" s="9" t="str">
        <f t="shared" si="1"/>
        <v>4017</v>
      </c>
    </row>
    <row r="63" spans="1:17" x14ac:dyDescent="0.25">
      <c r="A63" s="13">
        <v>42556.882789351854</v>
      </c>
      <c r="B63" s="12" t="s">
        <v>140</v>
      </c>
      <c r="C63" s="12" t="s">
        <v>410</v>
      </c>
      <c r="D63" s="12" t="s">
        <v>50</v>
      </c>
      <c r="E63" s="89" t="s">
        <v>51</v>
      </c>
      <c r="F63" s="92">
        <v>0</v>
      </c>
      <c r="G63" s="12">
        <v>8</v>
      </c>
      <c r="H63" s="12">
        <v>119</v>
      </c>
      <c r="I63" s="89" t="s">
        <v>52</v>
      </c>
      <c r="J63" s="12">
        <v>1</v>
      </c>
      <c r="K63" s="11" t="s">
        <v>54</v>
      </c>
      <c r="L63" s="11" t="str">
        <f>VLOOKUP(C63,'Trips&amp;Operators'!$C$1:$E$10000,3,FALSE)</f>
        <v>LEVERE</v>
      </c>
      <c r="M63" s="10" t="s">
        <v>119</v>
      </c>
      <c r="N63" s="11"/>
      <c r="O63" s="1"/>
      <c r="P63" s="43" t="str">
        <f>VLOOKUP(C63,'Train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3" s="9" t="str">
        <f t="shared" si="1"/>
        <v>4028</v>
      </c>
    </row>
    <row r="64" spans="1:17" x14ac:dyDescent="0.25">
      <c r="A64" s="13">
        <v>42556.90116898148</v>
      </c>
      <c r="B64" s="12" t="s">
        <v>131</v>
      </c>
      <c r="C64" s="12" t="s">
        <v>412</v>
      </c>
      <c r="D64" s="12" t="s">
        <v>50</v>
      </c>
      <c r="E64" s="89" t="s">
        <v>51</v>
      </c>
      <c r="F64" s="92">
        <v>0</v>
      </c>
      <c r="G64" s="12">
        <v>6</v>
      </c>
      <c r="H64" s="12">
        <v>119</v>
      </c>
      <c r="I64" s="89" t="s">
        <v>52</v>
      </c>
      <c r="J64" s="12">
        <v>1</v>
      </c>
      <c r="K64" s="11" t="s">
        <v>54</v>
      </c>
      <c r="L64" s="11" t="str">
        <f>VLOOKUP(C64,'Trips&amp;Operators'!$C$1:$E$10000,3,FALSE)</f>
        <v>STRICKLAND</v>
      </c>
      <c r="M64" s="10" t="s">
        <v>119</v>
      </c>
      <c r="N64" s="11"/>
      <c r="O64" s="1"/>
      <c r="P64" s="43" t="str">
        <f>VLOOKUP(C64,'Train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4" s="9" t="str">
        <f t="shared" si="1"/>
        <v>4012</v>
      </c>
    </row>
    <row r="65" spans="1:17" x14ac:dyDescent="0.25">
      <c r="A65" s="13">
        <v>42557.045057870368</v>
      </c>
      <c r="B65" s="12" t="s">
        <v>141</v>
      </c>
      <c r="C65" s="12" t="s">
        <v>415</v>
      </c>
      <c r="D65" s="12" t="s">
        <v>50</v>
      </c>
      <c r="E65" s="89" t="s">
        <v>51</v>
      </c>
      <c r="F65" s="92">
        <v>0</v>
      </c>
      <c r="G65" s="12">
        <v>85</v>
      </c>
      <c r="H65" s="12">
        <v>314</v>
      </c>
      <c r="I65" s="89" t="s">
        <v>52</v>
      </c>
      <c r="J65" s="12">
        <v>1</v>
      </c>
      <c r="K65" s="11" t="s">
        <v>54</v>
      </c>
      <c r="L65" s="11" t="str">
        <f>VLOOKUP(C65,'Trips&amp;Operators'!$C$1:$E$10000,3,FALSE)</f>
        <v>BARTLETT</v>
      </c>
      <c r="M65" s="10" t="s">
        <v>119</v>
      </c>
      <c r="N65" s="11"/>
      <c r="O65" s="1"/>
      <c r="P65" s="43" t="str">
        <f>VLOOKUP(C65,'Train Runs'!$A$13:$V$954,22,0)</f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5" s="9" t="str">
        <f t="shared" si="1"/>
        <v>4037</v>
      </c>
    </row>
    <row r="66" spans="1:17" x14ac:dyDescent="0.25">
      <c r="A66" s="66">
        <v>42556.289155092592</v>
      </c>
      <c r="B66" s="55" t="s">
        <v>278</v>
      </c>
      <c r="C66" s="55" t="s">
        <v>361</v>
      </c>
      <c r="D66" s="55" t="s">
        <v>50</v>
      </c>
      <c r="E66" s="88" t="s">
        <v>51</v>
      </c>
      <c r="F66" s="91">
        <v>0</v>
      </c>
      <c r="G66" s="55">
        <v>20</v>
      </c>
      <c r="H66" s="55">
        <v>605</v>
      </c>
      <c r="I66" s="88" t="s">
        <v>52</v>
      </c>
      <c r="J66" s="55">
        <v>575</v>
      </c>
      <c r="K66" s="55" t="s">
        <v>54</v>
      </c>
      <c r="L66" s="11" t="str">
        <f>VLOOKUP(C66,'Trips&amp;Operators'!$C$1:$E$10000,3,FALSE)</f>
        <v>STORY</v>
      </c>
      <c r="M66" s="10" t="s">
        <v>119</v>
      </c>
      <c r="N66" s="11"/>
      <c r="O66" s="33"/>
      <c r="P66" s="43" t="str">
        <f>VLOOKUP(C66,'Train Runs'!$A$13:$V$954,22,0)</f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9" t="str">
        <f t="shared" si="1"/>
        <v>4039</v>
      </c>
    </row>
    <row r="67" spans="1:17" x14ac:dyDescent="0.25">
      <c r="A67" s="13">
        <v>42556.329618055555</v>
      </c>
      <c r="B67" s="12" t="s">
        <v>278</v>
      </c>
      <c r="C67" s="12" t="s">
        <v>364</v>
      </c>
      <c r="D67" s="12" t="s">
        <v>50</v>
      </c>
      <c r="E67" s="89" t="s">
        <v>51</v>
      </c>
      <c r="F67" s="92">
        <v>0</v>
      </c>
      <c r="G67" s="12">
        <v>42</v>
      </c>
      <c r="H67" s="12">
        <v>710</v>
      </c>
      <c r="I67" s="89" t="s">
        <v>52</v>
      </c>
      <c r="J67" s="12">
        <v>575</v>
      </c>
      <c r="K67" s="11" t="s">
        <v>54</v>
      </c>
      <c r="L67" s="11" t="str">
        <f>VLOOKUP(C67,'Trips&amp;Operators'!$C$1:$E$10000,3,FALSE)</f>
        <v>STORY</v>
      </c>
      <c r="M67" s="10" t="s">
        <v>119</v>
      </c>
      <c r="N67" s="11"/>
      <c r="O67" s="1"/>
      <c r="P67" s="43" t="str">
        <f>VLOOKUP(C67,'Train Runs'!$A$13:$V$954,22,0)</f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7" s="9" t="str">
        <f t="shared" si="1"/>
        <v>4039</v>
      </c>
    </row>
    <row r="68" spans="1:17" x14ac:dyDescent="0.25">
      <c r="A68" s="66">
        <v>42556.371874999997</v>
      </c>
      <c r="B68" s="55" t="s">
        <v>278</v>
      </c>
      <c r="C68" s="55" t="s">
        <v>368</v>
      </c>
      <c r="D68" s="55" t="s">
        <v>50</v>
      </c>
      <c r="E68" s="88" t="s">
        <v>51</v>
      </c>
      <c r="F68" s="91">
        <v>0</v>
      </c>
      <c r="G68" s="55">
        <v>6</v>
      </c>
      <c r="H68" s="55">
        <v>584</v>
      </c>
      <c r="I68" s="88" t="s">
        <v>52</v>
      </c>
      <c r="J68" s="55">
        <v>575</v>
      </c>
      <c r="K68" s="55" t="s">
        <v>54</v>
      </c>
      <c r="L68" s="11" t="str">
        <f>VLOOKUP(C68,'Trips&amp;Operators'!$C$1:$E$10000,3,FALSE)</f>
        <v>STORY</v>
      </c>
      <c r="M68" s="10" t="s">
        <v>119</v>
      </c>
      <c r="N68" s="11"/>
      <c r="O68" s="1"/>
      <c r="P68" s="43" t="str">
        <f>VLOOKUP(C68,'Train Runs'!$A$13:$V$954,22,0)</f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8" s="9" t="str">
        <f t="shared" si="1"/>
        <v>4039</v>
      </c>
    </row>
    <row r="69" spans="1:17" x14ac:dyDescent="0.25">
      <c r="A69" s="66">
        <v>42556.454571759263</v>
      </c>
      <c r="B69" s="55" t="s">
        <v>278</v>
      </c>
      <c r="C69" s="55" t="s">
        <v>374</v>
      </c>
      <c r="D69" s="55" t="s">
        <v>50</v>
      </c>
      <c r="E69" s="88" t="s">
        <v>51</v>
      </c>
      <c r="F69" s="91">
        <v>0</v>
      </c>
      <c r="G69" s="55">
        <v>8</v>
      </c>
      <c r="H69" s="55">
        <v>696</v>
      </c>
      <c r="I69" s="88" t="s">
        <v>52</v>
      </c>
      <c r="J69" s="55">
        <v>575</v>
      </c>
      <c r="K69" s="55" t="s">
        <v>54</v>
      </c>
      <c r="L69" s="11" t="str">
        <f>VLOOKUP(C69,'Trips&amp;Operators'!$C$1:$E$10000,3,FALSE)</f>
        <v>STORY</v>
      </c>
      <c r="M69" s="10" t="s">
        <v>119</v>
      </c>
      <c r="N69" s="11"/>
      <c r="O69" s="1"/>
      <c r="P69" s="43" t="str">
        <f>VLOOKUP(C69,'Train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9" s="9" t="str">
        <f t="shared" si="1"/>
        <v>4039</v>
      </c>
    </row>
    <row r="70" spans="1:17" x14ac:dyDescent="0.25">
      <c r="A70" s="66">
        <v>42556.496655092589</v>
      </c>
      <c r="B70" s="55" t="s">
        <v>278</v>
      </c>
      <c r="C70" s="55" t="s">
        <v>377</v>
      </c>
      <c r="D70" s="55" t="s">
        <v>50</v>
      </c>
      <c r="E70" s="88" t="s">
        <v>51</v>
      </c>
      <c r="F70" s="91">
        <v>0</v>
      </c>
      <c r="G70" s="55">
        <v>20</v>
      </c>
      <c r="H70" s="55">
        <v>628</v>
      </c>
      <c r="I70" s="88" t="s">
        <v>52</v>
      </c>
      <c r="J70" s="55">
        <v>575</v>
      </c>
      <c r="K70" s="55" t="s">
        <v>54</v>
      </c>
      <c r="L70" s="11" t="str">
        <f>VLOOKUP(C70,'Trips&amp;Operators'!$C$1:$E$10000,3,FALSE)</f>
        <v>STORY</v>
      </c>
      <c r="M70" s="10" t="s">
        <v>119</v>
      </c>
      <c r="N70" s="11"/>
      <c r="O70" s="1"/>
      <c r="P70" s="43" t="str">
        <f>VLOOKUP(C70,'Train Runs'!$A$13:$V$954,22,0)</f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0" s="9" t="str">
        <f t="shared" si="1"/>
        <v>4039</v>
      </c>
    </row>
    <row r="71" spans="1:17" x14ac:dyDescent="0.25">
      <c r="A71" s="66">
        <v>42556.621307870373</v>
      </c>
      <c r="B71" s="55" t="s">
        <v>278</v>
      </c>
      <c r="C71" s="55" t="s">
        <v>388</v>
      </c>
      <c r="D71" s="55" t="s">
        <v>50</v>
      </c>
      <c r="E71" s="55" t="s">
        <v>51</v>
      </c>
      <c r="F71" s="91">
        <v>0</v>
      </c>
      <c r="G71" s="55">
        <v>4</v>
      </c>
      <c r="H71" s="55">
        <v>654</v>
      </c>
      <c r="I71" s="55" t="s">
        <v>52</v>
      </c>
      <c r="J71" s="55">
        <v>575</v>
      </c>
      <c r="K71" s="55" t="s">
        <v>54</v>
      </c>
      <c r="L71" s="11" t="str">
        <f>VLOOKUP(C71,'Trips&amp;Operators'!$C$1:$E$10000,3,FALSE)</f>
        <v>SUR</v>
      </c>
      <c r="M71" s="10" t="s">
        <v>119</v>
      </c>
      <c r="N71" s="11"/>
      <c r="O71" s="33"/>
      <c r="P71" s="43" t="str">
        <f>VLOOKUP(C71,'Train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1" s="9" t="str">
        <f t="shared" ref="Q71:Q91" si="2">MID(B71,13,4)</f>
        <v>4039</v>
      </c>
    </row>
    <row r="72" spans="1:17" x14ac:dyDescent="0.25">
      <c r="A72" s="66">
        <v>42556.666018518517</v>
      </c>
      <c r="B72" s="55" t="s">
        <v>278</v>
      </c>
      <c r="C72" s="55" t="s">
        <v>395</v>
      </c>
      <c r="D72" s="55" t="s">
        <v>50</v>
      </c>
      <c r="E72" s="88" t="s">
        <v>51</v>
      </c>
      <c r="F72" s="91">
        <v>0</v>
      </c>
      <c r="G72" s="55">
        <v>7</v>
      </c>
      <c r="H72" s="55">
        <v>647</v>
      </c>
      <c r="I72" s="88" t="s">
        <v>52</v>
      </c>
      <c r="J72" s="55">
        <v>575</v>
      </c>
      <c r="K72" s="55" t="s">
        <v>54</v>
      </c>
      <c r="L72" s="11" t="str">
        <f>VLOOKUP(C72,'Trips&amp;Operators'!$C$1:$E$10000,3,FALSE)</f>
        <v>SUR</v>
      </c>
      <c r="M72" s="10" t="s">
        <v>119</v>
      </c>
      <c r="N72" s="11"/>
      <c r="O72" s="1"/>
      <c r="P72" s="43" t="str">
        <f>VLOOKUP(C72,'Train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2" s="9" t="str">
        <f t="shared" si="2"/>
        <v>4039</v>
      </c>
    </row>
    <row r="73" spans="1:17" x14ac:dyDescent="0.25">
      <c r="A73" s="13">
        <v>42556.787534722222</v>
      </c>
      <c r="B73" s="12" t="s">
        <v>278</v>
      </c>
      <c r="C73" s="12" t="s">
        <v>404</v>
      </c>
      <c r="D73" s="12" t="s">
        <v>50</v>
      </c>
      <c r="E73" s="89" t="s">
        <v>51</v>
      </c>
      <c r="F73" s="92">
        <v>0</v>
      </c>
      <c r="G73" s="12">
        <v>41</v>
      </c>
      <c r="H73" s="12">
        <v>713</v>
      </c>
      <c r="I73" s="89" t="s">
        <v>52</v>
      </c>
      <c r="J73" s="12">
        <v>575</v>
      </c>
      <c r="K73" s="11" t="s">
        <v>54</v>
      </c>
      <c r="L73" s="11" t="str">
        <f>VLOOKUP(C73,'Trips&amp;Operators'!$C$1:$E$10000,3,FALSE)</f>
        <v>SUR</v>
      </c>
      <c r="M73" s="10" t="s">
        <v>119</v>
      </c>
      <c r="N73" s="11"/>
      <c r="O73" s="1"/>
      <c r="P73" s="43" t="str">
        <f>VLOOKUP(C73,'Train Runs'!$A$13:$V$954,22,0)</f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3" s="9" t="str">
        <f t="shared" si="2"/>
        <v>4039</v>
      </c>
    </row>
    <row r="74" spans="1:17" x14ac:dyDescent="0.25">
      <c r="A74" s="66">
        <v>42556.399178240739</v>
      </c>
      <c r="B74" s="55" t="s">
        <v>185</v>
      </c>
      <c r="C74" s="55" t="s">
        <v>370</v>
      </c>
      <c r="D74" s="55" t="s">
        <v>50</v>
      </c>
      <c r="E74" s="88" t="s">
        <v>51</v>
      </c>
      <c r="F74" s="91">
        <v>0</v>
      </c>
      <c r="G74" s="55">
        <v>4</v>
      </c>
      <c r="H74" s="55">
        <v>58941</v>
      </c>
      <c r="I74" s="88" t="s">
        <v>52</v>
      </c>
      <c r="J74" s="55">
        <v>59048</v>
      </c>
      <c r="K74" s="55" t="s">
        <v>53</v>
      </c>
      <c r="L74" s="11" t="str">
        <f>VLOOKUP(C74,'Trips&amp;Operators'!$C$1:$E$10000,3,FALSE)</f>
        <v>STORY</v>
      </c>
      <c r="M74" s="10" t="s">
        <v>119</v>
      </c>
      <c r="N74" s="11"/>
      <c r="O74" s="1"/>
      <c r="P74" s="43" t="str">
        <f>VLOOKUP(C74,'Train Runs'!$A$13:$V$954,22,0)</f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4" s="9" t="str">
        <f t="shared" si="2"/>
        <v>4040</v>
      </c>
    </row>
    <row r="75" spans="1:17" x14ac:dyDescent="0.25">
      <c r="A75" s="66">
        <v>42556.440057870372</v>
      </c>
      <c r="B75" s="55" t="s">
        <v>185</v>
      </c>
      <c r="C75" s="55" t="s">
        <v>372</v>
      </c>
      <c r="D75" s="55" t="s">
        <v>50</v>
      </c>
      <c r="E75" s="88" t="s">
        <v>51</v>
      </c>
      <c r="F75" s="91">
        <v>0</v>
      </c>
      <c r="G75" s="55">
        <v>6</v>
      </c>
      <c r="H75" s="55">
        <v>58950</v>
      </c>
      <c r="I75" s="88" t="s">
        <v>52</v>
      </c>
      <c r="J75" s="55">
        <v>59048</v>
      </c>
      <c r="K75" s="55" t="s">
        <v>53</v>
      </c>
      <c r="L75" s="11" t="str">
        <f>VLOOKUP(C75,'Trips&amp;Operators'!$C$1:$E$10000,3,FALSE)</f>
        <v>STORY</v>
      </c>
      <c r="M75" s="10" t="s">
        <v>119</v>
      </c>
      <c r="N75" s="11"/>
      <c r="O75" s="1"/>
      <c r="P75" s="43" t="str">
        <f>VLOOKUP(C75,'Train Runs'!$A$13:$V$954,22,0)</f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5" s="9" t="str">
        <f t="shared" si="2"/>
        <v>4040</v>
      </c>
    </row>
    <row r="76" spans="1:17" x14ac:dyDescent="0.25">
      <c r="A76" s="66">
        <v>42556.525324074071</v>
      </c>
      <c r="B76" s="55" t="s">
        <v>185</v>
      </c>
      <c r="C76" s="55" t="s">
        <v>379</v>
      </c>
      <c r="D76" s="55" t="s">
        <v>50</v>
      </c>
      <c r="E76" s="88" t="s">
        <v>51</v>
      </c>
      <c r="F76" s="91">
        <v>0</v>
      </c>
      <c r="G76" s="55">
        <v>58</v>
      </c>
      <c r="H76" s="55">
        <v>58847</v>
      </c>
      <c r="I76" s="88" t="s">
        <v>52</v>
      </c>
      <c r="J76" s="55">
        <v>59048</v>
      </c>
      <c r="K76" s="55" t="s">
        <v>53</v>
      </c>
      <c r="L76" s="11" t="str">
        <f>VLOOKUP(C76,'Trips&amp;Operators'!$C$1:$E$10000,3,FALSE)</f>
        <v>STORY</v>
      </c>
      <c r="M76" s="10" t="s">
        <v>119</v>
      </c>
      <c r="N76" s="11"/>
      <c r="O76" s="1"/>
      <c r="P76" s="43" t="str">
        <f>VLOOKUP(C76,'Train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6" s="9" t="str">
        <f t="shared" si="2"/>
        <v>4040</v>
      </c>
    </row>
    <row r="77" spans="1:17" x14ac:dyDescent="0.25">
      <c r="A77" s="13">
        <v>42556.525879629633</v>
      </c>
      <c r="B77" s="12" t="s">
        <v>185</v>
      </c>
      <c r="C77" s="12" t="s">
        <v>379</v>
      </c>
      <c r="D77" s="12" t="s">
        <v>50</v>
      </c>
      <c r="E77" s="89" t="s">
        <v>51</v>
      </c>
      <c r="F77" s="92">
        <v>0</v>
      </c>
      <c r="G77" s="12">
        <v>4</v>
      </c>
      <c r="H77" s="12">
        <v>58958</v>
      </c>
      <c r="I77" s="89" t="s">
        <v>52</v>
      </c>
      <c r="J77" s="12">
        <v>59048</v>
      </c>
      <c r="K77" s="11" t="s">
        <v>53</v>
      </c>
      <c r="L77" s="11" t="str">
        <f>VLOOKUP(C77,'Trips&amp;Operators'!$C$1:$E$10000,3,FALSE)</f>
        <v>STORY</v>
      </c>
      <c r="M77" s="10" t="s">
        <v>119</v>
      </c>
      <c r="N77" s="11"/>
      <c r="O77" s="1"/>
      <c r="P77" s="43" t="str">
        <f>VLOOKUP(C77,'Train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9" t="str">
        <f t="shared" si="2"/>
        <v>4040</v>
      </c>
    </row>
    <row r="78" spans="1:17" x14ac:dyDescent="0.25">
      <c r="A78" s="66">
        <v>42556.607708333337</v>
      </c>
      <c r="B78" s="55" t="s">
        <v>185</v>
      </c>
      <c r="C78" s="55" t="s">
        <v>387</v>
      </c>
      <c r="D78" s="55" t="s">
        <v>50</v>
      </c>
      <c r="E78" s="55" t="s">
        <v>51</v>
      </c>
      <c r="F78" s="91">
        <v>0</v>
      </c>
      <c r="G78" s="55">
        <v>4</v>
      </c>
      <c r="H78" s="55">
        <v>59018</v>
      </c>
      <c r="I78" s="55" t="s">
        <v>52</v>
      </c>
      <c r="J78" s="55">
        <v>59048</v>
      </c>
      <c r="K78" s="55" t="s">
        <v>53</v>
      </c>
      <c r="L78" s="11" t="str">
        <f>VLOOKUP(C78,'Trips&amp;Operators'!$C$1:$E$10000,3,FALSE)</f>
        <v>SUR</v>
      </c>
      <c r="M78" s="10" t="s">
        <v>119</v>
      </c>
      <c r="N78" s="11"/>
      <c r="O78" s="33"/>
      <c r="P78" s="43" t="str">
        <f>VLOOKUP(C78,'Train Runs'!$A$13:$V$954,22,0)</f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8" s="9" t="str">
        <f t="shared" si="2"/>
        <v>4040</v>
      </c>
    </row>
    <row r="79" spans="1:17" x14ac:dyDescent="0.25">
      <c r="A79" s="66">
        <v>42556.648865740739</v>
      </c>
      <c r="B79" s="55" t="s">
        <v>185</v>
      </c>
      <c r="C79" s="55" t="s">
        <v>391</v>
      </c>
      <c r="D79" s="55" t="s">
        <v>50</v>
      </c>
      <c r="E79" s="55" t="s">
        <v>51</v>
      </c>
      <c r="F79" s="91">
        <v>0</v>
      </c>
      <c r="G79" s="55">
        <v>9</v>
      </c>
      <c r="H79" s="55">
        <v>58990</v>
      </c>
      <c r="I79" s="55" t="s">
        <v>52</v>
      </c>
      <c r="J79" s="55">
        <v>59048</v>
      </c>
      <c r="K79" s="55" t="s">
        <v>53</v>
      </c>
      <c r="L79" s="11" t="str">
        <f>VLOOKUP(C79,'Trips&amp;Operators'!$C$1:$E$10000,3,FALSE)</f>
        <v>SUR</v>
      </c>
      <c r="M79" s="10" t="s">
        <v>119</v>
      </c>
      <c r="N79" s="11"/>
      <c r="O79" s="33"/>
      <c r="P79" s="43" t="str">
        <f>VLOOKUP(C79,'Train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9" s="9" t="str">
        <f t="shared" si="2"/>
        <v>4040</v>
      </c>
    </row>
    <row r="80" spans="1:17" x14ac:dyDescent="0.25">
      <c r="A80" s="13">
        <v>42556.774282407408</v>
      </c>
      <c r="B80" s="12" t="s">
        <v>185</v>
      </c>
      <c r="C80" s="12" t="s">
        <v>403</v>
      </c>
      <c r="D80" s="12" t="s">
        <v>50</v>
      </c>
      <c r="E80" s="89" t="s">
        <v>51</v>
      </c>
      <c r="F80" s="92">
        <v>0</v>
      </c>
      <c r="G80" s="12">
        <v>8</v>
      </c>
      <c r="H80" s="12">
        <v>58965</v>
      </c>
      <c r="I80" s="89" t="s">
        <v>52</v>
      </c>
      <c r="J80" s="12">
        <v>59048</v>
      </c>
      <c r="K80" s="11" t="s">
        <v>53</v>
      </c>
      <c r="L80" s="11" t="str">
        <f>VLOOKUP(C80,'Trips&amp;Operators'!$C$1:$E$10000,3,FALSE)</f>
        <v>SUR</v>
      </c>
      <c r="M80" s="10" t="s">
        <v>119</v>
      </c>
      <c r="N80" s="11"/>
      <c r="O80" s="1"/>
      <c r="P80" s="43" t="str">
        <f>VLOOKUP(C80,'Train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9" t="str">
        <f t="shared" si="2"/>
        <v>4040</v>
      </c>
    </row>
    <row r="81" spans="1:17" x14ac:dyDescent="0.25">
      <c r="A81" s="13">
        <v>42556.796990740739</v>
      </c>
      <c r="B81" s="12" t="s">
        <v>91</v>
      </c>
      <c r="C81" s="12" t="s">
        <v>405</v>
      </c>
      <c r="D81" s="12" t="s">
        <v>50</v>
      </c>
      <c r="E81" s="89" t="s">
        <v>51</v>
      </c>
      <c r="F81" s="92">
        <v>0</v>
      </c>
      <c r="G81" s="12">
        <v>3</v>
      </c>
      <c r="H81" s="12">
        <v>58670</v>
      </c>
      <c r="I81" s="89" t="s">
        <v>52</v>
      </c>
      <c r="J81" s="12">
        <v>59048</v>
      </c>
      <c r="K81" s="11" t="s">
        <v>53</v>
      </c>
      <c r="L81" s="11" t="str">
        <f>VLOOKUP(C81,'Trips&amp;Operators'!$C$1:$E$10000,3,FALSE)</f>
        <v>NATION</v>
      </c>
      <c r="M81" s="10" t="s">
        <v>119</v>
      </c>
      <c r="N81" s="11"/>
      <c r="O81" s="33"/>
      <c r="P81" s="43" t="e">
        <f>VLOOKUP(C81,'Train Runs'!$A$13:$V$954,22,0)</f>
        <v>#N/A</v>
      </c>
      <c r="Q81" s="9" t="str">
        <f t="shared" si="2"/>
        <v>4042</v>
      </c>
    </row>
    <row r="82" spans="1:17" x14ac:dyDescent="0.25">
      <c r="A82" s="13">
        <v>42556.798032407409</v>
      </c>
      <c r="B82" s="12" t="s">
        <v>91</v>
      </c>
      <c r="C82" s="12" t="s">
        <v>405</v>
      </c>
      <c r="D82" s="12" t="s">
        <v>50</v>
      </c>
      <c r="E82" s="89" t="s">
        <v>51</v>
      </c>
      <c r="F82" s="92">
        <v>0</v>
      </c>
      <c r="G82" s="12">
        <v>7</v>
      </c>
      <c r="H82" s="12">
        <v>58860</v>
      </c>
      <c r="I82" s="89" t="s">
        <v>52</v>
      </c>
      <c r="J82" s="12">
        <v>59048</v>
      </c>
      <c r="K82" s="11" t="s">
        <v>53</v>
      </c>
      <c r="L82" s="11" t="str">
        <f>VLOOKUP(C82,'Trips&amp;Operators'!$C$1:$E$10000,3,FALSE)</f>
        <v>NATION</v>
      </c>
      <c r="M82" s="10" t="s">
        <v>119</v>
      </c>
      <c r="N82" s="11"/>
      <c r="O82" s="1"/>
      <c r="P82" s="43" t="e">
        <f>VLOOKUP(C82,'Train Runs'!$A$13:$V$954,22,0)</f>
        <v>#N/A</v>
      </c>
      <c r="Q82" s="9" t="str">
        <f t="shared" si="2"/>
        <v>4042</v>
      </c>
    </row>
    <row r="83" spans="1:17" x14ac:dyDescent="0.25">
      <c r="A83" s="13">
        <v>42556.856631944444</v>
      </c>
      <c r="B83" s="12" t="s">
        <v>185</v>
      </c>
      <c r="C83" s="12" t="s">
        <v>409</v>
      </c>
      <c r="D83" s="12" t="s">
        <v>50</v>
      </c>
      <c r="E83" s="89" t="s">
        <v>51</v>
      </c>
      <c r="F83" s="92">
        <v>0</v>
      </c>
      <c r="G83" s="12">
        <v>8</v>
      </c>
      <c r="H83" s="12">
        <v>59040</v>
      </c>
      <c r="I83" s="89" t="s">
        <v>52</v>
      </c>
      <c r="J83" s="12">
        <v>59048</v>
      </c>
      <c r="K83" s="11" t="s">
        <v>53</v>
      </c>
      <c r="L83" s="11" t="str">
        <f>VLOOKUP(C83,'Trips&amp;Operators'!$C$1:$E$10000,3,FALSE)</f>
        <v>SUR</v>
      </c>
      <c r="M83" s="10" t="s">
        <v>119</v>
      </c>
      <c r="N83" s="11"/>
      <c r="O83" s="1"/>
      <c r="P83" s="43" t="str">
        <f>VLOOKUP(C83,'Train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3" s="9" t="str">
        <f t="shared" si="2"/>
        <v>4040</v>
      </c>
    </row>
    <row r="84" spans="1:17" x14ac:dyDescent="0.25">
      <c r="A84" s="13">
        <v>42556.940428240741</v>
      </c>
      <c r="B84" s="12" t="s">
        <v>185</v>
      </c>
      <c r="C84" s="12" t="s">
        <v>413</v>
      </c>
      <c r="D84" s="12" t="s">
        <v>50</v>
      </c>
      <c r="E84" s="89" t="s">
        <v>51</v>
      </c>
      <c r="F84" s="92">
        <v>0</v>
      </c>
      <c r="G84" s="12">
        <v>3</v>
      </c>
      <c r="H84" s="12">
        <v>58993</v>
      </c>
      <c r="I84" s="89" t="s">
        <v>52</v>
      </c>
      <c r="J84" s="12">
        <v>59048</v>
      </c>
      <c r="K84" s="11" t="s">
        <v>53</v>
      </c>
      <c r="L84" s="11" t="str">
        <f>VLOOKUP(C84,'Trips&amp;Operators'!$C$1:$E$10000,3,FALSE)</f>
        <v>SUR</v>
      </c>
      <c r="M84" s="10" t="s">
        <v>119</v>
      </c>
      <c r="N84" s="11"/>
      <c r="O84" s="1"/>
      <c r="P84" s="43" t="str">
        <f>VLOOKUP(C84,'Train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9" t="str">
        <f t="shared" si="2"/>
        <v>4040</v>
      </c>
    </row>
    <row r="85" spans="1:17" x14ac:dyDescent="0.25">
      <c r="A85" s="66">
        <v>42556.338113425925</v>
      </c>
      <c r="B85" s="55" t="s">
        <v>82</v>
      </c>
      <c r="C85" s="55" t="s">
        <v>365</v>
      </c>
      <c r="D85" s="55" t="s">
        <v>50</v>
      </c>
      <c r="E85" s="88" t="s">
        <v>51</v>
      </c>
      <c r="F85" s="91">
        <v>0</v>
      </c>
      <c r="G85" s="55">
        <v>4</v>
      </c>
      <c r="H85" s="55">
        <v>233331</v>
      </c>
      <c r="I85" s="88" t="s">
        <v>52</v>
      </c>
      <c r="J85" s="55">
        <v>233491</v>
      </c>
      <c r="K85" s="55" t="s">
        <v>53</v>
      </c>
      <c r="L85" s="11" t="str">
        <f>VLOOKUP(C85,'Trips&amp;Operators'!$C$1:$E$10000,3,FALSE)</f>
        <v>STARKS</v>
      </c>
      <c r="M85" s="10" t="s">
        <v>119</v>
      </c>
      <c r="N85" s="11"/>
      <c r="O85" s="1"/>
      <c r="P85" s="43" t="str">
        <f>VLOOKUP(C85,'Train Runs'!$A$13:$V$954,22,0)</f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5" s="9" t="str">
        <f t="shared" si="2"/>
        <v>4031</v>
      </c>
    </row>
    <row r="86" spans="1:17" x14ac:dyDescent="0.25">
      <c r="A86" s="66">
        <v>42556.455520833333</v>
      </c>
      <c r="B86" s="55" t="s">
        <v>79</v>
      </c>
      <c r="C86" s="55" t="s">
        <v>373</v>
      </c>
      <c r="D86" s="55" t="s">
        <v>50</v>
      </c>
      <c r="E86" s="88" t="s">
        <v>51</v>
      </c>
      <c r="F86" s="91">
        <v>0</v>
      </c>
      <c r="G86" s="55">
        <v>5</v>
      </c>
      <c r="H86" s="55">
        <v>233332</v>
      </c>
      <c r="I86" s="88" t="s">
        <v>52</v>
      </c>
      <c r="J86" s="55">
        <v>233491</v>
      </c>
      <c r="K86" s="55" t="s">
        <v>53</v>
      </c>
      <c r="L86" s="11" t="str">
        <f>VLOOKUP(C86,'Trips&amp;Operators'!$C$1:$E$10000,3,FALSE)</f>
        <v>KILLION</v>
      </c>
      <c r="M86" s="10" t="s">
        <v>119</v>
      </c>
      <c r="N86" s="11"/>
      <c r="O86" s="1"/>
      <c r="P86" s="43" t="str">
        <f>VLOOKUP(C86,'Train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6" s="9" t="str">
        <f t="shared" si="2"/>
        <v>4018</v>
      </c>
    </row>
    <row r="87" spans="1:17" x14ac:dyDescent="0.25">
      <c r="A87" s="13">
        <v>42556.588356481479</v>
      </c>
      <c r="B87" s="12" t="s">
        <v>145</v>
      </c>
      <c r="C87" s="12" t="s">
        <v>384</v>
      </c>
      <c r="D87" s="12" t="s">
        <v>50</v>
      </c>
      <c r="E87" s="89" t="s">
        <v>51</v>
      </c>
      <c r="F87" s="92">
        <v>0</v>
      </c>
      <c r="G87" s="12">
        <v>8</v>
      </c>
      <c r="H87" s="12">
        <v>233306</v>
      </c>
      <c r="I87" s="89" t="s">
        <v>52</v>
      </c>
      <c r="J87" s="12">
        <v>233491</v>
      </c>
      <c r="K87" s="11" t="s">
        <v>53</v>
      </c>
      <c r="L87" s="11" t="str">
        <f>VLOOKUP(C87,'Trips&amp;Operators'!$C$1:$E$10000,3,FALSE)</f>
        <v>SHOOK</v>
      </c>
      <c r="M87" s="10" t="s">
        <v>119</v>
      </c>
      <c r="N87" s="11"/>
      <c r="O87" s="33"/>
      <c r="P87" s="43" t="str">
        <f>VLOOKUP(C87,'Train Runs'!$A$13:$V$954,22,0)</f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7" s="9" t="str">
        <f t="shared" si="2"/>
        <v>4027</v>
      </c>
    </row>
    <row r="88" spans="1:17" x14ac:dyDescent="0.25">
      <c r="A88" s="66">
        <v>42556.597314814811</v>
      </c>
      <c r="B88" s="55" t="s">
        <v>79</v>
      </c>
      <c r="C88" s="55" t="s">
        <v>385</v>
      </c>
      <c r="D88" s="55" t="s">
        <v>50</v>
      </c>
      <c r="E88" s="55" t="s">
        <v>51</v>
      </c>
      <c r="F88" s="91">
        <v>0</v>
      </c>
      <c r="G88" s="55">
        <v>8</v>
      </c>
      <c r="H88" s="55">
        <v>233330</v>
      </c>
      <c r="I88" s="55" t="s">
        <v>52</v>
      </c>
      <c r="J88" s="55">
        <v>233491</v>
      </c>
      <c r="K88" s="55" t="s">
        <v>53</v>
      </c>
      <c r="L88" s="11" t="str">
        <f>VLOOKUP(C88,'Trips&amp;Operators'!$C$1:$E$10000,3,FALSE)</f>
        <v>KILLION</v>
      </c>
      <c r="M88" s="10" t="s">
        <v>119</v>
      </c>
      <c r="N88" s="11"/>
      <c r="O88" s="33"/>
      <c r="P88" s="43" t="str">
        <f>VLOOKUP(C88,'Train Runs'!$A$13:$V$954,22,0)</f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8" s="9" t="str">
        <f t="shared" si="2"/>
        <v>4018</v>
      </c>
    </row>
    <row r="89" spans="1:17" x14ac:dyDescent="0.25">
      <c r="A89" s="66">
        <v>42556.703483796293</v>
      </c>
      <c r="B89" s="55" t="s">
        <v>82</v>
      </c>
      <c r="C89" s="55" t="s">
        <v>396</v>
      </c>
      <c r="D89" s="55" t="s">
        <v>50</v>
      </c>
      <c r="E89" s="88" t="s">
        <v>51</v>
      </c>
      <c r="F89" s="91">
        <v>0</v>
      </c>
      <c r="G89" s="55">
        <v>66</v>
      </c>
      <c r="H89" s="55">
        <v>233230</v>
      </c>
      <c r="I89" s="88" t="s">
        <v>52</v>
      </c>
      <c r="J89" s="55">
        <v>233491</v>
      </c>
      <c r="K89" s="55" t="s">
        <v>53</v>
      </c>
      <c r="L89" s="11" t="str">
        <f>VLOOKUP(C89,'Trips&amp;Operators'!$C$1:$E$10000,3,FALSE)</f>
        <v>COOLAHAN</v>
      </c>
      <c r="M89" s="10" t="s">
        <v>119</v>
      </c>
      <c r="N89" s="11"/>
      <c r="O89" s="1"/>
      <c r="P89" s="43" t="str">
        <f>VLOOKUP(C89,'Train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9" s="9" t="str">
        <f t="shared" si="2"/>
        <v>4031</v>
      </c>
    </row>
    <row r="90" spans="1:17" x14ac:dyDescent="0.25">
      <c r="A90" s="13">
        <v>42556.759293981479</v>
      </c>
      <c r="B90" s="12" t="s">
        <v>79</v>
      </c>
      <c r="C90" s="12" t="s">
        <v>401</v>
      </c>
      <c r="D90" s="12" t="s">
        <v>50</v>
      </c>
      <c r="E90" s="89" t="s">
        <v>51</v>
      </c>
      <c r="F90" s="92">
        <v>0</v>
      </c>
      <c r="G90" s="12">
        <v>3</v>
      </c>
      <c r="H90" s="12">
        <v>233312</v>
      </c>
      <c r="I90" s="89" t="s">
        <v>52</v>
      </c>
      <c r="J90" s="12">
        <v>233491</v>
      </c>
      <c r="K90" s="11" t="s">
        <v>53</v>
      </c>
      <c r="L90" s="11" t="str">
        <f>VLOOKUP(C90,'Trips&amp;Operators'!$C$1:$E$10000,3,FALSE)</f>
        <v>LEVERE</v>
      </c>
      <c r="M90" s="10" t="s">
        <v>119</v>
      </c>
      <c r="N90" s="11"/>
      <c r="O90" s="33"/>
      <c r="P90" s="43" t="str">
        <f>VLOOKUP(C90,'Train Runs'!$A$13:$V$954,22,0)</f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0" s="9" t="str">
        <f t="shared" si="2"/>
        <v>4018</v>
      </c>
    </row>
    <row r="91" spans="1:17" x14ac:dyDescent="0.25">
      <c r="A91" s="66">
        <v>42556.860821759263</v>
      </c>
      <c r="B91" s="55" t="s">
        <v>130</v>
      </c>
      <c r="C91" s="55" t="s">
        <v>411</v>
      </c>
      <c r="D91" s="55" t="s">
        <v>50</v>
      </c>
      <c r="E91" s="88" t="s">
        <v>51</v>
      </c>
      <c r="F91" s="91">
        <v>0</v>
      </c>
      <c r="G91" s="55">
        <v>5</v>
      </c>
      <c r="H91" s="55">
        <v>233334</v>
      </c>
      <c r="I91" s="88" t="s">
        <v>52</v>
      </c>
      <c r="J91" s="55">
        <v>233491</v>
      </c>
      <c r="K91" s="55" t="s">
        <v>53</v>
      </c>
      <c r="L91" s="11" t="str">
        <f>VLOOKUP(C91,'Trips&amp;Operators'!$C$1:$E$10000,3,FALSE)</f>
        <v>STRICKLAND</v>
      </c>
      <c r="M91" s="10" t="s">
        <v>119</v>
      </c>
      <c r="N91" s="11"/>
      <c r="O91" s="1"/>
      <c r="P91" s="43" t="str">
        <f>VLOOKUP(C91,'Train Runs'!$A$13:$V$954,22,0)</f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91" s="9" t="str">
        <f t="shared" si="2"/>
        <v>4011</v>
      </c>
    </row>
    <row r="92" spans="1:17" x14ac:dyDescent="0.25">
      <c r="A92" s="13"/>
      <c r="B92" s="12"/>
      <c r="C92" s="12"/>
      <c r="D92" s="12"/>
      <c r="E92" s="89"/>
      <c r="F92" s="92"/>
      <c r="G92" s="12"/>
      <c r="H92" s="12"/>
      <c r="I92" s="89"/>
      <c r="J92" s="12"/>
      <c r="K92" s="11"/>
      <c r="L92" s="11"/>
      <c r="M92" s="10"/>
      <c r="N92" s="11"/>
      <c r="O92" s="33"/>
      <c r="P92" s="43"/>
      <c r="Q92" s="9"/>
    </row>
    <row r="93" spans="1:17" x14ac:dyDescent="0.25">
      <c r="A93" s="48"/>
      <c r="B93" s="41"/>
      <c r="C93" s="41"/>
      <c r="D93" s="41"/>
      <c r="E93" s="105"/>
      <c r="F93" s="93"/>
      <c r="G93" s="41"/>
      <c r="H93" s="41"/>
      <c r="I93" s="105"/>
      <c r="J93" s="41"/>
      <c r="K93" s="41"/>
      <c r="L93" s="11"/>
      <c r="M93" s="10"/>
      <c r="N93" s="11"/>
      <c r="O93" s="1"/>
      <c r="P93" s="43"/>
      <c r="Q93" s="9"/>
    </row>
    <row r="94" spans="1:17" x14ac:dyDescent="0.25">
      <c r="A94" s="48"/>
      <c r="B94" s="41"/>
      <c r="C94" s="41"/>
      <c r="D94" s="41"/>
      <c r="E94" s="105"/>
      <c r="F94" s="93"/>
      <c r="G94" s="41"/>
      <c r="H94" s="41"/>
      <c r="I94" s="105"/>
      <c r="J94" s="41"/>
      <c r="K94" s="41"/>
      <c r="L94" s="11"/>
      <c r="M94" s="10"/>
      <c r="N94" s="11"/>
      <c r="O94" s="1"/>
      <c r="P94" s="43"/>
      <c r="Q94" s="9"/>
    </row>
    <row r="95" spans="1:17" x14ac:dyDescent="0.25">
      <c r="A95" s="103"/>
      <c r="B95" s="104"/>
      <c r="C95" s="104"/>
      <c r="D95" s="104"/>
      <c r="E95" s="106"/>
      <c r="F95" s="107"/>
      <c r="G95" s="104"/>
      <c r="H95" s="104"/>
      <c r="I95" s="106"/>
      <c r="J95" s="104"/>
      <c r="K95" s="68"/>
      <c r="L95" s="11"/>
      <c r="M95" s="10"/>
      <c r="N95" s="11"/>
      <c r="P95" s="43"/>
      <c r="Q95" s="9"/>
    </row>
    <row r="96" spans="1:17" x14ac:dyDescent="0.25">
      <c r="A96" s="103"/>
      <c r="B96" s="104"/>
      <c r="C96" s="104"/>
      <c r="D96" s="104"/>
      <c r="E96" s="106"/>
      <c r="F96" s="107"/>
      <c r="G96" s="104"/>
      <c r="H96" s="104"/>
      <c r="I96" s="106"/>
      <c r="J96" s="104"/>
      <c r="K96" s="68"/>
      <c r="L96" s="11"/>
      <c r="M96" s="10"/>
      <c r="N96" s="11"/>
      <c r="P96" s="43"/>
      <c r="Q96" s="9"/>
    </row>
    <row r="97" spans="1:17" x14ac:dyDescent="0.25">
      <c r="A97" s="48"/>
      <c r="B97" s="41"/>
      <c r="C97" s="41"/>
      <c r="D97" s="41"/>
      <c r="E97" s="105"/>
      <c r="F97" s="93"/>
      <c r="G97" s="41"/>
      <c r="H97" s="41"/>
      <c r="I97" s="105"/>
      <c r="J97" s="41"/>
      <c r="K97" s="41"/>
      <c r="L97" s="11"/>
      <c r="M97" s="10"/>
      <c r="N97" s="11"/>
      <c r="P97" s="43"/>
      <c r="Q97" s="9"/>
    </row>
    <row r="98" spans="1:17" x14ac:dyDescent="0.25">
      <c r="A98" s="48"/>
      <c r="B98" s="41"/>
      <c r="C98" s="41"/>
      <c r="D98" s="41"/>
      <c r="E98" s="105"/>
      <c r="F98" s="93"/>
      <c r="G98" s="41"/>
      <c r="H98" s="41"/>
      <c r="I98" s="105"/>
      <c r="J98" s="41"/>
      <c r="K98" s="41"/>
      <c r="L98" s="11"/>
      <c r="M98" s="10"/>
      <c r="N98" s="11"/>
      <c r="O98" s="1"/>
      <c r="P98" s="43"/>
      <c r="Q98" s="9"/>
    </row>
    <row r="99" spans="1:17" x14ac:dyDescent="0.25">
      <c r="A99" s="48"/>
      <c r="B99" s="41"/>
      <c r="C99" s="41"/>
      <c r="D99" s="41"/>
      <c r="E99" s="105"/>
      <c r="F99" s="93"/>
      <c r="G99" s="41"/>
      <c r="H99" s="41"/>
      <c r="I99" s="105"/>
      <c r="J99" s="41"/>
      <c r="K99" s="41"/>
      <c r="L99" s="11"/>
      <c r="M99" s="10"/>
      <c r="N99" s="11"/>
      <c r="P99" s="43"/>
      <c r="Q99" s="9"/>
    </row>
    <row r="100" spans="1:17" x14ac:dyDescent="0.25">
      <c r="B100" s="33"/>
      <c r="C100" s="33"/>
      <c r="D100" s="33"/>
      <c r="E100" s="33"/>
      <c r="G100" s="33"/>
      <c r="H100" s="33"/>
      <c r="I100" s="33"/>
      <c r="J100" s="33"/>
      <c r="K100" s="33"/>
      <c r="L100" s="11"/>
      <c r="M100" s="10"/>
      <c r="N100" s="11"/>
      <c r="P100" s="43"/>
      <c r="Q100" s="9"/>
    </row>
    <row r="101" spans="1:17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  <c r="M101" s="10"/>
      <c r="N101" s="11"/>
      <c r="P101" s="43"/>
      <c r="Q101" s="9"/>
    </row>
    <row r="102" spans="1:17" x14ac:dyDescent="0.25">
      <c r="A102" s="48"/>
      <c r="B102" s="41"/>
      <c r="C102" s="41"/>
      <c r="D102" s="41"/>
      <c r="E102" s="105"/>
      <c r="F102" s="93"/>
      <c r="G102" s="41"/>
      <c r="H102" s="41"/>
      <c r="I102" s="105"/>
      <c r="J102" s="41"/>
      <c r="K102" s="41"/>
      <c r="L102" s="11"/>
      <c r="M102" s="10"/>
      <c r="N102" s="11"/>
      <c r="O102" s="1"/>
      <c r="P102" s="43"/>
      <c r="Q102" s="9"/>
    </row>
    <row r="103" spans="1:17" x14ac:dyDescent="0.25">
      <c r="B103" s="33"/>
      <c r="C103" s="33"/>
      <c r="D103" s="33"/>
      <c r="E103" s="33"/>
      <c r="G103" s="33"/>
      <c r="H103" s="33"/>
      <c r="I103" s="33"/>
      <c r="J103" s="33"/>
      <c r="K103" s="33"/>
      <c r="L103" s="11"/>
      <c r="M103" s="10"/>
      <c r="N103" s="11"/>
      <c r="P103" s="43"/>
      <c r="Q103" s="9"/>
    </row>
    <row r="104" spans="1:17" x14ac:dyDescent="0.25">
      <c r="B104" s="33"/>
      <c r="C104" s="33"/>
      <c r="D104" s="33"/>
      <c r="E104" s="33"/>
      <c r="G104" s="33"/>
      <c r="H104" s="33"/>
      <c r="I104" s="33"/>
      <c r="J104" s="33"/>
      <c r="K104" s="33"/>
      <c r="L104" s="11"/>
      <c r="M104" s="10"/>
      <c r="N104" s="11"/>
      <c r="P104" s="43"/>
      <c r="Q104" s="9"/>
    </row>
    <row r="105" spans="1:17" x14ac:dyDescent="0.25">
      <c r="B105" s="33"/>
      <c r="C105" s="33"/>
      <c r="D105" s="33"/>
      <c r="E105" s="33"/>
      <c r="G105" s="33"/>
      <c r="H105" s="33"/>
      <c r="I105" s="33"/>
      <c r="J105" s="33"/>
      <c r="K105" s="33"/>
      <c r="L105" s="11"/>
      <c r="M105" s="10"/>
      <c r="N105" s="11"/>
      <c r="P105" s="43"/>
      <c r="Q105" s="9"/>
    </row>
    <row r="106" spans="1:17" x14ac:dyDescent="0.25">
      <c r="B106" s="33"/>
      <c r="C106" s="33"/>
      <c r="D106" s="33"/>
      <c r="E106" s="33"/>
      <c r="G106" s="33"/>
      <c r="H106" s="33"/>
      <c r="I106" s="33"/>
      <c r="J106" s="33"/>
      <c r="K106" s="33"/>
      <c r="L106" s="11"/>
      <c r="M106" s="10"/>
      <c r="N106" s="11"/>
      <c r="P106" s="43"/>
      <c r="Q106" s="9"/>
    </row>
    <row r="107" spans="1:17" x14ac:dyDescent="0.25">
      <c r="B107" s="33"/>
      <c r="C107" s="33"/>
      <c r="D107" s="33"/>
      <c r="E107" s="33"/>
      <c r="G107" s="33"/>
      <c r="H107" s="33"/>
      <c r="I107" s="33"/>
      <c r="J107" s="33"/>
      <c r="K107" s="33"/>
      <c r="L107" s="11"/>
      <c r="M107" s="10"/>
      <c r="N107" s="11"/>
      <c r="P107" s="43"/>
      <c r="Q107" s="9"/>
    </row>
    <row r="108" spans="1:17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P108" s="43"/>
      <c r="Q108" s="9"/>
    </row>
    <row r="109" spans="1:17" x14ac:dyDescent="0.25">
      <c r="A109" s="103"/>
      <c r="B109" s="104"/>
      <c r="C109" s="104"/>
      <c r="D109" s="104"/>
      <c r="E109" s="106"/>
      <c r="F109" s="107"/>
      <c r="G109" s="104"/>
      <c r="H109" s="104"/>
      <c r="I109" s="106"/>
      <c r="J109" s="104"/>
      <c r="K109" s="68"/>
      <c r="L109" s="11"/>
      <c r="M109" s="10"/>
      <c r="N109" s="11"/>
      <c r="O109" s="1"/>
      <c r="P109" s="43"/>
      <c r="Q109" s="9"/>
    </row>
    <row r="110" spans="1:17" x14ac:dyDescent="0.25">
      <c r="A110" s="48"/>
      <c r="B110" s="41"/>
      <c r="C110" s="41"/>
      <c r="D110" s="41"/>
      <c r="E110" s="105"/>
      <c r="F110" s="93"/>
      <c r="G110" s="41"/>
      <c r="H110" s="41"/>
      <c r="I110" s="105"/>
      <c r="J110" s="41"/>
      <c r="K110" s="41"/>
      <c r="L110" s="11"/>
      <c r="M110" s="10"/>
      <c r="N110" s="11"/>
      <c r="O110" s="1"/>
      <c r="P110" s="43"/>
      <c r="Q110" s="9"/>
    </row>
    <row r="111" spans="1:17" x14ac:dyDescent="0.25">
      <c r="A111" s="103"/>
      <c r="B111" s="104"/>
      <c r="C111" s="104"/>
      <c r="D111" s="104"/>
      <c r="E111" s="106"/>
      <c r="F111" s="107"/>
      <c r="G111" s="104"/>
      <c r="H111" s="104"/>
      <c r="I111" s="106"/>
      <c r="J111" s="104"/>
      <c r="K111" s="68"/>
      <c r="L111" s="11"/>
      <c r="M111" s="10"/>
      <c r="N111" s="11"/>
      <c r="O111" s="1"/>
      <c r="P111" s="43"/>
      <c r="Q111" s="9"/>
    </row>
    <row r="112" spans="1:17" x14ac:dyDescent="0.25">
      <c r="A112" s="48"/>
      <c r="B112" s="41"/>
      <c r="C112" s="41"/>
      <c r="D112" s="41"/>
      <c r="E112" s="105"/>
      <c r="F112" s="93"/>
      <c r="G112" s="41"/>
      <c r="H112" s="41"/>
      <c r="I112" s="105"/>
      <c r="J112" s="41"/>
      <c r="K112" s="41"/>
      <c r="L112" s="11"/>
      <c r="M112" s="10"/>
      <c r="N112" s="11"/>
      <c r="P112" s="43"/>
      <c r="Q112" s="9"/>
    </row>
    <row r="113" spans="1:17" x14ac:dyDescent="0.25">
      <c r="A113" s="48"/>
      <c r="B113" s="41"/>
      <c r="C113" s="41"/>
      <c r="D113" s="41"/>
      <c r="E113" s="105"/>
      <c r="F113" s="93"/>
      <c r="G113" s="41"/>
      <c r="H113" s="41"/>
      <c r="I113" s="105"/>
      <c r="J113" s="41"/>
      <c r="K113" s="41"/>
      <c r="L113" s="11"/>
      <c r="M113" s="10"/>
      <c r="N113" s="11"/>
      <c r="O113" s="1"/>
      <c r="P113" s="43"/>
      <c r="Q113" s="9"/>
    </row>
    <row r="114" spans="1:17" x14ac:dyDescent="0.25">
      <c r="A114" s="48"/>
      <c r="B114" s="41"/>
      <c r="C114" s="41"/>
      <c r="D114" s="41"/>
      <c r="E114" s="105"/>
      <c r="F114" s="93"/>
      <c r="G114" s="41"/>
      <c r="H114" s="41"/>
      <c r="I114" s="105"/>
      <c r="J114" s="41"/>
      <c r="K114" s="41"/>
      <c r="L114" s="11"/>
      <c r="M114" s="10"/>
      <c r="N114" s="11"/>
      <c r="P114" s="43"/>
      <c r="Q114" s="9"/>
    </row>
    <row r="115" spans="1:17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P115" s="43"/>
      <c r="Q115" s="9"/>
    </row>
    <row r="116" spans="1:17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P116" s="43"/>
      <c r="Q116" s="9"/>
    </row>
    <row r="117" spans="1:17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P117" s="43"/>
      <c r="Q117" s="9"/>
    </row>
    <row r="118" spans="1:17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P118" s="43"/>
      <c r="Q118" s="9"/>
    </row>
    <row r="119" spans="1:17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P119" s="43"/>
      <c r="Q119" s="9"/>
    </row>
    <row r="120" spans="1:17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P120" s="43"/>
      <c r="Q120" s="9"/>
    </row>
    <row r="121" spans="1:17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P121" s="43"/>
      <c r="Q121" s="9"/>
    </row>
    <row r="122" spans="1:17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P122" s="43"/>
      <c r="Q122" s="9"/>
    </row>
    <row r="123" spans="1:17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P123" s="43"/>
      <c r="Q123" s="9"/>
    </row>
    <row r="124" spans="1:17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P124" s="43"/>
      <c r="Q124" s="9"/>
    </row>
    <row r="125" spans="1:17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P125" s="43"/>
      <c r="Q125" s="9"/>
    </row>
    <row r="126" spans="1:17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P126" s="43"/>
      <c r="Q126" s="9"/>
    </row>
    <row r="127" spans="1:17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P127" s="43"/>
      <c r="Q127" s="9"/>
    </row>
  </sheetData>
  <autoFilter ref="A6:N92"/>
  <sortState ref="A7:Q91">
    <sortCondition ref="E7:E91"/>
    <sortCondition ref="J7:J91"/>
    <sortCondition ref="C7:C91"/>
    <sortCondition ref="F7:F91"/>
  </sortState>
  <mergeCells count="1">
    <mergeCell ref="A5:M5"/>
  </mergeCells>
  <conditionalFormatting sqref="P6 M6:N6 M7:M1048576">
    <cfRule type="cellIs" dxfId="3" priority="13" operator="equal">
      <formula>"Y"</formula>
    </cfRule>
  </conditionalFormatting>
  <conditionalFormatting sqref="A8:K74 A7:N7 L8:N127">
    <cfRule type="expression" dxfId="2" priority="6">
      <formula>$M7="Y"</formula>
    </cfRule>
  </conditionalFormatting>
  <conditionalFormatting sqref="M2:M3">
    <cfRule type="cellIs" dxfId="1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7" t="str">
        <f>"Trips that did not appear in PTC Data "&amp;TEXT(Variables!$A$2,"YYYY-mm-dd")</f>
        <v>Trips that did not appear in PTC Data 2016-07-05</v>
      </c>
      <c r="B1" s="117"/>
      <c r="C1" s="117"/>
      <c r="D1" s="117"/>
      <c r="E1" s="117"/>
    </row>
    <row r="2" spans="1:10" s="41" customFormat="1" ht="45" x14ac:dyDescent="0.25">
      <c r="A2" s="40" t="s">
        <v>85</v>
      </c>
      <c r="B2" s="52" t="s">
        <v>86</v>
      </c>
      <c r="C2" s="50" t="s">
        <v>87</v>
      </c>
      <c r="D2" s="41" t="s">
        <v>83</v>
      </c>
      <c r="E2" s="41" t="s">
        <v>84</v>
      </c>
      <c r="F2" s="41" t="s">
        <v>93</v>
      </c>
      <c r="G2" s="53" t="s">
        <v>94</v>
      </c>
    </row>
    <row r="3" spans="1:10" x14ac:dyDescent="0.25">
      <c r="A3" s="55" t="s">
        <v>731</v>
      </c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 t="s">
        <v>732</v>
      </c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 t="s">
        <v>733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734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735</v>
      </c>
      <c r="B7"/>
      <c r="C7"/>
      <c r="H7" s="33"/>
      <c r="I7" s="33"/>
      <c r="J7" s="33"/>
    </row>
    <row r="8" spans="1:10" x14ac:dyDescent="0.25">
      <c r="A8" s="53" t="s">
        <v>736</v>
      </c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42556.712071759262</v>
      </c>
      <c r="B1" s="33" t="s">
        <v>69</v>
      </c>
      <c r="C1" s="33" t="s">
        <v>399</v>
      </c>
      <c r="D1" s="33">
        <v>1290000</v>
      </c>
      <c r="E1" s="33" t="s">
        <v>286</v>
      </c>
      <c r="F1" s="33" t="str">
        <f>B1</f>
        <v>rtdc.l.rtdc.4032:itc</v>
      </c>
      <c r="G1" s="8">
        <f>A1</f>
        <v>42556.712071759262</v>
      </c>
    </row>
    <row r="2" spans="1:7" x14ac:dyDescent="0.25">
      <c r="A2" s="8">
        <v>42556.854849537034</v>
      </c>
      <c r="B2" s="33" t="s">
        <v>78</v>
      </c>
      <c r="C2" s="33" t="s">
        <v>416</v>
      </c>
      <c r="D2" s="33">
        <v>1240000</v>
      </c>
      <c r="E2" s="33" t="s">
        <v>179</v>
      </c>
      <c r="F2" s="33" t="str">
        <f t="shared" ref="F2:F65" si="0">B2</f>
        <v>rtdc.l.rtdc.4020:itc</v>
      </c>
      <c r="G2" s="8">
        <f t="shared" ref="G2:G65" si="1">A2</f>
        <v>42556.854849537034</v>
      </c>
    </row>
    <row r="3" spans="1:7" x14ac:dyDescent="0.25">
      <c r="A3" s="8">
        <v>42557.013368055559</v>
      </c>
      <c r="B3" s="33" t="s">
        <v>141</v>
      </c>
      <c r="C3" s="33" t="s">
        <v>415</v>
      </c>
      <c r="D3" s="33">
        <v>1280000</v>
      </c>
      <c r="E3" s="33" t="s">
        <v>142</v>
      </c>
      <c r="F3" s="33" t="str">
        <f t="shared" si="0"/>
        <v>rtdc.l.rtdc.4037:itc</v>
      </c>
      <c r="G3" s="8">
        <f t="shared" si="1"/>
        <v>42557.013368055559</v>
      </c>
    </row>
    <row r="4" spans="1:7" x14ac:dyDescent="0.25">
      <c r="A4" s="8">
        <v>42556.673425925925</v>
      </c>
      <c r="B4" s="33" t="s">
        <v>82</v>
      </c>
      <c r="C4" s="33" t="s">
        <v>396</v>
      </c>
      <c r="D4" s="33">
        <v>1290000</v>
      </c>
      <c r="E4" s="33" t="s">
        <v>286</v>
      </c>
      <c r="F4" s="33" t="str">
        <f t="shared" si="0"/>
        <v>rtdc.l.rtdc.4031:itc</v>
      </c>
      <c r="G4" s="8">
        <f t="shared" si="1"/>
        <v>42556.673425925925</v>
      </c>
    </row>
    <row r="5" spans="1:7" x14ac:dyDescent="0.25">
      <c r="A5" s="8">
        <v>42556.719525462962</v>
      </c>
      <c r="B5" s="33" t="s">
        <v>145</v>
      </c>
      <c r="C5" s="33" t="s">
        <v>400</v>
      </c>
      <c r="D5" s="33">
        <v>2020000</v>
      </c>
      <c r="E5" s="33" t="s">
        <v>417</v>
      </c>
      <c r="F5" s="33" t="str">
        <f t="shared" si="0"/>
        <v>rtdc.l.rtdc.4027:itc</v>
      </c>
      <c r="G5" s="8">
        <f t="shared" si="1"/>
        <v>42556.719525462962</v>
      </c>
    </row>
    <row r="6" spans="1:7" x14ac:dyDescent="0.25">
      <c r="A6" s="8">
        <v>42556.850671296299</v>
      </c>
      <c r="B6" s="33" t="s">
        <v>140</v>
      </c>
      <c r="C6" s="33" t="s">
        <v>410</v>
      </c>
      <c r="D6" s="33">
        <v>1180000</v>
      </c>
      <c r="E6" s="33" t="s">
        <v>418</v>
      </c>
      <c r="F6" s="33" t="str">
        <f t="shared" si="0"/>
        <v>rtdc.l.rtdc.4028:itc</v>
      </c>
      <c r="G6" s="8">
        <f t="shared" si="1"/>
        <v>42556.850671296299</v>
      </c>
    </row>
    <row r="7" spans="1:7" x14ac:dyDescent="0.25">
      <c r="A7" s="8">
        <v>42556.414803240739</v>
      </c>
      <c r="B7" s="33" t="s">
        <v>145</v>
      </c>
      <c r="C7" s="33" t="s">
        <v>419</v>
      </c>
      <c r="D7" s="33">
        <v>1340000</v>
      </c>
      <c r="E7" s="33" t="s">
        <v>161</v>
      </c>
      <c r="F7" s="33" t="str">
        <f t="shared" si="0"/>
        <v>rtdc.l.rtdc.4027:itc</v>
      </c>
      <c r="G7" s="8">
        <f t="shared" si="1"/>
        <v>42556.414803240739</v>
      </c>
    </row>
    <row r="8" spans="1:7" x14ac:dyDescent="0.25">
      <c r="A8" s="8">
        <v>42556.492824074077</v>
      </c>
      <c r="B8" s="33" t="s">
        <v>69</v>
      </c>
      <c r="C8" s="33" t="s">
        <v>420</v>
      </c>
      <c r="D8" s="33">
        <v>1090000</v>
      </c>
      <c r="E8" s="33" t="s">
        <v>149</v>
      </c>
      <c r="F8" s="33" t="str">
        <f t="shared" si="0"/>
        <v>rtdc.l.rtdc.4032:itc</v>
      </c>
      <c r="G8" s="8">
        <f t="shared" si="1"/>
        <v>42556.492824074077</v>
      </c>
    </row>
    <row r="9" spans="1:7" ht="15.75" thickBot="1" x14ac:dyDescent="0.3">
      <c r="A9" s="46">
        <v>42556.891076388885</v>
      </c>
      <c r="B9" s="33" t="s">
        <v>77</v>
      </c>
      <c r="C9" s="33" t="s">
        <v>421</v>
      </c>
      <c r="D9" s="33">
        <v>1240000</v>
      </c>
      <c r="E9" s="33" t="s">
        <v>179</v>
      </c>
      <c r="F9" s="33" t="str">
        <f t="shared" si="0"/>
        <v>rtdc.l.rtdc.4019:itc</v>
      </c>
      <c r="G9" s="8">
        <f t="shared" si="1"/>
        <v>42556.891076388885</v>
      </c>
    </row>
    <row r="10" spans="1:7" x14ac:dyDescent="0.25">
      <c r="A10" s="8">
        <v>42556.900451388887</v>
      </c>
      <c r="B10" s="33" t="s">
        <v>278</v>
      </c>
      <c r="C10" s="33" t="s">
        <v>422</v>
      </c>
      <c r="D10" s="33">
        <v>910000</v>
      </c>
      <c r="E10" s="33" t="s">
        <v>423</v>
      </c>
      <c r="F10" s="33" t="str">
        <f t="shared" si="0"/>
        <v>rtdc.l.rtdc.4039:itc</v>
      </c>
      <c r="G10" s="8">
        <f t="shared" si="1"/>
        <v>42556.900451388887</v>
      </c>
    </row>
    <row r="11" spans="1:7" x14ac:dyDescent="0.25">
      <c r="A11" s="8">
        <v>42556.93240740741</v>
      </c>
      <c r="B11" s="33" t="s">
        <v>78</v>
      </c>
      <c r="C11" s="33" t="s">
        <v>424</v>
      </c>
      <c r="D11" s="33">
        <v>1240000</v>
      </c>
      <c r="E11" s="33" t="s">
        <v>179</v>
      </c>
      <c r="F11" s="33" t="str">
        <f t="shared" si="0"/>
        <v>rtdc.l.rtdc.4020:itc</v>
      </c>
      <c r="G11" s="8">
        <f t="shared" si="1"/>
        <v>42556.93240740741</v>
      </c>
    </row>
    <row r="12" spans="1:7" x14ac:dyDescent="0.25">
      <c r="A12" s="8">
        <v>42556.832141203704</v>
      </c>
      <c r="B12" s="33" t="s">
        <v>130</v>
      </c>
      <c r="C12" s="33" t="s">
        <v>411</v>
      </c>
      <c r="D12" s="33">
        <v>1760000</v>
      </c>
      <c r="E12" s="33" t="s">
        <v>181</v>
      </c>
      <c r="F12" s="33" t="str">
        <f t="shared" si="0"/>
        <v>rtdc.l.rtdc.4011:itc</v>
      </c>
      <c r="G12" s="8">
        <f t="shared" si="1"/>
        <v>42556.832141203704</v>
      </c>
    </row>
    <row r="13" spans="1:7" x14ac:dyDescent="0.25">
      <c r="A13" s="8">
        <v>42556.997407407405</v>
      </c>
      <c r="B13" s="33" t="s">
        <v>145</v>
      </c>
      <c r="C13" s="33" t="s">
        <v>425</v>
      </c>
      <c r="D13" s="33">
        <v>1180000</v>
      </c>
      <c r="E13" s="33" t="s">
        <v>418</v>
      </c>
      <c r="F13" s="33" t="str">
        <f t="shared" si="0"/>
        <v>rtdc.l.rtdc.4027:itc</v>
      </c>
      <c r="G13" s="8">
        <f t="shared" si="1"/>
        <v>42556.997407407405</v>
      </c>
    </row>
    <row r="14" spans="1:7" x14ac:dyDescent="0.25">
      <c r="A14" s="8">
        <v>42556.674872685187</v>
      </c>
      <c r="B14" s="33" t="s">
        <v>90</v>
      </c>
      <c r="C14" s="33" t="s">
        <v>426</v>
      </c>
      <c r="D14" s="33">
        <v>750000</v>
      </c>
      <c r="E14" s="33" t="s">
        <v>427</v>
      </c>
      <c r="F14" s="33" t="str">
        <f t="shared" si="0"/>
        <v>rtdc.l.rtdc.4041:itc</v>
      </c>
      <c r="G14" s="8">
        <f t="shared" si="1"/>
        <v>42556.674872685187</v>
      </c>
    </row>
    <row r="15" spans="1:7" x14ac:dyDescent="0.25">
      <c r="A15" s="8">
        <v>42556.323194444441</v>
      </c>
      <c r="B15" s="33" t="s">
        <v>91</v>
      </c>
      <c r="C15" s="33" t="s">
        <v>428</v>
      </c>
      <c r="D15" s="33">
        <v>1540000</v>
      </c>
      <c r="E15" s="33" t="s">
        <v>173</v>
      </c>
      <c r="F15" s="33" t="str">
        <f t="shared" si="0"/>
        <v>rtdc.l.rtdc.4042:itc</v>
      </c>
      <c r="G15" s="8">
        <f t="shared" si="1"/>
        <v>42556.323194444441</v>
      </c>
    </row>
    <row r="16" spans="1:7" x14ac:dyDescent="0.25">
      <c r="A16" s="8">
        <v>42556.567395833335</v>
      </c>
      <c r="B16" s="33" t="s">
        <v>278</v>
      </c>
      <c r="C16" s="33" t="s">
        <v>429</v>
      </c>
      <c r="D16" s="33">
        <v>1740000</v>
      </c>
      <c r="E16" s="33" t="s">
        <v>430</v>
      </c>
      <c r="F16" s="33" t="str">
        <f t="shared" si="0"/>
        <v>rtdc.l.rtdc.4039:itc</v>
      </c>
      <c r="G16" s="8">
        <f t="shared" si="1"/>
        <v>42556.567395833335</v>
      </c>
    </row>
    <row r="17" spans="1:7" x14ac:dyDescent="0.25">
      <c r="A17" s="8">
        <v>42556.444074074076</v>
      </c>
      <c r="B17" s="33" t="s">
        <v>141</v>
      </c>
      <c r="C17" s="33" t="s">
        <v>375</v>
      </c>
      <c r="D17" s="33">
        <v>1230000</v>
      </c>
      <c r="E17" s="33" t="s">
        <v>281</v>
      </c>
      <c r="F17" s="33" t="str">
        <f t="shared" si="0"/>
        <v>rtdc.l.rtdc.4037:itc</v>
      </c>
      <c r="G17" s="8">
        <f t="shared" si="1"/>
        <v>42556.444074074076</v>
      </c>
    </row>
    <row r="18" spans="1:7" x14ac:dyDescent="0.25">
      <c r="A18" s="8">
        <v>42556.331805555557</v>
      </c>
      <c r="B18" s="33" t="s">
        <v>123</v>
      </c>
      <c r="C18" s="33" t="s">
        <v>431</v>
      </c>
      <c r="D18" s="33">
        <v>1230000</v>
      </c>
      <c r="E18" s="33" t="s">
        <v>281</v>
      </c>
      <c r="F18" s="33" t="str">
        <f t="shared" si="0"/>
        <v>rtdc.l.rtdc.4038:itc</v>
      </c>
      <c r="G18" s="8">
        <f t="shared" si="1"/>
        <v>42556.331805555557</v>
      </c>
    </row>
    <row r="19" spans="1:7" x14ac:dyDescent="0.25">
      <c r="A19" s="8">
        <v>42556.555868055555</v>
      </c>
      <c r="B19" s="33" t="s">
        <v>185</v>
      </c>
      <c r="C19" s="33" t="s">
        <v>432</v>
      </c>
      <c r="D19" s="33">
        <v>1740000</v>
      </c>
      <c r="E19" s="33" t="s">
        <v>430</v>
      </c>
      <c r="F19" s="33" t="str">
        <f t="shared" si="0"/>
        <v>rtdc.l.rtdc.4040:itc</v>
      </c>
      <c r="G19" s="8">
        <f t="shared" si="1"/>
        <v>42556.555868055555</v>
      </c>
    </row>
    <row r="20" spans="1:7" x14ac:dyDescent="0.25">
      <c r="A20" s="8">
        <v>42556.300497685188</v>
      </c>
      <c r="B20" s="33" t="s">
        <v>78</v>
      </c>
      <c r="C20" s="33" t="s">
        <v>433</v>
      </c>
      <c r="D20" s="33">
        <v>1090000</v>
      </c>
      <c r="E20" s="33" t="s">
        <v>149</v>
      </c>
      <c r="F20" s="33" t="str">
        <f t="shared" si="0"/>
        <v>rtdc.l.rtdc.4020:itc</v>
      </c>
      <c r="G20" s="8">
        <f t="shared" si="1"/>
        <v>42556.300497685188</v>
      </c>
    </row>
    <row r="21" spans="1:7" x14ac:dyDescent="0.25">
      <c r="A21" s="8">
        <v>42556.60732638889</v>
      </c>
      <c r="B21" s="33" t="s">
        <v>80</v>
      </c>
      <c r="C21" s="33" t="s">
        <v>390</v>
      </c>
      <c r="D21" s="33">
        <v>2030000</v>
      </c>
      <c r="E21" s="33" t="s">
        <v>434</v>
      </c>
      <c r="F21" s="33" t="str">
        <f t="shared" si="0"/>
        <v>rtdc.l.rtdc.4017:itc</v>
      </c>
      <c r="G21" s="8">
        <f t="shared" si="1"/>
        <v>42556.60732638889</v>
      </c>
    </row>
    <row r="22" spans="1:7" x14ac:dyDescent="0.25">
      <c r="A22" s="48">
        <v>42556.268437500003</v>
      </c>
      <c r="B22" s="33" t="s">
        <v>145</v>
      </c>
      <c r="C22" s="33" t="s">
        <v>435</v>
      </c>
      <c r="D22" s="33">
        <v>1340000</v>
      </c>
      <c r="E22" s="33" t="s">
        <v>161</v>
      </c>
      <c r="F22" s="33" t="str">
        <f t="shared" si="0"/>
        <v>rtdc.l.rtdc.4027:itc</v>
      </c>
      <c r="G22" s="8">
        <f t="shared" si="1"/>
        <v>42556.268437500003</v>
      </c>
    </row>
    <row r="23" spans="1:7" x14ac:dyDescent="0.25">
      <c r="A23" s="8">
        <v>42556.799641203703</v>
      </c>
      <c r="B23" s="33" t="s">
        <v>90</v>
      </c>
      <c r="C23" s="33" t="s">
        <v>436</v>
      </c>
      <c r="D23" s="33">
        <v>750000</v>
      </c>
      <c r="E23" s="33" t="s">
        <v>427</v>
      </c>
      <c r="F23" s="33" t="str">
        <f t="shared" si="0"/>
        <v>rtdc.l.rtdc.4041:itc</v>
      </c>
      <c r="G23" s="8">
        <f t="shared" si="1"/>
        <v>42556.799641203703</v>
      </c>
    </row>
    <row r="24" spans="1:7" x14ac:dyDescent="0.25">
      <c r="A24" s="8">
        <v>42556.253923611112</v>
      </c>
      <c r="B24" s="33" t="s">
        <v>138</v>
      </c>
      <c r="C24" s="33" t="s">
        <v>437</v>
      </c>
      <c r="D24" s="33">
        <v>1480000</v>
      </c>
      <c r="E24" s="33" t="s">
        <v>132</v>
      </c>
      <c r="F24" s="33" t="str">
        <f t="shared" si="0"/>
        <v>rtdc.l.rtdc.4013:itc</v>
      </c>
      <c r="G24" s="8">
        <f t="shared" si="1"/>
        <v>42556.253923611112</v>
      </c>
    </row>
    <row r="25" spans="1:7" x14ac:dyDescent="0.25">
      <c r="A25" s="8">
        <v>42556.826967592591</v>
      </c>
      <c r="B25" s="33" t="s">
        <v>69</v>
      </c>
      <c r="C25" s="33" t="s">
        <v>411</v>
      </c>
      <c r="D25" s="33">
        <v>1820000</v>
      </c>
      <c r="E25" s="33" t="s">
        <v>115</v>
      </c>
      <c r="F25" s="33" t="str">
        <f t="shared" si="0"/>
        <v>rtdc.l.rtdc.4032:itc</v>
      </c>
      <c r="G25" s="8">
        <f t="shared" si="1"/>
        <v>42556.826967592591</v>
      </c>
    </row>
    <row r="26" spans="1:7" x14ac:dyDescent="0.25">
      <c r="A26" s="8">
        <v>42556.240162037036</v>
      </c>
      <c r="B26" s="33" t="s">
        <v>91</v>
      </c>
      <c r="C26" s="33" t="s">
        <v>438</v>
      </c>
      <c r="D26" s="33">
        <v>1540000</v>
      </c>
      <c r="E26" s="33" t="s">
        <v>173</v>
      </c>
      <c r="F26" s="33" t="str">
        <f t="shared" si="0"/>
        <v>rtdc.l.rtdc.4042:itc</v>
      </c>
      <c r="G26" s="8">
        <f t="shared" si="1"/>
        <v>42556.240162037036</v>
      </c>
    </row>
    <row r="27" spans="1:7" x14ac:dyDescent="0.25">
      <c r="A27" s="8">
        <v>42556.626875000002</v>
      </c>
      <c r="B27" s="33" t="s">
        <v>77</v>
      </c>
      <c r="C27" s="33" t="s">
        <v>439</v>
      </c>
      <c r="D27" s="33">
        <v>940000</v>
      </c>
      <c r="E27" s="33" t="s">
        <v>182</v>
      </c>
      <c r="F27" s="33" t="str">
        <f t="shared" si="0"/>
        <v>rtdc.l.rtdc.4019:itc</v>
      </c>
      <c r="G27" s="8">
        <f t="shared" si="1"/>
        <v>42556.626875000002</v>
      </c>
    </row>
    <row r="28" spans="1:7" x14ac:dyDescent="0.25">
      <c r="A28" s="8">
        <v>42556.227233796293</v>
      </c>
      <c r="B28" s="33" t="s">
        <v>78</v>
      </c>
      <c r="C28" s="33" t="s">
        <v>440</v>
      </c>
      <c r="D28" s="33">
        <v>1090000</v>
      </c>
      <c r="E28" s="33" t="s">
        <v>149</v>
      </c>
      <c r="F28" s="33" t="str">
        <f t="shared" si="0"/>
        <v>rtdc.l.rtdc.4020:itc</v>
      </c>
      <c r="G28" s="8">
        <f t="shared" si="1"/>
        <v>42556.227233796293</v>
      </c>
    </row>
    <row r="29" spans="1:7" x14ac:dyDescent="0.25">
      <c r="A29" s="8">
        <v>42556.858900462961</v>
      </c>
      <c r="B29" s="33" t="s">
        <v>278</v>
      </c>
      <c r="C29" s="33" t="s">
        <v>441</v>
      </c>
      <c r="D29" s="33">
        <v>910000</v>
      </c>
      <c r="E29" s="33" t="s">
        <v>423</v>
      </c>
      <c r="F29" s="33" t="str">
        <f t="shared" si="0"/>
        <v>rtdc.l.rtdc.4039:itc</v>
      </c>
      <c r="G29" s="8">
        <f t="shared" si="1"/>
        <v>42556.858900462961</v>
      </c>
    </row>
    <row r="30" spans="1:7" x14ac:dyDescent="0.25">
      <c r="A30" s="8">
        <v>42556.86923611111</v>
      </c>
      <c r="B30" s="33" t="s">
        <v>131</v>
      </c>
      <c r="C30" s="33" t="s">
        <v>412</v>
      </c>
      <c r="D30" s="33">
        <v>1760000</v>
      </c>
      <c r="E30" s="33" t="s">
        <v>181</v>
      </c>
      <c r="F30" s="33" t="str">
        <f t="shared" si="0"/>
        <v>rtdc.l.rtdc.4012:itc</v>
      </c>
      <c r="G30" s="8">
        <f t="shared" si="1"/>
        <v>42556.86923611111</v>
      </c>
    </row>
    <row r="31" spans="1:7" x14ac:dyDescent="0.25">
      <c r="A31" s="8">
        <v>42556.288958333331</v>
      </c>
      <c r="B31" s="33" t="s">
        <v>137</v>
      </c>
      <c r="C31" s="33" t="s">
        <v>442</v>
      </c>
      <c r="D31" s="33">
        <v>1480000</v>
      </c>
      <c r="E31" s="33" t="s">
        <v>132</v>
      </c>
      <c r="F31" s="33" t="str">
        <f t="shared" si="0"/>
        <v>rtdc.l.rtdc.4014:itc</v>
      </c>
      <c r="G31" s="8">
        <f t="shared" si="1"/>
        <v>42556.288958333331</v>
      </c>
    </row>
    <row r="32" spans="1:7" x14ac:dyDescent="0.25">
      <c r="A32" s="8">
        <v>42556.77584490741</v>
      </c>
      <c r="B32" s="33" t="s">
        <v>278</v>
      </c>
      <c r="C32" s="33" t="s">
        <v>404</v>
      </c>
      <c r="D32" s="33">
        <v>910000</v>
      </c>
      <c r="E32" s="33" t="s">
        <v>423</v>
      </c>
      <c r="F32" s="33" t="str">
        <f t="shared" si="0"/>
        <v>rtdc.l.rtdc.4039:itc</v>
      </c>
      <c r="G32" s="8">
        <f t="shared" si="1"/>
        <v>42556.77584490741</v>
      </c>
    </row>
    <row r="33" spans="1:7" x14ac:dyDescent="0.25">
      <c r="A33" s="8">
        <v>42556.317766203705</v>
      </c>
      <c r="B33" s="33" t="s">
        <v>140</v>
      </c>
      <c r="C33" s="33" t="s">
        <v>443</v>
      </c>
      <c r="D33" s="33">
        <v>1340000</v>
      </c>
      <c r="E33" s="33" t="s">
        <v>161</v>
      </c>
      <c r="F33" s="33" t="str">
        <f t="shared" si="0"/>
        <v>rtdc.l.rtdc.4028:itc</v>
      </c>
      <c r="G33" s="8">
        <f t="shared" si="1"/>
        <v>42556.317766203705</v>
      </c>
    </row>
    <row r="34" spans="1:7" x14ac:dyDescent="0.25">
      <c r="A34" s="8">
        <v>42556.775671296295</v>
      </c>
      <c r="B34" s="33" t="s">
        <v>91</v>
      </c>
      <c r="C34" s="33" t="s">
        <v>405</v>
      </c>
      <c r="D34" s="33">
        <v>750000</v>
      </c>
      <c r="E34" s="33" t="s">
        <v>427</v>
      </c>
      <c r="F34" s="33" t="str">
        <f t="shared" si="0"/>
        <v>rtdc.l.rtdc.4042:itc</v>
      </c>
      <c r="G34" s="8">
        <f t="shared" si="1"/>
        <v>42556.775671296295</v>
      </c>
    </row>
    <row r="35" spans="1:7" x14ac:dyDescent="0.25">
      <c r="A35" s="8">
        <v>42556.361203703702</v>
      </c>
      <c r="B35" s="33" t="s">
        <v>176</v>
      </c>
      <c r="C35" s="33" t="s">
        <v>444</v>
      </c>
      <c r="D35" s="33">
        <v>900000</v>
      </c>
      <c r="E35" s="33" t="s">
        <v>148</v>
      </c>
      <c r="F35" s="33" t="str">
        <f t="shared" si="0"/>
        <v>rtdc.l.rtdc.4043:itc</v>
      </c>
      <c r="G35" s="8">
        <f t="shared" si="1"/>
        <v>42556.361203703702</v>
      </c>
    </row>
    <row r="36" spans="1:7" x14ac:dyDescent="0.25">
      <c r="A36" s="8">
        <v>42556.470034722224</v>
      </c>
      <c r="B36" s="33" t="s">
        <v>171</v>
      </c>
      <c r="C36" s="33" t="s">
        <v>445</v>
      </c>
      <c r="D36" s="33">
        <v>2000000</v>
      </c>
      <c r="E36" s="33" t="s">
        <v>446</v>
      </c>
      <c r="F36" s="33" t="str">
        <f t="shared" si="0"/>
        <v>rtdc.l.rtdc.4044:itc</v>
      </c>
      <c r="G36" s="8">
        <f t="shared" si="1"/>
        <v>42556.470034722224</v>
      </c>
    </row>
    <row r="37" spans="1:7" x14ac:dyDescent="0.25">
      <c r="A37" s="8">
        <v>42556.452928240738</v>
      </c>
      <c r="B37" s="33" t="s">
        <v>140</v>
      </c>
      <c r="C37" s="33" t="s">
        <v>447</v>
      </c>
      <c r="D37" s="33">
        <v>1340000</v>
      </c>
      <c r="E37" s="33" t="s">
        <v>161</v>
      </c>
      <c r="F37" s="33" t="str">
        <f t="shared" si="0"/>
        <v>rtdc.l.rtdc.4028:itc</v>
      </c>
      <c r="G37" s="8">
        <f t="shared" si="1"/>
        <v>42556.452928240738</v>
      </c>
    </row>
    <row r="38" spans="1:7" x14ac:dyDescent="0.25">
      <c r="A38" s="8">
        <v>42556.953020833331</v>
      </c>
      <c r="B38" s="33" t="s">
        <v>140</v>
      </c>
      <c r="C38" s="33" t="s">
        <v>448</v>
      </c>
      <c r="D38" s="33">
        <v>1180000</v>
      </c>
      <c r="E38" s="33" t="s">
        <v>418</v>
      </c>
      <c r="F38" s="33" t="str">
        <f t="shared" si="0"/>
        <v>rtdc.l.rtdc.4028:itc</v>
      </c>
      <c r="G38" s="8">
        <f t="shared" si="1"/>
        <v>42556.953020833331</v>
      </c>
    </row>
    <row r="39" spans="1:7" x14ac:dyDescent="0.25">
      <c r="A39" s="8">
        <v>42556.610185185185</v>
      </c>
      <c r="B39" s="33" t="s">
        <v>278</v>
      </c>
      <c r="C39" s="33" t="s">
        <v>388</v>
      </c>
      <c r="D39" s="33">
        <v>910000</v>
      </c>
      <c r="E39" s="33" t="s">
        <v>423</v>
      </c>
      <c r="F39" s="33" t="str">
        <f t="shared" si="0"/>
        <v>rtdc.l.rtdc.4039:itc</v>
      </c>
      <c r="G39" s="8">
        <f t="shared" si="1"/>
        <v>42556.610185185185</v>
      </c>
    </row>
    <row r="40" spans="1:7" x14ac:dyDescent="0.25">
      <c r="A40" s="8">
        <v>42556.472233796296</v>
      </c>
      <c r="B40" s="47" t="s">
        <v>138</v>
      </c>
      <c r="C40" s="33" t="s">
        <v>449</v>
      </c>
      <c r="D40" s="33">
        <v>1100000</v>
      </c>
      <c r="E40" s="33" t="s">
        <v>175</v>
      </c>
      <c r="F40" s="33" t="str">
        <f t="shared" si="0"/>
        <v>rtdc.l.rtdc.4013:itc</v>
      </c>
      <c r="G40" s="8">
        <f t="shared" si="1"/>
        <v>42556.472233796296</v>
      </c>
    </row>
    <row r="41" spans="1:7" x14ac:dyDescent="0.25">
      <c r="A41" s="8">
        <v>42556.640636574077</v>
      </c>
      <c r="B41" s="33" t="s">
        <v>79</v>
      </c>
      <c r="C41" s="33" t="s">
        <v>392</v>
      </c>
      <c r="D41" s="33">
        <v>2030000</v>
      </c>
      <c r="E41" s="33" t="s">
        <v>434</v>
      </c>
      <c r="F41" s="33" t="str">
        <f t="shared" si="0"/>
        <v>rtdc.l.rtdc.4018:itc</v>
      </c>
      <c r="G41" s="8">
        <f t="shared" si="1"/>
        <v>42556.640636574077</v>
      </c>
    </row>
    <row r="42" spans="1:7" x14ac:dyDescent="0.25">
      <c r="A42" s="8">
        <v>42556.331701388888</v>
      </c>
      <c r="B42" s="33" t="s">
        <v>80</v>
      </c>
      <c r="C42" s="33" t="s">
        <v>450</v>
      </c>
      <c r="D42" s="33">
        <v>1100000</v>
      </c>
      <c r="E42" s="33" t="s">
        <v>175</v>
      </c>
      <c r="F42" s="33" t="str">
        <f t="shared" si="0"/>
        <v>rtdc.l.rtdc.4017:itc</v>
      </c>
      <c r="G42" s="8">
        <f t="shared" si="1"/>
        <v>42556.331701388888</v>
      </c>
    </row>
    <row r="43" spans="1:7" x14ac:dyDescent="0.25">
      <c r="A43" s="8">
        <v>42556.933391203704</v>
      </c>
      <c r="B43" s="33" t="s">
        <v>78</v>
      </c>
      <c r="C43" s="33" t="s">
        <v>424</v>
      </c>
      <c r="D43" s="33">
        <v>1240000</v>
      </c>
      <c r="E43" s="33" t="s">
        <v>179</v>
      </c>
      <c r="F43" s="33" t="str">
        <f t="shared" si="0"/>
        <v>rtdc.l.rtdc.4020:itc</v>
      </c>
      <c r="G43" s="8">
        <f t="shared" si="1"/>
        <v>42556.933391203704</v>
      </c>
    </row>
    <row r="44" spans="1:7" x14ac:dyDescent="0.25">
      <c r="A44" s="8">
        <v>42556.056041666663</v>
      </c>
      <c r="B44" s="33" t="s">
        <v>157</v>
      </c>
      <c r="C44" s="33" t="s">
        <v>343</v>
      </c>
      <c r="D44" s="33">
        <v>1280000</v>
      </c>
      <c r="E44" s="33" t="s">
        <v>142</v>
      </c>
      <c r="F44" s="33" t="str">
        <f t="shared" si="0"/>
        <v>rtdc.l.rtdc.4015:itc</v>
      </c>
      <c r="G44" s="8">
        <f t="shared" si="1"/>
        <v>42556.056041666663</v>
      </c>
    </row>
    <row r="45" spans="1:7" x14ac:dyDescent="0.25">
      <c r="A45" s="8">
        <v>42557.049814814818</v>
      </c>
      <c r="B45" s="33" t="s">
        <v>451</v>
      </c>
      <c r="C45" s="33" t="s">
        <v>452</v>
      </c>
      <c r="D45" s="33">
        <v>0</v>
      </c>
      <c r="E45" s="33" t="s">
        <v>453</v>
      </c>
      <c r="F45" s="33" t="str">
        <f t="shared" si="0"/>
        <v>rtdc.l.rtdc.4005:itc</v>
      </c>
      <c r="G45" s="8">
        <f t="shared" si="1"/>
        <v>42557.049814814818</v>
      </c>
    </row>
    <row r="46" spans="1:7" x14ac:dyDescent="0.25">
      <c r="A46" s="8">
        <v>42556.796180555553</v>
      </c>
      <c r="B46" s="33" t="s">
        <v>138</v>
      </c>
      <c r="C46" s="33" t="s">
        <v>407</v>
      </c>
      <c r="D46" s="33">
        <v>1140000</v>
      </c>
      <c r="E46" s="33" t="s">
        <v>150</v>
      </c>
      <c r="F46" s="33" t="str">
        <f t="shared" si="0"/>
        <v>rtdc.l.rtdc.4013:itc</v>
      </c>
      <c r="G46" s="8">
        <f t="shared" si="1"/>
        <v>42556.796180555553</v>
      </c>
    </row>
    <row r="47" spans="1:7" x14ac:dyDescent="0.25">
      <c r="A47" s="8">
        <v>42556.225462962961</v>
      </c>
      <c r="B47" s="33" t="s">
        <v>141</v>
      </c>
      <c r="C47" s="33" t="s">
        <v>454</v>
      </c>
      <c r="D47" s="33">
        <v>1230000</v>
      </c>
      <c r="E47" s="33" t="s">
        <v>281</v>
      </c>
      <c r="F47" s="33" t="str">
        <f t="shared" si="0"/>
        <v>rtdc.l.rtdc.4037:itc</v>
      </c>
      <c r="G47" s="8">
        <f t="shared" si="1"/>
        <v>42556.225462962961</v>
      </c>
    </row>
    <row r="48" spans="1:7" x14ac:dyDescent="0.25">
      <c r="A48" s="8">
        <v>42556.774444444447</v>
      </c>
      <c r="B48" s="33" t="s">
        <v>82</v>
      </c>
      <c r="C48" s="33" t="s">
        <v>455</v>
      </c>
      <c r="D48" s="33">
        <v>1820000</v>
      </c>
      <c r="E48" s="33" t="s">
        <v>115</v>
      </c>
      <c r="F48" s="33" t="str">
        <f t="shared" si="0"/>
        <v>rtdc.l.rtdc.4031:itc</v>
      </c>
      <c r="G48" s="8">
        <f t="shared" si="1"/>
        <v>42556.774444444447</v>
      </c>
    </row>
    <row r="49" spans="1:7" x14ac:dyDescent="0.25">
      <c r="A49" s="8">
        <v>42556.245439814818</v>
      </c>
      <c r="B49" s="33" t="s">
        <v>80</v>
      </c>
      <c r="C49" s="33" t="s">
        <v>456</v>
      </c>
      <c r="D49" s="33">
        <v>1100000</v>
      </c>
      <c r="E49" s="33" t="s">
        <v>175</v>
      </c>
      <c r="F49" s="33" t="str">
        <f t="shared" si="0"/>
        <v>rtdc.l.rtdc.4017:itc</v>
      </c>
      <c r="G49" s="8">
        <f t="shared" si="1"/>
        <v>42556.245439814818</v>
      </c>
    </row>
    <row r="50" spans="1:7" x14ac:dyDescent="0.25">
      <c r="A50" s="8">
        <v>42556.687175925923</v>
      </c>
      <c r="B50" s="33" t="s">
        <v>80</v>
      </c>
      <c r="C50" s="33" t="s">
        <v>397</v>
      </c>
      <c r="D50" s="33">
        <v>2030000</v>
      </c>
      <c r="E50" s="33" t="s">
        <v>434</v>
      </c>
      <c r="F50" s="33" t="str">
        <f t="shared" si="0"/>
        <v>rtdc.l.rtdc.4017:itc</v>
      </c>
      <c r="G50" s="8">
        <f t="shared" si="1"/>
        <v>42556.687175925923</v>
      </c>
    </row>
    <row r="51" spans="1:7" x14ac:dyDescent="0.25">
      <c r="A51" s="8">
        <v>42556.25854166667</v>
      </c>
      <c r="B51" s="33" t="s">
        <v>185</v>
      </c>
      <c r="C51" s="33" t="s">
        <v>457</v>
      </c>
      <c r="D51" s="33">
        <v>1740000</v>
      </c>
      <c r="E51" s="33" t="s">
        <v>430</v>
      </c>
      <c r="F51" s="33" t="str">
        <f t="shared" si="0"/>
        <v>rtdc.l.rtdc.4040:itc</v>
      </c>
      <c r="G51" s="8">
        <f t="shared" si="1"/>
        <v>42556.25854166667</v>
      </c>
    </row>
    <row r="52" spans="1:7" x14ac:dyDescent="0.25">
      <c r="A52" s="8">
        <v>42556.676076388889</v>
      </c>
      <c r="B52" s="33" t="s">
        <v>185</v>
      </c>
      <c r="C52" s="33" t="s">
        <v>458</v>
      </c>
      <c r="D52" s="33">
        <v>910000</v>
      </c>
      <c r="E52" s="33" t="s">
        <v>423</v>
      </c>
      <c r="F52" s="33" t="str">
        <f t="shared" si="0"/>
        <v>rtdc.l.rtdc.4040:itc</v>
      </c>
      <c r="G52" s="8">
        <f t="shared" si="1"/>
        <v>42556.676076388889</v>
      </c>
    </row>
    <row r="53" spans="1:7" x14ac:dyDescent="0.25">
      <c r="A53" s="8">
        <v>42556.172627314816</v>
      </c>
      <c r="B53" s="33" t="s">
        <v>171</v>
      </c>
      <c r="C53" s="33" t="s">
        <v>459</v>
      </c>
      <c r="D53" s="33">
        <v>900000</v>
      </c>
      <c r="E53" s="33" t="s">
        <v>148</v>
      </c>
      <c r="F53" s="33" t="str">
        <f t="shared" si="0"/>
        <v>rtdc.l.rtdc.4044:itc</v>
      </c>
      <c r="G53" s="8">
        <f t="shared" si="1"/>
        <v>42556.172627314816</v>
      </c>
    </row>
    <row r="54" spans="1:7" x14ac:dyDescent="0.25">
      <c r="A54" s="8">
        <v>42556.659201388888</v>
      </c>
      <c r="B54" s="33" t="s">
        <v>145</v>
      </c>
      <c r="C54" s="33" t="s">
        <v>393</v>
      </c>
      <c r="D54" s="33">
        <v>2020000</v>
      </c>
      <c r="E54" s="33" t="s">
        <v>417</v>
      </c>
      <c r="F54" s="33" t="str">
        <f t="shared" si="0"/>
        <v>rtdc.l.rtdc.4027:itc</v>
      </c>
      <c r="G54" s="8">
        <f t="shared" si="1"/>
        <v>42556.659201388888</v>
      </c>
    </row>
    <row r="55" spans="1:7" x14ac:dyDescent="0.25">
      <c r="A55" s="8">
        <v>42556.184976851851</v>
      </c>
      <c r="B55" s="33" t="s">
        <v>123</v>
      </c>
      <c r="C55" s="33" t="s">
        <v>460</v>
      </c>
      <c r="D55" s="33">
        <v>1230000</v>
      </c>
      <c r="E55" s="33" t="s">
        <v>281</v>
      </c>
      <c r="F55" s="33" t="str">
        <f t="shared" si="0"/>
        <v>rtdc.l.rtdc.4038:itc</v>
      </c>
      <c r="G55" s="8">
        <f t="shared" si="1"/>
        <v>42556.184976851851</v>
      </c>
    </row>
    <row r="56" spans="1:7" x14ac:dyDescent="0.25">
      <c r="A56" s="8">
        <v>42556.656145833331</v>
      </c>
      <c r="B56" s="33" t="s">
        <v>137</v>
      </c>
      <c r="C56" s="33" t="s">
        <v>461</v>
      </c>
      <c r="D56" s="33">
        <v>1140000</v>
      </c>
      <c r="E56" s="33" t="s">
        <v>150</v>
      </c>
      <c r="F56" s="33" t="str">
        <f t="shared" si="0"/>
        <v>rtdc.l.rtdc.4014:itc</v>
      </c>
      <c r="G56" s="8">
        <f t="shared" si="1"/>
        <v>42556.656145833331</v>
      </c>
    </row>
    <row r="57" spans="1:7" x14ac:dyDescent="0.25">
      <c r="A57" s="8">
        <v>42556.246365740742</v>
      </c>
      <c r="B57" s="33" t="s">
        <v>171</v>
      </c>
      <c r="C57" s="33" t="s">
        <v>462</v>
      </c>
      <c r="D57" s="33">
        <v>900000</v>
      </c>
      <c r="E57" s="33" t="s">
        <v>148</v>
      </c>
      <c r="F57" s="33" t="str">
        <f t="shared" si="0"/>
        <v>rtdc.l.rtdc.4044:itc</v>
      </c>
      <c r="G57" s="8">
        <f t="shared" si="1"/>
        <v>42556.246365740742</v>
      </c>
    </row>
    <row r="58" spans="1:7" x14ac:dyDescent="0.25">
      <c r="A58" s="8">
        <v>42556.577002314814</v>
      </c>
      <c r="B58" s="33" t="s">
        <v>176</v>
      </c>
      <c r="C58" s="33" t="s">
        <v>463</v>
      </c>
      <c r="D58" s="33">
        <v>2000000</v>
      </c>
      <c r="E58" s="33" t="s">
        <v>446</v>
      </c>
      <c r="F58" s="33" t="str">
        <f t="shared" si="0"/>
        <v>rtdc.l.rtdc.4043:itc</v>
      </c>
      <c r="G58" s="8">
        <f t="shared" si="1"/>
        <v>42556.577002314814</v>
      </c>
    </row>
    <row r="59" spans="1:7" x14ac:dyDescent="0.25">
      <c r="A59" s="8">
        <v>42556.266006944446</v>
      </c>
      <c r="B59" s="33" t="s">
        <v>77</v>
      </c>
      <c r="C59" s="33" t="s">
        <v>363</v>
      </c>
      <c r="D59" s="33">
        <v>1090000</v>
      </c>
      <c r="E59" s="33" t="s">
        <v>149</v>
      </c>
      <c r="F59" s="33" t="str">
        <f t="shared" si="0"/>
        <v>rtdc.l.rtdc.4019:itc</v>
      </c>
      <c r="G59" s="8">
        <f t="shared" si="1"/>
        <v>42556.266006944446</v>
      </c>
    </row>
    <row r="60" spans="1:7" x14ac:dyDescent="0.25">
      <c r="A60" s="8">
        <v>42556.439236111109</v>
      </c>
      <c r="B60" s="33" t="s">
        <v>137</v>
      </c>
      <c r="C60" s="33" t="s">
        <v>464</v>
      </c>
      <c r="D60" s="33">
        <v>1100000</v>
      </c>
      <c r="E60" s="33" t="s">
        <v>175</v>
      </c>
      <c r="F60" s="33" t="str">
        <f t="shared" si="0"/>
        <v>rtdc.l.rtdc.4014:itc</v>
      </c>
      <c r="G60" s="8">
        <f t="shared" si="1"/>
        <v>42556.439236111109</v>
      </c>
    </row>
    <row r="61" spans="1:7" x14ac:dyDescent="0.25">
      <c r="A61" s="8">
        <v>42556.283043981479</v>
      </c>
      <c r="B61" s="33" t="s">
        <v>91</v>
      </c>
      <c r="C61" s="33" t="s">
        <v>465</v>
      </c>
      <c r="D61" s="33">
        <v>1540000</v>
      </c>
      <c r="E61" s="33" t="s">
        <v>173</v>
      </c>
      <c r="F61" s="33" t="str">
        <f t="shared" si="0"/>
        <v>rtdc.l.rtdc.4042:itc</v>
      </c>
      <c r="G61" s="8">
        <f t="shared" si="1"/>
        <v>42556.283043981479</v>
      </c>
    </row>
    <row r="62" spans="1:7" x14ac:dyDescent="0.25">
      <c r="A62" s="8">
        <v>42556.792442129627</v>
      </c>
      <c r="B62" s="33" t="s">
        <v>138</v>
      </c>
      <c r="C62" s="33" t="s">
        <v>407</v>
      </c>
      <c r="D62" s="33">
        <v>1140000</v>
      </c>
      <c r="E62" s="33" t="s">
        <v>150</v>
      </c>
      <c r="F62" s="33" t="str">
        <f t="shared" si="0"/>
        <v>rtdc.l.rtdc.4013:itc</v>
      </c>
      <c r="G62" s="8">
        <f t="shared" si="1"/>
        <v>42556.792442129627</v>
      </c>
    </row>
    <row r="63" spans="1:7" x14ac:dyDescent="0.25">
      <c r="A63" s="8">
        <v>42556.296423611115</v>
      </c>
      <c r="B63" s="33" t="s">
        <v>141</v>
      </c>
      <c r="C63" s="33" t="s">
        <v>466</v>
      </c>
      <c r="D63" s="33">
        <v>1230000</v>
      </c>
      <c r="E63" s="33" t="s">
        <v>281</v>
      </c>
      <c r="F63" s="33" t="str">
        <f t="shared" si="0"/>
        <v>rtdc.l.rtdc.4037:itc</v>
      </c>
      <c r="G63" s="8">
        <f t="shared" si="1"/>
        <v>42556.296423611115</v>
      </c>
    </row>
    <row r="64" spans="1:7" x14ac:dyDescent="0.25">
      <c r="A64" s="48">
        <v>42556.462361111109</v>
      </c>
      <c r="B64" s="33" t="s">
        <v>80</v>
      </c>
      <c r="C64" s="33" t="s">
        <v>467</v>
      </c>
      <c r="D64" s="33">
        <v>2030000</v>
      </c>
      <c r="E64" s="33" t="s">
        <v>434</v>
      </c>
      <c r="F64" s="33" t="str">
        <f t="shared" si="0"/>
        <v>rtdc.l.rtdc.4017:itc</v>
      </c>
      <c r="G64" s="8">
        <f t="shared" si="1"/>
        <v>42556.462361111109</v>
      </c>
    </row>
    <row r="65" spans="1:7" x14ac:dyDescent="0.25">
      <c r="A65" s="8">
        <v>42556.297939814816</v>
      </c>
      <c r="B65" s="33" t="s">
        <v>90</v>
      </c>
      <c r="C65" s="33" t="s">
        <v>468</v>
      </c>
      <c r="D65" s="33">
        <v>1540000</v>
      </c>
      <c r="E65" s="33" t="s">
        <v>173</v>
      </c>
      <c r="F65" s="33" t="str">
        <f t="shared" si="0"/>
        <v>rtdc.l.rtdc.4041:itc</v>
      </c>
      <c r="G65" s="8">
        <f t="shared" si="1"/>
        <v>42556.297939814816</v>
      </c>
    </row>
    <row r="66" spans="1:7" x14ac:dyDescent="0.25">
      <c r="A66" s="8">
        <v>42556.707997685182</v>
      </c>
      <c r="B66" s="33" t="s">
        <v>138</v>
      </c>
      <c r="C66" s="33" t="s">
        <v>469</v>
      </c>
      <c r="D66" s="33">
        <v>1140000</v>
      </c>
      <c r="E66" s="33" t="s">
        <v>150</v>
      </c>
      <c r="F66" s="33" t="str">
        <f t="shared" ref="F66:F129" si="2">B66</f>
        <v>rtdc.l.rtdc.4013:itc</v>
      </c>
      <c r="G66" s="8">
        <f t="shared" ref="G66:G129" si="3">A66</f>
        <v>42556.707997685182</v>
      </c>
    </row>
    <row r="67" spans="1:7" x14ac:dyDescent="0.25">
      <c r="A67" s="8">
        <v>42556.334583333337</v>
      </c>
      <c r="B67" s="33" t="s">
        <v>77</v>
      </c>
      <c r="C67" s="33" t="s">
        <v>470</v>
      </c>
      <c r="D67" s="33">
        <v>1090000</v>
      </c>
      <c r="E67" s="33" t="s">
        <v>149</v>
      </c>
      <c r="F67" s="33" t="str">
        <f t="shared" si="2"/>
        <v>rtdc.l.rtdc.4019:itc</v>
      </c>
      <c r="G67" s="8">
        <f t="shared" si="3"/>
        <v>42556.334583333337</v>
      </c>
    </row>
    <row r="68" spans="1:7" x14ac:dyDescent="0.25">
      <c r="A68" s="8">
        <v>42556.550034722219</v>
      </c>
      <c r="B68" s="33" t="s">
        <v>123</v>
      </c>
      <c r="C68" s="33" t="s">
        <v>471</v>
      </c>
      <c r="D68" s="33">
        <v>1120000</v>
      </c>
      <c r="E68" s="33" t="s">
        <v>172</v>
      </c>
      <c r="F68" s="33" t="str">
        <f t="shared" si="2"/>
        <v>rtdc.l.rtdc.4038:itc</v>
      </c>
      <c r="G68" s="8">
        <f t="shared" si="3"/>
        <v>42556.550034722219</v>
      </c>
    </row>
    <row r="69" spans="1:7" x14ac:dyDescent="0.25">
      <c r="A69" s="8">
        <v>42556.390300925923</v>
      </c>
      <c r="B69" s="33" t="s">
        <v>171</v>
      </c>
      <c r="C69" s="33" t="s">
        <v>472</v>
      </c>
      <c r="D69" s="33">
        <v>900000</v>
      </c>
      <c r="E69" s="33" t="s">
        <v>148</v>
      </c>
      <c r="F69" s="33" t="str">
        <f t="shared" si="2"/>
        <v>rtdc.l.rtdc.4044:itc</v>
      </c>
      <c r="G69" s="8">
        <f t="shared" si="3"/>
        <v>42556.390300925923</v>
      </c>
    </row>
    <row r="70" spans="1:7" x14ac:dyDescent="0.25">
      <c r="A70" s="8">
        <v>42556.512569444443</v>
      </c>
      <c r="B70" s="33" t="s">
        <v>185</v>
      </c>
      <c r="C70" s="33" t="s">
        <v>379</v>
      </c>
      <c r="D70" s="33">
        <v>1740000</v>
      </c>
      <c r="E70" s="33" t="s">
        <v>430</v>
      </c>
      <c r="F70" s="33" t="str">
        <f t="shared" si="2"/>
        <v>rtdc.l.rtdc.4040:itc</v>
      </c>
      <c r="G70" s="8">
        <f t="shared" si="3"/>
        <v>42556.512569444443</v>
      </c>
    </row>
    <row r="71" spans="1:7" x14ac:dyDescent="0.25">
      <c r="A71" s="8">
        <v>42556.422361111108</v>
      </c>
      <c r="B71" s="33" t="s">
        <v>69</v>
      </c>
      <c r="C71" s="33" t="s">
        <v>371</v>
      </c>
      <c r="D71" s="33">
        <v>1110000</v>
      </c>
      <c r="E71" s="33" t="s">
        <v>473</v>
      </c>
      <c r="F71" s="33" t="str">
        <f t="shared" si="2"/>
        <v>rtdc.l.rtdc.4032:itc</v>
      </c>
      <c r="G71" s="8">
        <f t="shared" si="3"/>
        <v>42556.422361111108</v>
      </c>
    </row>
    <row r="72" spans="1:7" x14ac:dyDescent="0.25">
      <c r="A72" s="8">
        <v>42556.808171296296</v>
      </c>
      <c r="B72" s="33" t="s">
        <v>77</v>
      </c>
      <c r="C72" s="33" t="s">
        <v>474</v>
      </c>
      <c r="D72" s="33">
        <v>1240000</v>
      </c>
      <c r="E72" s="33" t="s">
        <v>179</v>
      </c>
      <c r="F72" s="33" t="str">
        <f t="shared" si="2"/>
        <v>rtdc.l.rtdc.4019:itc</v>
      </c>
      <c r="G72" s="8">
        <f t="shared" si="3"/>
        <v>42556.808171296296</v>
      </c>
    </row>
    <row r="73" spans="1:7" x14ac:dyDescent="0.25">
      <c r="A73" s="8">
        <v>42556.441145833334</v>
      </c>
      <c r="B73" s="33" t="s">
        <v>278</v>
      </c>
      <c r="C73" s="33" t="s">
        <v>374</v>
      </c>
      <c r="D73" s="33">
        <v>1740000</v>
      </c>
      <c r="E73" s="33" t="s">
        <v>430</v>
      </c>
      <c r="F73" s="33" t="str">
        <f t="shared" si="2"/>
        <v>rtdc.l.rtdc.4039:itc</v>
      </c>
      <c r="G73" s="8">
        <f t="shared" si="3"/>
        <v>42556.441145833334</v>
      </c>
    </row>
    <row r="74" spans="1:7" x14ac:dyDescent="0.25">
      <c r="A74" s="8">
        <v>42556.722407407404</v>
      </c>
      <c r="B74" s="33" t="s">
        <v>176</v>
      </c>
      <c r="C74" s="33" t="s">
        <v>475</v>
      </c>
      <c r="D74" s="33">
        <v>2000000</v>
      </c>
      <c r="E74" s="33" t="s">
        <v>446</v>
      </c>
      <c r="F74" s="33" t="str">
        <f t="shared" si="2"/>
        <v>rtdc.l.rtdc.4043:itc</v>
      </c>
      <c r="G74" s="8">
        <f t="shared" si="3"/>
        <v>42556.722407407404</v>
      </c>
    </row>
    <row r="75" spans="1:7" x14ac:dyDescent="0.25">
      <c r="A75" s="8">
        <v>42556.471562500003</v>
      </c>
      <c r="B75" s="33" t="s">
        <v>185</v>
      </c>
      <c r="C75" s="33" t="s">
        <v>376</v>
      </c>
      <c r="D75" s="33">
        <v>1740000</v>
      </c>
      <c r="E75" s="33" t="s">
        <v>430</v>
      </c>
      <c r="F75" s="33" t="str">
        <f t="shared" si="2"/>
        <v>rtdc.l.rtdc.4040:itc</v>
      </c>
      <c r="G75" s="8">
        <f t="shared" si="3"/>
        <v>42556.471562500003</v>
      </c>
    </row>
    <row r="76" spans="1:7" x14ac:dyDescent="0.25">
      <c r="A76" s="8">
        <v>42556.694074074076</v>
      </c>
      <c r="B76" s="33" t="s">
        <v>171</v>
      </c>
      <c r="C76" s="33" t="s">
        <v>476</v>
      </c>
      <c r="D76" s="33">
        <v>2000000</v>
      </c>
      <c r="E76" s="33" t="s">
        <v>446</v>
      </c>
      <c r="F76" s="33" t="str">
        <f t="shared" si="2"/>
        <v>rtdc.l.rtdc.4044:itc</v>
      </c>
      <c r="G76" s="8">
        <f t="shared" si="3"/>
        <v>42556.694074074076</v>
      </c>
    </row>
    <row r="77" spans="1:7" x14ac:dyDescent="0.25">
      <c r="A77" s="8">
        <v>42556.480462962965</v>
      </c>
      <c r="B77" s="33" t="s">
        <v>77</v>
      </c>
      <c r="C77" s="33" t="s">
        <v>378</v>
      </c>
      <c r="D77" s="33">
        <v>940000</v>
      </c>
      <c r="E77" s="33" t="s">
        <v>182</v>
      </c>
      <c r="F77" s="33" t="str">
        <f t="shared" si="2"/>
        <v>rtdc.l.rtdc.4019:itc</v>
      </c>
      <c r="G77" s="8">
        <f t="shared" si="3"/>
        <v>42556.480462962965</v>
      </c>
    </row>
    <row r="78" spans="1:7" x14ac:dyDescent="0.25">
      <c r="A78" s="8">
        <v>42556.6015162037</v>
      </c>
      <c r="B78" s="33" t="s">
        <v>140</v>
      </c>
      <c r="C78" s="33" t="s">
        <v>477</v>
      </c>
      <c r="D78" s="33">
        <v>2020000</v>
      </c>
      <c r="E78" s="33" t="s">
        <v>417</v>
      </c>
      <c r="F78" s="33" t="str">
        <f t="shared" si="2"/>
        <v>rtdc.l.rtdc.4028:itc</v>
      </c>
      <c r="G78" s="8">
        <f t="shared" si="3"/>
        <v>42556.6015162037</v>
      </c>
    </row>
    <row r="79" spans="1:7" x14ac:dyDescent="0.25">
      <c r="A79" s="8">
        <v>42556.73709490741</v>
      </c>
      <c r="B79" s="33" t="s">
        <v>141</v>
      </c>
      <c r="C79" s="33" t="s">
        <v>478</v>
      </c>
      <c r="D79" s="33">
        <v>1120000</v>
      </c>
      <c r="E79" s="33" t="s">
        <v>172</v>
      </c>
      <c r="F79" s="33" t="str">
        <f t="shared" si="2"/>
        <v>rtdc.l.rtdc.4037:itc</v>
      </c>
      <c r="G79" s="8">
        <f t="shared" si="3"/>
        <v>42556.73709490741</v>
      </c>
    </row>
    <row r="80" spans="1:7" x14ac:dyDescent="0.25">
      <c r="A80" s="8">
        <v>42556.601701388892</v>
      </c>
      <c r="B80" s="33" t="s">
        <v>82</v>
      </c>
      <c r="C80" s="33" t="s">
        <v>389</v>
      </c>
      <c r="D80" s="33">
        <v>1290000</v>
      </c>
      <c r="E80" s="33" t="s">
        <v>286</v>
      </c>
      <c r="F80" s="33" t="str">
        <f t="shared" si="2"/>
        <v>rtdc.l.rtdc.4031:itc</v>
      </c>
      <c r="G80" s="8">
        <f t="shared" si="3"/>
        <v>42556.601701388892</v>
      </c>
    </row>
    <row r="81" spans="1:7" x14ac:dyDescent="0.25">
      <c r="A81" s="8">
        <v>42557.155034722222</v>
      </c>
      <c r="B81" s="33" t="s">
        <v>130</v>
      </c>
      <c r="C81" s="33" t="s">
        <v>479</v>
      </c>
      <c r="D81" s="33">
        <v>1110000</v>
      </c>
      <c r="E81" s="33" t="s">
        <v>473</v>
      </c>
      <c r="F81" s="33" t="str">
        <f t="shared" si="2"/>
        <v>rtdc.l.rtdc.4011:itc</v>
      </c>
      <c r="G81" s="8">
        <f t="shared" si="3"/>
        <v>42557.155034722222</v>
      </c>
    </row>
    <row r="82" spans="1:7" x14ac:dyDescent="0.25">
      <c r="A82" s="8">
        <v>42556.425428240742</v>
      </c>
      <c r="B82" s="33" t="s">
        <v>79</v>
      </c>
      <c r="C82" s="33" t="s">
        <v>373</v>
      </c>
      <c r="D82" s="33">
        <v>2030000</v>
      </c>
      <c r="E82" s="33" t="s">
        <v>434</v>
      </c>
      <c r="F82" s="33" t="str">
        <f t="shared" si="2"/>
        <v>rtdc.l.rtdc.4018:itc</v>
      </c>
      <c r="G82" s="8">
        <f t="shared" si="3"/>
        <v>42556.425428240742</v>
      </c>
    </row>
    <row r="83" spans="1:7" x14ac:dyDescent="0.25">
      <c r="A83" s="8">
        <v>42556.660810185182</v>
      </c>
      <c r="B83" s="33" t="s">
        <v>141</v>
      </c>
      <c r="C83" s="33" t="s">
        <v>394</v>
      </c>
      <c r="D83" s="33">
        <v>1120000</v>
      </c>
      <c r="E83" s="33" t="s">
        <v>172</v>
      </c>
      <c r="F83" s="33" t="str">
        <f t="shared" si="2"/>
        <v>rtdc.l.rtdc.4037:itc</v>
      </c>
      <c r="G83" s="8">
        <f t="shared" si="3"/>
        <v>42556.660810185182</v>
      </c>
    </row>
    <row r="84" spans="1:7" x14ac:dyDescent="0.25">
      <c r="A84" s="8">
        <v>42556.404583333337</v>
      </c>
      <c r="B84" s="33" t="s">
        <v>123</v>
      </c>
      <c r="C84" s="33" t="s">
        <v>480</v>
      </c>
      <c r="D84" s="33">
        <v>1230000</v>
      </c>
      <c r="E84" s="33" t="s">
        <v>281</v>
      </c>
      <c r="F84" s="33" t="str">
        <f t="shared" si="2"/>
        <v>rtdc.l.rtdc.4038:itc</v>
      </c>
      <c r="G84" s="8">
        <f t="shared" si="3"/>
        <v>42556.404583333337</v>
      </c>
    </row>
    <row r="85" spans="1:7" x14ac:dyDescent="0.25">
      <c r="A85" s="8">
        <v>42556.766574074078</v>
      </c>
      <c r="B85" s="33" t="s">
        <v>80</v>
      </c>
      <c r="C85" s="33" t="s">
        <v>481</v>
      </c>
      <c r="D85" s="33">
        <v>1180000</v>
      </c>
      <c r="E85" s="33" t="s">
        <v>418</v>
      </c>
      <c r="F85" s="33" t="str">
        <f t="shared" si="2"/>
        <v>rtdc.l.rtdc.4017:itc</v>
      </c>
      <c r="G85" s="8">
        <f t="shared" si="3"/>
        <v>42556.766574074078</v>
      </c>
    </row>
    <row r="86" spans="1:7" x14ac:dyDescent="0.25">
      <c r="A86" s="8">
        <v>42556.346400462964</v>
      </c>
      <c r="B86" s="33" t="s">
        <v>185</v>
      </c>
      <c r="C86" s="33" t="s">
        <v>367</v>
      </c>
      <c r="D86" s="33">
        <v>1740000</v>
      </c>
      <c r="E86" s="33" t="s">
        <v>430</v>
      </c>
      <c r="F86" s="33" t="str">
        <f t="shared" si="2"/>
        <v>rtdc.l.rtdc.4040:itc</v>
      </c>
      <c r="G86" s="8">
        <f t="shared" si="3"/>
        <v>42556.346400462964</v>
      </c>
    </row>
    <row r="87" spans="1:7" x14ac:dyDescent="0.25">
      <c r="A87" s="8">
        <v>42556.87127314815</v>
      </c>
      <c r="B87" s="33" t="s">
        <v>82</v>
      </c>
      <c r="C87" s="33" t="s">
        <v>482</v>
      </c>
      <c r="D87" s="33">
        <v>1820000</v>
      </c>
      <c r="E87" s="33" t="s">
        <v>115</v>
      </c>
      <c r="F87" s="33" t="str">
        <f t="shared" si="2"/>
        <v>rtdc.l.rtdc.4031:itc</v>
      </c>
      <c r="G87" s="8">
        <f t="shared" si="3"/>
        <v>42556.87127314815</v>
      </c>
    </row>
    <row r="88" spans="1:7" x14ac:dyDescent="0.25">
      <c r="A88" s="8">
        <v>42556.339502314811</v>
      </c>
      <c r="B88" s="33" t="s">
        <v>90</v>
      </c>
      <c r="C88" s="33" t="s">
        <v>483</v>
      </c>
      <c r="D88" s="33">
        <v>1540000</v>
      </c>
      <c r="E88" s="33" t="s">
        <v>173</v>
      </c>
      <c r="F88" s="33" t="str">
        <f t="shared" si="2"/>
        <v>rtdc.l.rtdc.4041:itc</v>
      </c>
      <c r="G88" s="8">
        <f t="shared" si="3"/>
        <v>42556.339502314811</v>
      </c>
    </row>
    <row r="89" spans="1:7" x14ac:dyDescent="0.25">
      <c r="A89" s="8">
        <v>42556.87164351852</v>
      </c>
      <c r="B89" s="33" t="s">
        <v>131</v>
      </c>
      <c r="C89" s="33" t="s">
        <v>412</v>
      </c>
      <c r="D89" s="33">
        <v>1760000</v>
      </c>
      <c r="E89" s="33" t="s">
        <v>181</v>
      </c>
      <c r="F89" s="33" t="str">
        <f t="shared" si="2"/>
        <v>rtdc.l.rtdc.4012:itc</v>
      </c>
      <c r="G89" s="8">
        <f t="shared" si="3"/>
        <v>42556.87164351852</v>
      </c>
    </row>
    <row r="90" spans="1:7" x14ac:dyDescent="0.25">
      <c r="A90" s="8">
        <v>42557.032719907409</v>
      </c>
      <c r="B90" s="33" t="s">
        <v>140</v>
      </c>
      <c r="C90" s="33" t="s">
        <v>414</v>
      </c>
      <c r="D90" s="33">
        <v>1180000</v>
      </c>
      <c r="E90" s="33" t="s">
        <v>418</v>
      </c>
      <c r="F90" s="33" t="str">
        <f t="shared" si="2"/>
        <v>rtdc.l.rtdc.4028:itc</v>
      </c>
      <c r="G90" s="8">
        <f t="shared" si="3"/>
        <v>42557.032719907409</v>
      </c>
    </row>
    <row r="91" spans="1:7" x14ac:dyDescent="0.25">
      <c r="A91" s="8">
        <v>42557.017326388886</v>
      </c>
      <c r="B91" s="33" t="s">
        <v>78</v>
      </c>
      <c r="C91" s="33" t="s">
        <v>484</v>
      </c>
      <c r="D91" s="33">
        <v>1240000</v>
      </c>
      <c r="E91" s="33" t="s">
        <v>179</v>
      </c>
      <c r="F91" s="33" t="str">
        <f t="shared" si="2"/>
        <v>rtdc.l.rtdc.4020:itc</v>
      </c>
      <c r="G91" s="8">
        <f t="shared" si="3"/>
        <v>42557.017326388886</v>
      </c>
    </row>
    <row r="92" spans="1:7" x14ac:dyDescent="0.25">
      <c r="A92" s="8">
        <v>42556.993020833332</v>
      </c>
      <c r="B92" s="33" t="s">
        <v>69</v>
      </c>
      <c r="C92" s="33" t="s">
        <v>485</v>
      </c>
      <c r="D92" s="33">
        <v>1820000</v>
      </c>
      <c r="E92" s="33" t="s">
        <v>115</v>
      </c>
      <c r="F92" s="33" t="str">
        <f t="shared" si="2"/>
        <v>rtdc.l.rtdc.4032:itc</v>
      </c>
      <c r="G92" s="8">
        <f t="shared" si="3"/>
        <v>42556.993020833332</v>
      </c>
    </row>
    <row r="93" spans="1:7" x14ac:dyDescent="0.25">
      <c r="A93" s="8">
        <v>42557.056064814817</v>
      </c>
      <c r="B93" s="33" t="s">
        <v>451</v>
      </c>
      <c r="C93" s="33" t="s">
        <v>452</v>
      </c>
      <c r="D93" s="33">
        <v>0</v>
      </c>
      <c r="E93" s="33" t="s">
        <v>453</v>
      </c>
      <c r="F93" s="33" t="str">
        <f t="shared" si="2"/>
        <v>rtdc.l.rtdc.4005:itc</v>
      </c>
      <c r="G93" s="8">
        <f t="shared" si="3"/>
        <v>42557.056064814817</v>
      </c>
    </row>
    <row r="94" spans="1:7" x14ac:dyDescent="0.25">
      <c r="A94" s="8">
        <v>42556.828425925924</v>
      </c>
      <c r="B94" s="33" t="s">
        <v>69</v>
      </c>
      <c r="C94" s="33" t="s">
        <v>408</v>
      </c>
      <c r="D94" s="33">
        <v>1820000</v>
      </c>
      <c r="E94" s="33" t="s">
        <v>115</v>
      </c>
      <c r="F94" s="33" t="str">
        <f t="shared" si="2"/>
        <v>rtdc.l.rtdc.4032:itc</v>
      </c>
      <c r="G94" s="8">
        <f t="shared" si="3"/>
        <v>42556.828425925924</v>
      </c>
    </row>
    <row r="95" spans="1:7" x14ac:dyDescent="0.25">
      <c r="A95" s="8">
        <v>42557.131574074076</v>
      </c>
      <c r="B95" s="33" t="s">
        <v>91</v>
      </c>
      <c r="C95" s="33" t="s">
        <v>486</v>
      </c>
      <c r="D95" s="33">
        <v>1830000</v>
      </c>
      <c r="E95" s="33" t="s">
        <v>158</v>
      </c>
      <c r="F95" s="33" t="str">
        <f t="shared" si="2"/>
        <v>rtdc.l.rtdc.4042:itc</v>
      </c>
      <c r="G95" s="8">
        <f t="shared" si="3"/>
        <v>42557.131574074076</v>
      </c>
    </row>
    <row r="96" spans="1:7" x14ac:dyDescent="0.25">
      <c r="A96" s="8">
        <v>42556.648055555554</v>
      </c>
      <c r="B96" s="33" t="s">
        <v>145</v>
      </c>
      <c r="C96" s="33" t="s">
        <v>393</v>
      </c>
      <c r="D96" s="33">
        <v>2020000</v>
      </c>
      <c r="E96" s="33" t="s">
        <v>417</v>
      </c>
      <c r="F96" s="33" t="str">
        <f t="shared" si="2"/>
        <v>rtdc.l.rtdc.4027:itc</v>
      </c>
      <c r="G96" s="8">
        <f t="shared" si="3"/>
        <v>42556.648055555554</v>
      </c>
    </row>
    <row r="97" spans="1:7" x14ac:dyDescent="0.25">
      <c r="A97" s="8">
        <v>42556.920162037037</v>
      </c>
      <c r="B97" s="33" t="s">
        <v>185</v>
      </c>
      <c r="C97" s="33" t="s">
        <v>413</v>
      </c>
      <c r="D97" s="33">
        <v>910000</v>
      </c>
      <c r="E97" s="33" t="s">
        <v>423</v>
      </c>
      <c r="F97" s="33" t="str">
        <f t="shared" si="2"/>
        <v>rtdc.l.rtdc.4040:itc</v>
      </c>
      <c r="G97" s="8">
        <f t="shared" si="3"/>
        <v>42556.920162037037</v>
      </c>
    </row>
    <row r="98" spans="1:7" x14ac:dyDescent="0.25">
      <c r="A98" s="8">
        <v>42556.567824074074</v>
      </c>
      <c r="B98" s="33" t="s">
        <v>69</v>
      </c>
      <c r="C98" s="33" t="s">
        <v>386</v>
      </c>
      <c r="D98" s="33">
        <v>1290000</v>
      </c>
      <c r="E98" s="33" t="s">
        <v>286</v>
      </c>
      <c r="F98" s="33" t="str">
        <f t="shared" si="2"/>
        <v>rtdc.l.rtdc.4032:itc</v>
      </c>
      <c r="G98" s="8">
        <f t="shared" si="3"/>
        <v>42556.567824074074</v>
      </c>
    </row>
    <row r="99" spans="1:7" x14ac:dyDescent="0.25">
      <c r="A99" s="8">
        <v>42557.050798611112</v>
      </c>
      <c r="B99" s="33" t="s">
        <v>451</v>
      </c>
      <c r="C99" s="33" t="s">
        <v>452</v>
      </c>
      <c r="D99" s="33">
        <v>0</v>
      </c>
      <c r="E99" s="33" t="s">
        <v>453</v>
      </c>
      <c r="F99" s="33" t="str">
        <f t="shared" si="2"/>
        <v>rtdc.l.rtdc.4005:itc</v>
      </c>
      <c r="G99" s="8">
        <f t="shared" si="3"/>
        <v>42557.050798611112</v>
      </c>
    </row>
    <row r="100" spans="1:7" x14ac:dyDescent="0.25">
      <c r="A100" s="8">
        <v>42556.412164351852</v>
      </c>
      <c r="B100" s="33" t="s">
        <v>77</v>
      </c>
      <c r="C100" s="33" t="s">
        <v>487</v>
      </c>
      <c r="D100" s="33">
        <v>1090000</v>
      </c>
      <c r="E100" s="33" t="s">
        <v>149</v>
      </c>
      <c r="F100" s="33" t="str">
        <f t="shared" si="2"/>
        <v>rtdc.l.rtdc.4019:itc</v>
      </c>
      <c r="G100" s="8">
        <f t="shared" si="3"/>
        <v>42556.412164351852</v>
      </c>
    </row>
    <row r="101" spans="1:7" x14ac:dyDescent="0.25">
      <c r="A101" s="8">
        <v>42556.536516203705</v>
      </c>
      <c r="B101" s="33" t="s">
        <v>171</v>
      </c>
      <c r="C101" s="33" t="s">
        <v>488</v>
      </c>
      <c r="D101" s="33">
        <v>2000000</v>
      </c>
      <c r="E101" s="33" t="s">
        <v>446</v>
      </c>
      <c r="F101" s="33" t="str">
        <f t="shared" si="2"/>
        <v>rtdc.l.rtdc.4044:itc</v>
      </c>
      <c r="G101" s="8">
        <f t="shared" si="3"/>
        <v>42556.536516203705</v>
      </c>
    </row>
    <row r="102" spans="1:7" x14ac:dyDescent="0.25">
      <c r="A102" s="8">
        <v>42556.36010416667</v>
      </c>
      <c r="B102" s="33" t="s">
        <v>137</v>
      </c>
      <c r="C102" s="33" t="s">
        <v>489</v>
      </c>
      <c r="D102" s="33">
        <v>1480000</v>
      </c>
      <c r="E102" s="33" t="s">
        <v>132</v>
      </c>
      <c r="F102" s="33" t="str">
        <f t="shared" si="2"/>
        <v>rtdc.l.rtdc.4014:itc</v>
      </c>
      <c r="G102" s="8">
        <f t="shared" si="3"/>
        <v>42556.36010416667</v>
      </c>
    </row>
    <row r="103" spans="1:7" x14ac:dyDescent="0.25">
      <c r="A103" s="8">
        <v>42556.65116898148</v>
      </c>
      <c r="B103" s="33" t="s">
        <v>176</v>
      </c>
      <c r="C103" s="33" t="s">
        <v>490</v>
      </c>
      <c r="D103" s="33">
        <v>2000000</v>
      </c>
      <c r="E103" s="33" t="s">
        <v>446</v>
      </c>
      <c r="F103" s="33" t="str">
        <f t="shared" si="2"/>
        <v>rtdc.l.rtdc.4043:itc</v>
      </c>
      <c r="G103" s="8">
        <f t="shared" si="3"/>
        <v>42556.65116898148</v>
      </c>
    </row>
    <row r="104" spans="1:7" x14ac:dyDescent="0.25">
      <c r="A104" s="8">
        <v>42556.349780092591</v>
      </c>
      <c r="B104" s="33" t="s">
        <v>69</v>
      </c>
      <c r="C104" s="33" t="s">
        <v>491</v>
      </c>
      <c r="D104" s="33">
        <v>1110000</v>
      </c>
      <c r="E104" s="33" t="s">
        <v>473</v>
      </c>
      <c r="F104" s="33" t="str">
        <f t="shared" si="2"/>
        <v>rtdc.l.rtdc.4032:itc</v>
      </c>
      <c r="G104" s="8">
        <f t="shared" si="3"/>
        <v>42556.349780092591</v>
      </c>
    </row>
    <row r="105" spans="1:7" x14ac:dyDescent="0.25">
      <c r="A105" s="8">
        <v>42556.700949074075</v>
      </c>
      <c r="B105" s="33" t="s">
        <v>77</v>
      </c>
      <c r="C105" s="33" t="s">
        <v>492</v>
      </c>
      <c r="D105" s="33">
        <v>940000</v>
      </c>
      <c r="E105" s="33" t="s">
        <v>182</v>
      </c>
      <c r="F105" s="33" t="str">
        <f t="shared" si="2"/>
        <v>rtdc.l.rtdc.4019:itc</v>
      </c>
      <c r="G105" s="8">
        <f t="shared" si="3"/>
        <v>42556.700949074075</v>
      </c>
    </row>
    <row r="106" spans="1:7" x14ac:dyDescent="0.25">
      <c r="A106" s="8">
        <v>42556.316608796296</v>
      </c>
      <c r="B106" s="33" t="s">
        <v>80</v>
      </c>
      <c r="C106" s="33" t="s">
        <v>450</v>
      </c>
      <c r="D106" s="33">
        <v>1100000</v>
      </c>
      <c r="E106" s="33" t="s">
        <v>175</v>
      </c>
      <c r="F106" s="33" t="str">
        <f t="shared" si="2"/>
        <v>rtdc.l.rtdc.4017:itc</v>
      </c>
      <c r="G106" s="8">
        <f t="shared" si="3"/>
        <v>42556.316608796296</v>
      </c>
    </row>
    <row r="107" spans="1:7" x14ac:dyDescent="0.25">
      <c r="A107" s="8">
        <v>42556.732372685183</v>
      </c>
      <c r="B107" s="33" t="s">
        <v>79</v>
      </c>
      <c r="C107" s="33" t="s">
        <v>401</v>
      </c>
      <c r="D107" s="33">
        <v>1180000</v>
      </c>
      <c r="E107" s="33" t="s">
        <v>418</v>
      </c>
      <c r="F107" s="33" t="str">
        <f t="shared" si="2"/>
        <v>rtdc.l.rtdc.4018:itc</v>
      </c>
      <c r="G107" s="8">
        <f t="shared" si="3"/>
        <v>42556.732372685183</v>
      </c>
    </row>
    <row r="108" spans="1:7" x14ac:dyDescent="0.25">
      <c r="A108" s="8">
        <v>42556.308831018519</v>
      </c>
      <c r="B108" s="33" t="s">
        <v>82</v>
      </c>
      <c r="C108" s="33" t="s">
        <v>365</v>
      </c>
      <c r="D108" s="33">
        <v>1110000</v>
      </c>
      <c r="E108" s="33" t="s">
        <v>473</v>
      </c>
      <c r="F108" s="33" t="str">
        <f t="shared" si="2"/>
        <v>rtdc.l.rtdc.4031:itc</v>
      </c>
      <c r="G108" s="8">
        <f t="shared" si="3"/>
        <v>42556.308831018519</v>
      </c>
    </row>
    <row r="109" spans="1:7" x14ac:dyDescent="0.25">
      <c r="A109" s="8">
        <v>42556.623379629629</v>
      </c>
      <c r="B109" s="33" t="s">
        <v>123</v>
      </c>
      <c r="C109" s="33" t="s">
        <v>493</v>
      </c>
      <c r="D109" s="33">
        <v>1120000</v>
      </c>
      <c r="E109" s="33" t="s">
        <v>172</v>
      </c>
      <c r="F109" s="33" t="str">
        <f t="shared" si="2"/>
        <v>rtdc.l.rtdc.4038:itc</v>
      </c>
      <c r="G109" s="8">
        <f t="shared" si="3"/>
        <v>42556.623379629629</v>
      </c>
    </row>
    <row r="110" spans="1:7" x14ac:dyDescent="0.25">
      <c r="A110" s="8">
        <v>42556.287615740737</v>
      </c>
      <c r="B110" s="33" t="s">
        <v>176</v>
      </c>
      <c r="C110" s="33" t="s">
        <v>362</v>
      </c>
      <c r="D110" s="33">
        <v>900000</v>
      </c>
      <c r="E110" s="33" t="s">
        <v>148</v>
      </c>
      <c r="F110" s="33" t="str">
        <f t="shared" si="2"/>
        <v>rtdc.l.rtdc.4043:itc</v>
      </c>
      <c r="G110" s="8">
        <f t="shared" si="3"/>
        <v>42556.287615740737</v>
      </c>
    </row>
    <row r="111" spans="1:7" x14ac:dyDescent="0.25">
      <c r="A111" s="8">
        <v>42556.761307870373</v>
      </c>
      <c r="B111" s="33" t="s">
        <v>185</v>
      </c>
      <c r="C111" s="33" t="s">
        <v>403</v>
      </c>
      <c r="D111" s="33">
        <v>910000</v>
      </c>
      <c r="E111" s="33" t="s">
        <v>423</v>
      </c>
      <c r="F111" s="33" t="str">
        <f t="shared" si="2"/>
        <v>rtdc.l.rtdc.4040:itc</v>
      </c>
      <c r="G111" s="8">
        <f t="shared" si="3"/>
        <v>42556.761307870373</v>
      </c>
    </row>
    <row r="112" spans="1:7" x14ac:dyDescent="0.25">
      <c r="A112" s="8">
        <v>42556.257199074076</v>
      </c>
      <c r="B112" s="33" t="s">
        <v>90</v>
      </c>
      <c r="C112" s="33" t="s">
        <v>494</v>
      </c>
      <c r="D112" s="33">
        <v>1540000</v>
      </c>
      <c r="E112" s="33" t="s">
        <v>173</v>
      </c>
      <c r="F112" s="33" t="str">
        <f t="shared" si="2"/>
        <v>rtdc.l.rtdc.4041:itc</v>
      </c>
      <c r="G112" s="8">
        <f t="shared" si="3"/>
        <v>42556.257199074076</v>
      </c>
    </row>
    <row r="113" spans="1:7" x14ac:dyDescent="0.25">
      <c r="A113" s="8">
        <v>42556.877118055556</v>
      </c>
      <c r="B113" s="33" t="s">
        <v>123</v>
      </c>
      <c r="C113" s="33" t="s">
        <v>495</v>
      </c>
      <c r="D113" s="33">
        <v>1280000</v>
      </c>
      <c r="E113" s="33" t="s">
        <v>142</v>
      </c>
      <c r="F113" s="33" t="str">
        <f t="shared" si="2"/>
        <v>rtdc.l.rtdc.4038:itc</v>
      </c>
      <c r="G113" s="8">
        <f t="shared" si="3"/>
        <v>42556.877118055556</v>
      </c>
    </row>
    <row r="114" spans="1:7" x14ac:dyDescent="0.25">
      <c r="A114" s="8">
        <v>42556.250393518516</v>
      </c>
      <c r="B114" s="33" t="s">
        <v>140</v>
      </c>
      <c r="C114" s="33" t="s">
        <v>496</v>
      </c>
      <c r="D114" s="33">
        <v>1340000</v>
      </c>
      <c r="E114" s="33" t="s">
        <v>161</v>
      </c>
      <c r="F114" s="33" t="str">
        <f t="shared" si="2"/>
        <v>rtdc.l.rtdc.4028:itc</v>
      </c>
      <c r="G114" s="8">
        <f t="shared" si="3"/>
        <v>42556.250393518516</v>
      </c>
    </row>
    <row r="115" spans="1:7" x14ac:dyDescent="0.25">
      <c r="A115" s="8">
        <v>42556.974618055552</v>
      </c>
      <c r="B115" s="33" t="s">
        <v>77</v>
      </c>
      <c r="C115" s="33" t="s">
        <v>497</v>
      </c>
      <c r="D115" s="33">
        <v>1240000</v>
      </c>
      <c r="E115" s="33" t="s">
        <v>179</v>
      </c>
      <c r="F115" s="33" t="str">
        <f t="shared" si="2"/>
        <v>rtdc.l.rtdc.4019:itc</v>
      </c>
      <c r="G115" s="8">
        <f t="shared" si="3"/>
        <v>42556.974618055552</v>
      </c>
    </row>
    <row r="116" spans="1:7" x14ac:dyDescent="0.25">
      <c r="A116" s="8">
        <v>42556.23238425926</v>
      </c>
      <c r="B116" s="33" t="s">
        <v>82</v>
      </c>
      <c r="C116" s="33" t="s">
        <v>360</v>
      </c>
      <c r="D116" s="33">
        <v>1120000</v>
      </c>
      <c r="E116" s="33" t="s">
        <v>172</v>
      </c>
      <c r="F116" s="33" t="str">
        <f t="shared" si="2"/>
        <v>rtdc.l.rtdc.4031:itc</v>
      </c>
      <c r="G116" s="8">
        <f t="shared" si="3"/>
        <v>42556.23238425926</v>
      </c>
    </row>
    <row r="117" spans="1:7" x14ac:dyDescent="0.25">
      <c r="A117" s="8">
        <v>42556.66375</v>
      </c>
      <c r="B117" s="33" t="s">
        <v>78</v>
      </c>
      <c r="C117" s="33" t="s">
        <v>498</v>
      </c>
      <c r="D117" s="33">
        <v>940000</v>
      </c>
      <c r="E117" s="33" t="s">
        <v>182</v>
      </c>
      <c r="F117" s="33" t="str">
        <f t="shared" si="2"/>
        <v>rtdc.l.rtdc.4020:itc</v>
      </c>
      <c r="G117" s="8">
        <f t="shared" si="3"/>
        <v>42556.66375</v>
      </c>
    </row>
    <row r="118" spans="1:7" x14ac:dyDescent="0.25">
      <c r="A118" s="8">
        <v>42556.214456018519</v>
      </c>
      <c r="B118" s="33" t="s">
        <v>131</v>
      </c>
      <c r="C118" s="33" t="s">
        <v>359</v>
      </c>
      <c r="D118" s="33">
        <v>900000</v>
      </c>
      <c r="E118" s="33" t="s">
        <v>148</v>
      </c>
      <c r="F118" s="33" t="str">
        <f t="shared" si="2"/>
        <v>rtdc.l.rtdc.4012:itc</v>
      </c>
      <c r="G118" s="8">
        <f t="shared" si="3"/>
        <v>42556.214456018519</v>
      </c>
    </row>
    <row r="119" spans="1:7" x14ac:dyDescent="0.25">
      <c r="A119" s="8">
        <v>42556.735717592594</v>
      </c>
      <c r="B119" s="33" t="s">
        <v>141</v>
      </c>
      <c r="C119" s="33" t="s">
        <v>478</v>
      </c>
      <c r="D119" s="33">
        <v>1120000</v>
      </c>
      <c r="E119" s="33" t="s">
        <v>172</v>
      </c>
      <c r="F119" s="33" t="str">
        <f t="shared" si="2"/>
        <v>rtdc.l.rtdc.4037:itc</v>
      </c>
      <c r="G119" s="8">
        <f t="shared" si="3"/>
        <v>42556.735717592594</v>
      </c>
    </row>
    <row r="120" spans="1:7" x14ac:dyDescent="0.25">
      <c r="A120" s="8">
        <v>42556.214143518519</v>
      </c>
      <c r="B120" s="33" t="s">
        <v>137</v>
      </c>
      <c r="C120" s="33" t="s">
        <v>499</v>
      </c>
      <c r="D120" s="33">
        <v>1480000</v>
      </c>
      <c r="E120" s="33" t="s">
        <v>132</v>
      </c>
      <c r="F120" s="33" t="str">
        <f t="shared" si="2"/>
        <v>rtdc.l.rtdc.4014:itc</v>
      </c>
      <c r="G120" s="8">
        <f t="shared" si="3"/>
        <v>42556.214143518519</v>
      </c>
    </row>
    <row r="121" spans="1:7" x14ac:dyDescent="0.25">
      <c r="A121" s="8">
        <v>42556.191099537034</v>
      </c>
      <c r="B121" s="33" t="s">
        <v>123</v>
      </c>
      <c r="C121" s="33" t="s">
        <v>460</v>
      </c>
      <c r="D121" s="33">
        <v>1230000</v>
      </c>
      <c r="E121" s="33" t="s">
        <v>281</v>
      </c>
      <c r="F121" s="33" t="str">
        <f t="shared" si="2"/>
        <v>rtdc.l.rtdc.4038:itc</v>
      </c>
      <c r="G121" s="8">
        <f t="shared" si="3"/>
        <v>42556.191099537034</v>
      </c>
    </row>
    <row r="122" spans="1:7" x14ac:dyDescent="0.25">
      <c r="A122" s="8">
        <v>42556.213645833333</v>
      </c>
      <c r="B122" s="47" t="s">
        <v>90</v>
      </c>
      <c r="C122" s="33" t="s">
        <v>500</v>
      </c>
      <c r="D122" s="33">
        <v>1540000</v>
      </c>
      <c r="E122" s="33" t="s">
        <v>173</v>
      </c>
      <c r="F122" s="33" t="str">
        <f t="shared" si="2"/>
        <v>rtdc.l.rtdc.4041:itc</v>
      </c>
      <c r="G122" s="8">
        <f t="shared" si="3"/>
        <v>42556.213645833333</v>
      </c>
    </row>
    <row r="123" spans="1:7" x14ac:dyDescent="0.25">
      <c r="A123" s="8">
        <v>42556.340729166666</v>
      </c>
      <c r="B123" s="33" t="s">
        <v>145</v>
      </c>
      <c r="C123" s="33" t="s">
        <v>366</v>
      </c>
      <c r="D123" s="33">
        <v>1340000</v>
      </c>
      <c r="E123" s="33" t="s">
        <v>161</v>
      </c>
      <c r="F123" s="33" t="str">
        <f t="shared" si="2"/>
        <v>rtdc.l.rtdc.4027:itc</v>
      </c>
      <c r="G123" s="8">
        <f t="shared" si="3"/>
        <v>42556.340729166666</v>
      </c>
    </row>
    <row r="124" spans="1:7" x14ac:dyDescent="0.25">
      <c r="A124" s="8">
        <v>42556.047743055555</v>
      </c>
      <c r="B124" s="33" t="s">
        <v>91</v>
      </c>
      <c r="C124" s="33" t="s">
        <v>501</v>
      </c>
      <c r="D124" s="33">
        <v>1290000</v>
      </c>
      <c r="E124" s="33" t="s">
        <v>286</v>
      </c>
      <c r="F124" s="33" t="str">
        <f t="shared" si="2"/>
        <v>rtdc.l.rtdc.4042:itc</v>
      </c>
      <c r="G124" s="8">
        <f t="shared" si="3"/>
        <v>42556.047743055555</v>
      </c>
    </row>
    <row r="125" spans="1:7" x14ac:dyDescent="0.25">
      <c r="A125" s="8">
        <v>42556.207499999997</v>
      </c>
      <c r="B125" s="33" t="s">
        <v>79</v>
      </c>
      <c r="C125" s="33" t="s">
        <v>502</v>
      </c>
      <c r="D125" s="33">
        <v>1100000</v>
      </c>
      <c r="E125" s="33" t="s">
        <v>175</v>
      </c>
      <c r="F125" s="33" t="str">
        <f t="shared" si="2"/>
        <v>rtdc.l.rtdc.4018:itc</v>
      </c>
      <c r="G125" s="8">
        <f t="shared" si="3"/>
        <v>42556.207499999997</v>
      </c>
    </row>
    <row r="126" spans="1:7" x14ac:dyDescent="0.25">
      <c r="A126" s="8">
        <v>42556.949918981481</v>
      </c>
      <c r="B126" s="33" t="s">
        <v>78</v>
      </c>
      <c r="C126" s="33" t="s">
        <v>424</v>
      </c>
      <c r="D126" s="33">
        <v>1240000</v>
      </c>
      <c r="E126" s="33" t="s">
        <v>179</v>
      </c>
      <c r="F126" s="33" t="str">
        <f t="shared" si="2"/>
        <v>rtdc.l.rtdc.4020:itc</v>
      </c>
      <c r="G126" s="8">
        <f t="shared" si="3"/>
        <v>42556.949918981481</v>
      </c>
    </row>
    <row r="127" spans="1:7" x14ac:dyDescent="0.25">
      <c r="A127" s="8">
        <v>42556.257974537039</v>
      </c>
      <c r="B127" s="33" t="s">
        <v>123</v>
      </c>
      <c r="C127" s="33" t="s">
        <v>503</v>
      </c>
      <c r="D127" s="33">
        <v>1230000</v>
      </c>
      <c r="E127" s="33" t="s">
        <v>281</v>
      </c>
      <c r="F127" s="33" t="str">
        <f t="shared" si="2"/>
        <v>rtdc.l.rtdc.4038:itc</v>
      </c>
      <c r="G127" s="8">
        <f t="shared" si="3"/>
        <v>42556.257974537039</v>
      </c>
    </row>
    <row r="128" spans="1:7" x14ac:dyDescent="0.25">
      <c r="A128" s="8">
        <v>42556.194444444445</v>
      </c>
      <c r="B128" s="33" t="s">
        <v>69</v>
      </c>
      <c r="C128" s="33" t="s">
        <v>504</v>
      </c>
      <c r="D128" s="33">
        <v>1110000</v>
      </c>
      <c r="E128" s="33" t="s">
        <v>473</v>
      </c>
      <c r="F128" s="33" t="str">
        <f t="shared" si="2"/>
        <v>rtdc.l.rtdc.4032:itc</v>
      </c>
      <c r="G128" s="8">
        <f t="shared" si="3"/>
        <v>42556.194444444445</v>
      </c>
    </row>
    <row r="129" spans="1:7" x14ac:dyDescent="0.25">
      <c r="A129" s="8">
        <v>42556.307766203703</v>
      </c>
      <c r="B129" s="33" t="s">
        <v>141</v>
      </c>
      <c r="C129" s="33" t="s">
        <v>466</v>
      </c>
      <c r="D129" s="33">
        <v>1230000</v>
      </c>
      <c r="E129" s="33" t="s">
        <v>281</v>
      </c>
      <c r="F129" s="33" t="str">
        <f t="shared" si="2"/>
        <v>rtdc.l.rtdc.4037:itc</v>
      </c>
      <c r="G129" s="8">
        <f t="shared" si="3"/>
        <v>42556.307766203703</v>
      </c>
    </row>
    <row r="130" spans="1:7" x14ac:dyDescent="0.25">
      <c r="A130" s="8">
        <v>42556.832569444443</v>
      </c>
      <c r="B130" s="33" t="s">
        <v>185</v>
      </c>
      <c r="C130" s="33" t="s">
        <v>409</v>
      </c>
      <c r="D130" s="33">
        <v>910000</v>
      </c>
      <c r="E130" s="33" t="s">
        <v>423</v>
      </c>
      <c r="F130" s="33" t="str">
        <f t="shared" ref="F130:F193" si="4">B130</f>
        <v>rtdc.l.rtdc.4040:itc</v>
      </c>
      <c r="G130" s="8">
        <f t="shared" ref="G130:G193" si="5">A130</f>
        <v>42556.832569444443</v>
      </c>
    </row>
    <row r="131" spans="1:7" x14ac:dyDescent="0.25">
      <c r="A131" s="8">
        <v>42556.350891203707</v>
      </c>
      <c r="B131" s="33" t="s">
        <v>79</v>
      </c>
      <c r="C131" s="33" t="s">
        <v>505</v>
      </c>
      <c r="D131" s="33">
        <v>1100000</v>
      </c>
      <c r="E131" s="33" t="s">
        <v>175</v>
      </c>
      <c r="F131" s="33" t="str">
        <f t="shared" si="4"/>
        <v>rtdc.l.rtdc.4018:itc</v>
      </c>
      <c r="G131" s="8">
        <f t="shared" si="5"/>
        <v>42556.350891203707</v>
      </c>
    </row>
    <row r="132" spans="1:7" x14ac:dyDescent="0.25">
      <c r="A132" s="8">
        <v>42556.816944444443</v>
      </c>
      <c r="B132" s="33" t="s">
        <v>278</v>
      </c>
      <c r="C132" s="33" t="s">
        <v>506</v>
      </c>
      <c r="D132" s="33">
        <v>910000</v>
      </c>
      <c r="E132" s="33" t="s">
        <v>423</v>
      </c>
      <c r="F132" s="33" t="str">
        <f t="shared" si="4"/>
        <v>rtdc.l.rtdc.4039:itc</v>
      </c>
      <c r="G132" s="8">
        <f t="shared" si="5"/>
        <v>42556.816944444443</v>
      </c>
    </row>
    <row r="133" spans="1:7" x14ac:dyDescent="0.25">
      <c r="A133" s="8">
        <v>42556.368796296294</v>
      </c>
      <c r="B133" s="33" t="s">
        <v>141</v>
      </c>
      <c r="C133" s="33" t="s">
        <v>369</v>
      </c>
      <c r="D133" s="33">
        <v>1230000</v>
      </c>
      <c r="E133" s="33" t="s">
        <v>281</v>
      </c>
      <c r="F133" s="33" t="str">
        <f t="shared" si="4"/>
        <v>rtdc.l.rtdc.4037:itc</v>
      </c>
      <c r="G133" s="8">
        <f t="shared" si="5"/>
        <v>42556.368796296294</v>
      </c>
    </row>
    <row r="134" spans="1:7" x14ac:dyDescent="0.25">
      <c r="A134" s="8">
        <v>42556.659363425926</v>
      </c>
      <c r="B134" s="33" t="s">
        <v>91</v>
      </c>
      <c r="C134" s="33" t="s">
        <v>507</v>
      </c>
      <c r="D134" s="33">
        <v>750000</v>
      </c>
      <c r="E134" s="33" t="s">
        <v>427</v>
      </c>
      <c r="F134" s="33" t="str">
        <f t="shared" si="4"/>
        <v>rtdc.l.rtdc.4042:itc</v>
      </c>
      <c r="G134" s="8">
        <f t="shared" si="5"/>
        <v>42556.659363425926</v>
      </c>
    </row>
    <row r="135" spans="1:7" x14ac:dyDescent="0.25">
      <c r="A135" s="8">
        <v>42556.435266203705</v>
      </c>
      <c r="B135" s="33" t="s">
        <v>176</v>
      </c>
      <c r="C135" s="33" t="s">
        <v>508</v>
      </c>
      <c r="D135" s="33">
        <v>900000</v>
      </c>
      <c r="E135" s="33" t="s">
        <v>148</v>
      </c>
      <c r="F135" s="33" t="str">
        <f t="shared" si="4"/>
        <v>rtdc.l.rtdc.4043:itc</v>
      </c>
      <c r="G135" s="8">
        <f t="shared" si="5"/>
        <v>42556.435266203705</v>
      </c>
    </row>
    <row r="136" spans="1:7" x14ac:dyDescent="0.25">
      <c r="A136" s="8">
        <v>42556.639606481483</v>
      </c>
      <c r="B136" s="33" t="s">
        <v>69</v>
      </c>
      <c r="C136" s="33" t="s">
        <v>509</v>
      </c>
      <c r="D136" s="33">
        <v>1290000</v>
      </c>
      <c r="E136" s="33" t="s">
        <v>286</v>
      </c>
      <c r="F136" s="33" t="str">
        <f t="shared" si="4"/>
        <v>rtdc.l.rtdc.4032:itc</v>
      </c>
      <c r="G136" s="8">
        <f t="shared" si="5"/>
        <v>42556.639606481483</v>
      </c>
    </row>
    <row r="137" spans="1:7" x14ac:dyDescent="0.25">
      <c r="A137" s="8">
        <v>42556.532939814817</v>
      </c>
      <c r="B137" s="33" t="s">
        <v>80</v>
      </c>
      <c r="C137" s="33" t="s">
        <v>381</v>
      </c>
      <c r="D137" s="33">
        <v>2030000</v>
      </c>
      <c r="E137" s="33" t="s">
        <v>434</v>
      </c>
      <c r="F137" s="33" t="str">
        <f t="shared" si="4"/>
        <v>rtdc.l.rtdc.4017:itc</v>
      </c>
      <c r="G137" s="8">
        <f t="shared" si="5"/>
        <v>42556.532939814817</v>
      </c>
    </row>
    <row r="138" spans="1:7" x14ac:dyDescent="0.25">
      <c r="A138" s="8">
        <v>42556.528831018521</v>
      </c>
      <c r="B138" s="33" t="s">
        <v>82</v>
      </c>
      <c r="C138" s="33" t="s">
        <v>510</v>
      </c>
      <c r="D138" s="33">
        <v>1290000</v>
      </c>
      <c r="E138" s="33" t="s">
        <v>286</v>
      </c>
      <c r="F138" s="33" t="str">
        <f t="shared" si="4"/>
        <v>rtdc.l.rtdc.4031:itc</v>
      </c>
      <c r="G138" s="8">
        <f t="shared" si="5"/>
        <v>42556.528831018521</v>
      </c>
    </row>
    <row r="139" spans="1:7" x14ac:dyDescent="0.25">
      <c r="A139" s="8">
        <v>42556.169745370367</v>
      </c>
      <c r="B139" s="33" t="s">
        <v>138</v>
      </c>
      <c r="C139" s="33" t="s">
        <v>511</v>
      </c>
      <c r="D139" s="33">
        <v>1480000</v>
      </c>
      <c r="E139" s="33" t="s">
        <v>132</v>
      </c>
      <c r="F139" s="33" t="str">
        <f t="shared" si="4"/>
        <v>rtdc.l.rtdc.4013:itc</v>
      </c>
      <c r="G139" s="8">
        <f t="shared" si="5"/>
        <v>42556.169745370367</v>
      </c>
    </row>
    <row r="140" spans="1:7" x14ac:dyDescent="0.25">
      <c r="A140" s="8">
        <v>42556.506157407406</v>
      </c>
      <c r="B140" s="33" t="s">
        <v>176</v>
      </c>
      <c r="C140" s="33" t="s">
        <v>512</v>
      </c>
      <c r="D140" s="33">
        <v>2000000</v>
      </c>
      <c r="E140" s="33" t="s">
        <v>446</v>
      </c>
      <c r="F140" s="33" t="str">
        <f t="shared" si="4"/>
        <v>rtdc.l.rtdc.4043:itc</v>
      </c>
      <c r="G140" s="8">
        <f t="shared" si="5"/>
        <v>42556.506157407406</v>
      </c>
    </row>
    <row r="141" spans="1:7" x14ac:dyDescent="0.25">
      <c r="A141" s="8">
        <v>42556.189768518518</v>
      </c>
      <c r="B141" s="33" t="s">
        <v>145</v>
      </c>
      <c r="C141" s="33" t="s">
        <v>513</v>
      </c>
      <c r="D141" s="33">
        <v>1340000</v>
      </c>
      <c r="E141" s="33" t="s">
        <v>161</v>
      </c>
      <c r="F141" s="33" t="str">
        <f t="shared" si="4"/>
        <v>rtdc.l.rtdc.4027:itc</v>
      </c>
      <c r="G141" s="8">
        <f t="shared" si="5"/>
        <v>42556.189768518518</v>
      </c>
    </row>
    <row r="142" spans="1:7" x14ac:dyDescent="0.25">
      <c r="A142" s="8">
        <v>42556.036030092589</v>
      </c>
      <c r="B142" s="33" t="s">
        <v>136</v>
      </c>
      <c r="C142" s="33" t="s">
        <v>342</v>
      </c>
      <c r="D142" s="33">
        <v>1770000</v>
      </c>
      <c r="E142" s="33" t="s">
        <v>164</v>
      </c>
      <c r="F142" s="33" t="str">
        <f t="shared" si="4"/>
        <v>rtdc.l.rtdc.4026:itc</v>
      </c>
      <c r="G142" s="8">
        <f t="shared" si="5"/>
        <v>42556.036030092589</v>
      </c>
    </row>
    <row r="143" spans="1:7" x14ac:dyDescent="0.25">
      <c r="A143" s="8">
        <v>42556.303865740738</v>
      </c>
      <c r="B143" s="33" t="s">
        <v>140</v>
      </c>
      <c r="C143" s="33" t="s">
        <v>443</v>
      </c>
      <c r="D143" s="33">
        <v>1340000</v>
      </c>
      <c r="E143" s="33" t="s">
        <v>161</v>
      </c>
      <c r="F143" s="33" t="str">
        <f t="shared" si="4"/>
        <v>rtdc.l.rtdc.4028:itc</v>
      </c>
      <c r="G143" s="8">
        <f t="shared" si="5"/>
        <v>42556.303865740738</v>
      </c>
    </row>
    <row r="144" spans="1:7" x14ac:dyDescent="0.25">
      <c r="A144" s="8">
        <v>42556.778726851851</v>
      </c>
      <c r="B144" s="33" t="s">
        <v>91</v>
      </c>
      <c r="C144" s="33" t="s">
        <v>405</v>
      </c>
      <c r="D144" s="33">
        <v>750000</v>
      </c>
      <c r="E144" s="33" t="s">
        <v>427</v>
      </c>
      <c r="F144" s="33" t="str">
        <f t="shared" si="4"/>
        <v>rtdc.l.rtdc.4042:itc</v>
      </c>
      <c r="G144" s="8">
        <f t="shared" si="5"/>
        <v>42556.778726851851</v>
      </c>
    </row>
    <row r="145" spans="1:7" x14ac:dyDescent="0.25">
      <c r="A145" s="8">
        <v>42556.275810185187</v>
      </c>
      <c r="B145" s="33" t="s">
        <v>278</v>
      </c>
      <c r="C145" s="33" t="s">
        <v>361</v>
      </c>
      <c r="D145" s="33">
        <v>1740000</v>
      </c>
      <c r="E145" s="33" t="s">
        <v>430</v>
      </c>
      <c r="F145" s="33" t="str">
        <f t="shared" si="4"/>
        <v>rtdc.l.rtdc.4039:itc</v>
      </c>
      <c r="G145" s="8">
        <f t="shared" si="5"/>
        <v>42556.275810185187</v>
      </c>
    </row>
    <row r="146" spans="1:7" x14ac:dyDescent="0.25">
      <c r="A146" s="8">
        <v>42556.63789351852</v>
      </c>
      <c r="B146" s="33" t="s">
        <v>185</v>
      </c>
      <c r="C146" s="33" t="s">
        <v>391</v>
      </c>
      <c r="D146" s="33">
        <v>910000</v>
      </c>
      <c r="E146" s="33" t="s">
        <v>423</v>
      </c>
      <c r="F146" s="33" t="str">
        <f t="shared" si="4"/>
        <v>rtdc.l.rtdc.4040:itc</v>
      </c>
      <c r="G146" s="8">
        <f t="shared" si="5"/>
        <v>42556.63789351852</v>
      </c>
    </row>
    <row r="147" spans="1:7" x14ac:dyDescent="0.25">
      <c r="A147" s="8">
        <v>42556.457824074074</v>
      </c>
      <c r="B147" s="33" t="s">
        <v>82</v>
      </c>
      <c r="C147" s="33" t="s">
        <v>514</v>
      </c>
      <c r="D147" s="33">
        <v>1090000</v>
      </c>
      <c r="E147" s="33" t="s">
        <v>149</v>
      </c>
      <c r="F147" s="33" t="str">
        <f t="shared" si="4"/>
        <v>rtdc.l.rtdc.4031:itc</v>
      </c>
      <c r="G147" s="8">
        <f t="shared" si="5"/>
        <v>42556.457824074074</v>
      </c>
    </row>
    <row r="148" spans="1:7" x14ac:dyDescent="0.25">
      <c r="A148" s="8">
        <v>42556.568935185183</v>
      </c>
      <c r="B148" s="33" t="s">
        <v>79</v>
      </c>
      <c r="C148" s="33" t="s">
        <v>385</v>
      </c>
      <c r="D148" s="33">
        <v>2030000</v>
      </c>
      <c r="E148" s="33" t="s">
        <v>434</v>
      </c>
      <c r="F148" s="33" t="str">
        <f t="shared" si="4"/>
        <v>rtdc.l.rtdc.4018:itc</v>
      </c>
      <c r="G148" s="8">
        <f t="shared" si="5"/>
        <v>42556.568935185183</v>
      </c>
    </row>
    <row r="149" spans="1:7" x14ac:dyDescent="0.25">
      <c r="A149" s="8">
        <v>42556.384189814817</v>
      </c>
      <c r="B149" s="33" t="s">
        <v>82</v>
      </c>
      <c r="C149" s="33" t="s">
        <v>515</v>
      </c>
      <c r="D149" s="33">
        <v>1110000</v>
      </c>
      <c r="E149" s="33" t="s">
        <v>473</v>
      </c>
      <c r="F149" s="33" t="str">
        <f t="shared" si="4"/>
        <v>rtdc.l.rtdc.4031:itc</v>
      </c>
      <c r="G149" s="8">
        <f t="shared" si="5"/>
        <v>42556.384189814817</v>
      </c>
    </row>
    <row r="150" spans="1:7" x14ac:dyDescent="0.25">
      <c r="A150" s="8">
        <v>42556.485173611109</v>
      </c>
      <c r="B150" s="33" t="s">
        <v>278</v>
      </c>
      <c r="C150" s="33" t="s">
        <v>377</v>
      </c>
      <c r="D150" s="33">
        <v>1740000</v>
      </c>
      <c r="E150" s="33" t="s">
        <v>430</v>
      </c>
      <c r="F150" s="33" t="str">
        <f t="shared" si="4"/>
        <v>rtdc.l.rtdc.4039:itc</v>
      </c>
      <c r="G150" s="8">
        <f t="shared" si="5"/>
        <v>42556.485173611109</v>
      </c>
    </row>
    <row r="151" spans="1:7" x14ac:dyDescent="0.25">
      <c r="A151" s="8">
        <v>42556.430023148147</v>
      </c>
      <c r="B151" s="33" t="s">
        <v>185</v>
      </c>
      <c r="C151" s="33" t="s">
        <v>372</v>
      </c>
      <c r="D151" s="33">
        <v>1740000</v>
      </c>
      <c r="E151" s="33" t="s">
        <v>430</v>
      </c>
      <c r="F151" s="33" t="str">
        <f t="shared" si="4"/>
        <v>rtdc.l.rtdc.4040:itc</v>
      </c>
      <c r="G151" s="8">
        <f t="shared" si="5"/>
        <v>42556.430023148147</v>
      </c>
    </row>
    <row r="152" spans="1:7" x14ac:dyDescent="0.25">
      <c r="A152" s="8">
        <v>42556.446111111109</v>
      </c>
      <c r="B152" s="33" t="s">
        <v>78</v>
      </c>
      <c r="C152" s="33" t="s">
        <v>516</v>
      </c>
      <c r="D152" s="33">
        <v>940000</v>
      </c>
      <c r="E152" s="33" t="s">
        <v>182</v>
      </c>
      <c r="F152" s="33" t="str">
        <f t="shared" si="4"/>
        <v>rtdc.l.rtdc.4020:itc</v>
      </c>
      <c r="G152" s="8">
        <f t="shared" si="5"/>
        <v>42556.446111111109</v>
      </c>
    </row>
    <row r="153" spans="1:7" x14ac:dyDescent="0.25">
      <c r="A153" s="8">
        <v>42556.276504629626</v>
      </c>
      <c r="B153" s="33" t="s">
        <v>69</v>
      </c>
      <c r="C153" s="33" t="s">
        <v>517</v>
      </c>
      <c r="D153" s="33">
        <v>1110000</v>
      </c>
      <c r="E153" s="33" t="s">
        <v>473</v>
      </c>
      <c r="F153" s="33" t="str">
        <f t="shared" si="4"/>
        <v>rtdc.l.rtdc.4032:itc</v>
      </c>
      <c r="G153" s="8">
        <f t="shared" si="5"/>
        <v>42556.276504629626</v>
      </c>
    </row>
    <row r="154" spans="1:7" x14ac:dyDescent="0.25">
      <c r="A154" s="8">
        <v>42556.91065972222</v>
      </c>
      <c r="B154" s="33" t="s">
        <v>69</v>
      </c>
      <c r="C154" s="33" t="s">
        <v>518</v>
      </c>
      <c r="D154" s="33">
        <v>1820000</v>
      </c>
      <c r="E154" s="33" t="s">
        <v>115</v>
      </c>
      <c r="F154" s="33" t="str">
        <f t="shared" si="4"/>
        <v>rtdc.l.rtdc.4032:itc</v>
      </c>
      <c r="G154" s="8">
        <f t="shared" si="5"/>
        <v>42556.91065972222</v>
      </c>
    </row>
    <row r="155" spans="1:7" x14ac:dyDescent="0.25">
      <c r="A155" s="8">
        <v>42556.31659722222</v>
      </c>
      <c r="B155" s="33" t="s">
        <v>278</v>
      </c>
      <c r="C155" s="33" t="s">
        <v>364</v>
      </c>
      <c r="D155" s="33">
        <v>1740000</v>
      </c>
      <c r="E155" s="33" t="s">
        <v>430</v>
      </c>
      <c r="F155" s="33" t="str">
        <f t="shared" si="4"/>
        <v>rtdc.l.rtdc.4039:itc</v>
      </c>
      <c r="G155" s="8">
        <f t="shared" si="5"/>
        <v>42556.31659722222</v>
      </c>
    </row>
    <row r="156" spans="1:7" x14ac:dyDescent="0.25">
      <c r="A156" s="8">
        <v>42556.780763888892</v>
      </c>
      <c r="B156" s="33" t="s">
        <v>91</v>
      </c>
      <c r="C156" s="33" t="s">
        <v>405</v>
      </c>
      <c r="D156" s="33">
        <v>750000</v>
      </c>
      <c r="E156" s="33" t="s">
        <v>427</v>
      </c>
      <c r="F156" s="33" t="str">
        <f t="shared" si="4"/>
        <v>rtdc.l.rtdc.4042:itc</v>
      </c>
      <c r="G156" s="8">
        <f t="shared" si="5"/>
        <v>42556.780763888892</v>
      </c>
    </row>
    <row r="157" spans="1:7" x14ac:dyDescent="0.25">
      <c r="A157" s="8">
        <v>42556.369988425926</v>
      </c>
      <c r="B157" s="33" t="s">
        <v>78</v>
      </c>
      <c r="C157" s="33" t="s">
        <v>519</v>
      </c>
      <c r="D157" s="33">
        <v>1090000</v>
      </c>
      <c r="E157" s="33" t="s">
        <v>149</v>
      </c>
      <c r="F157" s="33" t="str">
        <f t="shared" si="4"/>
        <v>rtdc.l.rtdc.4020:itc</v>
      </c>
      <c r="G157" s="8">
        <f t="shared" si="5"/>
        <v>42556.369988425926</v>
      </c>
    </row>
    <row r="158" spans="1:7" x14ac:dyDescent="0.25">
      <c r="A158" s="8">
        <v>42556.406643518516</v>
      </c>
      <c r="B158" s="33" t="s">
        <v>138</v>
      </c>
      <c r="C158" s="33" t="s">
        <v>520</v>
      </c>
      <c r="D158" s="33">
        <v>1480000</v>
      </c>
      <c r="E158" s="33" t="s">
        <v>132</v>
      </c>
      <c r="F158" s="33" t="str">
        <f t="shared" si="4"/>
        <v>rtdc.l.rtdc.4013:itc</v>
      </c>
      <c r="G158" s="8">
        <f t="shared" si="5"/>
        <v>42556.406643518516</v>
      </c>
    </row>
    <row r="159" spans="1:7" x14ac:dyDescent="0.25">
      <c r="A159" s="8">
        <v>42556.379884259259</v>
      </c>
      <c r="B159" s="33" t="s">
        <v>140</v>
      </c>
      <c r="C159" s="33" t="s">
        <v>521</v>
      </c>
      <c r="D159" s="33">
        <v>1340000</v>
      </c>
      <c r="E159" s="33" t="s">
        <v>161</v>
      </c>
      <c r="F159" s="33" t="str">
        <f t="shared" si="4"/>
        <v>rtdc.l.rtdc.4028:itc</v>
      </c>
      <c r="G159" s="8">
        <f t="shared" si="5"/>
        <v>42556.379884259259</v>
      </c>
    </row>
    <row r="160" spans="1:7" x14ac:dyDescent="0.25">
      <c r="A160" s="8">
        <v>42556.40047453704</v>
      </c>
      <c r="B160" s="33" t="s">
        <v>278</v>
      </c>
      <c r="C160" s="33" t="s">
        <v>522</v>
      </c>
      <c r="D160" s="33">
        <v>1740000</v>
      </c>
      <c r="E160" s="33" t="s">
        <v>430</v>
      </c>
      <c r="F160" s="33" t="str">
        <f t="shared" si="4"/>
        <v>rtdc.l.rtdc.4039:itc</v>
      </c>
      <c r="G160" s="8">
        <f t="shared" si="5"/>
        <v>42556.40047453704</v>
      </c>
    </row>
    <row r="161" spans="1:7" x14ac:dyDescent="0.25">
      <c r="A161" s="8">
        <v>42556.527175925927</v>
      </c>
      <c r="B161" s="33" t="s">
        <v>278</v>
      </c>
      <c r="C161" s="33" t="s">
        <v>523</v>
      </c>
      <c r="D161" s="33">
        <v>1740000</v>
      </c>
      <c r="E161" s="33" t="s">
        <v>430</v>
      </c>
      <c r="F161" s="33" t="str">
        <f t="shared" si="4"/>
        <v>rtdc.l.rtdc.4039:itc</v>
      </c>
      <c r="G161" s="8">
        <f t="shared" si="5"/>
        <v>42556.527175925927</v>
      </c>
    </row>
    <row r="162" spans="1:7" x14ac:dyDescent="0.25">
      <c r="A162" s="8">
        <v>42556.279178240744</v>
      </c>
      <c r="B162" s="33" t="s">
        <v>79</v>
      </c>
      <c r="C162" s="33" t="s">
        <v>524</v>
      </c>
      <c r="D162" s="33">
        <v>1100000</v>
      </c>
      <c r="E162" s="33" t="s">
        <v>175</v>
      </c>
      <c r="F162" s="33" t="str">
        <f t="shared" si="4"/>
        <v>rtdc.l.rtdc.4018:itc</v>
      </c>
      <c r="G162" s="8">
        <f t="shared" si="5"/>
        <v>42556.279178240744</v>
      </c>
    </row>
    <row r="163" spans="1:7" x14ac:dyDescent="0.25">
      <c r="A163" s="8">
        <v>42556.255740740744</v>
      </c>
      <c r="B163" s="33" t="s">
        <v>185</v>
      </c>
      <c r="C163" s="33" t="s">
        <v>457</v>
      </c>
      <c r="D163" s="33">
        <v>1740000</v>
      </c>
      <c r="E163" s="33" t="s">
        <v>430</v>
      </c>
      <c r="F163" s="33" t="str">
        <f t="shared" si="4"/>
        <v>rtdc.l.rtdc.4040:itc</v>
      </c>
      <c r="G163" s="8">
        <f t="shared" si="5"/>
        <v>42556.255740740744</v>
      </c>
    </row>
    <row r="164" spans="1:7" x14ac:dyDescent="0.25">
      <c r="A164" s="8">
        <v>42556.151736111111</v>
      </c>
      <c r="B164" s="33" t="s">
        <v>78</v>
      </c>
      <c r="C164" s="33" t="s">
        <v>358</v>
      </c>
      <c r="D164" s="33">
        <v>1110000</v>
      </c>
      <c r="E164" s="33" t="s">
        <v>473</v>
      </c>
      <c r="F164" s="33" t="str">
        <f t="shared" si="4"/>
        <v>rtdc.l.rtdc.4020:itc</v>
      </c>
      <c r="G164" s="8">
        <f t="shared" si="5"/>
        <v>42556.151736111111</v>
      </c>
    </row>
    <row r="165" spans="1:7" x14ac:dyDescent="0.25">
      <c r="A165" s="8">
        <v>42556.321493055555</v>
      </c>
      <c r="B165" s="33" t="s">
        <v>171</v>
      </c>
      <c r="C165" s="33" t="s">
        <v>525</v>
      </c>
      <c r="D165" s="33">
        <v>900000</v>
      </c>
      <c r="E165" s="33" t="s">
        <v>148</v>
      </c>
      <c r="F165" s="33" t="str">
        <f t="shared" si="4"/>
        <v>rtdc.l.rtdc.4044:itc</v>
      </c>
      <c r="G165" s="8">
        <f t="shared" si="5"/>
        <v>42556.321493055555</v>
      </c>
    </row>
    <row r="166" spans="1:7" x14ac:dyDescent="0.25">
      <c r="A166" s="8">
        <v>42556.703287037039</v>
      </c>
      <c r="B166" s="33" t="s">
        <v>123</v>
      </c>
      <c r="C166" s="33" t="s">
        <v>398</v>
      </c>
      <c r="D166" s="33">
        <v>1120000</v>
      </c>
      <c r="E166" s="33" t="s">
        <v>172</v>
      </c>
      <c r="F166" s="33" t="str">
        <f t="shared" si="4"/>
        <v>rtdc.l.rtdc.4038:itc</v>
      </c>
      <c r="G166" s="8">
        <f t="shared" si="5"/>
        <v>42556.703287037039</v>
      </c>
    </row>
    <row r="167" spans="1:7" x14ac:dyDescent="0.25">
      <c r="A167" s="8">
        <v>42556.476643518516</v>
      </c>
      <c r="B167" s="33" t="s">
        <v>123</v>
      </c>
      <c r="C167" s="33" t="s">
        <v>526</v>
      </c>
      <c r="D167" s="33">
        <v>1120000</v>
      </c>
      <c r="E167" s="33" t="s">
        <v>172</v>
      </c>
      <c r="F167" s="33" t="str">
        <f t="shared" si="4"/>
        <v>rtdc.l.rtdc.4038:itc</v>
      </c>
      <c r="G167" s="8">
        <f t="shared" si="5"/>
        <v>42556.476643518516</v>
      </c>
    </row>
    <row r="168" spans="1:7" x14ac:dyDescent="0.25">
      <c r="A168" s="8">
        <v>42556.560636574075</v>
      </c>
      <c r="B168" s="33" t="s">
        <v>145</v>
      </c>
      <c r="C168" s="33" t="s">
        <v>384</v>
      </c>
      <c r="D168" s="33">
        <v>2020000</v>
      </c>
      <c r="E168" s="33" t="s">
        <v>417</v>
      </c>
      <c r="F168" s="33" t="str">
        <f t="shared" si="4"/>
        <v>rtdc.l.rtdc.4027:itc</v>
      </c>
      <c r="G168" s="8">
        <f t="shared" si="5"/>
        <v>42556.560636574075</v>
      </c>
    </row>
    <row r="169" spans="1:7" x14ac:dyDescent="0.25">
      <c r="A169" s="8">
        <v>42556.498576388891</v>
      </c>
      <c r="B169" s="33" t="s">
        <v>79</v>
      </c>
      <c r="C169" s="33" t="s">
        <v>380</v>
      </c>
      <c r="D169" s="33">
        <v>2030000</v>
      </c>
      <c r="E169" s="33" t="s">
        <v>434</v>
      </c>
      <c r="F169" s="33" t="str">
        <f t="shared" si="4"/>
        <v>rtdc.l.rtdc.4018:itc</v>
      </c>
      <c r="G169" s="8">
        <f t="shared" si="5"/>
        <v>42556.498576388891</v>
      </c>
    </row>
    <row r="170" spans="1:7" x14ac:dyDescent="0.25">
      <c r="A170" s="8">
        <v>42556.527488425927</v>
      </c>
      <c r="B170" s="33" t="s">
        <v>140</v>
      </c>
      <c r="C170" s="33" t="s">
        <v>527</v>
      </c>
      <c r="D170" s="33">
        <v>2020000</v>
      </c>
      <c r="E170" s="33" t="s">
        <v>417</v>
      </c>
      <c r="F170" s="33" t="str">
        <f t="shared" si="4"/>
        <v>rtdc.l.rtdc.4028:itc</v>
      </c>
      <c r="G170" s="8">
        <f t="shared" si="5"/>
        <v>42556.527488425927</v>
      </c>
    </row>
    <row r="171" spans="1:7" x14ac:dyDescent="0.25">
      <c r="A171" s="8">
        <v>42556.556180555555</v>
      </c>
      <c r="B171" s="33" t="s">
        <v>77</v>
      </c>
      <c r="C171" s="33" t="s">
        <v>382</v>
      </c>
      <c r="D171" s="33">
        <v>940000</v>
      </c>
      <c r="E171" s="33" t="s">
        <v>182</v>
      </c>
      <c r="F171" s="33" t="str">
        <f t="shared" si="4"/>
        <v>rtdc.l.rtdc.4019:itc</v>
      </c>
      <c r="G171" s="8">
        <f t="shared" si="5"/>
        <v>42556.556180555555</v>
      </c>
    </row>
    <row r="172" spans="1:7" x14ac:dyDescent="0.25">
      <c r="A172" s="8">
        <v>42556.516388888886</v>
      </c>
      <c r="B172" s="33" t="s">
        <v>141</v>
      </c>
      <c r="C172" s="33" t="s">
        <v>528</v>
      </c>
      <c r="D172" s="33">
        <v>1120000</v>
      </c>
      <c r="E172" s="33" t="s">
        <v>172</v>
      </c>
      <c r="F172" s="33" t="str">
        <f t="shared" si="4"/>
        <v>rtdc.l.rtdc.4037:itc</v>
      </c>
      <c r="G172" s="8">
        <f t="shared" si="5"/>
        <v>42556.516388888886</v>
      </c>
    </row>
    <row r="173" spans="1:7" x14ac:dyDescent="0.25">
      <c r="A173" s="8">
        <v>42556.851365740738</v>
      </c>
      <c r="B173" s="33" t="s">
        <v>140</v>
      </c>
      <c r="C173" s="33" t="s">
        <v>410</v>
      </c>
      <c r="D173" s="33">
        <v>1180000</v>
      </c>
      <c r="E173" s="33" t="s">
        <v>418</v>
      </c>
      <c r="F173" s="33" t="str">
        <f t="shared" si="4"/>
        <v>rtdc.l.rtdc.4028:itc</v>
      </c>
      <c r="G173" s="8">
        <f t="shared" si="5"/>
        <v>42556.851365740738</v>
      </c>
    </row>
    <row r="174" spans="1:7" x14ac:dyDescent="0.25">
      <c r="A174" s="8">
        <v>42556.509305555555</v>
      </c>
      <c r="B174" s="33" t="s">
        <v>137</v>
      </c>
      <c r="C174" s="33" t="s">
        <v>529</v>
      </c>
      <c r="D174" s="33">
        <v>1140000</v>
      </c>
      <c r="E174" s="33" t="s">
        <v>150</v>
      </c>
      <c r="F174" s="33" t="str">
        <f t="shared" si="4"/>
        <v>rtdc.l.rtdc.4014:itc</v>
      </c>
      <c r="G174" s="8">
        <f t="shared" si="5"/>
        <v>42556.509305555555</v>
      </c>
    </row>
    <row r="175" spans="1:7" x14ac:dyDescent="0.25">
      <c r="A175" s="8">
        <v>42556.610601851855</v>
      </c>
      <c r="B175" s="33" t="s">
        <v>171</v>
      </c>
      <c r="C175" s="33" t="s">
        <v>530</v>
      </c>
      <c r="D175" s="33">
        <v>2000000</v>
      </c>
      <c r="E175" s="33" t="s">
        <v>446</v>
      </c>
      <c r="F175" s="33" t="str">
        <f t="shared" si="4"/>
        <v>rtdc.l.rtdc.4044:itc</v>
      </c>
      <c r="G175" s="8">
        <f t="shared" si="5"/>
        <v>42556.610601851855</v>
      </c>
    </row>
    <row r="176" spans="1:7" x14ac:dyDescent="0.25">
      <c r="A176" s="8">
        <v>42556.358726851853</v>
      </c>
      <c r="B176" s="33" t="s">
        <v>278</v>
      </c>
      <c r="C176" s="33" t="s">
        <v>368</v>
      </c>
      <c r="D176" s="33">
        <v>1740000</v>
      </c>
      <c r="E176" s="33" t="s">
        <v>430</v>
      </c>
      <c r="F176" s="33" t="str">
        <f t="shared" si="4"/>
        <v>rtdc.l.rtdc.4039:itc</v>
      </c>
      <c r="G176" s="8">
        <f t="shared" si="5"/>
        <v>42556.358726851853</v>
      </c>
    </row>
    <row r="177" spans="1:7" x14ac:dyDescent="0.25">
      <c r="A177" s="8">
        <v>42556.726643518516</v>
      </c>
      <c r="B177" s="33" t="s">
        <v>145</v>
      </c>
      <c r="C177" s="33" t="s">
        <v>400</v>
      </c>
      <c r="D177" s="33">
        <v>2020000</v>
      </c>
      <c r="E177" s="33" t="s">
        <v>417</v>
      </c>
      <c r="F177" s="33" t="str">
        <f t="shared" si="4"/>
        <v>rtdc.l.rtdc.4027:itc</v>
      </c>
      <c r="G177" s="8">
        <f t="shared" si="5"/>
        <v>42556.726643518516</v>
      </c>
    </row>
    <row r="178" spans="1:7" x14ac:dyDescent="0.25">
      <c r="A178" s="8">
        <v>42556.303020833337</v>
      </c>
      <c r="B178" s="33" t="s">
        <v>185</v>
      </c>
      <c r="C178" s="33" t="s">
        <v>531</v>
      </c>
      <c r="D178" s="33">
        <v>1740000</v>
      </c>
      <c r="E178" s="33" t="s">
        <v>430</v>
      </c>
      <c r="F178" s="33" t="str">
        <f t="shared" si="4"/>
        <v>rtdc.l.rtdc.4040:itc</v>
      </c>
      <c r="G178" s="8">
        <f t="shared" si="5"/>
        <v>42556.303020833337</v>
      </c>
    </row>
    <row r="179" spans="1:7" x14ac:dyDescent="0.25">
      <c r="A179" s="8">
        <v>42556.816562499997</v>
      </c>
      <c r="B179" s="33" t="s">
        <v>145</v>
      </c>
      <c r="C179" s="33" t="s">
        <v>532</v>
      </c>
      <c r="D179" s="33">
        <v>1180000</v>
      </c>
      <c r="E179" s="33" t="s">
        <v>418</v>
      </c>
      <c r="F179" s="33" t="str">
        <f t="shared" si="4"/>
        <v>rtdc.l.rtdc.4027:itc</v>
      </c>
      <c r="G179" s="8">
        <f t="shared" si="5"/>
        <v>42556.816562499997</v>
      </c>
    </row>
    <row r="180" spans="1:7" x14ac:dyDescent="0.25">
      <c r="A180" s="8">
        <v>42556.130347222221</v>
      </c>
      <c r="B180" s="33" t="s">
        <v>79</v>
      </c>
      <c r="C180" s="33" t="s">
        <v>533</v>
      </c>
      <c r="D180" s="33">
        <v>1480000</v>
      </c>
      <c r="E180" s="33" t="s">
        <v>132</v>
      </c>
      <c r="F180" s="33" t="str">
        <f t="shared" si="4"/>
        <v>rtdc.l.rtdc.4018:itc</v>
      </c>
      <c r="G180" s="8">
        <f t="shared" si="5"/>
        <v>42556.130347222221</v>
      </c>
    </row>
    <row r="181" spans="1:7" x14ac:dyDescent="0.25">
      <c r="A181" s="8">
        <v>42556.885613425926</v>
      </c>
      <c r="B181" s="33" t="s">
        <v>185</v>
      </c>
      <c r="C181" s="33" t="s">
        <v>534</v>
      </c>
      <c r="D181" s="33">
        <v>910000</v>
      </c>
      <c r="E181" s="33" t="s">
        <v>423</v>
      </c>
      <c r="F181" s="33" t="str">
        <f t="shared" si="4"/>
        <v>rtdc.l.rtdc.4040:itc</v>
      </c>
      <c r="G181" s="8">
        <f t="shared" si="5"/>
        <v>42556.885613425926</v>
      </c>
    </row>
    <row r="182" spans="1:7" x14ac:dyDescent="0.25">
      <c r="A182" s="8">
        <v>42556.802569444444</v>
      </c>
      <c r="B182" s="33" t="s">
        <v>185</v>
      </c>
      <c r="C182" s="33" t="s">
        <v>406</v>
      </c>
      <c r="D182" s="33">
        <v>910000</v>
      </c>
      <c r="E182" s="33" t="s">
        <v>423</v>
      </c>
      <c r="F182" s="33" t="str">
        <f t="shared" si="4"/>
        <v>rtdc.l.rtdc.4040:itc</v>
      </c>
      <c r="G182" s="8">
        <f t="shared" si="5"/>
        <v>42556.802569444444</v>
      </c>
    </row>
    <row r="183" spans="1:7" x14ac:dyDescent="0.25">
      <c r="A183" s="8">
        <v>42556.588819444441</v>
      </c>
      <c r="B183" s="33" t="s">
        <v>141</v>
      </c>
      <c r="C183" s="33" t="s">
        <v>535</v>
      </c>
      <c r="D183" s="33">
        <v>1120000</v>
      </c>
      <c r="E183" s="33" t="s">
        <v>172</v>
      </c>
      <c r="F183" s="33" t="str">
        <f t="shared" si="4"/>
        <v>rtdc.l.rtdc.4037:itc</v>
      </c>
      <c r="G183" s="8">
        <f t="shared" si="5"/>
        <v>42556.588819444441</v>
      </c>
    </row>
    <row r="184" spans="1:7" x14ac:dyDescent="0.25">
      <c r="A184" s="8">
        <v>42556.619791666664</v>
      </c>
      <c r="B184" s="33" t="s">
        <v>138</v>
      </c>
      <c r="C184" s="33" t="s">
        <v>536</v>
      </c>
      <c r="D184" s="33">
        <v>1140000</v>
      </c>
      <c r="E184" s="33" t="s">
        <v>150</v>
      </c>
      <c r="F184" s="33" t="str">
        <f t="shared" si="4"/>
        <v>rtdc.l.rtdc.4013:itc</v>
      </c>
      <c r="G184" s="8">
        <f t="shared" si="5"/>
        <v>42556.619791666664</v>
      </c>
    </row>
    <row r="185" spans="1:7" x14ac:dyDescent="0.25">
      <c r="A185" s="8">
        <v>42556.775810185187</v>
      </c>
      <c r="B185" s="33" t="s">
        <v>82</v>
      </c>
      <c r="C185" s="33" t="s">
        <v>455</v>
      </c>
      <c r="D185" s="33">
        <v>1820000</v>
      </c>
      <c r="E185" s="33" t="s">
        <v>115</v>
      </c>
      <c r="F185" s="33" t="str">
        <f t="shared" si="4"/>
        <v>rtdc.l.rtdc.4031:itc</v>
      </c>
      <c r="G185" s="8">
        <f t="shared" si="5"/>
        <v>42556.775810185187</v>
      </c>
    </row>
    <row r="186" spans="1:7" x14ac:dyDescent="0.25">
      <c r="A186" s="8">
        <v>42556.584155092591</v>
      </c>
      <c r="B186" s="33" t="s">
        <v>137</v>
      </c>
      <c r="C186" s="33" t="s">
        <v>383</v>
      </c>
      <c r="D186" s="33">
        <v>1140000</v>
      </c>
      <c r="E186" s="33" t="s">
        <v>150</v>
      </c>
      <c r="F186" s="33" t="str">
        <f t="shared" si="4"/>
        <v>rtdc.l.rtdc.4014:itc</v>
      </c>
      <c r="G186" s="8">
        <f t="shared" si="5"/>
        <v>42556.584155092591</v>
      </c>
    </row>
    <row r="187" spans="1:7" x14ac:dyDescent="0.25">
      <c r="A187" s="8">
        <v>42556.589166666665</v>
      </c>
      <c r="B187" s="33" t="s">
        <v>78</v>
      </c>
      <c r="C187" s="33" t="s">
        <v>537</v>
      </c>
      <c r="D187" s="33">
        <v>940000</v>
      </c>
      <c r="E187" s="33" t="s">
        <v>182</v>
      </c>
      <c r="F187" s="33" t="str">
        <f t="shared" si="4"/>
        <v>rtdc.l.rtdc.4020:itc</v>
      </c>
      <c r="G187" s="8">
        <f t="shared" si="5"/>
        <v>42556.589166666665</v>
      </c>
    </row>
    <row r="188" spans="1:7" x14ac:dyDescent="0.25">
      <c r="A188" s="8">
        <v>42556.993761574071</v>
      </c>
      <c r="B188" s="33" t="s">
        <v>69</v>
      </c>
      <c r="C188" s="33" t="s">
        <v>485</v>
      </c>
      <c r="D188" s="33">
        <v>1820000</v>
      </c>
      <c r="E188" s="33" t="s">
        <v>115</v>
      </c>
      <c r="F188" s="33" t="str">
        <f t="shared" si="4"/>
        <v>rtdc.l.rtdc.4032:itc</v>
      </c>
      <c r="G188" s="8">
        <f t="shared" si="5"/>
        <v>42556.993761574071</v>
      </c>
    </row>
    <row r="189" spans="1:7" x14ac:dyDescent="0.25">
      <c r="A189" s="8">
        <v>42556.598854166667</v>
      </c>
      <c r="B189" s="33" t="s">
        <v>140</v>
      </c>
      <c r="C189" s="33" t="s">
        <v>477</v>
      </c>
      <c r="D189" s="33">
        <v>2020000</v>
      </c>
      <c r="E189" s="33" t="s">
        <v>417</v>
      </c>
      <c r="F189" s="33" t="str">
        <f t="shared" si="4"/>
        <v>rtdc.l.rtdc.4028:itc</v>
      </c>
      <c r="G189" s="8">
        <f t="shared" si="5"/>
        <v>42556.598854166667</v>
      </c>
    </row>
    <row r="190" spans="1:7" x14ac:dyDescent="0.25">
      <c r="A190" s="8">
        <v>42556.760520833333</v>
      </c>
      <c r="B190" s="33" t="s">
        <v>140</v>
      </c>
      <c r="C190" s="33" t="s">
        <v>402</v>
      </c>
      <c r="D190" s="33">
        <v>2020000</v>
      </c>
      <c r="E190" s="33" t="s">
        <v>417</v>
      </c>
      <c r="F190" s="33" t="str">
        <f t="shared" si="4"/>
        <v>rtdc.l.rtdc.4028:itc</v>
      </c>
      <c r="G190" s="8">
        <f t="shared" si="5"/>
        <v>42556.760520833333</v>
      </c>
    </row>
    <row r="191" spans="1:7" x14ac:dyDescent="0.25">
      <c r="A191" s="8">
        <v>42556.767546296294</v>
      </c>
      <c r="B191" s="33" t="s">
        <v>137</v>
      </c>
      <c r="C191" s="33" t="s">
        <v>538</v>
      </c>
      <c r="D191" s="33">
        <v>1140000</v>
      </c>
      <c r="E191" s="33" t="s">
        <v>150</v>
      </c>
      <c r="F191" s="33" t="str">
        <f t="shared" si="4"/>
        <v>rtdc.l.rtdc.4014:itc</v>
      </c>
      <c r="G191" s="8">
        <f t="shared" si="5"/>
        <v>42556.767546296294</v>
      </c>
    </row>
    <row r="192" spans="1:7" x14ac:dyDescent="0.25">
      <c r="A192" s="8">
        <v>42556.681527777779</v>
      </c>
      <c r="B192" s="33" t="s">
        <v>82</v>
      </c>
      <c r="C192" s="33" t="s">
        <v>396</v>
      </c>
      <c r="D192" s="33">
        <v>1290000</v>
      </c>
      <c r="E192" s="33" t="s">
        <v>286</v>
      </c>
      <c r="F192" s="33" t="str">
        <f t="shared" si="4"/>
        <v>rtdc.l.rtdc.4031:itc</v>
      </c>
      <c r="G192" s="8">
        <f t="shared" si="5"/>
        <v>42556.681527777779</v>
      </c>
    </row>
    <row r="193" spans="1:7" x14ac:dyDescent="0.25">
      <c r="A193" s="8">
        <v>42556.785578703704</v>
      </c>
      <c r="B193" s="33" t="s">
        <v>123</v>
      </c>
      <c r="C193" s="33" t="s">
        <v>539</v>
      </c>
      <c r="D193" s="33">
        <v>1280000</v>
      </c>
      <c r="E193" s="33" t="s">
        <v>142</v>
      </c>
      <c r="F193" s="33" t="str">
        <f t="shared" si="4"/>
        <v>rtdc.l.rtdc.4038:itc</v>
      </c>
      <c r="G193" s="8">
        <f t="shared" si="5"/>
        <v>42556.785578703704</v>
      </c>
    </row>
    <row r="194" spans="1:7" x14ac:dyDescent="0.25">
      <c r="A194" s="8">
        <v>42557.05673611111</v>
      </c>
      <c r="B194" s="33" t="s">
        <v>77</v>
      </c>
      <c r="C194" s="33" t="s">
        <v>540</v>
      </c>
      <c r="D194" s="33">
        <v>1240000</v>
      </c>
      <c r="E194" s="33" t="s">
        <v>179</v>
      </c>
      <c r="F194" s="33" t="str">
        <f t="shared" ref="F194:F235" si="6">B194</f>
        <v>rtdc.l.rtdc.4019:itc</v>
      </c>
      <c r="G194" s="8">
        <f t="shared" ref="G194:G235" si="7">A194</f>
        <v>42557.05673611111</v>
      </c>
    </row>
    <row r="195" spans="1:7" x14ac:dyDescent="0.25">
      <c r="A195" s="8">
        <v>42556.931331018517</v>
      </c>
      <c r="B195" s="33" t="s">
        <v>141</v>
      </c>
      <c r="C195" s="33" t="s">
        <v>541</v>
      </c>
      <c r="D195" s="33">
        <v>1280000</v>
      </c>
      <c r="E195" s="33" t="s">
        <v>142</v>
      </c>
      <c r="F195" s="33" t="str">
        <f t="shared" si="6"/>
        <v>rtdc.l.rtdc.4037:itc</v>
      </c>
      <c r="G195" s="8">
        <f t="shared" si="7"/>
        <v>42556.931331018517</v>
      </c>
    </row>
    <row r="196" spans="1:7" x14ac:dyDescent="0.25">
      <c r="A196" s="8">
        <v>42556.995486111111</v>
      </c>
      <c r="B196" s="33" t="s">
        <v>69</v>
      </c>
      <c r="C196" s="33" t="s">
        <v>485</v>
      </c>
      <c r="D196" s="33">
        <v>1820000</v>
      </c>
      <c r="E196" s="33" t="s">
        <v>115</v>
      </c>
      <c r="F196" s="33" t="str">
        <f t="shared" si="6"/>
        <v>rtdc.l.rtdc.4032:itc</v>
      </c>
      <c r="G196" s="8">
        <f t="shared" si="7"/>
        <v>42556.995486111111</v>
      </c>
    </row>
    <row r="197" spans="1:7" x14ac:dyDescent="0.25">
      <c r="A197" s="8">
        <v>42556.976423611108</v>
      </c>
      <c r="B197" s="33" t="s">
        <v>123</v>
      </c>
      <c r="C197" s="33" t="s">
        <v>542</v>
      </c>
      <c r="D197" s="33">
        <v>1280000</v>
      </c>
      <c r="E197" s="33" t="s">
        <v>142</v>
      </c>
      <c r="F197" s="33" t="str">
        <f t="shared" si="6"/>
        <v>rtdc.l.rtdc.4038:itc</v>
      </c>
      <c r="G197" s="8">
        <f t="shared" si="7"/>
        <v>42556.976423611108</v>
      </c>
    </row>
    <row r="198" spans="1:7" x14ac:dyDescent="0.25">
      <c r="A198" s="8">
        <v>42556.650694444441</v>
      </c>
      <c r="B198" s="33" t="s">
        <v>278</v>
      </c>
      <c r="C198" s="33" t="s">
        <v>395</v>
      </c>
      <c r="D198" s="33">
        <v>910000</v>
      </c>
      <c r="E198" s="33" t="s">
        <v>423</v>
      </c>
      <c r="F198" s="33" t="str">
        <f t="shared" si="6"/>
        <v>rtdc.l.rtdc.4039:itc</v>
      </c>
      <c r="G198" s="8">
        <f t="shared" si="7"/>
        <v>42556.650694444441</v>
      </c>
    </row>
    <row r="199" spans="1:7" x14ac:dyDescent="0.25">
      <c r="A199" s="8">
        <v>42557.131851851853</v>
      </c>
      <c r="B199" s="33" t="s">
        <v>451</v>
      </c>
      <c r="C199" s="33" t="s">
        <v>452</v>
      </c>
      <c r="D199" s="33">
        <v>0</v>
      </c>
      <c r="E199" s="33" t="s">
        <v>453</v>
      </c>
      <c r="F199" s="33" t="str">
        <f t="shared" si="6"/>
        <v>rtdc.l.rtdc.4005:itc</v>
      </c>
      <c r="G199" s="8">
        <f t="shared" si="7"/>
        <v>42557.131851851853</v>
      </c>
    </row>
    <row r="200" spans="1:7" x14ac:dyDescent="0.25">
      <c r="A200" s="8">
        <v>42556.51771990741</v>
      </c>
      <c r="B200" s="33" t="s">
        <v>78</v>
      </c>
      <c r="C200" s="33" t="s">
        <v>543</v>
      </c>
      <c r="D200" s="33">
        <v>940000</v>
      </c>
      <c r="E200" s="33" t="s">
        <v>182</v>
      </c>
      <c r="F200" s="33" t="str">
        <f t="shared" si="6"/>
        <v>rtdc.l.rtdc.4020:itc</v>
      </c>
      <c r="G200" s="8">
        <f t="shared" si="7"/>
        <v>42556.51771990741</v>
      </c>
    </row>
    <row r="201" spans="1:7" x14ac:dyDescent="0.25">
      <c r="A201" s="8">
        <v>42556.870462962965</v>
      </c>
      <c r="B201" s="33" t="s">
        <v>131</v>
      </c>
      <c r="C201" s="33" t="s">
        <v>412</v>
      </c>
      <c r="D201" s="33">
        <v>1760000</v>
      </c>
      <c r="E201" s="33" t="s">
        <v>181</v>
      </c>
      <c r="F201" s="33" t="str">
        <f t="shared" si="6"/>
        <v>rtdc.l.rtdc.4012:itc</v>
      </c>
      <c r="G201" s="8">
        <f t="shared" si="7"/>
        <v>42556.870462962965</v>
      </c>
    </row>
    <row r="202" spans="1:7" x14ac:dyDescent="0.25">
      <c r="A202" s="48">
        <v>42556.487291666665</v>
      </c>
      <c r="B202" s="33" t="s">
        <v>145</v>
      </c>
      <c r="C202" s="33" t="s">
        <v>544</v>
      </c>
      <c r="D202" s="33">
        <v>2020000</v>
      </c>
      <c r="E202" s="33" t="s">
        <v>417</v>
      </c>
      <c r="F202" s="33" t="str">
        <f t="shared" si="6"/>
        <v>rtdc.l.rtdc.4027:itc</v>
      </c>
      <c r="G202" s="8">
        <f t="shared" si="7"/>
        <v>42556.487291666665</v>
      </c>
    </row>
    <row r="203" spans="1:7" x14ac:dyDescent="0.25">
      <c r="A203" s="8">
        <v>42556.910810185182</v>
      </c>
      <c r="B203" s="33" t="s">
        <v>145</v>
      </c>
      <c r="C203" s="33" t="s">
        <v>545</v>
      </c>
      <c r="D203" s="33">
        <v>1180000</v>
      </c>
      <c r="E203" s="33" t="s">
        <v>418</v>
      </c>
      <c r="F203" s="33" t="str">
        <f t="shared" si="6"/>
        <v>rtdc.l.rtdc.4027:itc</v>
      </c>
      <c r="G203" s="8">
        <f t="shared" si="7"/>
        <v>42556.910810185182</v>
      </c>
    </row>
    <row r="204" spans="1:7" x14ac:dyDescent="0.25">
      <c r="A204" s="8">
        <v>42556.385266203702</v>
      </c>
      <c r="B204" s="33" t="s">
        <v>80</v>
      </c>
      <c r="C204" s="33" t="s">
        <v>546</v>
      </c>
      <c r="D204" s="33">
        <v>1100000</v>
      </c>
      <c r="E204" s="33" t="s">
        <v>175</v>
      </c>
      <c r="F204" s="33" t="str">
        <f t="shared" si="6"/>
        <v>rtdc.l.rtdc.4017:itc</v>
      </c>
      <c r="G204" s="8">
        <f t="shared" si="7"/>
        <v>42556.385266203702</v>
      </c>
    </row>
    <row r="205" spans="1:7" x14ac:dyDescent="0.25">
      <c r="A205" s="8">
        <v>42556.942164351851</v>
      </c>
      <c r="B205" s="33" t="s">
        <v>278</v>
      </c>
      <c r="C205" s="33" t="s">
        <v>547</v>
      </c>
      <c r="D205" s="33">
        <v>910000</v>
      </c>
      <c r="E205" s="33" t="s">
        <v>423</v>
      </c>
      <c r="F205" s="33" t="str">
        <f t="shared" si="6"/>
        <v>rtdc.l.rtdc.4039:itc</v>
      </c>
      <c r="G205" s="8">
        <f t="shared" si="7"/>
        <v>42556.942164351851</v>
      </c>
    </row>
    <row r="206" spans="1:7" x14ac:dyDescent="0.25">
      <c r="A206" s="8">
        <v>42556.953750000001</v>
      </c>
      <c r="B206" s="33" t="s">
        <v>82</v>
      </c>
      <c r="C206" s="33" t="s">
        <v>548</v>
      </c>
      <c r="D206" s="33">
        <v>1820000</v>
      </c>
      <c r="E206" s="33" t="s">
        <v>115</v>
      </c>
      <c r="F206" s="33" t="str">
        <f t="shared" si="6"/>
        <v>rtdc.l.rtdc.4031:itc</v>
      </c>
      <c r="G206" s="8">
        <f t="shared" si="7"/>
        <v>42556.953750000001</v>
      </c>
    </row>
    <row r="207" spans="1:7" x14ac:dyDescent="0.25">
      <c r="A207" s="8">
        <v>42556.583171296297</v>
      </c>
      <c r="B207" s="33" t="s">
        <v>185</v>
      </c>
      <c r="C207" s="33" t="s">
        <v>387</v>
      </c>
      <c r="D207" s="33">
        <v>910000</v>
      </c>
      <c r="E207" s="33" t="s">
        <v>423</v>
      </c>
      <c r="F207" s="33" t="str">
        <f t="shared" si="6"/>
        <v>rtdc.l.rtdc.4040:itc</v>
      </c>
      <c r="G207" s="8">
        <f t="shared" si="7"/>
        <v>42556.583171296297</v>
      </c>
    </row>
    <row r="208" spans="1:7" x14ac:dyDescent="0.25">
      <c r="A208" s="8">
        <v>42556.715891203705</v>
      </c>
      <c r="B208" s="33" t="s">
        <v>185</v>
      </c>
      <c r="C208" s="33" t="s">
        <v>549</v>
      </c>
      <c r="D208" s="33">
        <v>910000</v>
      </c>
      <c r="E208" s="33" t="s">
        <v>423</v>
      </c>
      <c r="F208" s="33" t="str">
        <f t="shared" si="6"/>
        <v>rtdc.l.rtdc.4040:itc</v>
      </c>
      <c r="G208" s="8">
        <f t="shared" si="7"/>
        <v>42556.715891203705</v>
      </c>
    </row>
    <row r="209" spans="1:7" x14ac:dyDescent="0.25">
      <c r="A209" s="8">
        <v>42556.930219907408</v>
      </c>
      <c r="B209" s="33" t="s">
        <v>141</v>
      </c>
      <c r="C209" s="33" t="s">
        <v>541</v>
      </c>
      <c r="D209" s="33">
        <v>1280000</v>
      </c>
      <c r="E209" s="33" t="s">
        <v>142</v>
      </c>
      <c r="F209" s="33" t="str">
        <f t="shared" si="6"/>
        <v>rtdc.l.rtdc.4037:itc</v>
      </c>
      <c r="G209" s="8">
        <f t="shared" si="7"/>
        <v>42556.930219907408</v>
      </c>
    </row>
    <row r="210" spans="1:7" x14ac:dyDescent="0.25">
      <c r="A210" s="8">
        <v>42556.387233796297</v>
      </c>
      <c r="B210" s="33" t="s">
        <v>185</v>
      </c>
      <c r="C210" s="33" t="s">
        <v>370</v>
      </c>
      <c r="D210" s="33">
        <v>1740000</v>
      </c>
      <c r="E210" s="33" t="s">
        <v>430</v>
      </c>
      <c r="F210" s="33" t="str">
        <f t="shared" si="6"/>
        <v>rtdc.l.rtdc.4040:itc</v>
      </c>
      <c r="G210" s="8">
        <f t="shared" si="7"/>
        <v>42556.387233796297</v>
      </c>
    </row>
    <row r="211" spans="1:7" x14ac:dyDescent="0.25">
      <c r="B211" s="33"/>
      <c r="C211" s="33"/>
      <c r="D211" s="33"/>
      <c r="E211" s="33"/>
      <c r="F211" s="33">
        <f t="shared" si="6"/>
        <v>0</v>
      </c>
      <c r="G211" s="8">
        <f t="shared" si="7"/>
        <v>0</v>
      </c>
    </row>
    <row r="212" spans="1:7" x14ac:dyDescent="0.25">
      <c r="A212" s="8">
        <v>42555.337210648147</v>
      </c>
      <c r="B212" s="33" t="s">
        <v>174</v>
      </c>
      <c r="C212" s="33" t="s">
        <v>302</v>
      </c>
      <c r="D212" s="33">
        <v>1820000</v>
      </c>
      <c r="E212" s="33" t="s">
        <v>115</v>
      </c>
      <c r="F212" s="33" t="str">
        <f t="shared" si="6"/>
        <v>rtdc.l.rtdc.4008:itc</v>
      </c>
      <c r="G212" s="8">
        <f t="shared" si="7"/>
        <v>42555.337210648147</v>
      </c>
    </row>
    <row r="213" spans="1:7" x14ac:dyDescent="0.25">
      <c r="A213" s="8">
        <v>42555.84337962963</v>
      </c>
      <c r="B213" s="33" t="s">
        <v>145</v>
      </c>
      <c r="C213" s="33" t="s">
        <v>353</v>
      </c>
      <c r="D213" s="33">
        <v>1760000</v>
      </c>
      <c r="E213" s="33" t="s">
        <v>181</v>
      </c>
      <c r="F213" s="33" t="str">
        <f t="shared" si="6"/>
        <v>rtdc.l.rtdc.4027:itc</v>
      </c>
      <c r="G213" s="8">
        <f t="shared" si="7"/>
        <v>42555.84337962963</v>
      </c>
    </row>
    <row r="214" spans="1:7" x14ac:dyDescent="0.25">
      <c r="A214" s="8">
        <v>42555.189930555556</v>
      </c>
      <c r="B214" s="33" t="s">
        <v>143</v>
      </c>
      <c r="C214" s="33" t="s">
        <v>287</v>
      </c>
      <c r="D214" s="33">
        <v>1090000</v>
      </c>
      <c r="E214" s="33" t="s">
        <v>149</v>
      </c>
      <c r="F214" s="33" t="str">
        <f t="shared" si="6"/>
        <v>rtdc.l.rtdc.4029:itc</v>
      </c>
      <c r="G214" s="8">
        <f t="shared" si="7"/>
        <v>42555.189930555556</v>
      </c>
    </row>
    <row r="215" spans="1:7" x14ac:dyDescent="0.25">
      <c r="A215" s="8">
        <v>42555.84920138889</v>
      </c>
      <c r="B215" s="33" t="s">
        <v>90</v>
      </c>
      <c r="C215" s="33" t="s">
        <v>339</v>
      </c>
      <c r="D215" s="33">
        <v>1290000</v>
      </c>
      <c r="E215" s="33" t="s">
        <v>286</v>
      </c>
      <c r="F215" s="33" t="str">
        <f t="shared" si="6"/>
        <v>rtdc.l.rtdc.4041:itc</v>
      </c>
      <c r="G215" s="8">
        <f t="shared" si="7"/>
        <v>42555.84920138889</v>
      </c>
    </row>
    <row r="216" spans="1:7" x14ac:dyDescent="0.25">
      <c r="A216" s="8">
        <v>42555.276041666664</v>
      </c>
      <c r="B216" s="33" t="s">
        <v>77</v>
      </c>
      <c r="C216" s="33" t="s">
        <v>310</v>
      </c>
      <c r="D216" s="33">
        <v>1480000</v>
      </c>
      <c r="E216" s="33" t="s">
        <v>132</v>
      </c>
      <c r="F216" s="33" t="str">
        <f t="shared" si="6"/>
        <v>rtdc.l.rtdc.4019:itc</v>
      </c>
      <c r="G216" s="8">
        <f t="shared" si="7"/>
        <v>42555.276041666664</v>
      </c>
    </row>
    <row r="217" spans="1:7" x14ac:dyDescent="0.25">
      <c r="A217" s="8">
        <v>42555.889236111114</v>
      </c>
      <c r="B217" s="33" t="s">
        <v>157</v>
      </c>
      <c r="C217" s="33" t="s">
        <v>340</v>
      </c>
      <c r="D217" s="33">
        <v>1280000</v>
      </c>
      <c r="E217" s="33" t="s">
        <v>142</v>
      </c>
      <c r="F217" s="33" t="str">
        <f t="shared" si="6"/>
        <v>rtdc.l.rtdc.4015:itc</v>
      </c>
      <c r="G217" s="8">
        <f t="shared" si="7"/>
        <v>42555.889236111114</v>
      </c>
    </row>
    <row r="218" spans="1:7" x14ac:dyDescent="0.25">
      <c r="A218" s="8">
        <v>42555.231111111112</v>
      </c>
      <c r="B218" s="33" t="s">
        <v>144</v>
      </c>
      <c r="C218" s="33" t="s">
        <v>291</v>
      </c>
      <c r="D218" s="33">
        <v>1090000</v>
      </c>
      <c r="E218" s="33" t="s">
        <v>149</v>
      </c>
      <c r="F218" s="33" t="str">
        <f t="shared" si="6"/>
        <v>rtdc.l.rtdc.4030:itc</v>
      </c>
      <c r="G218" s="8">
        <f t="shared" si="7"/>
        <v>42555.231111111112</v>
      </c>
    </row>
    <row r="219" spans="1:7" x14ac:dyDescent="0.25">
      <c r="A219" s="8">
        <v>42555.671689814815</v>
      </c>
      <c r="B219" s="33" t="s">
        <v>144</v>
      </c>
      <c r="C219" s="33" t="s">
        <v>336</v>
      </c>
      <c r="D219" s="33">
        <v>1120000</v>
      </c>
      <c r="E219" s="33" t="s">
        <v>172</v>
      </c>
      <c r="F219" s="33" t="str">
        <f t="shared" si="6"/>
        <v>rtdc.l.rtdc.4030:itc</v>
      </c>
      <c r="G219" s="8">
        <f t="shared" si="7"/>
        <v>42555.671689814815</v>
      </c>
    </row>
    <row r="220" spans="1:7" x14ac:dyDescent="0.25">
      <c r="A220" s="8">
        <v>42555.431423611109</v>
      </c>
      <c r="B220" s="33" t="s">
        <v>90</v>
      </c>
      <c r="C220" s="33" t="s">
        <v>284</v>
      </c>
      <c r="D220" s="33">
        <v>900000</v>
      </c>
      <c r="E220" s="33" t="s">
        <v>148</v>
      </c>
      <c r="F220" s="33" t="str">
        <f t="shared" si="6"/>
        <v>rtdc.l.rtdc.4041:itc</v>
      </c>
      <c r="G220" s="8">
        <f t="shared" si="7"/>
        <v>42555.431423611109</v>
      </c>
    </row>
    <row r="221" spans="1:7" x14ac:dyDescent="0.25">
      <c r="B221" s="33"/>
      <c r="C221" s="33"/>
      <c r="D221" s="33"/>
      <c r="E221" s="33"/>
      <c r="F221" s="33">
        <f t="shared" si="6"/>
        <v>0</v>
      </c>
      <c r="G221" s="8">
        <f t="shared" si="7"/>
        <v>0</v>
      </c>
    </row>
    <row r="222" spans="1:7" x14ac:dyDescent="0.25">
      <c r="A222" s="8">
        <v>42554.714155092595</v>
      </c>
      <c r="B222" s="33" t="s">
        <v>180</v>
      </c>
      <c r="C222" s="33" t="s">
        <v>258</v>
      </c>
      <c r="D222" s="33">
        <v>1290000</v>
      </c>
      <c r="E222" s="33" t="s">
        <v>286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144</v>
      </c>
      <c r="C223" s="33" t="s">
        <v>280</v>
      </c>
      <c r="D223" s="33">
        <v>1120000</v>
      </c>
      <c r="E223" s="33" t="s">
        <v>172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143</v>
      </c>
      <c r="C224" t="s">
        <v>260</v>
      </c>
      <c r="D224">
        <v>950000</v>
      </c>
      <c r="E224" t="s">
        <v>178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78</v>
      </c>
      <c r="C225" t="s">
        <v>295</v>
      </c>
      <c r="D225">
        <v>1310000</v>
      </c>
      <c r="E225" t="s">
        <v>126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176</v>
      </c>
      <c r="C226" t="s">
        <v>259</v>
      </c>
      <c r="D226">
        <v>1140000</v>
      </c>
      <c r="E226" t="s">
        <v>150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157</v>
      </c>
      <c r="C227" t="s">
        <v>296</v>
      </c>
      <c r="D227">
        <v>1230000</v>
      </c>
      <c r="E227" t="s">
        <v>281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138</v>
      </c>
      <c r="C228" t="s">
        <v>262</v>
      </c>
      <c r="D228">
        <v>1770000</v>
      </c>
      <c r="E228" t="s">
        <v>164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139</v>
      </c>
      <c r="C229" t="s">
        <v>297</v>
      </c>
      <c r="D229">
        <v>1310000</v>
      </c>
      <c r="E229" t="s">
        <v>126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174</v>
      </c>
      <c r="C230" t="s">
        <v>274</v>
      </c>
      <c r="D230">
        <v>1290000</v>
      </c>
      <c r="E230" t="s">
        <v>286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157</v>
      </c>
      <c r="C231" t="s">
        <v>298</v>
      </c>
      <c r="D231">
        <v>1230000</v>
      </c>
      <c r="E231" t="s">
        <v>281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174</v>
      </c>
      <c r="C232" t="s">
        <v>299</v>
      </c>
      <c r="D232">
        <v>1820000</v>
      </c>
      <c r="E232" t="s">
        <v>115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79</v>
      </c>
      <c r="C233" t="s">
        <v>300</v>
      </c>
      <c r="D233">
        <v>1840000</v>
      </c>
      <c r="E233" t="s">
        <v>124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78</v>
      </c>
      <c r="C234" t="s">
        <v>301</v>
      </c>
      <c r="D234">
        <v>1480000</v>
      </c>
      <c r="E234" t="s">
        <v>132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174</v>
      </c>
      <c r="C235" t="s">
        <v>302</v>
      </c>
      <c r="D235">
        <v>1820000</v>
      </c>
      <c r="E235" t="s">
        <v>115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139</v>
      </c>
      <c r="C236" t="s">
        <v>186</v>
      </c>
      <c r="D236">
        <v>1310000</v>
      </c>
      <c r="E236" t="s">
        <v>126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139</v>
      </c>
      <c r="C237" t="s">
        <v>232</v>
      </c>
      <c r="D237">
        <v>1120000</v>
      </c>
      <c r="E237" t="s">
        <v>172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156</v>
      </c>
      <c r="C238" t="s">
        <v>187</v>
      </c>
      <c r="D238">
        <v>1840000</v>
      </c>
      <c r="E238" t="s">
        <v>124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131</v>
      </c>
      <c r="C239" t="s">
        <v>212</v>
      </c>
      <c r="D239">
        <v>1760000</v>
      </c>
      <c r="E239" t="s">
        <v>181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174</v>
      </c>
      <c r="C240" t="s">
        <v>227</v>
      </c>
      <c r="D240">
        <v>1810000</v>
      </c>
      <c r="E240" t="s">
        <v>283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140</v>
      </c>
      <c r="C241" t="s">
        <v>235</v>
      </c>
      <c r="D241">
        <v>1540000</v>
      </c>
      <c r="E241" t="s">
        <v>173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171</v>
      </c>
      <c r="C242" t="s">
        <v>249</v>
      </c>
      <c r="D242">
        <v>540000</v>
      </c>
      <c r="E242" t="s">
        <v>282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144</v>
      </c>
      <c r="C243" t="s">
        <v>204</v>
      </c>
      <c r="D243">
        <v>1480000</v>
      </c>
      <c r="E243" t="s">
        <v>132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131</v>
      </c>
      <c r="C244" t="s">
        <v>253</v>
      </c>
      <c r="D244">
        <v>940000</v>
      </c>
      <c r="E244" t="s">
        <v>182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136</v>
      </c>
      <c r="C245" t="s">
        <v>201</v>
      </c>
      <c r="D245">
        <v>1310000</v>
      </c>
      <c r="E245" t="s">
        <v>126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145</v>
      </c>
      <c r="C246" t="s">
        <v>247</v>
      </c>
      <c r="D246">
        <v>1780000</v>
      </c>
      <c r="E246" t="s">
        <v>183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157</v>
      </c>
      <c r="C247" t="s">
        <v>184</v>
      </c>
      <c r="D247">
        <v>1840000</v>
      </c>
      <c r="E247" t="s">
        <v>124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131</v>
      </c>
      <c r="C248" t="s">
        <v>277</v>
      </c>
      <c r="D248">
        <v>1280000</v>
      </c>
      <c r="E248" t="s">
        <v>142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136</v>
      </c>
      <c r="C249" t="s">
        <v>224</v>
      </c>
      <c r="D249">
        <v>1120000</v>
      </c>
      <c r="E249" t="s">
        <v>172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91</v>
      </c>
      <c r="C250" t="s">
        <v>303</v>
      </c>
      <c r="D250">
        <v>900000</v>
      </c>
      <c r="E250" t="s">
        <v>148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140</v>
      </c>
      <c r="C251" t="s">
        <v>239</v>
      </c>
      <c r="D251">
        <v>1540000</v>
      </c>
      <c r="E251" t="s">
        <v>173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145</v>
      </c>
      <c r="C252" t="s">
        <v>304</v>
      </c>
      <c r="D252">
        <v>1460000</v>
      </c>
      <c r="E252" t="s">
        <v>125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144</v>
      </c>
      <c r="C253" t="s">
        <v>216</v>
      </c>
      <c r="D253">
        <v>1480000</v>
      </c>
      <c r="E253" t="s">
        <v>132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176</v>
      </c>
      <c r="C254" t="s">
        <v>207</v>
      </c>
      <c r="D254">
        <v>1520000</v>
      </c>
      <c r="E254" t="s">
        <v>160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139</v>
      </c>
      <c r="C255" t="s">
        <v>213</v>
      </c>
      <c r="D255">
        <v>1310000</v>
      </c>
      <c r="E255" t="s">
        <v>126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143</v>
      </c>
      <c r="C256" t="s">
        <v>220</v>
      </c>
      <c r="D256">
        <v>1520000</v>
      </c>
      <c r="E256" t="s">
        <v>160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145</v>
      </c>
      <c r="C257" t="s">
        <v>236</v>
      </c>
      <c r="D257">
        <v>1540000</v>
      </c>
      <c r="E257" t="s">
        <v>173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139</v>
      </c>
      <c r="C258" t="s">
        <v>223</v>
      </c>
      <c r="D258">
        <v>1120000</v>
      </c>
      <c r="E258" t="s">
        <v>172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143</v>
      </c>
      <c r="C259" t="s">
        <v>203</v>
      </c>
      <c r="D259">
        <v>1480000</v>
      </c>
      <c r="E259" t="s">
        <v>132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180</v>
      </c>
      <c r="C260" t="s">
        <v>226</v>
      </c>
      <c r="D260">
        <v>1810000</v>
      </c>
      <c r="E260" t="s">
        <v>283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144</v>
      </c>
      <c r="C261" t="s">
        <v>177</v>
      </c>
      <c r="D261">
        <v>1480000</v>
      </c>
      <c r="E261" t="s">
        <v>132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143</v>
      </c>
      <c r="C262" t="s">
        <v>250</v>
      </c>
      <c r="D262">
        <v>950000</v>
      </c>
      <c r="E262" t="s">
        <v>178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137</v>
      </c>
      <c r="C263" t="s">
        <v>251</v>
      </c>
      <c r="D263">
        <v>1240000</v>
      </c>
      <c r="E263" t="s">
        <v>179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139</v>
      </c>
      <c r="C264" t="s">
        <v>254</v>
      </c>
      <c r="D264">
        <v>1120000</v>
      </c>
      <c r="E264" t="s">
        <v>172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174</v>
      </c>
      <c r="C265" t="s">
        <v>243</v>
      </c>
      <c r="D265">
        <v>1810000</v>
      </c>
      <c r="E265" t="s">
        <v>283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139</v>
      </c>
      <c r="C266" t="s">
        <v>257</v>
      </c>
      <c r="D266">
        <v>1120000</v>
      </c>
      <c r="E266" t="s">
        <v>172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131</v>
      </c>
      <c r="C267" t="s">
        <v>231</v>
      </c>
      <c r="D267">
        <v>940000</v>
      </c>
      <c r="E267" t="s">
        <v>182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130</v>
      </c>
      <c r="C268" t="s">
        <v>276</v>
      </c>
      <c r="D268">
        <v>1280000</v>
      </c>
      <c r="E268" t="s">
        <v>142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140</v>
      </c>
      <c r="C269" t="s">
        <v>242</v>
      </c>
      <c r="D269">
        <v>1540000</v>
      </c>
      <c r="E269" t="s">
        <v>173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185</v>
      </c>
      <c r="C270" t="s">
        <v>290</v>
      </c>
      <c r="D270">
        <v>1840000</v>
      </c>
      <c r="E270" t="s">
        <v>124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136</v>
      </c>
      <c r="C271" t="s">
        <v>224</v>
      </c>
      <c r="D271">
        <v>1120000</v>
      </c>
      <c r="E271" t="s">
        <v>172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90</v>
      </c>
      <c r="C272" t="s">
        <v>305</v>
      </c>
      <c r="D272">
        <v>900000</v>
      </c>
      <c r="E272" t="s">
        <v>148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156</v>
      </c>
      <c r="C273" t="s">
        <v>228</v>
      </c>
      <c r="D273">
        <v>880000</v>
      </c>
      <c r="E273" t="s">
        <v>159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77</v>
      </c>
      <c r="C274" t="s">
        <v>306</v>
      </c>
      <c r="D274">
        <v>1480000</v>
      </c>
      <c r="E274" t="s">
        <v>132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176</v>
      </c>
      <c r="C275" t="s">
        <v>219</v>
      </c>
      <c r="D275">
        <v>540000</v>
      </c>
      <c r="E275" t="s">
        <v>282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140</v>
      </c>
      <c r="C276" t="s">
        <v>307</v>
      </c>
      <c r="D276">
        <v>1460000</v>
      </c>
      <c r="E276" t="s">
        <v>125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156</v>
      </c>
      <c r="C277" t="s">
        <v>218</v>
      </c>
      <c r="D277">
        <v>1100000</v>
      </c>
      <c r="E277" t="s">
        <v>175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278</v>
      </c>
      <c r="C278" t="s">
        <v>294</v>
      </c>
      <c r="D278">
        <v>1340000</v>
      </c>
      <c r="E278" t="s">
        <v>161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145</v>
      </c>
      <c r="C279" t="s">
        <v>237</v>
      </c>
      <c r="D279">
        <v>1540000</v>
      </c>
      <c r="E279" t="s">
        <v>173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157</v>
      </c>
      <c r="C280" t="s">
        <v>214</v>
      </c>
      <c r="D280">
        <v>1840000</v>
      </c>
      <c r="E280" t="s">
        <v>124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278</v>
      </c>
      <c r="C281" t="s">
        <v>217</v>
      </c>
      <c r="D281">
        <v>1830000</v>
      </c>
      <c r="E281" t="s">
        <v>158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171</v>
      </c>
      <c r="C282" t="s">
        <v>229</v>
      </c>
      <c r="D282">
        <v>540000</v>
      </c>
      <c r="E282" t="s">
        <v>282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130</v>
      </c>
      <c r="C283" t="s">
        <v>211</v>
      </c>
      <c r="D283">
        <v>1760000</v>
      </c>
      <c r="E283" t="s">
        <v>181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140</v>
      </c>
      <c r="C284" t="s">
        <v>241</v>
      </c>
      <c r="D284">
        <v>1540000</v>
      </c>
      <c r="E284" t="s">
        <v>173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131</v>
      </c>
      <c r="C285" t="s">
        <v>205</v>
      </c>
      <c r="D285">
        <v>1760000</v>
      </c>
      <c r="E285" t="s">
        <v>181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278</v>
      </c>
      <c r="C286" t="s">
        <v>230</v>
      </c>
      <c r="D286">
        <v>1470000</v>
      </c>
      <c r="E286" t="s">
        <v>288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140</v>
      </c>
      <c r="C287" t="s">
        <v>234</v>
      </c>
      <c r="D287">
        <v>1540000</v>
      </c>
      <c r="E287" t="s">
        <v>173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144</v>
      </c>
      <c r="C288" t="s">
        <v>256</v>
      </c>
      <c r="D288">
        <v>950000</v>
      </c>
      <c r="E288" t="s">
        <v>178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143</v>
      </c>
      <c r="C289" t="s">
        <v>287</v>
      </c>
      <c r="D289">
        <v>1090000</v>
      </c>
      <c r="E289" t="s">
        <v>149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185</v>
      </c>
      <c r="C290" t="s">
        <v>308</v>
      </c>
      <c r="D290">
        <v>1340000</v>
      </c>
      <c r="E290" t="s">
        <v>161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137</v>
      </c>
      <c r="C291" t="s">
        <v>261</v>
      </c>
      <c r="D291">
        <v>1770000</v>
      </c>
      <c r="E291" t="s">
        <v>164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143</v>
      </c>
      <c r="C292" t="s">
        <v>309</v>
      </c>
      <c r="D292">
        <v>1090000</v>
      </c>
      <c r="E292" t="s">
        <v>149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145</v>
      </c>
      <c r="C293" t="s">
        <v>244</v>
      </c>
      <c r="D293">
        <v>1780000</v>
      </c>
      <c r="E293" t="s">
        <v>183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144</v>
      </c>
      <c r="C294" t="s">
        <v>221</v>
      </c>
      <c r="D294">
        <v>1520000</v>
      </c>
      <c r="E294" t="s">
        <v>160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77</v>
      </c>
      <c r="C295" t="s">
        <v>310</v>
      </c>
      <c r="D295">
        <v>1480000</v>
      </c>
      <c r="E295" t="s">
        <v>132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136</v>
      </c>
      <c r="C296" t="s">
        <v>233</v>
      </c>
      <c r="D296">
        <v>1120000</v>
      </c>
      <c r="E296" t="s">
        <v>172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144</v>
      </c>
      <c r="C297" t="s">
        <v>291</v>
      </c>
      <c r="D297">
        <v>1090000</v>
      </c>
      <c r="E297" t="s">
        <v>149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137</v>
      </c>
      <c r="C298" t="s">
        <v>267</v>
      </c>
      <c r="D298">
        <v>1770000</v>
      </c>
      <c r="E298" t="s">
        <v>164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91</v>
      </c>
      <c r="C299" t="s">
        <v>311</v>
      </c>
      <c r="D299">
        <v>900000</v>
      </c>
      <c r="E299" t="s">
        <v>148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140</v>
      </c>
      <c r="C300" t="s">
        <v>246</v>
      </c>
      <c r="D300">
        <v>1780000</v>
      </c>
      <c r="E300" t="s">
        <v>183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131</v>
      </c>
      <c r="C301" t="s">
        <v>272</v>
      </c>
      <c r="D301">
        <v>1280000</v>
      </c>
      <c r="E301" t="s">
        <v>142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130</v>
      </c>
      <c r="C302" t="s">
        <v>271</v>
      </c>
      <c r="D302">
        <v>1280000</v>
      </c>
      <c r="E302" t="s">
        <v>142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137</v>
      </c>
      <c r="C303" t="s">
        <v>270</v>
      </c>
      <c r="D303">
        <v>1770000</v>
      </c>
      <c r="E303" t="s">
        <v>164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80</v>
      </c>
      <c r="C304" t="s">
        <v>312</v>
      </c>
      <c r="D304">
        <v>1840000</v>
      </c>
      <c r="E304" t="s">
        <v>124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140</v>
      </c>
      <c r="C305" t="s">
        <v>248</v>
      </c>
      <c r="D305">
        <v>1780000</v>
      </c>
      <c r="E305" t="s">
        <v>183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79</v>
      </c>
      <c r="C306" t="s">
        <v>313</v>
      </c>
      <c r="D306">
        <v>1840000</v>
      </c>
      <c r="E306" t="s">
        <v>124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131</v>
      </c>
      <c r="C307" t="s">
        <v>269</v>
      </c>
      <c r="D307">
        <v>1280000</v>
      </c>
      <c r="E307" t="s">
        <v>142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143</v>
      </c>
      <c r="C308" t="s">
        <v>314</v>
      </c>
      <c r="D308">
        <v>1120000</v>
      </c>
      <c r="E308" t="s">
        <v>172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130</v>
      </c>
      <c r="C309" t="s">
        <v>268</v>
      </c>
      <c r="D309">
        <v>1280000</v>
      </c>
      <c r="E309" t="s">
        <v>142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145</v>
      </c>
      <c r="C310" t="s">
        <v>315</v>
      </c>
      <c r="D310">
        <v>1460000</v>
      </c>
      <c r="E310" t="s">
        <v>125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171</v>
      </c>
      <c r="C311" t="s">
        <v>266</v>
      </c>
      <c r="D311">
        <v>1140000</v>
      </c>
      <c r="E311" t="s">
        <v>150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78</v>
      </c>
      <c r="C312" t="s">
        <v>316</v>
      </c>
      <c r="D312">
        <v>950000</v>
      </c>
      <c r="E312" t="s">
        <v>178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131</v>
      </c>
      <c r="C313" t="s">
        <v>263</v>
      </c>
      <c r="D313">
        <v>1280000</v>
      </c>
      <c r="E313" t="s">
        <v>142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144</v>
      </c>
      <c r="C314" t="s">
        <v>289</v>
      </c>
      <c r="D314">
        <v>1090000</v>
      </c>
      <c r="E314" t="s">
        <v>149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180</v>
      </c>
      <c r="C315" t="s">
        <v>265</v>
      </c>
      <c r="D315">
        <v>1290000</v>
      </c>
      <c r="E315" t="s">
        <v>286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292</v>
      </c>
      <c r="D316">
        <v>1540000</v>
      </c>
      <c r="E316" t="s">
        <v>173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140</v>
      </c>
      <c r="C317" t="s">
        <v>245</v>
      </c>
      <c r="D317">
        <v>1780000</v>
      </c>
      <c r="E317" t="s">
        <v>183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278</v>
      </c>
      <c r="C318" t="s">
        <v>317</v>
      </c>
      <c r="D318">
        <v>1810000</v>
      </c>
      <c r="E318" t="s">
        <v>283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138</v>
      </c>
      <c r="C319" t="s">
        <v>252</v>
      </c>
      <c r="D319">
        <v>1240000</v>
      </c>
      <c r="E319" t="s">
        <v>179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145</v>
      </c>
      <c r="C320" t="s">
        <v>293</v>
      </c>
      <c r="D320">
        <v>1460000</v>
      </c>
      <c r="E320" t="s">
        <v>125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80</v>
      </c>
      <c r="C321" t="s">
        <v>318</v>
      </c>
      <c r="D321">
        <v>890000</v>
      </c>
      <c r="E321" t="s">
        <v>285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99</v>
      </c>
      <c r="K1" s="56" t="s">
        <v>100</v>
      </c>
      <c r="L1" s="56" t="s">
        <v>101</v>
      </c>
      <c r="M1" s="33"/>
    </row>
    <row r="2" spans="1:13" ht="15.75" thickBot="1" x14ac:dyDescent="0.3">
      <c r="A2" s="19">
        <v>42556</v>
      </c>
      <c r="B2" s="4"/>
      <c r="C2" s="22">
        <v>50</v>
      </c>
      <c r="F2" t="s">
        <v>63</v>
      </c>
      <c r="J2" s="56" t="s">
        <v>99</v>
      </c>
      <c r="K2" s="56" t="s">
        <v>100</v>
      </c>
      <c r="L2" s="56" t="s">
        <v>101</v>
      </c>
      <c r="M2" s="33"/>
    </row>
    <row r="3" spans="1:13" x14ac:dyDescent="0.25">
      <c r="F3" t="s">
        <v>64</v>
      </c>
      <c r="J3" s="57" t="s">
        <v>102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103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104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105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106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107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108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109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110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111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112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113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2016-07-08T15:55:43Z</dcterms:modified>
</cp:coreProperties>
</file>