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Enforcements!$A$2:$N$52</definedName>
    <definedName name="_xlnm._FilterDatabase" localSheetId="0" hidden="1">'Train Runs'!$A$2:$AA$137</definedName>
    <definedName name="Denver_Train_Runs_04122016" localSheetId="0">'Train Runs'!$A$2:$J$142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4" i="1" l="1"/>
  <c r="V39" i="1"/>
  <c r="V40" i="1"/>
  <c r="V41" i="1"/>
  <c r="V42" i="1"/>
  <c r="V43" i="1"/>
  <c r="K5" i="1"/>
  <c r="L5" i="1"/>
  <c r="M5" i="1"/>
  <c r="N5" i="1" s="1"/>
  <c r="T5" i="1"/>
  <c r="V5" i="1"/>
  <c r="W5" i="1"/>
  <c r="X5" i="1"/>
  <c r="Z5" i="1"/>
  <c r="AA5" i="1"/>
  <c r="K6" i="1"/>
  <c r="L6" i="1"/>
  <c r="M6" i="1"/>
  <c r="N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K8" i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W39" i="1"/>
  <c r="X39" i="1"/>
  <c r="Z39" i="1"/>
  <c r="AA39" i="1"/>
  <c r="K40" i="1"/>
  <c r="L40" i="1"/>
  <c r="M40" i="1"/>
  <c r="N40" i="1" s="1"/>
  <c r="T40" i="1"/>
  <c r="W40" i="1"/>
  <c r="X40" i="1"/>
  <c r="Z40" i="1"/>
  <c r="AA40" i="1"/>
  <c r="K41" i="1"/>
  <c r="L41" i="1"/>
  <c r="M41" i="1"/>
  <c r="N41" i="1" s="1"/>
  <c r="T41" i="1"/>
  <c r="W41" i="1"/>
  <c r="X41" i="1"/>
  <c r="Z41" i="1"/>
  <c r="AA41" i="1"/>
  <c r="K42" i="1"/>
  <c r="L42" i="1"/>
  <c r="M42" i="1"/>
  <c r="N42" i="1" s="1"/>
  <c r="T42" i="1"/>
  <c r="W42" i="1"/>
  <c r="X42" i="1"/>
  <c r="Z42" i="1"/>
  <c r="AA42" i="1"/>
  <c r="K43" i="1"/>
  <c r="L43" i="1"/>
  <c r="M43" i="1"/>
  <c r="N43" i="1" s="1"/>
  <c r="T43" i="1"/>
  <c r="W43" i="1"/>
  <c r="X43" i="1"/>
  <c r="Z43" i="1"/>
  <c r="AA43" i="1"/>
  <c r="K44" i="1"/>
  <c r="L44" i="1"/>
  <c r="M44" i="1"/>
  <c r="N44" i="1" s="1"/>
  <c r="T44" i="1"/>
  <c r="V44" i="1"/>
  <c r="W44" i="1"/>
  <c r="X44" i="1"/>
  <c r="Z44" i="1"/>
  <c r="AA44" i="1"/>
  <c r="K45" i="1"/>
  <c r="L45" i="1"/>
  <c r="M45" i="1"/>
  <c r="N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Y47" i="1" s="1"/>
  <c r="U47" i="1" s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Y51" i="1" s="1"/>
  <c r="U51" i="1" s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Y55" i="1" s="1"/>
  <c r="U55" i="1" s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N67" i="1" s="1"/>
  <c r="T67" i="1"/>
  <c r="V67" i="1"/>
  <c r="W67" i="1"/>
  <c r="X67" i="1"/>
  <c r="Z67" i="1"/>
  <c r="AA67" i="1"/>
  <c r="K68" i="1"/>
  <c r="L68" i="1"/>
  <c r="M68" i="1"/>
  <c r="N68" i="1" s="1"/>
  <c r="T68" i="1"/>
  <c r="V68" i="1"/>
  <c r="W68" i="1"/>
  <c r="X68" i="1"/>
  <c r="Z68" i="1"/>
  <c r="AA68" i="1"/>
  <c r="K69" i="1"/>
  <c r="L69" i="1"/>
  <c r="M69" i="1"/>
  <c r="N69" i="1" s="1"/>
  <c r="T69" i="1"/>
  <c r="V69" i="1"/>
  <c r="W69" i="1"/>
  <c r="X69" i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Z71" i="1"/>
  <c r="AA71" i="1"/>
  <c r="K72" i="1"/>
  <c r="L72" i="1"/>
  <c r="M72" i="1"/>
  <c r="N72" i="1" s="1"/>
  <c r="T72" i="1"/>
  <c r="V72" i="1"/>
  <c r="W72" i="1"/>
  <c r="X72" i="1"/>
  <c r="Z72" i="1"/>
  <c r="AA72" i="1"/>
  <c r="K73" i="1"/>
  <c r="L73" i="1"/>
  <c r="M73" i="1"/>
  <c r="N73" i="1" s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X77" i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Y98" i="1"/>
  <c r="U98" i="1" s="1"/>
  <c r="Z98" i="1"/>
  <c r="AA98" i="1"/>
  <c r="K99" i="1"/>
  <c r="L99" i="1"/>
  <c r="M99" i="1"/>
  <c r="N99" i="1" s="1"/>
  <c r="T99" i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N104" i="1" s="1"/>
  <c r="T104" i="1"/>
  <c r="V104" i="1"/>
  <c r="W104" i="1"/>
  <c r="X104" i="1"/>
  <c r="Z104" i="1"/>
  <c r="AA104" i="1"/>
  <c r="K105" i="1"/>
  <c r="L105" i="1"/>
  <c r="M105" i="1"/>
  <c r="N105" i="1" s="1"/>
  <c r="T105" i="1"/>
  <c r="V105" i="1"/>
  <c r="W105" i="1"/>
  <c r="X105" i="1"/>
  <c r="Z105" i="1"/>
  <c r="AA105" i="1"/>
  <c r="K106" i="1"/>
  <c r="L106" i="1"/>
  <c r="M106" i="1"/>
  <c r="N106" i="1" s="1"/>
  <c r="T106" i="1"/>
  <c r="V106" i="1"/>
  <c r="W106" i="1"/>
  <c r="X106" i="1"/>
  <c r="Y106" i="1" s="1"/>
  <c r="U106" i="1" s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Z109" i="1"/>
  <c r="AA109" i="1"/>
  <c r="K110" i="1"/>
  <c r="L110" i="1"/>
  <c r="M110" i="1"/>
  <c r="N110" i="1" s="1"/>
  <c r="T110" i="1"/>
  <c r="V110" i="1"/>
  <c r="W110" i="1"/>
  <c r="X110" i="1"/>
  <c r="Y110" i="1" s="1"/>
  <c r="U110" i="1" s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Y114" i="1" s="1"/>
  <c r="U114" i="1" s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T123" i="1"/>
  <c r="V123" i="1"/>
  <c r="W123" i="1"/>
  <c r="X123" i="1"/>
  <c r="Z123" i="1"/>
  <c r="AA123" i="1"/>
  <c r="K124" i="1"/>
  <c r="L124" i="1"/>
  <c r="M124" i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P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P130" i="1" s="1"/>
  <c r="T130" i="1"/>
  <c r="V130" i="1"/>
  <c r="W130" i="1"/>
  <c r="X130" i="1"/>
  <c r="Y130" i="1" s="1"/>
  <c r="U130" i="1" s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P133" i="1" s="1"/>
  <c r="T133" i="1"/>
  <c r="V133" i="1"/>
  <c r="W133" i="1"/>
  <c r="X133" i="1"/>
  <c r="Z133" i="1"/>
  <c r="AA133" i="1"/>
  <c r="K134" i="1"/>
  <c r="L134" i="1"/>
  <c r="M134" i="1"/>
  <c r="P134" i="1" s="1"/>
  <c r="T134" i="1"/>
  <c r="V134" i="1"/>
  <c r="W134" i="1"/>
  <c r="X134" i="1"/>
  <c r="Z134" i="1"/>
  <c r="AA134" i="1"/>
  <c r="K135" i="1"/>
  <c r="L135" i="1"/>
  <c r="M135" i="1"/>
  <c r="T135" i="1"/>
  <c r="V135" i="1"/>
  <c r="W135" i="1"/>
  <c r="X135" i="1"/>
  <c r="Z135" i="1"/>
  <c r="AA135" i="1"/>
  <c r="K136" i="1"/>
  <c r="L136" i="1"/>
  <c r="M136" i="1"/>
  <c r="P136" i="1" s="1"/>
  <c r="T136" i="1"/>
  <c r="V136" i="1"/>
  <c r="W136" i="1"/>
  <c r="X136" i="1"/>
  <c r="Z136" i="1"/>
  <c r="AA136" i="1"/>
  <c r="K137" i="1"/>
  <c r="L137" i="1"/>
  <c r="M137" i="1"/>
  <c r="N137" i="1" s="1"/>
  <c r="T137" i="1"/>
  <c r="V137" i="1"/>
  <c r="W137" i="1"/>
  <c r="X137" i="1"/>
  <c r="Z137" i="1"/>
  <c r="AA137" i="1"/>
  <c r="L26" i="3"/>
  <c r="L27" i="3"/>
  <c r="L28" i="3"/>
  <c r="L29" i="3"/>
  <c r="L8" i="3"/>
  <c r="L30" i="3"/>
  <c r="L31" i="3"/>
  <c r="L32" i="3"/>
  <c r="L33" i="3"/>
  <c r="L34" i="3"/>
  <c r="L9" i="3"/>
  <c r="L10" i="3"/>
  <c r="L11" i="3"/>
  <c r="L35" i="3"/>
  <c r="L36" i="3"/>
  <c r="L12" i="3"/>
  <c r="L3" i="3"/>
  <c r="L37" i="3"/>
  <c r="L13" i="3"/>
  <c r="L38" i="3"/>
  <c r="L39" i="3"/>
  <c r="L14" i="3"/>
  <c r="L21" i="3"/>
  <c r="L4" i="3"/>
  <c r="L40" i="3"/>
  <c r="L15" i="3"/>
  <c r="L16" i="3"/>
  <c r="L41" i="3"/>
  <c r="L17" i="3"/>
  <c r="L42" i="3"/>
  <c r="L43" i="3"/>
  <c r="L44" i="3"/>
  <c r="L45" i="3"/>
  <c r="L46" i="3"/>
  <c r="L47" i="3"/>
  <c r="L18" i="3"/>
  <c r="L48" i="3"/>
  <c r="L19" i="3"/>
  <c r="L5" i="3"/>
  <c r="L49" i="3"/>
  <c r="L6" i="3"/>
  <c r="L50" i="3"/>
  <c r="L7" i="3"/>
  <c r="L20" i="3"/>
  <c r="L22" i="3"/>
  <c r="L25" i="3"/>
  <c r="L23" i="3"/>
  <c r="L24" i="3"/>
  <c r="L51" i="3"/>
  <c r="L52" i="3"/>
  <c r="Y121" i="1" l="1"/>
  <c r="U121" i="1" s="1"/>
  <c r="Y124" i="1"/>
  <c r="U124" i="1" s="1"/>
  <c r="P123" i="1"/>
  <c r="Y120" i="1"/>
  <c r="U120" i="1" s="1"/>
  <c r="Y116" i="1"/>
  <c r="U116" i="1" s="1"/>
  <c r="Y108" i="1"/>
  <c r="U108" i="1" s="1"/>
  <c r="Y104" i="1"/>
  <c r="U104" i="1" s="1"/>
  <c r="Y84" i="1"/>
  <c r="U84" i="1" s="1"/>
  <c r="Y126" i="1"/>
  <c r="U126" i="1" s="1"/>
  <c r="Y122" i="1"/>
  <c r="U122" i="1" s="1"/>
  <c r="Y118" i="1"/>
  <c r="U118" i="1" s="1"/>
  <c r="Y107" i="1"/>
  <c r="U107" i="1" s="1"/>
  <c r="Y136" i="1"/>
  <c r="U136" i="1" s="1"/>
  <c r="Y132" i="1"/>
  <c r="U132" i="1" s="1"/>
  <c r="Y105" i="1"/>
  <c r="U105" i="1" s="1"/>
  <c r="Y102" i="1"/>
  <c r="U102" i="1" s="1"/>
  <c r="Y94" i="1"/>
  <c r="U94" i="1" s="1"/>
  <c r="Y137" i="1"/>
  <c r="U137" i="1" s="1"/>
  <c r="Y134" i="1"/>
  <c r="U134" i="1" s="1"/>
  <c r="Y123" i="1"/>
  <c r="U123" i="1" s="1"/>
  <c r="Y53" i="1"/>
  <c r="U53" i="1" s="1"/>
  <c r="Y49" i="1"/>
  <c r="U49" i="1" s="1"/>
  <c r="Y131" i="1"/>
  <c r="U131" i="1" s="1"/>
  <c r="Y129" i="1"/>
  <c r="U129" i="1" s="1"/>
  <c r="Y115" i="1"/>
  <c r="U115" i="1" s="1"/>
  <c r="Y113" i="1"/>
  <c r="U113" i="1" s="1"/>
  <c r="Y100" i="1"/>
  <c r="U100" i="1" s="1"/>
  <c r="Y99" i="1"/>
  <c r="U99" i="1" s="1"/>
  <c r="Y97" i="1"/>
  <c r="U97" i="1" s="1"/>
  <c r="Y92" i="1"/>
  <c r="U92" i="1" s="1"/>
  <c r="Y135" i="1"/>
  <c r="U135" i="1" s="1"/>
  <c r="Y133" i="1"/>
  <c r="U133" i="1" s="1"/>
  <c r="Y119" i="1"/>
  <c r="U119" i="1" s="1"/>
  <c r="Y117" i="1"/>
  <c r="U117" i="1" s="1"/>
  <c r="Y103" i="1"/>
  <c r="U103" i="1" s="1"/>
  <c r="Y101" i="1"/>
  <c r="U101" i="1" s="1"/>
  <c r="Y88" i="1"/>
  <c r="U88" i="1" s="1"/>
  <c r="Y128" i="1"/>
  <c r="U128" i="1" s="1"/>
  <c r="Y127" i="1"/>
  <c r="U127" i="1" s="1"/>
  <c r="Y125" i="1"/>
  <c r="U125" i="1" s="1"/>
  <c r="Y112" i="1"/>
  <c r="U112" i="1" s="1"/>
  <c r="Y111" i="1"/>
  <c r="U111" i="1" s="1"/>
  <c r="Y109" i="1"/>
  <c r="U109" i="1" s="1"/>
  <c r="Y96" i="1"/>
  <c r="U96" i="1" s="1"/>
  <c r="Y95" i="1"/>
  <c r="U95" i="1" s="1"/>
  <c r="Y56" i="1"/>
  <c r="U56" i="1" s="1"/>
  <c r="Y54" i="1"/>
  <c r="U54" i="1" s="1"/>
  <c r="Y52" i="1"/>
  <c r="U52" i="1" s="1"/>
  <c r="Y50" i="1"/>
  <c r="U50" i="1" s="1"/>
  <c r="Y48" i="1"/>
  <c r="U48" i="1" s="1"/>
  <c r="Y46" i="1"/>
  <c r="U46" i="1" s="1"/>
  <c r="Y90" i="1"/>
  <c r="U90" i="1" s="1"/>
  <c r="Y86" i="1"/>
  <c r="U86" i="1" s="1"/>
  <c r="Y93" i="1"/>
  <c r="U93" i="1" s="1"/>
  <c r="Y91" i="1"/>
  <c r="U91" i="1" s="1"/>
  <c r="Y89" i="1"/>
  <c r="U89" i="1" s="1"/>
  <c r="Y87" i="1"/>
  <c r="U87" i="1" s="1"/>
  <c r="Y85" i="1"/>
  <c r="U85" i="1" s="1"/>
  <c r="Y83" i="1"/>
  <c r="U83" i="1" s="1"/>
  <c r="Y81" i="1"/>
  <c r="U81" i="1" s="1"/>
  <c r="Y79" i="1"/>
  <c r="U79" i="1" s="1"/>
  <c r="Y77" i="1"/>
  <c r="U77" i="1" s="1"/>
  <c r="Y75" i="1"/>
  <c r="U75" i="1" s="1"/>
  <c r="Y73" i="1"/>
  <c r="U73" i="1" s="1"/>
  <c r="Y71" i="1"/>
  <c r="U71" i="1" s="1"/>
  <c r="Y69" i="1"/>
  <c r="U69" i="1" s="1"/>
  <c r="Y67" i="1"/>
  <c r="U67" i="1" s="1"/>
  <c r="Y65" i="1"/>
  <c r="U65" i="1" s="1"/>
  <c r="Y63" i="1"/>
  <c r="U63" i="1" s="1"/>
  <c r="Y61" i="1"/>
  <c r="U61" i="1" s="1"/>
  <c r="Y59" i="1"/>
  <c r="U59" i="1" s="1"/>
  <c r="Y57" i="1"/>
  <c r="U57" i="1" s="1"/>
  <c r="Y44" i="1"/>
  <c r="U44" i="1" s="1"/>
  <c r="Y42" i="1"/>
  <c r="U42" i="1" s="1"/>
  <c r="Y40" i="1"/>
  <c r="U40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Y5" i="1"/>
  <c r="U5" i="1" s="1"/>
  <c r="Y82" i="1"/>
  <c r="U82" i="1" s="1"/>
  <c r="Y80" i="1"/>
  <c r="U80" i="1" s="1"/>
  <c r="Y78" i="1"/>
  <c r="U78" i="1" s="1"/>
  <c r="Y76" i="1"/>
  <c r="U76" i="1" s="1"/>
  <c r="Y74" i="1"/>
  <c r="U74" i="1" s="1"/>
  <c r="Y72" i="1"/>
  <c r="U72" i="1" s="1"/>
  <c r="Y70" i="1"/>
  <c r="U70" i="1" s="1"/>
  <c r="Y68" i="1"/>
  <c r="U68" i="1" s="1"/>
  <c r="Y66" i="1"/>
  <c r="U66" i="1" s="1"/>
  <c r="Y64" i="1"/>
  <c r="U64" i="1" s="1"/>
  <c r="Y62" i="1"/>
  <c r="U62" i="1" s="1"/>
  <c r="Y60" i="1"/>
  <c r="U60" i="1" s="1"/>
  <c r="Y58" i="1"/>
  <c r="U58" i="1" s="1"/>
  <c r="Y10" i="1"/>
  <c r="U10" i="1" s="1"/>
  <c r="Y8" i="1"/>
  <c r="U8" i="1" s="1"/>
  <c r="Y6" i="1"/>
  <c r="U6" i="1" s="1"/>
  <c r="Y45" i="1"/>
  <c r="U45" i="1" s="1"/>
  <c r="Y43" i="1"/>
  <c r="U43" i="1" s="1"/>
  <c r="Y41" i="1"/>
  <c r="U41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W4" i="1" l="1"/>
  <c r="X4" i="1"/>
  <c r="V3" i="1"/>
  <c r="I139" i="1"/>
  <c r="Y4" i="1" l="1"/>
  <c r="V4" i="1" l="1"/>
  <c r="T4" i="1"/>
  <c r="Z4" i="1"/>
  <c r="AA4" i="1"/>
  <c r="T3" i="1"/>
  <c r="W3" i="1"/>
  <c r="X3" i="1"/>
  <c r="Z3" i="1"/>
  <c r="AA3" i="1"/>
  <c r="U4" i="1" l="1"/>
  <c r="Y3" i="1"/>
  <c r="U3" i="1" s="1"/>
  <c r="M55" i="3" l="1"/>
  <c r="M56" i="3" s="1"/>
  <c r="M143" i="1"/>
  <c r="J143" i="1"/>
  <c r="K4" i="1" l="1"/>
  <c r="L4" i="1"/>
  <c r="M4" i="1"/>
  <c r="N4" i="1" s="1"/>
  <c r="K3" i="1"/>
  <c r="L3" i="1"/>
  <c r="M3" i="1"/>
  <c r="N3" i="1" s="1"/>
  <c r="N142" i="1" l="1"/>
  <c r="A1" i="6"/>
  <c r="N145" i="1" l="1"/>
  <c r="J142" i="1"/>
  <c r="J145" i="1"/>
  <c r="O145" i="1"/>
  <c r="O142" i="1"/>
  <c r="M145" i="1"/>
  <c r="J144" i="1"/>
  <c r="J141" i="1"/>
  <c r="A1" i="3" l="1"/>
  <c r="J146" i="1" l="1"/>
  <c r="A1" i="1"/>
  <c r="O143" i="1" l="1"/>
  <c r="N143" i="1"/>
  <c r="M142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<sst xmlns="http://schemas.openxmlformats.org/spreadsheetml/2006/main" count="1689" uniqueCount="505">
  <si>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</si>
  <si>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</si>
  <si>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</si>
  <si>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</si>
  <si>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</si>
  <si>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</si>
  <si>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</si>
  <si>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</si>
  <si>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</si>
  <si>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</si>
  <si>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</si>
  <si>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</si>
  <si>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</si>
  <si>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</si>
  <si>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</si>
  <si>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</si>
  <si>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</si>
  <si>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</si>
  <si>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</si>
  <si>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</si>
  <si>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</si>
  <si>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</si>
  <si>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</si>
  <si>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</si>
  <si>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</si>
  <si>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</si>
  <si>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</si>
  <si>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</si>
  <si>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</si>
  <si>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</si>
  <si>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</si>
  <si>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</si>
  <si>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</si>
  <si>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</si>
  <si>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</si>
  <si>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</si>
  <si>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</si>
  <si>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</si>
  <si>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</si>
  <si>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</si>
  <si>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</si>
  <si>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</si>
  <si>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</si>
  <si>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</si>
  <si>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</si>
  <si>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</si>
  <si>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</si>
  <si>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</si>
  <si>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</si>
  <si>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</si>
  <si>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</si>
  <si>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</si>
  <si>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</si>
  <si>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</si>
  <si>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</si>
  <si>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</si>
  <si>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</si>
  <si>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</si>
  <si>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</si>
  <si>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</si>
  <si>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</si>
  <si>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</si>
  <si>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</si>
  <si>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</si>
  <si>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</si>
  <si>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</si>
  <si>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</si>
  <si>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</si>
  <si>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</si>
  <si>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</si>
  <si>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</si>
  <si>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</si>
  <si>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</si>
  <si>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</si>
  <si>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</si>
  <si>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204:457</t>
  </si>
  <si>
    <t>204:232991</t>
  </si>
  <si>
    <t>204:154</t>
  </si>
  <si>
    <t>204:232989</t>
  </si>
  <si>
    <t>204:145</t>
  </si>
  <si>
    <t>204:447</t>
  </si>
  <si>
    <t>204:136</t>
  </si>
  <si>
    <t>204:471</t>
  </si>
  <si>
    <t>204:233308</t>
  </si>
  <si>
    <t>204:455</t>
  </si>
  <si>
    <t>204:451</t>
  </si>
  <si>
    <t>204:233000</t>
  </si>
  <si>
    <t>204:453</t>
  </si>
  <si>
    <t>204:233299</t>
  </si>
  <si>
    <t>204:152</t>
  </si>
  <si>
    <t>204:233312</t>
  </si>
  <si>
    <t>204:446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</si>
  <si>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</si>
  <si>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</si>
  <si>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</si>
  <si>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</si>
  <si>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</si>
  <si>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</si>
  <si>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</si>
  <si>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</si>
  <si>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</si>
  <si>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</si>
  <si>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</si>
  <si>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</si>
  <si>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</si>
  <si>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204:233291</t>
  </si>
  <si>
    <t>204:232990</t>
  </si>
  <si>
    <t>Married Pair</t>
  </si>
  <si>
    <t>204:233315</t>
  </si>
  <si>
    <t>204:134</t>
  </si>
  <si>
    <t>204:147</t>
  </si>
  <si>
    <t>204:462</t>
  </si>
  <si>
    <t>204:233317</t>
  </si>
  <si>
    <t>204:480</t>
  </si>
  <si>
    <t>RIVERA</t>
  </si>
  <si>
    <t>204:232982</t>
  </si>
  <si>
    <t>204:167</t>
  </si>
  <si>
    <t>204:233010</t>
  </si>
  <si>
    <t>204:232986</t>
  </si>
  <si>
    <t>BRUDER</t>
  </si>
  <si>
    <t>CHANDLER</t>
  </si>
  <si>
    <t>STORY</t>
  </si>
  <si>
    <t>rtdc.l.rtdc.4009:itc</t>
  </si>
  <si>
    <t>rtdc.l.rtdc.4010:itc</t>
  </si>
  <si>
    <t>204:233319</t>
  </si>
  <si>
    <t>204:440</t>
  </si>
  <si>
    <t>204:138</t>
  </si>
  <si>
    <t>204:158</t>
  </si>
  <si>
    <t>204:232984</t>
  </si>
  <si>
    <t>204:467</t>
  </si>
  <si>
    <t>204:442</t>
  </si>
  <si>
    <t>REBOLETTI</t>
  </si>
  <si>
    <t>204:458</t>
  </si>
  <si>
    <t>204:232988</t>
  </si>
  <si>
    <t>204:469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</si>
  <si>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</si>
  <si>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</si>
  <si>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</si>
  <si>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</si>
  <si>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</si>
  <si>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</si>
  <si>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</si>
  <si>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</si>
  <si>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</si>
  <si>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</si>
  <si>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</si>
  <si>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</si>
  <si>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</si>
  <si>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rtdc.l.rtdc.4018:itc</t>
  </si>
  <si>
    <t>MALAVE</t>
  </si>
  <si>
    <t>EQUIPMENT RESTRICTION</t>
  </si>
  <si>
    <t>204:233289</t>
  </si>
  <si>
    <t>204:232973</t>
  </si>
  <si>
    <t>204:165</t>
  </si>
  <si>
    <t>204:233329</t>
  </si>
  <si>
    <t>204:130</t>
  </si>
  <si>
    <t>115-15</t>
  </si>
  <si>
    <t>112-15</t>
  </si>
  <si>
    <t>rtdc.l.rtdc.4024:itc</t>
  </si>
  <si>
    <t>rtdc.l.rtdc.4016:itc</t>
  </si>
  <si>
    <t>143-15</t>
  </si>
  <si>
    <t>rtdc.l.rtdc.4023:itc</t>
  </si>
  <si>
    <t>rtdc.l.rtdc.4031:itc</t>
  </si>
  <si>
    <t>151-15</t>
  </si>
  <si>
    <t>rtdc.l.rtdc.4015:itc</t>
  </si>
  <si>
    <t>152-15</t>
  </si>
  <si>
    <t>183-15</t>
  </si>
  <si>
    <t>rtdc.l.rtdc.4030:itc</t>
  </si>
  <si>
    <t>214-15</t>
  </si>
  <si>
    <t>220-15</t>
  </si>
  <si>
    <t>227-15</t>
  </si>
  <si>
    <t>224-15</t>
  </si>
  <si>
    <t>rtdc.l.rtdc.4029:itc</t>
  </si>
  <si>
    <t>231-15</t>
  </si>
  <si>
    <t>237-15</t>
  </si>
  <si>
    <t>239-15</t>
  </si>
  <si>
    <t>204:724</t>
  </si>
  <si>
    <t>104-15</t>
  </si>
  <si>
    <t>106-15</t>
  </si>
  <si>
    <t>204:475</t>
  </si>
  <si>
    <t>204:233302</t>
  </si>
  <si>
    <t>204:233305</t>
  </si>
  <si>
    <t>113-15</t>
  </si>
  <si>
    <t>204:449</t>
  </si>
  <si>
    <t>204:232996</t>
  </si>
  <si>
    <t>204:232998</t>
  </si>
  <si>
    <t>123-15</t>
  </si>
  <si>
    <t>204:233321</t>
  </si>
  <si>
    <t>204:435</t>
  </si>
  <si>
    <t>204:233353</t>
  </si>
  <si>
    <t>204:233270</t>
  </si>
  <si>
    <t>204:160</t>
  </si>
  <si>
    <t>204:233344</t>
  </si>
  <si>
    <t>147-15</t>
  </si>
  <si>
    <t>148-15</t>
  </si>
  <si>
    <t>204:232965</t>
  </si>
  <si>
    <t>159-15</t>
  </si>
  <si>
    <t>204:460</t>
  </si>
  <si>
    <t>204:233357</t>
  </si>
  <si>
    <t>204:233328</t>
  </si>
  <si>
    <t>164-15</t>
  </si>
  <si>
    <t>167-15</t>
  </si>
  <si>
    <t>204:233282</t>
  </si>
  <si>
    <t>171-15</t>
  </si>
  <si>
    <t>176-15</t>
  </si>
  <si>
    <t>178-15</t>
  </si>
  <si>
    <t>185-15</t>
  </si>
  <si>
    <t>204:233309</t>
  </si>
  <si>
    <t>186-15</t>
  </si>
  <si>
    <t>204:233015</t>
  </si>
  <si>
    <t>205-15</t>
  </si>
  <si>
    <t>206-15</t>
  </si>
  <si>
    <t>204:233028</t>
  </si>
  <si>
    <t>216-15</t>
  </si>
  <si>
    <t>218-15</t>
  </si>
  <si>
    <t>221-15</t>
  </si>
  <si>
    <t>204:233325</t>
  </si>
  <si>
    <t>222-15</t>
  </si>
  <si>
    <t>223-15</t>
  </si>
  <si>
    <t>225-15</t>
  </si>
  <si>
    <t>226-15</t>
  </si>
  <si>
    <t>228-15</t>
  </si>
  <si>
    <t>229-15</t>
  </si>
  <si>
    <t>233-15</t>
  </si>
  <si>
    <t>204:1182</t>
  </si>
  <si>
    <t>234-15</t>
  </si>
  <si>
    <t>235-15</t>
  </si>
  <si>
    <t>236-15</t>
  </si>
  <si>
    <t>238-15</t>
  </si>
  <si>
    <t>240-15</t>
  </si>
  <si>
    <t>204:170</t>
  </si>
  <si>
    <t>241-15</t>
  </si>
  <si>
    <t>242-15</t>
  </si>
  <si>
    <t>243-15</t>
  </si>
  <si>
    <t>244-15</t>
  </si>
  <si>
    <t>HONTZ</t>
  </si>
  <si>
    <t>STARKS</t>
  </si>
  <si>
    <t>GEBRETEKLE</t>
  </si>
  <si>
    <t>LEDERHAUSE</t>
  </si>
  <si>
    <t>BUTLER</t>
  </si>
  <si>
    <t>137-16</t>
  </si>
  <si>
    <t>114-16</t>
  </si>
  <si>
    <t>107-16</t>
  </si>
  <si>
    <t>ARNOLD</t>
  </si>
  <si>
    <t>NELSON</t>
  </si>
  <si>
    <t>104-16</t>
  </si>
  <si>
    <t>ACKERMAN</t>
  </si>
  <si>
    <t>128-16</t>
  </si>
  <si>
    <t>rtdc.l.rtdc.4032:itc</t>
  </si>
  <si>
    <t>rtdc.l.rtdc.4012:itc</t>
  </si>
  <si>
    <t>140-16</t>
  </si>
  <si>
    <t>159-16</t>
  </si>
  <si>
    <t>WEBSTER</t>
  </si>
  <si>
    <t>163-16</t>
  </si>
  <si>
    <t>143-16</t>
  </si>
  <si>
    <t>rtdc.l.rtdc.4011:itc</t>
  </si>
  <si>
    <t>153-16</t>
  </si>
  <si>
    <t>STURGEON</t>
  </si>
  <si>
    <t>BONDS</t>
  </si>
  <si>
    <t>GOODNIGHT</t>
  </si>
  <si>
    <t>MAYBERRY</t>
  </si>
  <si>
    <t>121-16</t>
  </si>
  <si>
    <t>LOCKLEAR</t>
  </si>
  <si>
    <t>109-16</t>
  </si>
  <si>
    <t>132-16</t>
  </si>
  <si>
    <t>161-16</t>
  </si>
  <si>
    <t>154-16</t>
  </si>
  <si>
    <t>136-16</t>
  </si>
  <si>
    <t>113-16</t>
  </si>
  <si>
    <t>117-16</t>
  </si>
  <si>
    <t>131-16</t>
  </si>
  <si>
    <t>156-16</t>
  </si>
  <si>
    <t>144-16</t>
  </si>
  <si>
    <t>118-16</t>
  </si>
  <si>
    <t>101-16</t>
  </si>
  <si>
    <t>157-16</t>
  </si>
  <si>
    <t>146-16</t>
  </si>
  <si>
    <t>149-16</t>
  </si>
  <si>
    <t>rtdc.l.rtdc.4043:itc</t>
  </si>
  <si>
    <t>106-16</t>
  </si>
  <si>
    <t>112-16</t>
  </si>
  <si>
    <t>147-16</t>
  </si>
  <si>
    <t>148-16</t>
  </si>
  <si>
    <t>152-16</t>
  </si>
  <si>
    <t>151-16</t>
  </si>
  <si>
    <t>145-16</t>
  </si>
  <si>
    <t>110-16</t>
  </si>
  <si>
    <t>150-16</t>
  </si>
  <si>
    <t>126-16</t>
  </si>
  <si>
    <t>127-16</t>
  </si>
  <si>
    <t>125-16</t>
  </si>
  <si>
    <t>108-16</t>
  </si>
  <si>
    <t>133-16</t>
  </si>
  <si>
    <t>116-16</t>
  </si>
  <si>
    <t>134-16</t>
  </si>
  <si>
    <t>138-16</t>
  </si>
  <si>
    <t>141-16</t>
  </si>
  <si>
    <t>111-16</t>
  </si>
  <si>
    <t>105-16</t>
  </si>
  <si>
    <t>139-16</t>
  </si>
  <si>
    <t>135-16</t>
  </si>
  <si>
    <t>120-16</t>
  </si>
  <si>
    <t>124-16</t>
  </si>
  <si>
    <t>142-16</t>
  </si>
  <si>
    <t>122-16</t>
  </si>
  <si>
    <t>155-16</t>
  </si>
  <si>
    <t>103-16</t>
  </si>
  <si>
    <t>129-16</t>
  </si>
  <si>
    <t>119-16</t>
  </si>
  <si>
    <t>165-16</t>
  </si>
  <si>
    <t>232-15</t>
  </si>
  <si>
    <t>102-16</t>
  </si>
  <si>
    <t>240-14</t>
  </si>
  <si>
    <t>LEVERE</t>
  </si>
  <si>
    <t>115-16</t>
  </si>
  <si>
    <t>130-16</t>
  </si>
  <si>
    <t>123-16</t>
  </si>
  <si>
    <t>158-16</t>
  </si>
  <si>
    <t>Offered, not chosen</t>
  </si>
  <si>
    <t>162-16</t>
  </si>
  <si>
    <t>160-16</t>
  </si>
  <si>
    <t>166-16</t>
  </si>
  <si>
    <t>168-16</t>
  </si>
  <si>
    <t>170-16</t>
  </si>
  <si>
    <t>176-16</t>
  </si>
  <si>
    <t>178-16</t>
  </si>
  <si>
    <t>190-16</t>
  </si>
  <si>
    <t>201-16</t>
  </si>
  <si>
    <t>196-16</t>
  </si>
  <si>
    <t>rtdc.l.rtdc.4044:itc</t>
  </si>
  <si>
    <t>203-16</t>
  </si>
  <si>
    <t>213-16</t>
  </si>
  <si>
    <t>204-16</t>
  </si>
  <si>
    <t>208-16</t>
  </si>
  <si>
    <t>212-16</t>
  </si>
  <si>
    <t>GRADE CROSSING</t>
  </si>
  <si>
    <t>Bulletin (2)</t>
  </si>
  <si>
    <t>219-16</t>
  </si>
  <si>
    <t>216-16</t>
  </si>
  <si>
    <t>221-16</t>
  </si>
  <si>
    <t>224-16</t>
  </si>
  <si>
    <t>226-16</t>
  </si>
  <si>
    <t>231-16</t>
  </si>
  <si>
    <t>TEMPORARY SPEED RESTRICTION</t>
  </si>
  <si>
    <t>230-16</t>
  </si>
  <si>
    <t>233-16</t>
  </si>
  <si>
    <t>164-16</t>
  </si>
  <si>
    <t>227-16</t>
  </si>
  <si>
    <t>113-17</t>
  </si>
  <si>
    <t>207-16</t>
  </si>
  <si>
    <t>235-16</t>
  </si>
  <si>
    <t>104-17</t>
  </si>
  <si>
    <t>rtdc.l.rtdc.4042:itc</t>
  </si>
  <si>
    <t>103-17</t>
  </si>
  <si>
    <t>173-16</t>
  </si>
  <si>
    <t>YORK</t>
  </si>
  <si>
    <t>CANFIELD</t>
  </si>
  <si>
    <t>115-17</t>
  </si>
  <si>
    <t>171-16</t>
  </si>
  <si>
    <t>182-16</t>
  </si>
  <si>
    <t>102-17</t>
  </si>
  <si>
    <t>237-16</t>
  </si>
  <si>
    <t>228-16</t>
  </si>
  <si>
    <t>214-16</t>
  </si>
  <si>
    <t>117-17</t>
  </si>
  <si>
    <t>184-16</t>
  </si>
  <si>
    <t>ADANE</t>
  </si>
  <si>
    <t>225-16</t>
  </si>
  <si>
    <t>218-16</t>
  </si>
  <si>
    <t>rtdc.l.rtdc.4041:itc</t>
  </si>
  <si>
    <t>116-17</t>
  </si>
  <si>
    <t>101-17</t>
  </si>
  <si>
    <t>rtdc.l.rtdc.4027:itc</t>
  </si>
  <si>
    <t>ROJAS-16</t>
  </si>
  <si>
    <t>HAUSER</t>
  </si>
  <si>
    <t>222-16</t>
  </si>
  <si>
    <t>169-16</t>
  </si>
  <si>
    <t>179-16</t>
  </si>
  <si>
    <t>188-16</t>
  </si>
  <si>
    <t>186-16</t>
  </si>
  <si>
    <t>177-16</t>
  </si>
  <si>
    <t>183-16</t>
  </si>
  <si>
    <t>200-16</t>
  </si>
  <si>
    <t>197-16</t>
  </si>
  <si>
    <t>192-16</t>
  </si>
  <si>
    <t>202-16</t>
  </si>
  <si>
    <t>210-16</t>
  </si>
  <si>
    <t>193-16</t>
  </si>
  <si>
    <t>217-16</t>
  </si>
  <si>
    <t>105-17</t>
  </si>
  <si>
    <t>119-17</t>
  </si>
  <si>
    <t>109-17</t>
  </si>
  <si>
    <t>108-17</t>
  </si>
  <si>
    <t>STRICKLAND</t>
  </si>
  <si>
    <t>114-17</t>
  </si>
  <si>
    <t>211-16</t>
  </si>
  <si>
    <t>187-16</t>
  </si>
  <si>
    <t>199-16</t>
  </si>
  <si>
    <t>195-16</t>
  </si>
  <si>
    <t>194-16</t>
  </si>
  <si>
    <t>180-16</t>
  </si>
  <si>
    <t>110-17</t>
  </si>
  <si>
    <t>111-17</t>
  </si>
  <si>
    <t>220-16</t>
  </si>
  <si>
    <t>175-16</t>
  </si>
  <si>
    <t>215-16</t>
  </si>
  <si>
    <t>205-16</t>
  </si>
  <si>
    <t>123-17</t>
  </si>
  <si>
    <t>223-16</t>
  </si>
  <si>
    <t>206-16</t>
  </si>
  <si>
    <t>209-16</t>
  </si>
  <si>
    <t>191-16</t>
  </si>
  <si>
    <t>172-16</t>
  </si>
  <si>
    <t>167-16</t>
  </si>
  <si>
    <t>185-16</t>
  </si>
  <si>
    <t>198-16</t>
  </si>
  <si>
    <t>112-17</t>
  </si>
  <si>
    <t>229-16</t>
  </si>
  <si>
    <t>rtdc.l.rtdc.4026:itc</t>
  </si>
  <si>
    <t>106-17</t>
  </si>
  <si>
    <t>181-16</t>
  </si>
  <si>
    <t>107-17</t>
  </si>
  <si>
    <t>121-17</t>
  </si>
  <si>
    <t>174-16</t>
  </si>
  <si>
    <t>Y</t>
  </si>
  <si>
    <t>204:232677</t>
  </si>
  <si>
    <t>204:761</t>
  </si>
  <si>
    <t>204:232670</t>
  </si>
  <si>
    <t>204:706</t>
  </si>
  <si>
    <t>204:1660</t>
  </si>
  <si>
    <t>204:233293</t>
  </si>
  <si>
    <t>204:433</t>
  </si>
  <si>
    <t>204:805</t>
  </si>
  <si>
    <t>204:232957</t>
  </si>
  <si>
    <t>204:233300</t>
  </si>
  <si>
    <t>204:232987</t>
  </si>
  <si>
    <t>204:737</t>
  </si>
  <si>
    <t>204:232969</t>
  </si>
  <si>
    <t>204:438</t>
  </si>
  <si>
    <t>204:163</t>
  </si>
  <si>
    <t>204:1498</t>
  </si>
  <si>
    <t>204:233368</t>
  </si>
  <si>
    <t>204:183</t>
  </si>
  <si>
    <t>204:233040</t>
  </si>
  <si>
    <t>204:233322</t>
  </si>
  <si>
    <t>204:233314</t>
  </si>
  <si>
    <t>204:232967</t>
  </si>
  <si>
    <t>204:232979</t>
  </si>
  <si>
    <t>204:233025</t>
  </si>
  <si>
    <t>204:169</t>
  </si>
  <si>
    <t>204:232868</t>
  </si>
  <si>
    <t>204:232993</t>
  </si>
  <si>
    <t>204:233316</t>
  </si>
  <si>
    <t>204:233332</t>
  </si>
  <si>
    <t>204:478</t>
  </si>
  <si>
    <t>204:233283</t>
  </si>
  <si>
    <t>204:232983</t>
  </si>
  <si>
    <t>204:233343</t>
  </si>
  <si>
    <t>204:176</t>
  </si>
  <si>
    <t>204:407</t>
  </si>
  <si>
    <t>204:233360</t>
  </si>
  <si>
    <t>204:233072</t>
  </si>
  <si>
    <t>204:909</t>
  </si>
  <si>
    <t>204:233334</t>
  </si>
  <si>
    <t>204:233019</t>
  </si>
  <si>
    <t>204:233286</t>
  </si>
  <si>
    <t>204:232971</t>
  </si>
  <si>
    <t>204:398</t>
  </si>
  <si>
    <t>204:233045</t>
  </si>
  <si>
    <t>204:233311</t>
  </si>
  <si>
    <t>204:232981</t>
  </si>
  <si>
    <t>204:233376</t>
  </si>
  <si>
    <t>204:233061</t>
  </si>
  <si>
    <t>204:233055</t>
  </si>
  <si>
    <t>204:233440</t>
  </si>
  <si>
    <t>204:233068</t>
  </si>
  <si>
    <t>204:1503</t>
  </si>
  <si>
    <t>204:201</t>
  </si>
  <si>
    <t>204:127869</t>
  </si>
  <si>
    <t>204:128795</t>
  </si>
  <si>
    <t>204:56471</t>
  </si>
  <si>
    <t>204:18755</t>
  </si>
  <si>
    <t>204:1371</t>
  </si>
  <si>
    <t>204:1579</t>
  </si>
  <si>
    <t>204:309</t>
  </si>
  <si>
    <t>204:1282</t>
  </si>
  <si>
    <t>204:10360</t>
  </si>
  <si>
    <t>204:668</t>
  </si>
  <si>
    <t>189-16</t>
  </si>
  <si>
    <t>232-16</t>
  </si>
  <si>
    <t>234-16</t>
  </si>
  <si>
    <t>236-16</t>
  </si>
  <si>
    <t>Routing at 40th</t>
  </si>
  <si>
    <t>Closed</t>
  </si>
  <si>
    <t>Onboard in-route failure</t>
  </si>
  <si>
    <t>Routing at Bright</t>
  </si>
  <si>
    <t>Enforced by Construction Bulletin</t>
  </si>
  <si>
    <t>Routing @ DUS 2N</t>
  </si>
  <si>
    <t>No init attempts at DUS, first init attempt was at 38th</t>
  </si>
  <si>
    <t>Slow run due to routing</t>
  </si>
  <si>
    <t>Form C at Sable</t>
  </si>
  <si>
    <t>Wi-MAX outage</t>
  </si>
  <si>
    <t>Signal was at STOP at DUS 20S</t>
  </si>
  <si>
    <t>Signal was at STOP at DUS 2S</t>
  </si>
  <si>
    <t>Signal was at STOP at Quebec 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</si>
</sst>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4"/>
  <sheetViews>
    <sheetView showGridLines="0" tabSelected="1" topLeftCell="A115" zoomScale="85" zoomScaleNormal="85" workbookViewId="0">
      <selection activeCell="Q127" sqref="Q127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7" t="str">
        <f>"Eagle P3 System Performance - "&amp;TEXT(Variables!A2,"yyyy-mm-dd")</f>
        <v>Eagle P3 System Performance - 2016-05-16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274</v>
      </c>
      <c r="B3" s="61">
        <v>4011</v>
      </c>
      <c r="C3" s="61" t="s">
        <v>66</v>
      </c>
      <c r="D3" s="61" t="s">
        <v>176</v>
      </c>
      <c r="E3" s="30">
        <v>42506.12604166667</v>
      </c>
      <c r="F3" s="30">
        <v>42506.127534722225</v>
      </c>
      <c r="G3" s="38">
        <v>2</v>
      </c>
      <c r="H3" s="30" t="s">
        <v>112</v>
      </c>
      <c r="I3" s="30">
        <v>42506.160636574074</v>
      </c>
      <c r="J3" s="61">
        <v>0</v>
      </c>
      <c r="K3" s="61" t="str">
        <f t="shared" ref="K3:K4" si="0">IF(ISEVEN(B3),(B3-1)&amp;"/"&amp;B3,B3&amp;"/"&amp;(B3+1))</f>
        <v>4011/4012</v>
      </c>
      <c r="L3" s="61" t="str">
        <f>VLOOKUP(A3,'Trips&amp;Operators'!$C$1:$E$9999,3,FALSE)</f>
        <v>LEVIN</v>
      </c>
      <c r="M3" s="12">
        <f t="shared" ref="M3:M4" si="1">I3-F3</f>
        <v>3.3101851848186925E-2</v>
      </c>
      <c r="N3" s="13">
        <f>24*60*SUM($M3:$M3)</f>
        <v>47.666666661389172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https://search-rtdc-monitor-bjffxe2xuh6vdkpspy63sjmuny.us-east-1.es.amazonaws.com/_plugin/kibana/#/discover/Steve-Slow-Train-Analysis-(2080s-and-2083s)?_g=(refreshInterval:(display:Off,section:0,value:0),time:(from:'2016-05-16 03:00:30-0600',mode:absolute,to:'2016-05-16 03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7.2400000000000006E-2</v>
      </c>
      <c r="X3" s="74">
        <f>RIGHT(H3,LEN(H3)-4)/10000</f>
        <v>23.331700000000001</v>
      </c>
      <c r="Y3" s="74">
        <f>ABS(X3-W3)</f>
        <v>23.259300000000003</v>
      </c>
      <c r="Z3" s="75" t="e">
        <f>VLOOKUP(A3,Enforcements!$C$3:$J$40,8,0)</f>
        <v>#N/A</v>
      </c>
      <c r="AA3" s="75" t="e">
        <f>VLOOKUP(A3,Enforcements!$C$3:$J$40,3,0)</f>
        <v>#N/A</v>
      </c>
    </row>
    <row r="4" spans="1:89" s="2" customFormat="1" x14ac:dyDescent="0.25">
      <c r="A4" s="61" t="s">
        <v>311</v>
      </c>
      <c r="B4" s="61">
        <v>4019</v>
      </c>
      <c r="C4" s="61" t="s">
        <v>66</v>
      </c>
      <c r="D4" s="61" t="s">
        <v>425</v>
      </c>
      <c r="E4" s="30">
        <v>42506.167905092596</v>
      </c>
      <c r="F4" s="30">
        <v>42506.169398148151</v>
      </c>
      <c r="G4" s="38">
        <v>2</v>
      </c>
      <c r="H4" s="30" t="s">
        <v>79</v>
      </c>
      <c r="I4" s="30">
        <v>42506.200185185182</v>
      </c>
      <c r="J4" s="61">
        <v>0</v>
      </c>
      <c r="K4" s="61" t="str">
        <f t="shared" si="0"/>
        <v>4019/4020</v>
      </c>
      <c r="L4" s="61" t="str">
        <f>VLOOKUP(A4,'Trips&amp;Operators'!$C$1:$E$9999,3,FALSE)</f>
        <v>LEVIN</v>
      </c>
      <c r="M4" s="12">
        <f t="shared" si="1"/>
        <v>3.0787037030677311E-2</v>
      </c>
      <c r="N4" s="13">
        <f t="shared" ref="N4:N67" si="5">24*60*SUM($M4:$M4)</f>
        <v>44.333333324175328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https://search-rtdc-monitor-bjffxe2xuh6vdkpspy63sjmuny.us-east-1.es.amazonaws.com/_plugin/kibana/#/discover/Steve-Slow-Train-Analysis-(2080s-and-2083s)?_g=(refreshInterval:(display:Off,section:0,value:0),time:(from:'2016-05-16 04:00:47-0600',mode:absolute,to:'2016-05-16 04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23.267700000000001</v>
      </c>
      <c r="X4" s="74">
        <f t="shared" ref="X4" si="7">RIGHT(H4,LEN(H4)-4)/10000</f>
        <v>1.4500000000000001E-2</v>
      </c>
      <c r="Y4" s="74">
        <f t="shared" ref="Y4" si="8">ABS(X4-W4)</f>
        <v>23.2532</v>
      </c>
      <c r="Z4" s="75" t="e">
        <f>VLOOKUP(A4,Enforcements!$C$3:$J$40,8,0)</f>
        <v>#N/A</v>
      </c>
      <c r="AA4" s="75" t="e">
        <f>VLOOKUP(A4,Enforcements!$C$3:$J$40,3,0)</f>
        <v>#N/A</v>
      </c>
    </row>
    <row r="5" spans="1:89" s="2" customFormat="1" x14ac:dyDescent="0.25">
      <c r="A5" s="61" t="s">
        <v>306</v>
      </c>
      <c r="B5" s="61">
        <v>4031</v>
      </c>
      <c r="C5" s="61" t="s">
        <v>66</v>
      </c>
      <c r="D5" s="61" t="s">
        <v>426</v>
      </c>
      <c r="E5" s="30">
        <v>42506.152638888889</v>
      </c>
      <c r="F5" s="30">
        <v>42506.153738425928</v>
      </c>
      <c r="G5" s="38">
        <v>1</v>
      </c>
      <c r="H5" s="30" t="s">
        <v>146</v>
      </c>
      <c r="I5" s="30">
        <v>42506.181840277779</v>
      </c>
      <c r="J5" s="61">
        <v>0</v>
      </c>
      <c r="K5" s="61" t="str">
        <f t="shared" ref="K5:K67" si="9">IF(ISEVEN(B5),(B5-1)&amp;"/"&amp;B5,B5&amp;"/"&amp;(B5+1))</f>
        <v>4031/4032</v>
      </c>
      <c r="L5" s="61" t="str">
        <f>VLOOKUP(A5,'Trips&amp;Operators'!$C$1:$E$9999,3,FALSE)</f>
        <v>REBOLETTI</v>
      </c>
      <c r="M5" s="12">
        <f t="shared" ref="M5:M67" si="10">I5-F5</f>
        <v>2.810185185080627E-2</v>
      </c>
      <c r="N5" s="13">
        <f t="shared" si="5"/>
        <v>40.466666665161029</v>
      </c>
      <c r="O5" s="13"/>
      <c r="P5" s="13"/>
      <c r="Q5" s="62"/>
      <c r="R5" s="62"/>
      <c r="T5" s="74" t="str">
        <f t="shared" ref="T5:T67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https://search-rtdc-monitor-bjffxe2xuh6vdkpspy63sjmuny.us-east-1.es.amazonaws.com/_plugin/kibana/#/discover/Steve-Slow-Train-Analysis-(2080s-and-2083s)?_g=(refreshInterval:(display:Off,section:0,value:0),time:(from:'2016-05-16 03:38:48-0600',mode:absolute,to:'2016-05-16 04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" s="74" t="str">
        <f t="shared" ref="U5:U67" si="12">IF(Y5&lt;23,"Y","N")</f>
        <v>N</v>
      </c>
      <c r="V5" s="74">
        <f t="shared" ref="V5:V67" si="13">VALUE(LEFT(A5,3))-VALUE(LEFT(A4,3))</f>
        <v>1</v>
      </c>
      <c r="W5" s="74">
        <f t="shared" ref="W5:W67" si="14">RIGHT(D5,LEN(D5)-4)/10000</f>
        <v>7.6100000000000001E-2</v>
      </c>
      <c r="X5" s="74">
        <f t="shared" ref="X5:X67" si="15">RIGHT(H5,LEN(H5)-4)/10000</f>
        <v>23.3306</v>
      </c>
      <c r="Y5" s="74">
        <f t="shared" ref="Y5:Y67" si="16">ABS(X5-W5)</f>
        <v>23.2545</v>
      </c>
      <c r="Z5" s="75" t="e">
        <f>VLOOKUP(A5,Enforcements!$C$3:$J$40,8,0)</f>
        <v>#N/A</v>
      </c>
      <c r="AA5" s="75" t="e">
        <f>VLOOKUP(A5,Enforcements!$C$3:$J$40,3,0)</f>
        <v>#N/A</v>
      </c>
    </row>
    <row r="6" spans="1:89" s="2" customFormat="1" x14ac:dyDescent="0.25">
      <c r="A6" s="61" t="s">
        <v>245</v>
      </c>
      <c r="B6" s="61">
        <v>4010</v>
      </c>
      <c r="C6" s="61" t="s">
        <v>66</v>
      </c>
      <c r="D6" s="61" t="s">
        <v>427</v>
      </c>
      <c r="E6" s="30">
        <v>42506.192662037036</v>
      </c>
      <c r="F6" s="30">
        <v>42506.19390046296</v>
      </c>
      <c r="G6" s="38">
        <v>1</v>
      </c>
      <c r="H6" s="30" t="s">
        <v>153</v>
      </c>
      <c r="I6" s="30">
        <v>42506.221620370372</v>
      </c>
      <c r="J6" s="61">
        <v>0</v>
      </c>
      <c r="K6" s="61" t="str">
        <f t="shared" si="9"/>
        <v>4009/4010</v>
      </c>
      <c r="L6" s="61" t="str">
        <f>VLOOKUP(A6,'Trips&amp;Operators'!$C$1:$E$9999,3,FALSE)</f>
        <v>REBOLETTI</v>
      </c>
      <c r="M6" s="12">
        <f t="shared" si="10"/>
        <v>2.771990741166519E-2</v>
      </c>
      <c r="N6" s="13">
        <f t="shared" si="5"/>
        <v>39.916666672797874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04:36:26-0600',mode:absolute,to:'2016-05-16 05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23.266999999999999</v>
      </c>
      <c r="X6" s="74">
        <f t="shared" si="15"/>
        <v>1.6500000000000001E-2</v>
      </c>
      <c r="Y6" s="74">
        <f t="shared" si="16"/>
        <v>23.250499999999999</v>
      </c>
      <c r="Z6" s="75" t="e">
        <f>VLOOKUP(A6,Enforcements!$C$3:$J$40,8,0)</f>
        <v>#N/A</v>
      </c>
      <c r="AA6" s="75" t="e">
        <f>VLOOKUP(A6,Enforcements!$C$3:$J$40,3,0)</f>
        <v>#N/A</v>
      </c>
    </row>
    <row r="7" spans="1:89" s="2" customFormat="1" x14ac:dyDescent="0.25">
      <c r="A7" s="61" t="s">
        <v>298</v>
      </c>
      <c r="B7" s="61">
        <v>4040</v>
      </c>
      <c r="C7" s="61" t="s">
        <v>66</v>
      </c>
      <c r="D7" s="61" t="s">
        <v>428</v>
      </c>
      <c r="E7" s="30">
        <v>42506.169432870367</v>
      </c>
      <c r="F7" s="30">
        <v>42506.17046296296</v>
      </c>
      <c r="G7" s="38">
        <v>1</v>
      </c>
      <c r="H7" s="30" t="s">
        <v>83</v>
      </c>
      <c r="I7" s="30">
        <v>42506.203263888892</v>
      </c>
      <c r="J7" s="61">
        <v>1</v>
      </c>
      <c r="K7" s="61" t="str">
        <f t="shared" si="9"/>
        <v>4039/4040</v>
      </c>
      <c r="L7" s="61" t="str">
        <f>VLOOKUP(A7,'Trips&amp;Operators'!$C$1:$E$9999,3,FALSE)</f>
        <v>STORY</v>
      </c>
      <c r="M7" s="12">
        <f t="shared" si="10"/>
        <v>3.2800925931951497E-2</v>
      </c>
      <c r="N7" s="13">
        <f t="shared" si="5"/>
        <v>47.233333342010155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04:02:59-0600',mode:absolute,to:'2016-05-16 04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" s="74" t="str">
        <f t="shared" si="12"/>
        <v>N</v>
      </c>
      <c r="V7" s="74">
        <f t="shared" si="13"/>
        <v>1</v>
      </c>
      <c r="W7" s="74">
        <f t="shared" si="14"/>
        <v>7.0599999999999996E-2</v>
      </c>
      <c r="X7" s="74">
        <f t="shared" si="15"/>
        <v>23.3308</v>
      </c>
      <c r="Y7" s="74">
        <f t="shared" si="16"/>
        <v>23.260200000000001</v>
      </c>
      <c r="Z7" s="75">
        <f>VLOOKUP(A7,Enforcements!$C$3:$J$40,8,0)</f>
        <v>233491</v>
      </c>
      <c r="AA7" s="75" t="str">
        <f>VLOOKUP(A7,Enforcements!$C$3:$J$40,3,0)</f>
        <v>TRACK WARRANT AUTHORITY</v>
      </c>
    </row>
    <row r="8" spans="1:89" s="2" customFormat="1" x14ac:dyDescent="0.25">
      <c r="A8" s="61" t="s">
        <v>279</v>
      </c>
      <c r="B8" s="61">
        <v>4043</v>
      </c>
      <c r="C8" s="61" t="s">
        <v>66</v>
      </c>
      <c r="D8" s="61" t="s">
        <v>425</v>
      </c>
      <c r="E8" s="30">
        <v>42506.210960648146</v>
      </c>
      <c r="F8" s="30">
        <v>42506.212222222224</v>
      </c>
      <c r="G8" s="38">
        <v>1</v>
      </c>
      <c r="H8" s="30" t="s">
        <v>429</v>
      </c>
      <c r="I8" s="30">
        <v>42506.241701388892</v>
      </c>
      <c r="J8" s="61">
        <v>0</v>
      </c>
      <c r="K8" s="61" t="str">
        <f t="shared" si="9"/>
        <v>4043/4044</v>
      </c>
      <c r="L8" s="61" t="str">
        <f>VLOOKUP(A8,'Trips&amp;Operators'!$C$1:$E$9999,3,FALSE)</f>
        <v>RIVERA</v>
      </c>
      <c r="M8" s="12">
        <f t="shared" si="10"/>
        <v>2.9479166667442769E-2</v>
      </c>
      <c r="N8" s="13">
        <f t="shared" si="5"/>
        <v>42.450000001117587</v>
      </c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05:02:47-0600',mode:absolute,to:'2016-05-16 05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" s="74" t="str">
        <f t="shared" si="12"/>
        <v>N</v>
      </c>
      <c r="V8" s="74">
        <f t="shared" si="13"/>
        <v>1</v>
      </c>
      <c r="W8" s="74">
        <f t="shared" si="14"/>
        <v>23.267700000000001</v>
      </c>
      <c r="X8" s="74">
        <f t="shared" si="15"/>
        <v>0.16600000000000001</v>
      </c>
      <c r="Y8" s="74">
        <f t="shared" si="16"/>
        <v>23.101700000000001</v>
      </c>
      <c r="Z8" s="75" t="e">
        <f>VLOOKUP(A8,Enforcements!$C$3:$J$40,8,0)</f>
        <v>#N/A</v>
      </c>
      <c r="AA8" s="75" t="e">
        <f>VLOOKUP(A8,Enforcements!$C$3:$J$40,3,0)</f>
        <v>#N/A</v>
      </c>
    </row>
    <row r="9" spans="1:89" s="2" customFormat="1" x14ac:dyDescent="0.25">
      <c r="A9" s="61" t="s">
        <v>242</v>
      </c>
      <c r="B9" s="61">
        <v>4024</v>
      </c>
      <c r="C9" s="61" t="s">
        <v>66</v>
      </c>
      <c r="D9" s="61" t="s">
        <v>111</v>
      </c>
      <c r="E9" s="30">
        <v>42506.178761574076</v>
      </c>
      <c r="F9" s="30">
        <v>42506.179988425924</v>
      </c>
      <c r="G9" s="38">
        <v>1</v>
      </c>
      <c r="H9" s="30" t="s">
        <v>430</v>
      </c>
      <c r="I9" s="30">
        <v>42506.212650462963</v>
      </c>
      <c r="J9" s="61">
        <v>0</v>
      </c>
      <c r="K9" s="61" t="str">
        <f t="shared" si="9"/>
        <v>4023/4024</v>
      </c>
      <c r="L9" s="61" t="str">
        <f>VLOOKUP(A9,'Trips&amp;Operators'!$C$1:$E$9999,3,FALSE)</f>
        <v>ARNOLD</v>
      </c>
      <c r="M9" s="12">
        <f t="shared" si="10"/>
        <v>3.2662037039699499E-2</v>
      </c>
      <c r="N9" s="13">
        <f t="shared" si="5"/>
        <v>47.033333337167278</v>
      </c>
      <c r="O9" s="13"/>
      <c r="P9" s="13"/>
      <c r="Q9" s="62"/>
      <c r="R9" s="62"/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04:16:25-0600',mode:absolute,to:'2016-05-16 05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" s="74" t="str">
        <f t="shared" si="12"/>
        <v>N</v>
      </c>
      <c r="V9" s="74">
        <f t="shared" si="13"/>
        <v>1</v>
      </c>
      <c r="W9" s="74">
        <f t="shared" si="14"/>
        <v>4.6199999999999998E-2</v>
      </c>
      <c r="X9" s="74">
        <f t="shared" si="15"/>
        <v>23.3293</v>
      </c>
      <c r="Y9" s="74">
        <f t="shared" si="16"/>
        <v>23.283100000000001</v>
      </c>
      <c r="Z9" s="75" t="e">
        <f>VLOOKUP(A9,Enforcements!$C$3:$J$40,8,0)</f>
        <v>#N/A</v>
      </c>
      <c r="AA9" s="75" t="e">
        <f>VLOOKUP(A9,Enforcements!$C$3:$J$40,3,0)</f>
        <v>#N/A</v>
      </c>
    </row>
    <row r="10" spans="1:89" s="2" customFormat="1" x14ac:dyDescent="0.25">
      <c r="A10" s="61" t="s">
        <v>291</v>
      </c>
      <c r="B10" s="61">
        <v>4023</v>
      </c>
      <c r="C10" s="61" t="s">
        <v>66</v>
      </c>
      <c r="D10" s="61" t="s">
        <v>184</v>
      </c>
      <c r="E10" s="30">
        <v>42506.216956018521</v>
      </c>
      <c r="F10" s="30">
        <v>42506.218043981484</v>
      </c>
      <c r="G10" s="38">
        <v>1</v>
      </c>
      <c r="H10" s="30" t="s">
        <v>73</v>
      </c>
      <c r="I10" s="30">
        <v>42506.252187500002</v>
      </c>
      <c r="J10" s="61">
        <v>0</v>
      </c>
      <c r="K10" s="61" t="str">
        <f t="shared" si="9"/>
        <v>4023/4024</v>
      </c>
      <c r="L10" s="61" t="str">
        <f>VLOOKUP(A10,'Trips&amp;Operators'!$C$1:$E$9999,3,FALSE)</f>
        <v>ARNOLD</v>
      </c>
      <c r="M10" s="12">
        <f t="shared" si="10"/>
        <v>3.4143518518249039E-2</v>
      </c>
      <c r="N10" s="13">
        <f t="shared" si="5"/>
        <v>49.166666666278616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05:11:25-0600',mode:absolute,to:'2016-05-16 06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23.299600000000002</v>
      </c>
      <c r="X10" s="74">
        <f t="shared" si="15"/>
        <v>1.49E-2</v>
      </c>
      <c r="Y10" s="74">
        <f t="shared" si="16"/>
        <v>23.284700000000001</v>
      </c>
      <c r="Z10" s="75" t="e">
        <f>VLOOKUP(A10,Enforcements!$C$3:$J$40,8,0)</f>
        <v>#N/A</v>
      </c>
      <c r="AA10" s="75" t="e">
        <f>VLOOKUP(A10,Enforcements!$C$3:$J$40,3,0)</f>
        <v>#N/A</v>
      </c>
    </row>
    <row r="11" spans="1:89" s="2" customFormat="1" x14ac:dyDescent="0.25">
      <c r="A11" s="61" t="s">
        <v>263</v>
      </c>
      <c r="B11" s="61">
        <v>4016</v>
      </c>
      <c r="C11" s="61" t="s">
        <v>66</v>
      </c>
      <c r="D11" s="61" t="s">
        <v>431</v>
      </c>
      <c r="E11" s="30">
        <v>42506.191388888888</v>
      </c>
      <c r="F11" s="30">
        <v>42506.195729166669</v>
      </c>
      <c r="G11" s="38">
        <v>6</v>
      </c>
      <c r="H11" s="30" t="s">
        <v>216</v>
      </c>
      <c r="I11" s="30">
        <v>42506.223495370374</v>
      </c>
      <c r="J11" s="61">
        <v>0</v>
      </c>
      <c r="K11" s="61" t="str">
        <f t="shared" si="9"/>
        <v>4015/4016</v>
      </c>
      <c r="L11" s="61" t="str">
        <f>VLOOKUP(A11,'Trips&amp;Operators'!$C$1:$E$9999,3,FALSE)</f>
        <v>LEDERHAUSE</v>
      </c>
      <c r="M11" s="12">
        <f t="shared" si="10"/>
        <v>2.7766203704231884E-2</v>
      </c>
      <c r="N11" s="13">
        <f t="shared" si="5"/>
        <v>39.983333334093913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04:34:36-0600',mode:absolute,to:'2016-05-16 05:22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4.3299999999999998E-2</v>
      </c>
      <c r="X11" s="74">
        <f t="shared" si="15"/>
        <v>23.3325</v>
      </c>
      <c r="Y11" s="74">
        <f t="shared" si="16"/>
        <v>23.289200000000001</v>
      </c>
      <c r="Z11" s="75" t="e">
        <f>VLOOKUP(A11,Enforcements!$C$3:$J$40,8,0)</f>
        <v>#N/A</v>
      </c>
      <c r="AA11" s="75" t="e">
        <f>VLOOKUP(A11,Enforcements!$C$3:$J$40,3,0)</f>
        <v>#N/A</v>
      </c>
    </row>
    <row r="12" spans="1:89" s="2" customFormat="1" x14ac:dyDescent="0.25">
      <c r="A12" s="61" t="s">
        <v>286</v>
      </c>
      <c r="B12" s="61">
        <v>4015</v>
      </c>
      <c r="C12" s="61" t="s">
        <v>66</v>
      </c>
      <c r="D12" s="61" t="s">
        <v>209</v>
      </c>
      <c r="E12" s="30">
        <v>42506.234305555554</v>
      </c>
      <c r="F12" s="30">
        <v>42506.235601851855</v>
      </c>
      <c r="G12" s="38">
        <v>1</v>
      </c>
      <c r="H12" s="30" t="s">
        <v>110</v>
      </c>
      <c r="I12" s="30">
        <v>42506.262256944443</v>
      </c>
      <c r="J12" s="61">
        <v>0</v>
      </c>
      <c r="K12" s="61" t="str">
        <f t="shared" si="9"/>
        <v>4015/4016</v>
      </c>
      <c r="L12" s="61" t="str">
        <f>VLOOKUP(A12,'Trips&amp;Operators'!$C$1:$E$9999,3,FALSE)</f>
        <v>LEDERHAUSE</v>
      </c>
      <c r="M12" s="12">
        <f t="shared" si="10"/>
        <v>2.6655092588043772E-2</v>
      </c>
      <c r="N12" s="13">
        <f t="shared" si="5"/>
        <v>38.383333326783031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05:36:24-0600',mode:absolute,to:'2016-05-16 06:18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23.301500000000001</v>
      </c>
      <c r="X12" s="74">
        <f t="shared" si="15"/>
        <v>1.47E-2</v>
      </c>
      <c r="Y12" s="74">
        <f t="shared" si="16"/>
        <v>23.286799999999999</v>
      </c>
      <c r="Z12" s="75" t="e">
        <f>VLOOKUP(A12,Enforcements!$C$3:$J$40,8,0)</f>
        <v>#N/A</v>
      </c>
      <c r="AA12" s="75" t="e">
        <f>VLOOKUP(A12,Enforcements!$C$3:$J$40,3,0)</f>
        <v>#N/A</v>
      </c>
    </row>
    <row r="13" spans="1:89" s="2" customFormat="1" x14ac:dyDescent="0.25">
      <c r="A13" s="61" t="s">
        <v>297</v>
      </c>
      <c r="B13" s="61">
        <v>4011</v>
      </c>
      <c r="C13" s="61" t="s">
        <v>66</v>
      </c>
      <c r="D13" s="61" t="s">
        <v>432</v>
      </c>
      <c r="E13" s="30">
        <v>42506.204652777778</v>
      </c>
      <c r="F13" s="30">
        <v>42506.205833333333</v>
      </c>
      <c r="G13" s="38">
        <v>1</v>
      </c>
      <c r="H13" s="30" t="s">
        <v>88</v>
      </c>
      <c r="I13" s="30">
        <v>42506.233368055553</v>
      </c>
      <c r="J13" s="61">
        <v>0</v>
      </c>
      <c r="K13" s="61" t="str">
        <f t="shared" si="9"/>
        <v>4011/4012</v>
      </c>
      <c r="L13" s="61" t="str">
        <f>VLOOKUP(A13,'Trips&amp;Operators'!$C$1:$E$9999,3,FALSE)</f>
        <v>CHANDLER</v>
      </c>
      <c r="M13" s="12">
        <f t="shared" si="10"/>
        <v>2.753472221957054E-2</v>
      </c>
      <c r="N13" s="13">
        <f t="shared" si="5"/>
        <v>39.649999996181577</v>
      </c>
      <c r="O13" s="13"/>
      <c r="P13" s="13"/>
      <c r="Q13" s="62"/>
      <c r="R13" s="62"/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04:53:42-0600',mode:absolute,to:'2016-05-16 05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" s="74" t="str">
        <f t="shared" si="12"/>
        <v>N</v>
      </c>
      <c r="V13" s="74">
        <f t="shared" si="13"/>
        <v>1</v>
      </c>
      <c r="W13" s="74">
        <f t="shared" si="14"/>
        <v>8.0500000000000002E-2</v>
      </c>
      <c r="X13" s="74">
        <f t="shared" si="15"/>
        <v>23.329899999999999</v>
      </c>
      <c r="Y13" s="74">
        <f t="shared" si="16"/>
        <v>23.249399999999998</v>
      </c>
      <c r="Z13" s="75">
        <f>VLOOKUP(A13,Enforcements!$C$3:$J$40,8,0)</f>
        <v>233491</v>
      </c>
      <c r="AA13" s="75" t="str">
        <f>VLOOKUP(A13,Enforcements!$C$3:$J$40,3,0)</f>
        <v>TRACK WARRANT AUTHORITY</v>
      </c>
    </row>
    <row r="14" spans="1:89" s="2" customFormat="1" x14ac:dyDescent="0.25">
      <c r="A14" s="61" t="s">
        <v>280</v>
      </c>
      <c r="B14" s="61">
        <v>4012</v>
      </c>
      <c r="C14" s="61" t="s">
        <v>66</v>
      </c>
      <c r="D14" s="61" t="s">
        <v>433</v>
      </c>
      <c r="E14" s="30">
        <v>42506.238645833335</v>
      </c>
      <c r="F14" s="30">
        <v>42506.23978009259</v>
      </c>
      <c r="G14" s="38">
        <v>1</v>
      </c>
      <c r="H14" s="30" t="s">
        <v>89</v>
      </c>
      <c r="I14" s="30">
        <v>42506.273425925923</v>
      </c>
      <c r="J14" s="61">
        <v>0</v>
      </c>
      <c r="K14" s="61" t="str">
        <f t="shared" si="9"/>
        <v>4011/4012</v>
      </c>
      <c r="L14" s="61" t="str">
        <f>VLOOKUP(A14,'Trips&amp;Operators'!$C$1:$E$9999,3,FALSE)</f>
        <v>CHANDLER</v>
      </c>
      <c r="M14" s="12">
        <f t="shared" si="10"/>
        <v>3.3645833333139308E-2</v>
      </c>
      <c r="N14" s="13">
        <f t="shared" si="5"/>
        <v>48.449999999720603</v>
      </c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05:42:39-0600',mode:absolute,to:'2016-05-16 06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" s="74" t="str">
        <f t="shared" si="12"/>
        <v>N</v>
      </c>
      <c r="V14" s="74">
        <f t="shared" si="13"/>
        <v>1</v>
      </c>
      <c r="W14" s="74">
        <f t="shared" si="14"/>
        <v>23.2957</v>
      </c>
      <c r="X14" s="74">
        <f t="shared" si="15"/>
        <v>1.52E-2</v>
      </c>
      <c r="Y14" s="74">
        <f t="shared" si="16"/>
        <v>23.2805</v>
      </c>
      <c r="Z14" s="75" t="e">
        <f>VLOOKUP(A14,Enforcements!$C$3:$J$40,8,0)</f>
        <v>#N/A</v>
      </c>
      <c r="AA14" s="75" t="e">
        <f>VLOOKUP(A14,Enforcements!$C$3:$J$40,3,0)</f>
        <v>#N/A</v>
      </c>
    </row>
    <row r="15" spans="1:89" s="2" customFormat="1" x14ac:dyDescent="0.25">
      <c r="A15" s="61" t="s">
        <v>268</v>
      </c>
      <c r="B15" s="61">
        <v>4020</v>
      </c>
      <c r="C15" s="61" t="s">
        <v>66</v>
      </c>
      <c r="D15" s="61" t="s">
        <v>188</v>
      </c>
      <c r="E15" s="30">
        <v>42506.211168981485</v>
      </c>
      <c r="F15" s="30">
        <v>42506.212106481478</v>
      </c>
      <c r="G15" s="38">
        <v>1</v>
      </c>
      <c r="H15" s="30" t="s">
        <v>434</v>
      </c>
      <c r="I15" s="30">
        <v>42506.243750000001</v>
      </c>
      <c r="J15" s="61">
        <v>0</v>
      </c>
      <c r="K15" s="61" t="str">
        <f t="shared" si="9"/>
        <v>4019/4020</v>
      </c>
      <c r="L15" s="61" t="str">
        <f>VLOOKUP(A15,'Trips&amp;Operators'!$C$1:$E$9999,3,FALSE)</f>
        <v>LEVIN</v>
      </c>
      <c r="M15" s="12">
        <f t="shared" si="10"/>
        <v>3.164351852319669E-2</v>
      </c>
      <c r="N15" s="13">
        <f t="shared" si="5"/>
        <v>45.566666673403233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05:03:05-0600',mode:absolute,to:'2016-05-16 05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4.3499999999999997E-2</v>
      </c>
      <c r="X15" s="74">
        <f t="shared" si="15"/>
        <v>23.33</v>
      </c>
      <c r="Y15" s="74">
        <f t="shared" si="16"/>
        <v>23.286499999999997</v>
      </c>
      <c r="Z15" s="75" t="e">
        <f>VLOOKUP(A15,Enforcements!$C$3:$J$40,8,0)</f>
        <v>#N/A</v>
      </c>
      <c r="AA15" s="75" t="e">
        <f>VLOOKUP(A15,Enforcements!$C$3:$J$40,3,0)</f>
        <v>#N/A</v>
      </c>
    </row>
    <row r="16" spans="1:89" s="2" customFormat="1" x14ac:dyDescent="0.25">
      <c r="A16" s="61" t="s">
        <v>241</v>
      </c>
      <c r="B16" s="61">
        <v>4019</v>
      </c>
      <c r="C16" s="61" t="s">
        <v>66</v>
      </c>
      <c r="D16" s="61" t="s">
        <v>435</v>
      </c>
      <c r="E16" s="30">
        <v>42506.254374999997</v>
      </c>
      <c r="F16" s="30">
        <v>42506.255162037036</v>
      </c>
      <c r="G16" s="38">
        <v>1</v>
      </c>
      <c r="H16" s="30" t="s">
        <v>73</v>
      </c>
      <c r="I16" s="30">
        <v>42506.282881944448</v>
      </c>
      <c r="J16" s="61">
        <v>0</v>
      </c>
      <c r="K16" s="61" t="str">
        <f t="shared" si="9"/>
        <v>4019/4020</v>
      </c>
      <c r="L16" s="61" t="str">
        <f>VLOOKUP(A16,'Trips&amp;Operators'!$C$1:$E$9999,3,FALSE)</f>
        <v>LEVIN</v>
      </c>
      <c r="M16" s="12">
        <f t="shared" si="10"/>
        <v>2.771990741166519E-2</v>
      </c>
      <c r="N16" s="13">
        <f t="shared" si="5"/>
        <v>39.916666672797874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06:05:18-0600',mode:absolute,to:'2016-05-16 06:48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23.2987</v>
      </c>
      <c r="X16" s="74">
        <f t="shared" si="15"/>
        <v>1.49E-2</v>
      </c>
      <c r="Y16" s="74">
        <f t="shared" si="16"/>
        <v>23.283799999999999</v>
      </c>
      <c r="Z16" s="75" t="e">
        <f>VLOOKUP(A16,Enforcements!$C$3:$J$40,8,0)</f>
        <v>#N/A</v>
      </c>
      <c r="AA16" s="75" t="e">
        <f>VLOOKUP(A16,Enforcements!$C$3:$J$40,3,0)</f>
        <v>#N/A</v>
      </c>
    </row>
    <row r="17" spans="1:27" s="2" customFormat="1" x14ac:dyDescent="0.25">
      <c r="A17" s="61" t="s">
        <v>314</v>
      </c>
      <c r="B17" s="61">
        <v>4031</v>
      </c>
      <c r="C17" s="61" t="s">
        <v>66</v>
      </c>
      <c r="D17" s="61" t="s">
        <v>436</v>
      </c>
      <c r="E17" s="30">
        <v>42506.222812499997</v>
      </c>
      <c r="F17" s="30">
        <v>42506.225057870368</v>
      </c>
      <c r="G17" s="38">
        <v>3</v>
      </c>
      <c r="H17" s="30" t="s">
        <v>105</v>
      </c>
      <c r="I17" s="30">
        <v>42506.253680555557</v>
      </c>
      <c r="J17" s="61">
        <v>1</v>
      </c>
      <c r="K17" s="61" t="str">
        <f t="shared" si="9"/>
        <v>4031/4032</v>
      </c>
      <c r="L17" s="61" t="str">
        <f>VLOOKUP(A17,'Trips&amp;Operators'!$C$1:$E$9999,3,FALSE)</f>
        <v>MALAVE</v>
      </c>
      <c r="M17" s="12">
        <f t="shared" si="10"/>
        <v>2.8622685189475305E-2</v>
      </c>
      <c r="N17" s="13">
        <f t="shared" si="5"/>
        <v>41.21666667284444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05:19:51-0600',mode:absolute,to:'2016-05-16 06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7.3700000000000002E-2</v>
      </c>
      <c r="X17" s="74">
        <f t="shared" si="15"/>
        <v>23.3291</v>
      </c>
      <c r="Y17" s="74">
        <f t="shared" si="16"/>
        <v>23.255400000000002</v>
      </c>
      <c r="Z17" s="75">
        <f>VLOOKUP(A17,Enforcements!$C$3:$J$40,8,0)</f>
        <v>233491</v>
      </c>
      <c r="AA17" s="75" t="str">
        <f>VLOOKUP(A17,Enforcements!$C$3:$J$40,3,0)</f>
        <v>TRACK WARRANT AUTHORITY</v>
      </c>
    </row>
    <row r="18" spans="1:27" s="2" customFormat="1" x14ac:dyDescent="0.25">
      <c r="A18" s="61" t="s">
        <v>293</v>
      </c>
      <c r="B18" s="61">
        <v>4032</v>
      </c>
      <c r="C18" s="61" t="s">
        <v>66</v>
      </c>
      <c r="D18" s="61" t="s">
        <v>437</v>
      </c>
      <c r="E18" s="30">
        <v>42506.264594907407</v>
      </c>
      <c r="F18" s="30">
        <v>42506.2655787037</v>
      </c>
      <c r="G18" s="38">
        <v>1</v>
      </c>
      <c r="H18" s="30" t="s">
        <v>145</v>
      </c>
      <c r="I18" s="30">
        <v>42506.293668981481</v>
      </c>
      <c r="J18" s="61">
        <v>0</v>
      </c>
      <c r="K18" s="61" t="str">
        <f t="shared" si="9"/>
        <v>4031/4032</v>
      </c>
      <c r="L18" s="61" t="str">
        <f>VLOOKUP(A18,'Trips&amp;Operators'!$C$1:$E$9999,3,FALSE)</f>
        <v>MALAVE</v>
      </c>
      <c r="M18" s="12">
        <f t="shared" si="10"/>
        <v>2.8090277781302575E-2</v>
      </c>
      <c r="N18" s="13">
        <f t="shared" si="5"/>
        <v>40.450000005075708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06:20:01-0600',mode:absolute,to:'2016-05-16 07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23.296900000000001</v>
      </c>
      <c r="X18" s="74">
        <f t="shared" si="15"/>
        <v>1.3899999999999999E-2</v>
      </c>
      <c r="Y18" s="74">
        <f t="shared" si="16"/>
        <v>23.283000000000001</v>
      </c>
      <c r="Z18" s="75" t="e">
        <f>VLOOKUP(A18,Enforcements!$C$3:$J$40,8,0)</f>
        <v>#N/A</v>
      </c>
      <c r="AA18" s="75" t="e">
        <f>VLOOKUP(A18,Enforcements!$C$3:$J$40,3,0)</f>
        <v>#N/A</v>
      </c>
    </row>
    <row r="19" spans="1:27" s="2" customFormat="1" x14ac:dyDescent="0.25">
      <c r="A19" s="61" t="s">
        <v>269</v>
      </c>
      <c r="B19" s="61">
        <v>4009</v>
      </c>
      <c r="C19" s="61" t="s">
        <v>66</v>
      </c>
      <c r="D19" s="61" t="s">
        <v>438</v>
      </c>
      <c r="E19" s="30">
        <v>42506.231342592589</v>
      </c>
      <c r="F19" s="30">
        <v>42506.232349537036</v>
      </c>
      <c r="G19" s="38">
        <v>1</v>
      </c>
      <c r="H19" s="30" t="s">
        <v>105</v>
      </c>
      <c r="I19" s="30">
        <v>42506.265497685185</v>
      </c>
      <c r="J19" s="61">
        <v>0</v>
      </c>
      <c r="K19" s="61" t="str">
        <f t="shared" si="9"/>
        <v>4009/4010</v>
      </c>
      <c r="L19" s="61" t="str">
        <f>VLOOKUP(A19,'Trips&amp;Operators'!$C$1:$E$9999,3,FALSE)</f>
        <v>REBOLETTI</v>
      </c>
      <c r="M19" s="12">
        <f t="shared" si="10"/>
        <v>3.3148148148029577E-2</v>
      </c>
      <c r="N19" s="13">
        <f t="shared" si="5"/>
        <v>47.733333333162591</v>
      </c>
      <c r="O19" s="13"/>
      <c r="P19" s="13"/>
      <c r="Q19" s="62"/>
      <c r="R19" s="62"/>
      <c r="T1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05:32:08-0600',mode:absolute,to:'2016-05-16 06:23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9" s="74" t="str">
        <f t="shared" si="12"/>
        <v>N</v>
      </c>
      <c r="V19" s="74">
        <f t="shared" si="13"/>
        <v>1</v>
      </c>
      <c r="W19" s="74">
        <f t="shared" si="14"/>
        <v>4.3799999999999999E-2</v>
      </c>
      <c r="X19" s="74">
        <f t="shared" si="15"/>
        <v>23.3291</v>
      </c>
      <c r="Y19" s="74">
        <f t="shared" si="16"/>
        <v>23.285299999999999</v>
      </c>
      <c r="Z19" s="75" t="e">
        <f>VLOOKUP(A19,Enforcements!$C$3:$J$40,8,0)</f>
        <v>#N/A</v>
      </c>
      <c r="AA19" s="75" t="e">
        <f>VLOOKUP(A19,Enforcements!$C$3:$J$40,3,0)</f>
        <v>#N/A</v>
      </c>
    </row>
    <row r="20" spans="1:27" s="2" customFormat="1" x14ac:dyDescent="0.25">
      <c r="A20" s="61" t="s">
        <v>273</v>
      </c>
      <c r="B20" s="61">
        <v>4010</v>
      </c>
      <c r="C20" s="61" t="s">
        <v>66</v>
      </c>
      <c r="D20" s="61" t="s">
        <v>72</v>
      </c>
      <c r="E20" s="30">
        <v>42506.272881944446</v>
      </c>
      <c r="F20" s="30">
        <v>42506.274351851855</v>
      </c>
      <c r="G20" s="38">
        <v>2</v>
      </c>
      <c r="H20" s="30" t="s">
        <v>439</v>
      </c>
      <c r="I20" s="30">
        <v>42506.304560185185</v>
      </c>
      <c r="J20" s="61">
        <v>0</v>
      </c>
      <c r="K20" s="61" t="str">
        <f t="shared" si="9"/>
        <v>4009/4010</v>
      </c>
      <c r="L20" s="61" t="str">
        <f>VLOOKUP(A20,'Trips&amp;Operators'!$C$1:$E$9999,3,FALSE)</f>
        <v>REBOLETTI</v>
      </c>
      <c r="M20" s="12">
        <f t="shared" si="10"/>
        <v>3.0208333329937886E-2</v>
      </c>
      <c r="N20" s="13">
        <f t="shared" si="5"/>
        <v>43.499999995110556</v>
      </c>
      <c r="O20" s="13"/>
      <c r="P20" s="13"/>
      <c r="Q20" s="62"/>
      <c r="R20" s="62"/>
      <c r="T2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06:31:57-0600',mode:absolute,to:'2016-05-16 07:19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0" s="74" t="str">
        <f t="shared" si="12"/>
        <v>N</v>
      </c>
      <c r="V20" s="74">
        <f t="shared" si="13"/>
        <v>1</v>
      </c>
      <c r="W20" s="74">
        <f t="shared" si="14"/>
        <v>23.298500000000001</v>
      </c>
      <c r="X20" s="74">
        <f t="shared" si="15"/>
        <v>1.6299999999999999E-2</v>
      </c>
      <c r="Y20" s="74">
        <f t="shared" si="16"/>
        <v>23.2822</v>
      </c>
      <c r="Z20" s="75" t="e">
        <f>VLOOKUP(A20,Enforcements!$C$3:$J$40,8,0)</f>
        <v>#N/A</v>
      </c>
      <c r="AA20" s="75" t="e">
        <f>VLOOKUP(A20,Enforcements!$C$3:$J$40,3,0)</f>
        <v>#N/A</v>
      </c>
    </row>
    <row r="21" spans="1:27" s="2" customFormat="1" x14ac:dyDescent="0.25">
      <c r="A21" s="61" t="s">
        <v>308</v>
      </c>
      <c r="B21" s="61">
        <v>4040</v>
      </c>
      <c r="C21" s="61" t="s">
        <v>66</v>
      </c>
      <c r="D21" s="61" t="s">
        <v>440</v>
      </c>
      <c r="E21" s="30">
        <v>42506.248773148145</v>
      </c>
      <c r="F21" s="30">
        <v>42506.249791666669</v>
      </c>
      <c r="G21" s="38">
        <v>1</v>
      </c>
      <c r="H21" s="30" t="s">
        <v>69</v>
      </c>
      <c r="I21" s="30">
        <v>42506.274930555555</v>
      </c>
      <c r="J21" s="61">
        <v>0</v>
      </c>
      <c r="K21" s="61" t="str">
        <f t="shared" si="9"/>
        <v>4039/4040</v>
      </c>
      <c r="L21" s="61" t="str">
        <f>VLOOKUP(A21,'Trips&amp;Operators'!$C$1:$E$9999,3,FALSE)</f>
        <v>STORY</v>
      </c>
      <c r="M21" s="12">
        <f t="shared" si="10"/>
        <v>2.5138888886431232E-2</v>
      </c>
      <c r="N21" s="13">
        <f t="shared" si="5"/>
        <v>36.199999996460974</v>
      </c>
      <c r="O21" s="13"/>
      <c r="P21" s="13"/>
      <c r="Q21" s="62"/>
      <c r="R21" s="62"/>
      <c r="T2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05:57:14-0600',mode:absolute,to:'2016-05-16 06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1" s="74" t="str">
        <f t="shared" si="12"/>
        <v>N</v>
      </c>
      <c r="V21" s="74">
        <f t="shared" si="13"/>
        <v>1</v>
      </c>
      <c r="W21" s="74">
        <f t="shared" si="14"/>
        <v>0.14979999999999999</v>
      </c>
      <c r="X21" s="74">
        <f t="shared" si="15"/>
        <v>23.329499999999999</v>
      </c>
      <c r="Y21" s="74">
        <f t="shared" si="16"/>
        <v>23.1797</v>
      </c>
      <c r="Z21" s="75">
        <f>VLOOKUP(A21,Enforcements!$C$3:$J$40,8,0)</f>
        <v>233491</v>
      </c>
      <c r="AA21" s="75" t="str">
        <f>VLOOKUP(A21,Enforcements!$C$3:$J$40,3,0)</f>
        <v>TRACK WARRANT AUTHORITY</v>
      </c>
    </row>
    <row r="22" spans="1:27" s="2" customFormat="1" x14ac:dyDescent="0.25">
      <c r="A22" s="61" t="s">
        <v>301</v>
      </c>
      <c r="B22" s="61">
        <v>4039</v>
      </c>
      <c r="C22" s="61" t="s">
        <v>66</v>
      </c>
      <c r="D22" s="61" t="s">
        <v>437</v>
      </c>
      <c r="E22" s="30">
        <v>42506.286898148152</v>
      </c>
      <c r="F22" s="30">
        <v>42506.288148148145</v>
      </c>
      <c r="G22" s="38">
        <v>1</v>
      </c>
      <c r="H22" s="30" t="s">
        <v>77</v>
      </c>
      <c r="I22" s="30">
        <v>42506.314282407409</v>
      </c>
      <c r="J22" s="61">
        <v>0</v>
      </c>
      <c r="K22" s="61" t="str">
        <f t="shared" si="9"/>
        <v>4039/4040</v>
      </c>
      <c r="L22" s="61" t="str">
        <f>VLOOKUP(A22,'Trips&amp;Operators'!$C$1:$E$9999,3,FALSE)</f>
        <v>STORY</v>
      </c>
      <c r="M22" s="12">
        <f t="shared" si="10"/>
        <v>2.6134259263926651E-2</v>
      </c>
      <c r="N22" s="13">
        <f t="shared" si="5"/>
        <v>37.633333340054378</v>
      </c>
      <c r="O22" s="13"/>
      <c r="P22" s="13"/>
      <c r="Q22" s="62"/>
      <c r="R22" s="62"/>
      <c r="T2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06:52:08-0600',mode:absolute,to:'2016-05-16 07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2" s="74" t="str">
        <f t="shared" si="12"/>
        <v>N</v>
      </c>
      <c r="V22" s="74">
        <f t="shared" si="13"/>
        <v>1</v>
      </c>
      <c r="W22" s="74">
        <f t="shared" si="14"/>
        <v>23.296900000000001</v>
      </c>
      <c r="X22" s="74">
        <f t="shared" si="15"/>
        <v>1.54E-2</v>
      </c>
      <c r="Y22" s="74">
        <f t="shared" si="16"/>
        <v>23.281500000000001</v>
      </c>
      <c r="Z22" s="75" t="e">
        <f>VLOOKUP(A22,Enforcements!$C$3:$J$40,8,0)</f>
        <v>#N/A</v>
      </c>
      <c r="AA22" s="75" t="e">
        <f>VLOOKUP(A22,Enforcements!$C$3:$J$40,3,0)</f>
        <v>#N/A</v>
      </c>
    </row>
    <row r="23" spans="1:27" s="2" customFormat="1" x14ac:dyDescent="0.25">
      <c r="A23" s="61" t="s">
        <v>261</v>
      </c>
      <c r="B23" s="61">
        <v>4024</v>
      </c>
      <c r="C23" s="61" t="s">
        <v>66</v>
      </c>
      <c r="D23" s="61" t="s">
        <v>82</v>
      </c>
      <c r="E23" s="30">
        <v>42506.254201388889</v>
      </c>
      <c r="F23" s="30">
        <v>42506.255162037036</v>
      </c>
      <c r="G23" s="38">
        <v>1</v>
      </c>
      <c r="H23" s="30" t="s">
        <v>154</v>
      </c>
      <c r="I23" s="30">
        <v>42506.285613425927</v>
      </c>
      <c r="J23" s="61">
        <v>0</v>
      </c>
      <c r="K23" s="61" t="str">
        <f t="shared" si="9"/>
        <v>4023/4024</v>
      </c>
      <c r="L23" s="61" t="str">
        <f>VLOOKUP(A23,'Trips&amp;Operators'!$C$1:$E$9999,3,FALSE)</f>
        <v>ARNOLD</v>
      </c>
      <c r="M23" s="12">
        <f t="shared" si="10"/>
        <v>3.0451388891378883E-2</v>
      </c>
      <c r="N23" s="13">
        <f t="shared" si="5"/>
        <v>43.850000003585592</v>
      </c>
      <c r="O23" s="13"/>
      <c r="P23" s="13"/>
      <c r="Q23" s="62"/>
      <c r="R23" s="62"/>
      <c r="T2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06:05:03-0600',mode:absolute,to:'2016-05-16 06:52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3" s="74" t="str">
        <f t="shared" si="12"/>
        <v>N</v>
      </c>
      <c r="V23" s="74">
        <f t="shared" si="13"/>
        <v>1</v>
      </c>
      <c r="W23" s="74">
        <f t="shared" si="14"/>
        <v>4.7100000000000003E-2</v>
      </c>
      <c r="X23" s="74">
        <f t="shared" si="15"/>
        <v>23.332899999999999</v>
      </c>
      <c r="Y23" s="74">
        <f t="shared" si="16"/>
        <v>23.285799999999998</v>
      </c>
      <c r="Z23" s="75" t="e">
        <f>VLOOKUP(A23,Enforcements!$C$3:$J$40,8,0)</f>
        <v>#N/A</v>
      </c>
      <c r="AA23" s="75" t="e">
        <f>VLOOKUP(A23,Enforcements!$C$3:$J$40,3,0)</f>
        <v>#N/A</v>
      </c>
    </row>
    <row r="24" spans="1:27" s="2" customFormat="1" x14ac:dyDescent="0.25">
      <c r="A24" s="61" t="s">
        <v>304</v>
      </c>
      <c r="B24" s="61">
        <v>4023</v>
      </c>
      <c r="C24" s="61" t="s">
        <v>66</v>
      </c>
      <c r="D24" s="61" t="s">
        <v>185</v>
      </c>
      <c r="E24" s="30">
        <v>42506.289988425924</v>
      </c>
      <c r="F24" s="30">
        <v>42506.290902777779</v>
      </c>
      <c r="G24" s="38">
        <v>1</v>
      </c>
      <c r="H24" s="30" t="s">
        <v>103</v>
      </c>
      <c r="I24" s="30">
        <v>42506.325358796297</v>
      </c>
      <c r="J24" s="61">
        <v>0</v>
      </c>
      <c r="K24" s="61" t="str">
        <f t="shared" si="9"/>
        <v>4023/4024</v>
      </c>
      <c r="L24" s="61" t="str">
        <f>VLOOKUP(A24,'Trips&amp;Operators'!$C$1:$E$9999,3,FALSE)</f>
        <v>ARNOLD</v>
      </c>
      <c r="M24" s="12">
        <f t="shared" si="10"/>
        <v>3.4456018518540077E-2</v>
      </c>
      <c r="N24" s="13">
        <f t="shared" si="5"/>
        <v>49.616666666697711</v>
      </c>
      <c r="O24" s="13"/>
      <c r="P24" s="13"/>
      <c r="Q24" s="62"/>
      <c r="R24" s="62"/>
      <c r="T2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06:56:35-0600',mode:absolute,to:'2016-05-16 07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4" s="74" t="str">
        <f t="shared" si="12"/>
        <v>N</v>
      </c>
      <c r="V24" s="74">
        <f t="shared" si="13"/>
        <v>1</v>
      </c>
      <c r="W24" s="74">
        <f t="shared" si="14"/>
        <v>23.299800000000001</v>
      </c>
      <c r="X24" s="74">
        <f t="shared" si="15"/>
        <v>1.4999999999999999E-2</v>
      </c>
      <c r="Y24" s="74">
        <f t="shared" si="16"/>
        <v>23.284800000000001</v>
      </c>
      <c r="Z24" s="75" t="e">
        <f>VLOOKUP(A24,Enforcements!$C$3:$J$40,8,0)</f>
        <v>#N/A</v>
      </c>
      <c r="AA24" s="75" t="e">
        <f>VLOOKUP(A24,Enforcements!$C$3:$J$40,3,0)</f>
        <v>#N/A</v>
      </c>
    </row>
    <row r="25" spans="1:27" s="2" customFormat="1" x14ac:dyDescent="0.25">
      <c r="A25" s="61" t="s">
        <v>316</v>
      </c>
      <c r="B25" s="61">
        <v>4016</v>
      </c>
      <c r="C25" s="61" t="s">
        <v>66</v>
      </c>
      <c r="D25" s="61" t="s">
        <v>93</v>
      </c>
      <c r="E25" s="30">
        <v>42506.263912037037</v>
      </c>
      <c r="F25" s="30">
        <v>42506.265717592592</v>
      </c>
      <c r="G25" s="38">
        <v>2</v>
      </c>
      <c r="H25" s="30" t="s">
        <v>69</v>
      </c>
      <c r="I25" s="30">
        <v>42506.295995370368</v>
      </c>
      <c r="J25" s="61">
        <v>0</v>
      </c>
      <c r="K25" s="61" t="str">
        <f t="shared" si="9"/>
        <v>4015/4016</v>
      </c>
      <c r="L25" s="61" t="str">
        <f>VLOOKUP(A25,'Trips&amp;Operators'!$C$1:$E$9999,3,FALSE)</f>
        <v>LEDERHAUSE</v>
      </c>
      <c r="M25" s="12">
        <f t="shared" si="10"/>
        <v>3.0277777776063886E-2</v>
      </c>
      <c r="N25" s="13">
        <f t="shared" si="5"/>
        <v>43.599999997531995</v>
      </c>
      <c r="O25" s="13"/>
      <c r="P25" s="13"/>
      <c r="Q25" s="62"/>
      <c r="R25" s="62"/>
      <c r="T2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06:19:02-0600',mode:absolute,to:'2016-05-16 07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5" s="74" t="str">
        <f t="shared" si="12"/>
        <v>N</v>
      </c>
      <c r="V25" s="74">
        <f t="shared" si="13"/>
        <v>1</v>
      </c>
      <c r="W25" s="74">
        <f t="shared" si="14"/>
        <v>4.6399999999999997E-2</v>
      </c>
      <c r="X25" s="74">
        <f t="shared" si="15"/>
        <v>23.329499999999999</v>
      </c>
      <c r="Y25" s="74">
        <f t="shared" si="16"/>
        <v>23.283100000000001</v>
      </c>
      <c r="Z25" s="75" t="e">
        <f>VLOOKUP(A25,Enforcements!$C$3:$J$40,8,0)</f>
        <v>#N/A</v>
      </c>
      <c r="AA25" s="75" t="e">
        <f>VLOOKUP(A25,Enforcements!$C$3:$J$40,3,0)</f>
        <v>#N/A</v>
      </c>
    </row>
    <row r="26" spans="1:27" s="2" customFormat="1" x14ac:dyDescent="0.25">
      <c r="A26" s="61" t="s">
        <v>302</v>
      </c>
      <c r="B26" s="61">
        <v>4015</v>
      </c>
      <c r="C26" s="61" t="s">
        <v>66</v>
      </c>
      <c r="D26" s="61" t="s">
        <v>95</v>
      </c>
      <c r="E26" s="30">
        <v>42506.306493055556</v>
      </c>
      <c r="F26" s="30">
        <v>42506.307384259257</v>
      </c>
      <c r="G26" s="38">
        <v>1</v>
      </c>
      <c r="H26" s="30" t="s">
        <v>439</v>
      </c>
      <c r="I26" s="30">
        <v>42506.335625</v>
      </c>
      <c r="J26" s="61">
        <v>0</v>
      </c>
      <c r="K26" s="61" t="str">
        <f t="shared" si="9"/>
        <v>4015/4016</v>
      </c>
      <c r="L26" s="61" t="str">
        <f>VLOOKUP(A26,'Trips&amp;Operators'!$C$1:$E$9999,3,FALSE)</f>
        <v>LEDERHAUSE</v>
      </c>
      <c r="M26" s="12">
        <f t="shared" si="10"/>
        <v>2.8240740743058268E-2</v>
      </c>
      <c r="N26" s="13">
        <f t="shared" si="5"/>
        <v>40.666666670003906</v>
      </c>
      <c r="O26" s="13"/>
      <c r="P26" s="13"/>
      <c r="Q26" s="62"/>
      <c r="R26" s="62"/>
      <c r="T2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07:20:21-0600',mode:absolute,to:'2016-05-16 08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6" s="74" t="str">
        <f t="shared" si="12"/>
        <v>N</v>
      </c>
      <c r="V26" s="74">
        <f t="shared" si="13"/>
        <v>1</v>
      </c>
      <c r="W26" s="74">
        <f t="shared" si="14"/>
        <v>23.297999999999998</v>
      </c>
      <c r="X26" s="74">
        <f t="shared" si="15"/>
        <v>1.6299999999999999E-2</v>
      </c>
      <c r="Y26" s="74">
        <f t="shared" si="16"/>
        <v>23.281699999999997</v>
      </c>
      <c r="Z26" s="75" t="e">
        <f>VLOOKUP(A26,Enforcements!$C$3:$J$40,8,0)</f>
        <v>#N/A</v>
      </c>
      <c r="AA26" s="75" t="e">
        <f>VLOOKUP(A26,Enforcements!$C$3:$J$40,3,0)</f>
        <v>#N/A</v>
      </c>
    </row>
    <row r="27" spans="1:27" s="2" customFormat="1" x14ac:dyDescent="0.25">
      <c r="A27" s="61" t="s">
        <v>290</v>
      </c>
      <c r="B27" s="61">
        <v>4011</v>
      </c>
      <c r="C27" s="61" t="s">
        <v>66</v>
      </c>
      <c r="D27" s="61" t="s">
        <v>125</v>
      </c>
      <c r="E27" s="30">
        <v>42506.275289351855</v>
      </c>
      <c r="F27" s="30">
        <v>42506.27652777778</v>
      </c>
      <c r="G27" s="38">
        <v>1</v>
      </c>
      <c r="H27" s="30" t="s">
        <v>441</v>
      </c>
      <c r="I27" s="30">
        <v>42506.306944444441</v>
      </c>
      <c r="J27" s="61">
        <v>0</v>
      </c>
      <c r="K27" s="61" t="str">
        <f t="shared" si="9"/>
        <v>4011/4012</v>
      </c>
      <c r="L27" s="61" t="str">
        <f>VLOOKUP(A27,'Trips&amp;Operators'!$C$1:$E$9999,3,FALSE)</f>
        <v>CHANDLER</v>
      </c>
      <c r="M27" s="12">
        <f t="shared" si="10"/>
        <v>3.0416666661039926E-2</v>
      </c>
      <c r="N27" s="13">
        <f t="shared" si="5"/>
        <v>43.799999991897494</v>
      </c>
      <c r="O27" s="13"/>
      <c r="P27" s="13"/>
      <c r="Q27" s="62"/>
      <c r="R27" s="62"/>
      <c r="T2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06:35:25-0600',mode:absolute,to:'2016-05-16 07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7" s="74" t="str">
        <f t="shared" si="12"/>
        <v>N</v>
      </c>
      <c r="V27" s="74">
        <f t="shared" si="13"/>
        <v>1</v>
      </c>
      <c r="W27" s="74">
        <f t="shared" si="14"/>
        <v>4.3999999999999997E-2</v>
      </c>
      <c r="X27" s="74">
        <f t="shared" si="15"/>
        <v>23.3368</v>
      </c>
      <c r="Y27" s="74">
        <f t="shared" si="16"/>
        <v>23.2928</v>
      </c>
      <c r="Z27" s="75" t="e">
        <f>VLOOKUP(A27,Enforcements!$C$3:$J$40,8,0)</f>
        <v>#N/A</v>
      </c>
      <c r="AA27" s="75" t="e">
        <f>VLOOKUP(A27,Enforcements!$C$3:$J$40,3,0)</f>
        <v>#N/A</v>
      </c>
    </row>
    <row r="28" spans="1:27" s="2" customFormat="1" x14ac:dyDescent="0.25">
      <c r="A28" s="61" t="s">
        <v>288</v>
      </c>
      <c r="B28" s="61">
        <v>4012</v>
      </c>
      <c r="C28" s="61" t="s">
        <v>66</v>
      </c>
      <c r="D28" s="61" t="s">
        <v>92</v>
      </c>
      <c r="E28" s="30">
        <v>42506.314513888887</v>
      </c>
      <c r="F28" s="30">
        <v>42506.315509259257</v>
      </c>
      <c r="G28" s="38">
        <v>1</v>
      </c>
      <c r="H28" s="30" t="s">
        <v>442</v>
      </c>
      <c r="I28" s="30">
        <v>42506.346446759257</v>
      </c>
      <c r="J28" s="61">
        <v>0</v>
      </c>
      <c r="K28" s="61" t="str">
        <f t="shared" si="9"/>
        <v>4011/4012</v>
      </c>
      <c r="L28" s="61" t="str">
        <f>VLOOKUP(A28,'Trips&amp;Operators'!$C$1:$E$9999,3,FALSE)</f>
        <v>CHANDLER</v>
      </c>
      <c r="M28" s="12">
        <f t="shared" si="10"/>
        <v>3.0937499999708962E-2</v>
      </c>
      <c r="N28" s="13">
        <f t="shared" si="5"/>
        <v>44.549999999580905</v>
      </c>
      <c r="O28" s="13"/>
      <c r="P28" s="13"/>
      <c r="Q28" s="62"/>
      <c r="R28" s="62"/>
      <c r="T2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07:31:54-0600',mode:absolute,to:'2016-05-16 08:19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8" s="74" t="str">
        <f t="shared" si="12"/>
        <v>N</v>
      </c>
      <c r="V28" s="74">
        <f t="shared" si="13"/>
        <v>1</v>
      </c>
      <c r="W28" s="74">
        <f t="shared" si="14"/>
        <v>23.299399999999999</v>
      </c>
      <c r="X28" s="74">
        <f t="shared" si="15"/>
        <v>1.83E-2</v>
      </c>
      <c r="Y28" s="74">
        <f t="shared" si="16"/>
        <v>23.281099999999999</v>
      </c>
      <c r="Z28" s="75" t="e">
        <f>VLOOKUP(A28,Enforcements!$C$3:$J$40,8,0)</f>
        <v>#N/A</v>
      </c>
      <c r="AA28" s="75" t="e">
        <f>VLOOKUP(A28,Enforcements!$C$3:$J$40,3,0)</f>
        <v>#N/A</v>
      </c>
    </row>
    <row r="29" spans="1:27" s="2" customFormat="1" x14ac:dyDescent="0.25">
      <c r="A29" s="61" t="s">
        <v>289</v>
      </c>
      <c r="B29" s="61">
        <v>4020</v>
      </c>
      <c r="C29" s="61" t="s">
        <v>66</v>
      </c>
      <c r="D29" s="61" t="s">
        <v>132</v>
      </c>
      <c r="E29" s="30">
        <v>42506.287870370368</v>
      </c>
      <c r="F29" s="30">
        <v>42506.288877314815</v>
      </c>
      <c r="G29" s="38">
        <v>1</v>
      </c>
      <c r="H29" s="30" t="s">
        <v>69</v>
      </c>
      <c r="I29" s="30">
        <v>42506.316342592596</v>
      </c>
      <c r="J29" s="61">
        <v>0</v>
      </c>
      <c r="K29" s="61" t="str">
        <f t="shared" si="9"/>
        <v>4019/4020</v>
      </c>
      <c r="L29" s="61" t="str">
        <f>VLOOKUP(A29,'Trips&amp;Operators'!$C$1:$E$9999,3,FALSE)</f>
        <v>LEVIN</v>
      </c>
      <c r="M29" s="12">
        <f t="shared" si="10"/>
        <v>2.7465277780720498E-2</v>
      </c>
      <c r="N29" s="13">
        <f t="shared" si="5"/>
        <v>39.550000004237518</v>
      </c>
      <c r="O29" s="13"/>
      <c r="P29" s="13"/>
      <c r="Q29" s="62"/>
      <c r="R29" s="62"/>
      <c r="T2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06:53:32-0600',mode:absolute,to:'2016-05-16 07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9" s="74" t="str">
        <f t="shared" si="12"/>
        <v>N</v>
      </c>
      <c r="V29" s="74">
        <f t="shared" si="13"/>
        <v>1</v>
      </c>
      <c r="W29" s="74">
        <f t="shared" si="14"/>
        <v>4.58E-2</v>
      </c>
      <c r="X29" s="74">
        <f t="shared" si="15"/>
        <v>23.329499999999999</v>
      </c>
      <c r="Y29" s="74">
        <f t="shared" si="16"/>
        <v>23.2837</v>
      </c>
      <c r="Z29" s="75" t="e">
        <f>VLOOKUP(A29,Enforcements!$C$3:$J$40,8,0)</f>
        <v>#N/A</v>
      </c>
      <c r="AA29" s="75" t="e">
        <f>VLOOKUP(A29,Enforcements!$C$3:$J$40,3,0)</f>
        <v>#N/A</v>
      </c>
    </row>
    <row r="30" spans="1:27" s="2" customFormat="1" x14ac:dyDescent="0.25">
      <c r="A30" s="61" t="s">
        <v>247</v>
      </c>
      <c r="B30" s="61">
        <v>4019</v>
      </c>
      <c r="C30" s="61" t="s">
        <v>66</v>
      </c>
      <c r="D30" s="61" t="s">
        <v>195</v>
      </c>
      <c r="E30" s="30">
        <v>42506.322754629633</v>
      </c>
      <c r="F30" s="30">
        <v>42506.323564814818</v>
      </c>
      <c r="G30" s="38">
        <v>1</v>
      </c>
      <c r="H30" s="30" t="s">
        <v>73</v>
      </c>
      <c r="I30" s="30">
        <v>42506.356053240743</v>
      </c>
      <c r="J30" s="61">
        <v>0</v>
      </c>
      <c r="K30" s="61" t="str">
        <f t="shared" si="9"/>
        <v>4019/4020</v>
      </c>
      <c r="L30" s="61" t="str">
        <f>VLOOKUP(A30,'Trips&amp;Operators'!$C$1:$E$9999,3,FALSE)</f>
        <v>LEVIN</v>
      </c>
      <c r="M30" s="12">
        <f t="shared" si="10"/>
        <v>3.2488425924384501E-2</v>
      </c>
      <c r="N30" s="13">
        <f t="shared" si="5"/>
        <v>46.783333331113681</v>
      </c>
      <c r="O30" s="13"/>
      <c r="P30" s="13"/>
      <c r="Q30" s="62"/>
      <c r="R30" s="62"/>
      <c r="T3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07:43:46-0600',mode:absolute,to:'2016-05-16 08:33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0" s="74" t="str">
        <f t="shared" si="12"/>
        <v>N</v>
      </c>
      <c r="V30" s="74">
        <f t="shared" si="13"/>
        <v>1</v>
      </c>
      <c r="W30" s="74">
        <f t="shared" si="14"/>
        <v>23.296500000000002</v>
      </c>
      <c r="X30" s="74">
        <f t="shared" si="15"/>
        <v>1.49E-2</v>
      </c>
      <c r="Y30" s="74">
        <f t="shared" si="16"/>
        <v>23.281600000000001</v>
      </c>
      <c r="Z30" s="75" t="e">
        <f>VLOOKUP(A30,Enforcements!$C$3:$J$40,8,0)</f>
        <v>#N/A</v>
      </c>
      <c r="AA30" s="75" t="e">
        <f>VLOOKUP(A30,Enforcements!$C$3:$J$40,3,0)</f>
        <v>#N/A</v>
      </c>
    </row>
    <row r="31" spans="1:27" s="2" customFormat="1" x14ac:dyDescent="0.25">
      <c r="A31" s="61" t="s">
        <v>307</v>
      </c>
      <c r="B31" s="61">
        <v>4031</v>
      </c>
      <c r="C31" s="61" t="s">
        <v>66</v>
      </c>
      <c r="D31" s="61" t="s">
        <v>134</v>
      </c>
      <c r="E31" s="30">
        <v>42506.300219907411</v>
      </c>
      <c r="F31" s="30">
        <v>42506.301388888889</v>
      </c>
      <c r="G31" s="38">
        <v>1</v>
      </c>
      <c r="H31" s="30" t="s">
        <v>180</v>
      </c>
      <c r="I31" s="30">
        <v>42506.327268518522</v>
      </c>
      <c r="J31" s="61">
        <v>1</v>
      </c>
      <c r="K31" s="61" t="str">
        <f t="shared" si="9"/>
        <v>4031/4032</v>
      </c>
      <c r="L31" s="61" t="str">
        <f>VLOOKUP(A31,'Trips&amp;Operators'!$C$1:$E$9999,3,FALSE)</f>
        <v>MALAVE</v>
      </c>
      <c r="M31" s="12">
        <f t="shared" si="10"/>
        <v>2.587962963298196E-2</v>
      </c>
      <c r="N31" s="13">
        <f t="shared" si="5"/>
        <v>37.266666671494022</v>
      </c>
      <c r="O31" s="13"/>
      <c r="P31" s="13"/>
      <c r="Q31" s="62"/>
      <c r="R31" s="62"/>
      <c r="T3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07:11:19-0600',mode:absolute,to:'2016-05-16 07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1" s="74" t="str">
        <f t="shared" si="12"/>
        <v>N</v>
      </c>
      <c r="V31" s="74">
        <f t="shared" si="13"/>
        <v>1</v>
      </c>
      <c r="W31" s="74">
        <f t="shared" si="14"/>
        <v>4.6899999999999997E-2</v>
      </c>
      <c r="X31" s="74">
        <f t="shared" si="15"/>
        <v>23.330200000000001</v>
      </c>
      <c r="Y31" s="74">
        <f t="shared" si="16"/>
        <v>23.283300000000001</v>
      </c>
      <c r="Z31" s="75">
        <f>VLOOKUP(A31,Enforcements!$C$3:$J$40,8,0)</f>
        <v>232107</v>
      </c>
      <c r="AA31" s="75" t="str">
        <f>VLOOKUP(A31,Enforcements!$C$3:$J$40,3,0)</f>
        <v>PERMANENT SPEED RESTRICTION</v>
      </c>
    </row>
    <row r="32" spans="1:27" s="2" customFormat="1" x14ac:dyDescent="0.25">
      <c r="A32" s="61" t="s">
        <v>315</v>
      </c>
      <c r="B32" s="61">
        <v>4032</v>
      </c>
      <c r="C32" s="61" t="s">
        <v>66</v>
      </c>
      <c r="D32" s="61" t="s">
        <v>76</v>
      </c>
      <c r="E32" s="30">
        <v>42506.340983796297</v>
      </c>
      <c r="F32" s="30">
        <v>42506.34175925926</v>
      </c>
      <c r="G32" s="38">
        <v>1</v>
      </c>
      <c r="H32" s="30" t="s">
        <v>102</v>
      </c>
      <c r="I32" s="30">
        <v>42506.366342592592</v>
      </c>
      <c r="J32" s="61">
        <v>1</v>
      </c>
      <c r="K32" s="61" t="str">
        <f t="shared" si="9"/>
        <v>4031/4032</v>
      </c>
      <c r="L32" s="61" t="str">
        <f>VLOOKUP(A32,'Trips&amp;Operators'!$C$1:$E$9999,3,FALSE)</f>
        <v>MALAVE</v>
      </c>
      <c r="M32" s="12">
        <f t="shared" si="10"/>
        <v>2.4583333331975155E-2</v>
      </c>
      <c r="N32" s="13">
        <f t="shared" si="5"/>
        <v>35.399999998044223</v>
      </c>
      <c r="O32" s="13"/>
      <c r="P32" s="13"/>
      <c r="Q32" s="62"/>
      <c r="R32" s="62"/>
      <c r="T3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08:10:01-0600',mode:absolute,to:'2016-05-16 08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2" s="74" t="str">
        <f t="shared" si="12"/>
        <v>N</v>
      </c>
      <c r="V32" s="74">
        <f t="shared" si="13"/>
        <v>1</v>
      </c>
      <c r="W32" s="74">
        <f t="shared" si="14"/>
        <v>23.299099999999999</v>
      </c>
      <c r="X32" s="74">
        <f t="shared" si="15"/>
        <v>1.41E-2</v>
      </c>
      <c r="Y32" s="74">
        <f t="shared" si="16"/>
        <v>23.285</v>
      </c>
      <c r="Z32" s="75">
        <f>VLOOKUP(A32,Enforcements!$C$3:$J$40,8,0)</f>
        <v>1</v>
      </c>
      <c r="AA32" s="75" t="str">
        <f>VLOOKUP(A32,Enforcements!$C$3:$J$40,3,0)</f>
        <v>TRACK WARRANT AUTHORITY</v>
      </c>
    </row>
    <row r="33" spans="1:27" s="2" customFormat="1" x14ac:dyDescent="0.25">
      <c r="A33" s="61" t="s">
        <v>270</v>
      </c>
      <c r="B33" s="61">
        <v>4009</v>
      </c>
      <c r="C33" s="61" t="s">
        <v>66</v>
      </c>
      <c r="D33" s="61" t="s">
        <v>179</v>
      </c>
      <c r="E33" s="30">
        <v>42506.306284722225</v>
      </c>
      <c r="F33" s="30">
        <v>42506.307569444441</v>
      </c>
      <c r="G33" s="38">
        <v>1</v>
      </c>
      <c r="H33" s="30" t="s">
        <v>67</v>
      </c>
      <c r="I33" s="30">
        <v>42506.337442129632</v>
      </c>
      <c r="J33" s="61">
        <v>1</v>
      </c>
      <c r="K33" s="61" t="str">
        <f t="shared" si="9"/>
        <v>4009/4010</v>
      </c>
      <c r="L33" s="61" t="str">
        <f>VLOOKUP(A33,'Trips&amp;Operators'!$C$1:$E$9999,3,FALSE)</f>
        <v>REBOLETTI</v>
      </c>
      <c r="M33" s="12">
        <f t="shared" si="10"/>
        <v>2.9872685190639459E-2</v>
      </c>
      <c r="N33" s="13">
        <f t="shared" si="5"/>
        <v>43.01666667452082</v>
      </c>
      <c r="O33" s="13"/>
      <c r="P33" s="13"/>
      <c r="Q33" s="62"/>
      <c r="R33" s="62"/>
      <c r="T3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07:20:03-0600',mode:absolute,to:'2016-05-16 08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3" s="74" t="str">
        <f t="shared" si="12"/>
        <v>N</v>
      </c>
      <c r="V33" s="74">
        <f t="shared" si="13"/>
        <v>1</v>
      </c>
      <c r="W33" s="74">
        <f t="shared" si="14"/>
        <v>4.7500000000000001E-2</v>
      </c>
      <c r="X33" s="74">
        <f t="shared" si="15"/>
        <v>23.329699999999999</v>
      </c>
      <c r="Y33" s="74">
        <f t="shared" si="16"/>
        <v>23.2822</v>
      </c>
      <c r="Z33" s="75">
        <f>VLOOKUP(A33,Enforcements!$C$3:$J$40,8,0)</f>
        <v>233491</v>
      </c>
      <c r="AA33" s="75" t="str">
        <f>VLOOKUP(A33,Enforcements!$C$3:$J$40,3,0)</f>
        <v>TRACK WARRANT AUTHORITY</v>
      </c>
    </row>
    <row r="34" spans="1:27" s="2" customFormat="1" x14ac:dyDescent="0.25">
      <c r="A34" s="61" t="s">
        <v>264</v>
      </c>
      <c r="B34" s="61">
        <v>4010</v>
      </c>
      <c r="C34" s="61" t="s">
        <v>66</v>
      </c>
      <c r="D34" s="61" t="s">
        <v>70</v>
      </c>
      <c r="E34" s="30">
        <v>42506.342847222222</v>
      </c>
      <c r="F34" s="30">
        <v>42506.344178240739</v>
      </c>
      <c r="G34" s="38">
        <v>1</v>
      </c>
      <c r="H34" s="30" t="s">
        <v>89</v>
      </c>
      <c r="I34" s="30">
        <v>42506.37736111111</v>
      </c>
      <c r="J34" s="61">
        <v>1</v>
      </c>
      <c r="K34" s="61" t="str">
        <f t="shared" si="9"/>
        <v>4009/4010</v>
      </c>
      <c r="L34" s="61" t="str">
        <f>VLOOKUP(A34,'Trips&amp;Operators'!$C$1:$E$9999,3,FALSE)</f>
        <v>REBOLETTI</v>
      </c>
      <c r="M34" s="12">
        <f t="shared" si="10"/>
        <v>3.3182870371092577E-2</v>
      </c>
      <c r="N34" s="13">
        <f t="shared" si="5"/>
        <v>47.78333333437331</v>
      </c>
      <c r="O34" s="13"/>
      <c r="P34" s="13"/>
      <c r="Q34" s="62"/>
      <c r="R34" s="62"/>
      <c r="T3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08:12:42-0600',mode:absolute,to:'2016-05-16 09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4" s="74" t="str">
        <f t="shared" si="12"/>
        <v>N</v>
      </c>
      <c r="V34" s="74">
        <f t="shared" si="13"/>
        <v>1</v>
      </c>
      <c r="W34" s="74">
        <f t="shared" si="14"/>
        <v>23.297799999999999</v>
      </c>
      <c r="X34" s="74">
        <f t="shared" si="15"/>
        <v>1.52E-2</v>
      </c>
      <c r="Y34" s="74">
        <f t="shared" si="16"/>
        <v>23.282599999999999</v>
      </c>
      <c r="Z34" s="75">
        <f>VLOOKUP(A34,Enforcements!$C$3:$J$40,8,0)</f>
        <v>1</v>
      </c>
      <c r="AA34" s="75" t="str">
        <f>VLOOKUP(A34,Enforcements!$C$3:$J$40,3,0)</f>
        <v>TRACK WARRANT AUTHORITY</v>
      </c>
    </row>
    <row r="35" spans="1:27" s="2" customFormat="1" x14ac:dyDescent="0.25">
      <c r="A35" s="61" t="s">
        <v>292</v>
      </c>
      <c r="B35" s="61">
        <v>4040</v>
      </c>
      <c r="C35" s="61" t="s">
        <v>66</v>
      </c>
      <c r="D35" s="61" t="s">
        <v>84</v>
      </c>
      <c r="E35" s="30">
        <v>42506.315763888888</v>
      </c>
      <c r="F35" s="30">
        <v>42506.316944444443</v>
      </c>
      <c r="G35" s="38">
        <v>1</v>
      </c>
      <c r="H35" s="30" t="s">
        <v>180</v>
      </c>
      <c r="I35" s="30">
        <v>42506.349050925928</v>
      </c>
      <c r="J35" s="61">
        <v>0</v>
      </c>
      <c r="K35" s="61" t="str">
        <f t="shared" si="9"/>
        <v>4039/4040</v>
      </c>
      <c r="L35" s="61" t="str">
        <f>VLOOKUP(A35,'Trips&amp;Operators'!$C$1:$E$9999,3,FALSE)</f>
        <v>STORY</v>
      </c>
      <c r="M35" s="12">
        <f t="shared" si="10"/>
        <v>3.2106481485243421E-2</v>
      </c>
      <c r="N35" s="13">
        <f t="shared" si="5"/>
        <v>46.233333338750526</v>
      </c>
      <c r="O35" s="13"/>
      <c r="P35" s="13"/>
      <c r="Q35" s="62"/>
      <c r="R35" s="62"/>
      <c r="T3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07:33:42-0600',mode:absolute,to:'2016-05-16 08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5" s="74" t="str">
        <f t="shared" si="12"/>
        <v>N</v>
      </c>
      <c r="V35" s="74">
        <f t="shared" si="13"/>
        <v>1</v>
      </c>
      <c r="W35" s="74">
        <f t="shared" si="14"/>
        <v>4.5499999999999999E-2</v>
      </c>
      <c r="X35" s="74">
        <f t="shared" si="15"/>
        <v>23.330200000000001</v>
      </c>
      <c r="Y35" s="74">
        <f t="shared" si="16"/>
        <v>23.284700000000001</v>
      </c>
      <c r="Z35" s="75" t="e">
        <f>VLOOKUP(A35,Enforcements!$C$3:$J$40,8,0)</f>
        <v>#N/A</v>
      </c>
      <c r="AA35" s="75" t="e">
        <f>VLOOKUP(A35,Enforcements!$C$3:$J$40,3,0)</f>
        <v>#N/A</v>
      </c>
    </row>
    <row r="36" spans="1:27" s="2" customFormat="1" x14ac:dyDescent="0.25">
      <c r="A36" s="61" t="s">
        <v>294</v>
      </c>
      <c r="B36" s="61">
        <v>4039</v>
      </c>
      <c r="C36" s="61" t="s">
        <v>66</v>
      </c>
      <c r="D36" s="61" t="s">
        <v>443</v>
      </c>
      <c r="E36" s="30">
        <v>42506.354641203703</v>
      </c>
      <c r="F36" s="30">
        <v>42506.355497685188</v>
      </c>
      <c r="G36" s="38">
        <v>1</v>
      </c>
      <c r="H36" s="30" t="s">
        <v>155</v>
      </c>
      <c r="I36" s="30">
        <v>42506.387719907405</v>
      </c>
      <c r="J36" s="61">
        <v>0</v>
      </c>
      <c r="K36" s="61" t="str">
        <f t="shared" si="9"/>
        <v>4039/4040</v>
      </c>
      <c r="L36" s="61" t="str">
        <f>VLOOKUP(A36,'Trips&amp;Operators'!$C$1:$E$9999,3,FALSE)</f>
        <v>STORY</v>
      </c>
      <c r="M36" s="12">
        <f t="shared" si="10"/>
        <v>3.2222222216660157E-2</v>
      </c>
      <c r="N36" s="13">
        <f t="shared" si="5"/>
        <v>46.399999991990626</v>
      </c>
      <c r="O36" s="13"/>
      <c r="P36" s="13"/>
      <c r="Q36" s="62"/>
      <c r="R36" s="62"/>
      <c r="T3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08:29:41-0600',mode:absolute,to:'2016-05-16 09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6" s="74" t="str">
        <f t="shared" si="12"/>
        <v>N</v>
      </c>
      <c r="V36" s="74">
        <f t="shared" si="13"/>
        <v>1</v>
      </c>
      <c r="W36" s="74">
        <f t="shared" si="14"/>
        <v>23.303999999999998</v>
      </c>
      <c r="X36" s="74">
        <f t="shared" si="15"/>
        <v>1.2999999999999999E-2</v>
      </c>
      <c r="Y36" s="74">
        <f t="shared" si="16"/>
        <v>23.290999999999997</v>
      </c>
      <c r="Z36" s="75" t="e">
        <f>VLOOKUP(A36,Enforcements!$C$3:$J$40,8,0)</f>
        <v>#N/A</v>
      </c>
      <c r="AA36" s="75" t="e">
        <f>VLOOKUP(A36,Enforcements!$C$3:$J$40,3,0)</f>
        <v>#N/A</v>
      </c>
    </row>
    <row r="37" spans="1:27" s="2" customFormat="1" x14ac:dyDescent="0.25">
      <c r="A37" s="61" t="s">
        <v>300</v>
      </c>
      <c r="B37" s="61">
        <v>4024</v>
      </c>
      <c r="C37" s="61" t="s">
        <v>66</v>
      </c>
      <c r="D37" s="61" t="s">
        <v>183</v>
      </c>
      <c r="E37" s="30">
        <v>42506.327152777776</v>
      </c>
      <c r="F37" s="30">
        <v>42506.328067129631</v>
      </c>
      <c r="G37" s="38">
        <v>1</v>
      </c>
      <c r="H37" s="30" t="s">
        <v>140</v>
      </c>
      <c r="I37" s="30">
        <v>42506.358124999999</v>
      </c>
      <c r="J37" s="61">
        <v>0</v>
      </c>
      <c r="K37" s="61" t="str">
        <f t="shared" si="9"/>
        <v>4023/4024</v>
      </c>
      <c r="L37" s="61" t="str">
        <f>VLOOKUP(A37,'Trips&amp;Operators'!$C$1:$E$9999,3,FALSE)</f>
        <v>ARNOLD</v>
      </c>
      <c r="M37" s="12">
        <f t="shared" si="10"/>
        <v>3.0057870368182193E-2</v>
      </c>
      <c r="N37" s="13">
        <f t="shared" si="5"/>
        <v>43.283333330182359</v>
      </c>
      <c r="O37" s="13"/>
      <c r="P37" s="13"/>
      <c r="Q37" s="62"/>
      <c r="R37" s="62"/>
      <c r="T3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07:50:06-0600',mode:absolute,to:'2016-05-16 08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7" s="74" t="str">
        <f t="shared" si="12"/>
        <v>N</v>
      </c>
      <c r="V37" s="74">
        <f t="shared" si="13"/>
        <v>1</v>
      </c>
      <c r="W37" s="74">
        <f t="shared" si="14"/>
        <v>4.4900000000000002E-2</v>
      </c>
      <c r="X37" s="74">
        <f t="shared" si="15"/>
        <v>23.3307</v>
      </c>
      <c r="Y37" s="74">
        <f t="shared" si="16"/>
        <v>23.285800000000002</v>
      </c>
      <c r="Z37" s="75" t="e">
        <f>VLOOKUP(A37,Enforcements!$C$3:$J$40,8,0)</f>
        <v>#N/A</v>
      </c>
      <c r="AA37" s="75" t="e">
        <f>VLOOKUP(A37,Enforcements!$C$3:$J$40,3,0)</f>
        <v>#N/A</v>
      </c>
    </row>
    <row r="38" spans="1:27" s="2" customFormat="1" x14ac:dyDescent="0.25">
      <c r="A38" s="61" t="s">
        <v>267</v>
      </c>
      <c r="B38" s="61">
        <v>4023</v>
      </c>
      <c r="C38" s="61" t="s">
        <v>66</v>
      </c>
      <c r="D38" s="61" t="s">
        <v>133</v>
      </c>
      <c r="E38" s="30">
        <v>42506.364664351851</v>
      </c>
      <c r="F38" s="30">
        <v>42506.365555555552</v>
      </c>
      <c r="G38" s="38">
        <v>1</v>
      </c>
      <c r="H38" s="30" t="s">
        <v>89</v>
      </c>
      <c r="I38" s="30">
        <v>42506.397905092592</v>
      </c>
      <c r="J38" s="61">
        <v>0</v>
      </c>
      <c r="K38" s="61" t="str">
        <f t="shared" si="9"/>
        <v>4023/4024</v>
      </c>
      <c r="L38" s="61" t="str">
        <f>VLOOKUP(A38,'Trips&amp;Operators'!$C$1:$E$9999,3,FALSE)</f>
        <v>ARNOLD</v>
      </c>
      <c r="M38" s="12">
        <f t="shared" si="10"/>
        <v>3.234953703940846E-2</v>
      </c>
      <c r="N38" s="13">
        <f t="shared" si="5"/>
        <v>46.583333336748183</v>
      </c>
      <c r="O38" s="13"/>
      <c r="P38" s="13"/>
      <c r="Q38" s="62"/>
      <c r="R38" s="62"/>
      <c r="T3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08:44:07-0600',mode:absolute,to:'2016-05-16 09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8" s="74" t="str">
        <f t="shared" si="12"/>
        <v>N</v>
      </c>
      <c r="V38" s="74">
        <f t="shared" si="13"/>
        <v>1</v>
      </c>
      <c r="W38" s="74">
        <f t="shared" si="14"/>
        <v>23.2988</v>
      </c>
      <c r="X38" s="74">
        <f t="shared" si="15"/>
        <v>1.52E-2</v>
      </c>
      <c r="Y38" s="74">
        <f t="shared" si="16"/>
        <v>23.2836</v>
      </c>
      <c r="Z38" s="75" t="e">
        <f>VLOOKUP(A38,Enforcements!$C$3:$J$40,8,0)</f>
        <v>#N/A</v>
      </c>
      <c r="AA38" s="75" t="e">
        <f>VLOOKUP(A38,Enforcements!$C$3:$J$40,3,0)</f>
        <v>#N/A</v>
      </c>
    </row>
    <row r="39" spans="1:27" s="2" customFormat="1" x14ac:dyDescent="0.25">
      <c r="A39" s="61" t="s">
        <v>240</v>
      </c>
      <c r="B39" s="61">
        <v>4016</v>
      </c>
      <c r="C39" s="61" t="s">
        <v>66</v>
      </c>
      <c r="D39" s="61" t="s">
        <v>183</v>
      </c>
      <c r="E39" s="30">
        <v>42506.337314814817</v>
      </c>
      <c r="F39" s="30">
        <v>42506.33902777778</v>
      </c>
      <c r="G39" s="38">
        <v>2</v>
      </c>
      <c r="H39" s="30" t="s">
        <v>146</v>
      </c>
      <c r="I39" s="30">
        <v>42506.369155092594</v>
      </c>
      <c r="J39" s="61">
        <v>0</v>
      </c>
      <c r="K39" s="61" t="str">
        <f t="shared" si="9"/>
        <v>4015/4016</v>
      </c>
      <c r="L39" s="61" t="str">
        <f>VLOOKUP(A39,'Trips&amp;Operators'!$C$1:$E$9999,3,FALSE)</f>
        <v>LEDERHAUSE</v>
      </c>
      <c r="M39" s="12">
        <f t="shared" si="10"/>
        <v>3.0127314814308193E-2</v>
      </c>
      <c r="N39" s="13">
        <f t="shared" si="5"/>
        <v>43.383333332603797</v>
      </c>
      <c r="O39" s="13"/>
      <c r="P39" s="13"/>
      <c r="Q39" s="62"/>
      <c r="R39" s="62"/>
      <c r="T3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08:04:44-0600',mode:absolute,to:'2016-05-16 08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9" s="74" t="str">
        <f t="shared" si="12"/>
        <v>N</v>
      </c>
      <c r="V39" s="74">
        <f t="shared" si="13"/>
        <v>1</v>
      </c>
      <c r="W39" s="74">
        <f t="shared" si="14"/>
        <v>4.4900000000000002E-2</v>
      </c>
      <c r="X39" s="74">
        <f t="shared" si="15"/>
        <v>23.3306</v>
      </c>
      <c r="Y39" s="74">
        <f t="shared" si="16"/>
        <v>23.285700000000002</v>
      </c>
      <c r="Z39" s="75" t="e">
        <f>VLOOKUP(A39,Enforcements!$C$3:$J$40,8,0)</f>
        <v>#N/A</v>
      </c>
      <c r="AA39" s="75" t="e">
        <f>VLOOKUP(A39,Enforcements!$C$3:$J$40,3,0)</f>
        <v>#N/A</v>
      </c>
    </row>
    <row r="40" spans="1:27" s="2" customFormat="1" x14ac:dyDescent="0.25">
      <c r="A40" s="61" t="s">
        <v>295</v>
      </c>
      <c r="B40" s="61">
        <v>4015</v>
      </c>
      <c r="C40" s="61" t="s">
        <v>66</v>
      </c>
      <c r="D40" s="61" t="s">
        <v>86</v>
      </c>
      <c r="E40" s="30">
        <v>42506.378634259258</v>
      </c>
      <c r="F40" s="30">
        <v>42506.382881944446</v>
      </c>
      <c r="G40" s="38">
        <v>6</v>
      </c>
      <c r="H40" s="30" t="s">
        <v>81</v>
      </c>
      <c r="I40" s="30">
        <v>42506.408310185187</v>
      </c>
      <c r="J40" s="61">
        <v>0</v>
      </c>
      <c r="K40" s="61" t="str">
        <f t="shared" si="9"/>
        <v>4015/4016</v>
      </c>
      <c r="L40" s="61" t="str">
        <f>VLOOKUP(A40,'Trips&amp;Operators'!$C$1:$E$9999,3,FALSE)</f>
        <v>LEDERHAUSE</v>
      </c>
      <c r="M40" s="12">
        <f t="shared" si="10"/>
        <v>2.5428240740438923E-2</v>
      </c>
      <c r="N40" s="13">
        <f t="shared" si="5"/>
        <v>36.616666666232049</v>
      </c>
      <c r="O40" s="13"/>
      <c r="P40" s="13"/>
      <c r="Q40" s="62"/>
      <c r="R40" s="62"/>
      <c r="T4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09:04:14-0600',mode:absolute,to:'2016-05-16 09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0" s="74" t="str">
        <f t="shared" si="12"/>
        <v>N</v>
      </c>
      <c r="V40" s="74">
        <f t="shared" si="13"/>
        <v>1</v>
      </c>
      <c r="W40" s="74">
        <f t="shared" si="14"/>
        <v>23.3</v>
      </c>
      <c r="X40" s="74">
        <f t="shared" si="15"/>
        <v>1.3599999999999999E-2</v>
      </c>
      <c r="Y40" s="74">
        <f t="shared" si="16"/>
        <v>23.2864</v>
      </c>
      <c r="Z40" s="75" t="e">
        <f>VLOOKUP(A40,Enforcements!$C$3:$J$40,8,0)</f>
        <v>#N/A</v>
      </c>
      <c r="AA40" s="75" t="e">
        <f>VLOOKUP(A40,Enforcements!$C$3:$J$40,3,0)</f>
        <v>#N/A</v>
      </c>
    </row>
    <row r="41" spans="1:27" s="2" customFormat="1" x14ac:dyDescent="0.25">
      <c r="A41" s="61" t="s">
        <v>299</v>
      </c>
      <c r="B41" s="61">
        <v>4011</v>
      </c>
      <c r="C41" s="61" t="s">
        <v>66</v>
      </c>
      <c r="D41" s="61" t="s">
        <v>134</v>
      </c>
      <c r="E41" s="30">
        <v>42506.351412037038</v>
      </c>
      <c r="F41" s="30">
        <v>42506.35255787037</v>
      </c>
      <c r="G41" s="38">
        <v>1</v>
      </c>
      <c r="H41" s="30" t="s">
        <v>444</v>
      </c>
      <c r="I41" s="30">
        <v>42506.378819444442</v>
      </c>
      <c r="J41" s="61">
        <v>1</v>
      </c>
      <c r="K41" s="61" t="str">
        <f t="shared" si="9"/>
        <v>4011/4012</v>
      </c>
      <c r="L41" s="61" t="str">
        <f>VLOOKUP(A41,'Trips&amp;Operators'!$C$1:$E$9999,3,FALSE)</f>
        <v>CHANDLER</v>
      </c>
      <c r="M41" s="12">
        <f t="shared" si="10"/>
        <v>2.626157407212304E-2</v>
      </c>
      <c r="N41" s="13">
        <f t="shared" si="5"/>
        <v>37.816666663857177</v>
      </c>
      <c r="O41" s="13"/>
      <c r="P41" s="13"/>
      <c r="Q41" s="62"/>
      <c r="R41" s="62"/>
      <c r="T4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08:25:02-0600',mode:absolute,to:'2016-05-16 09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1" s="74" t="str">
        <f t="shared" si="12"/>
        <v>N</v>
      </c>
      <c r="V41" s="74">
        <f t="shared" si="13"/>
        <v>1</v>
      </c>
      <c r="W41" s="74">
        <f t="shared" si="14"/>
        <v>4.6899999999999997E-2</v>
      </c>
      <c r="X41" s="74">
        <f t="shared" si="15"/>
        <v>23.3322</v>
      </c>
      <c r="Y41" s="74">
        <f t="shared" si="16"/>
        <v>23.285299999999999</v>
      </c>
      <c r="Z41" s="75">
        <f>VLOOKUP(A41,Enforcements!$C$3:$J$40,8,0)</f>
        <v>233491</v>
      </c>
      <c r="AA41" s="75" t="str">
        <f>VLOOKUP(A41,Enforcements!$C$3:$J$40,3,0)</f>
        <v>TRACK WARRANT AUTHORITY</v>
      </c>
    </row>
    <row r="42" spans="1:27" s="2" customFormat="1" x14ac:dyDescent="0.25">
      <c r="A42" s="61" t="s">
        <v>250</v>
      </c>
      <c r="B42" s="61">
        <v>4012</v>
      </c>
      <c r="C42" s="61" t="s">
        <v>66</v>
      </c>
      <c r="D42" s="61" t="s">
        <v>118</v>
      </c>
      <c r="E42" s="30">
        <v>42506.388414351852</v>
      </c>
      <c r="F42" s="30">
        <v>42506.389618055553</v>
      </c>
      <c r="G42" s="38">
        <v>1</v>
      </c>
      <c r="H42" s="30" t="s">
        <v>126</v>
      </c>
      <c r="I42" s="30">
        <v>42506.419282407405</v>
      </c>
      <c r="J42" s="61">
        <v>0</v>
      </c>
      <c r="K42" s="61" t="str">
        <f t="shared" si="9"/>
        <v>4011/4012</v>
      </c>
      <c r="L42" s="61" t="str">
        <f>VLOOKUP(A42,'Trips&amp;Operators'!$C$1:$E$9999,3,FALSE)</f>
        <v>CHANDLER</v>
      </c>
      <c r="M42" s="12">
        <f t="shared" si="10"/>
        <v>2.9664351852261461E-2</v>
      </c>
      <c r="N42" s="13">
        <f t="shared" si="5"/>
        <v>42.716666667256504</v>
      </c>
      <c r="O42" s="13"/>
      <c r="P42" s="13"/>
      <c r="Q42" s="62"/>
      <c r="R42" s="62"/>
      <c r="T4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09:18:19-0600',mode:absolute,to:'2016-05-16 10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2" s="74" t="str">
        <f t="shared" si="12"/>
        <v>N</v>
      </c>
      <c r="V42" s="74">
        <f t="shared" si="13"/>
        <v>1</v>
      </c>
      <c r="W42" s="74">
        <f t="shared" si="14"/>
        <v>23.2986</v>
      </c>
      <c r="X42" s="74">
        <f t="shared" si="15"/>
        <v>1.38E-2</v>
      </c>
      <c r="Y42" s="74">
        <f t="shared" si="16"/>
        <v>23.284800000000001</v>
      </c>
      <c r="Z42" s="75" t="e">
        <f>VLOOKUP(A42,Enforcements!$C$3:$J$40,8,0)</f>
        <v>#N/A</v>
      </c>
      <c r="AA42" s="75" t="e">
        <f>VLOOKUP(A42,Enforcements!$C$3:$J$40,3,0)</f>
        <v>#N/A</v>
      </c>
    </row>
    <row r="43" spans="1:27" s="2" customFormat="1" x14ac:dyDescent="0.25">
      <c r="A43" s="61" t="s">
        <v>296</v>
      </c>
      <c r="B43" s="61">
        <v>4020</v>
      </c>
      <c r="C43" s="61" t="s">
        <v>66</v>
      </c>
      <c r="D43" s="61" t="s">
        <v>80</v>
      </c>
      <c r="E43" s="30">
        <v>42506.361134259256</v>
      </c>
      <c r="F43" s="30">
        <v>42506.36246527778</v>
      </c>
      <c r="G43" s="38">
        <v>1</v>
      </c>
      <c r="H43" s="30" t="s">
        <v>445</v>
      </c>
      <c r="I43" s="30">
        <v>42506.389710648145</v>
      </c>
      <c r="J43" s="61">
        <v>0</v>
      </c>
      <c r="K43" s="61" t="str">
        <f t="shared" si="9"/>
        <v>4019/4020</v>
      </c>
      <c r="L43" s="61" t="str">
        <f>VLOOKUP(A43,'Trips&amp;Operators'!$C$1:$E$9999,3,FALSE)</f>
        <v>LEVIN</v>
      </c>
      <c r="M43" s="12">
        <f t="shared" si="10"/>
        <v>2.7245370365562849E-2</v>
      </c>
      <c r="N43" s="13">
        <f t="shared" si="5"/>
        <v>39.233333326410502</v>
      </c>
      <c r="O43" s="13"/>
      <c r="P43" s="13"/>
      <c r="Q43" s="62"/>
      <c r="R43" s="62"/>
      <c r="T4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08:39:02-0600',mode:absolute,to:'2016-05-16 09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3" s="74" t="str">
        <f t="shared" si="12"/>
        <v>N</v>
      </c>
      <c r="V43" s="74">
        <f t="shared" si="13"/>
        <v>1</v>
      </c>
      <c r="W43" s="74">
        <f t="shared" si="14"/>
        <v>4.4699999999999997E-2</v>
      </c>
      <c r="X43" s="74">
        <f t="shared" si="15"/>
        <v>23.331399999999999</v>
      </c>
      <c r="Y43" s="74">
        <f t="shared" si="16"/>
        <v>23.2867</v>
      </c>
      <c r="Z43" s="75">
        <f>VLOOKUP(A43,Enforcements!$C$3:$J$40,8,0)</f>
        <v>232107</v>
      </c>
      <c r="AA43" s="75" t="str">
        <f>VLOOKUP(A43,Enforcements!$C$3:$J$40,3,0)</f>
        <v>PERMANENT SPEED RESTRICTION</v>
      </c>
    </row>
    <row r="44" spans="1:27" s="2" customFormat="1" x14ac:dyDescent="0.25">
      <c r="A44" s="61" t="s">
        <v>303</v>
      </c>
      <c r="B44" s="61">
        <v>4019</v>
      </c>
      <c r="C44" s="61" t="s">
        <v>66</v>
      </c>
      <c r="D44" s="61" t="s">
        <v>92</v>
      </c>
      <c r="E44" s="30">
        <v>42506.395115740743</v>
      </c>
      <c r="F44" s="30">
        <v>42506.395949074074</v>
      </c>
      <c r="G44" s="38">
        <v>1</v>
      </c>
      <c r="H44" s="30" t="s">
        <v>127</v>
      </c>
      <c r="I44" s="30">
        <v>42506.428935185184</v>
      </c>
      <c r="J44" s="61">
        <v>0</v>
      </c>
      <c r="K44" s="61" t="str">
        <f t="shared" si="9"/>
        <v>4019/4020</v>
      </c>
      <c r="L44" s="61" t="str">
        <f>VLOOKUP(A44,'Trips&amp;Operators'!$C$1:$E$9999,3,FALSE)</f>
        <v>LEVIN</v>
      </c>
      <c r="M44" s="12">
        <f t="shared" si="10"/>
        <v>3.2986111109494232E-2</v>
      </c>
      <c r="N44" s="13">
        <f t="shared" si="5"/>
        <v>47.499999997671694</v>
      </c>
      <c r="O44" s="13"/>
      <c r="P44" s="13"/>
      <c r="Q44" s="62"/>
      <c r="R44" s="62"/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09:27:58-0600',mode:absolute,to:'2016-05-16 10:18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4" s="74" t="str">
        <f t="shared" si="12"/>
        <v>N</v>
      </c>
      <c r="V44" s="74">
        <f t="shared" si="13"/>
        <v>1</v>
      </c>
      <c r="W44" s="74">
        <f t="shared" si="14"/>
        <v>23.299399999999999</v>
      </c>
      <c r="X44" s="74">
        <f t="shared" si="15"/>
        <v>1.5800000000000002E-2</v>
      </c>
      <c r="Y44" s="74">
        <f t="shared" si="16"/>
        <v>23.2836</v>
      </c>
      <c r="Z44" s="75" t="e">
        <f>VLOOKUP(A44,Enforcements!$C$3:$J$40,8,0)</f>
        <v>#N/A</v>
      </c>
      <c r="AA44" s="75" t="e">
        <f>VLOOKUP(A44,Enforcements!$C$3:$J$40,3,0)</f>
        <v>#N/A</v>
      </c>
    </row>
    <row r="45" spans="1:27" s="2" customFormat="1" x14ac:dyDescent="0.25">
      <c r="A45" s="61" t="s">
        <v>254</v>
      </c>
      <c r="B45" s="61">
        <v>4031</v>
      </c>
      <c r="C45" s="61" t="s">
        <v>66</v>
      </c>
      <c r="D45" s="61" t="s">
        <v>132</v>
      </c>
      <c r="E45" s="30">
        <v>42506.373472222222</v>
      </c>
      <c r="F45" s="30">
        <v>42506.374409722222</v>
      </c>
      <c r="G45" s="30">
        <v>1</v>
      </c>
      <c r="H45" s="30" t="s">
        <v>151</v>
      </c>
      <c r="I45" s="30">
        <v>42506.399768518517</v>
      </c>
      <c r="J45" s="61">
        <v>3</v>
      </c>
      <c r="K45" s="61" t="str">
        <f t="shared" si="9"/>
        <v>4031/4032</v>
      </c>
      <c r="L45" s="61" t="str">
        <f>VLOOKUP(A45,'Trips&amp;Operators'!$C$1:$E$9999,3,FALSE)</f>
        <v>MALAVE</v>
      </c>
      <c r="M45" s="12">
        <f t="shared" si="10"/>
        <v>2.5358796294312924E-2</v>
      </c>
      <c r="N45" s="13">
        <f t="shared" si="5"/>
        <v>36.516666663810611</v>
      </c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08:56:48-0600',mode:absolute,to:'2016-05-16 09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5" s="74" t="str">
        <f t="shared" si="12"/>
        <v>N</v>
      </c>
      <c r="V45" s="74">
        <f t="shared" si="13"/>
        <v>1</v>
      </c>
      <c r="W45" s="74">
        <f t="shared" si="14"/>
        <v>4.58E-2</v>
      </c>
      <c r="X45" s="74">
        <f t="shared" si="15"/>
        <v>23.328900000000001</v>
      </c>
      <c r="Y45" s="74">
        <f t="shared" si="16"/>
        <v>23.283100000000001</v>
      </c>
      <c r="Z45" s="75">
        <f>VLOOKUP(A45,Enforcements!$C$3:$J$40,8,0)</f>
        <v>20338</v>
      </c>
      <c r="AA45" s="75" t="str">
        <f>VLOOKUP(A45,Enforcements!$C$3:$J$40,3,0)</f>
        <v>PERMANENT SPEED RESTRICTION</v>
      </c>
    </row>
    <row r="46" spans="1:27" s="2" customFormat="1" x14ac:dyDescent="0.25">
      <c r="A46" s="61" t="s">
        <v>272</v>
      </c>
      <c r="B46" s="61">
        <v>4032</v>
      </c>
      <c r="C46" s="61" t="s">
        <v>66</v>
      </c>
      <c r="D46" s="61" t="s">
        <v>446</v>
      </c>
      <c r="E46" s="30">
        <v>42506.412280092591</v>
      </c>
      <c r="F46" s="30">
        <v>42506.412881944445</v>
      </c>
      <c r="G46" s="38">
        <v>0</v>
      </c>
      <c r="H46" s="30" t="s">
        <v>103</v>
      </c>
      <c r="I46" s="30">
        <v>42506.439270833333</v>
      </c>
      <c r="J46" s="61">
        <v>0</v>
      </c>
      <c r="K46" s="61" t="str">
        <f t="shared" si="9"/>
        <v>4031/4032</v>
      </c>
      <c r="L46" s="61" t="str">
        <f>VLOOKUP(A46,'Trips&amp;Operators'!$C$1:$E$9999,3,FALSE)</f>
        <v>MALAVE</v>
      </c>
      <c r="M46" s="12">
        <f t="shared" si="10"/>
        <v>2.6388888887595385E-2</v>
      </c>
      <c r="N46" s="13">
        <f t="shared" si="5"/>
        <v>37.999999998137355</v>
      </c>
      <c r="O46" s="13"/>
      <c r="P46" s="13"/>
      <c r="Q46" s="62"/>
      <c r="R46" s="62"/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09:52:41-0600',mode:absolute,to:'2016-05-16 10:33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6" s="74" t="str">
        <f t="shared" si="12"/>
        <v>N</v>
      </c>
      <c r="V46" s="74">
        <f t="shared" si="13"/>
        <v>1</v>
      </c>
      <c r="W46" s="74">
        <f t="shared" si="14"/>
        <v>23.296700000000001</v>
      </c>
      <c r="X46" s="74">
        <f t="shared" si="15"/>
        <v>1.4999999999999999E-2</v>
      </c>
      <c r="Y46" s="74">
        <f t="shared" si="16"/>
        <v>23.281700000000001</v>
      </c>
      <c r="Z46" s="75" t="e">
        <f>VLOOKUP(A46,Enforcements!$C$3:$J$40,8,0)</f>
        <v>#N/A</v>
      </c>
      <c r="AA46" s="75" t="e">
        <f>VLOOKUP(A46,Enforcements!$C$3:$J$40,3,0)</f>
        <v>#N/A</v>
      </c>
    </row>
    <row r="47" spans="1:27" s="2" customFormat="1" x14ac:dyDescent="0.25">
      <c r="A47" s="61" t="s">
        <v>285</v>
      </c>
      <c r="B47" s="61">
        <v>4009</v>
      </c>
      <c r="C47" s="61" t="s">
        <v>66</v>
      </c>
      <c r="D47" s="61" t="s">
        <v>75</v>
      </c>
      <c r="E47" s="30">
        <v>42506.37909722222</v>
      </c>
      <c r="F47" s="30">
        <v>42506.380185185182</v>
      </c>
      <c r="G47" s="38">
        <v>1</v>
      </c>
      <c r="H47" s="30" t="s">
        <v>151</v>
      </c>
      <c r="I47" s="30">
        <v>42506.411099537036</v>
      </c>
      <c r="J47" s="61">
        <v>0</v>
      </c>
      <c r="K47" s="61" t="str">
        <f t="shared" si="9"/>
        <v>4009/4010</v>
      </c>
      <c r="L47" s="61" t="str">
        <f>VLOOKUP(A47,'Trips&amp;Operators'!$C$1:$E$9999,3,FALSE)</f>
        <v>REBOLETTI</v>
      </c>
      <c r="M47" s="12">
        <f t="shared" si="10"/>
        <v>3.0914351853425615E-2</v>
      </c>
      <c r="N47" s="13">
        <f t="shared" si="5"/>
        <v>44.516666668932885</v>
      </c>
      <c r="O47" s="13"/>
      <c r="P47" s="13"/>
      <c r="Q47" s="62"/>
      <c r="R47" s="62"/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09:04:54-0600',mode:absolute,to:'2016-05-16 09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7" s="74" t="str">
        <f t="shared" si="12"/>
        <v>N</v>
      </c>
      <c r="V47" s="74">
        <f t="shared" si="13"/>
        <v>1</v>
      </c>
      <c r="W47" s="74">
        <f t="shared" si="14"/>
        <v>4.5699999999999998E-2</v>
      </c>
      <c r="X47" s="74">
        <f t="shared" si="15"/>
        <v>23.328900000000001</v>
      </c>
      <c r="Y47" s="74">
        <f t="shared" si="16"/>
        <v>23.283200000000001</v>
      </c>
      <c r="Z47" s="75" t="e">
        <f>VLOOKUP(A47,Enforcements!$C$3:$J$40,8,0)</f>
        <v>#N/A</v>
      </c>
      <c r="AA47" s="75" t="e">
        <f>VLOOKUP(A47,Enforcements!$C$3:$J$40,3,0)</f>
        <v>#N/A</v>
      </c>
    </row>
    <row r="48" spans="1:27" s="2" customFormat="1" x14ac:dyDescent="0.25">
      <c r="A48" s="61" t="s">
        <v>276</v>
      </c>
      <c r="B48" s="61">
        <v>4010</v>
      </c>
      <c r="C48" s="61" t="s">
        <v>66</v>
      </c>
      <c r="D48" s="61" t="s">
        <v>447</v>
      </c>
      <c r="E48" s="30">
        <v>42506.41605324074</v>
      </c>
      <c r="F48" s="30">
        <v>42506.417303240742</v>
      </c>
      <c r="G48" s="38">
        <v>1</v>
      </c>
      <c r="H48" s="30" t="s">
        <v>89</v>
      </c>
      <c r="I48" s="30">
        <v>42506.450289351851</v>
      </c>
      <c r="J48" s="61">
        <v>0</v>
      </c>
      <c r="K48" s="61" t="str">
        <f t="shared" si="9"/>
        <v>4009/4010</v>
      </c>
      <c r="L48" s="61" t="str">
        <f>VLOOKUP(A48,'Trips&amp;Operators'!$C$1:$E$9999,3,FALSE)</f>
        <v>REBOLETTI</v>
      </c>
      <c r="M48" s="12">
        <f t="shared" si="10"/>
        <v>3.2986111109494232E-2</v>
      </c>
      <c r="N48" s="13">
        <f t="shared" si="5"/>
        <v>47.499999997671694</v>
      </c>
      <c r="O48" s="13"/>
      <c r="P48" s="13"/>
      <c r="Q48" s="62"/>
      <c r="R48" s="62"/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09:58:07-0600',mode:absolute,to:'2016-05-16 10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8" s="74" t="str">
        <f t="shared" si="12"/>
        <v>N</v>
      </c>
      <c r="V48" s="74">
        <f t="shared" si="13"/>
        <v>1</v>
      </c>
      <c r="W48" s="74">
        <f t="shared" si="14"/>
        <v>23.297899999999998</v>
      </c>
      <c r="X48" s="74">
        <f t="shared" si="15"/>
        <v>1.52E-2</v>
      </c>
      <c r="Y48" s="74">
        <f t="shared" si="16"/>
        <v>23.282699999999998</v>
      </c>
      <c r="Z48" s="75" t="e">
        <f>VLOOKUP(A48,Enforcements!$C$3:$J$40,8,0)</f>
        <v>#N/A</v>
      </c>
      <c r="AA48" s="75" t="e">
        <f>VLOOKUP(A48,Enforcements!$C$3:$J$40,3,0)</f>
        <v>#N/A</v>
      </c>
    </row>
    <row r="49" spans="1:27" s="2" customFormat="1" x14ac:dyDescent="0.25">
      <c r="A49" s="61" t="s">
        <v>281</v>
      </c>
      <c r="B49" s="61">
        <v>4040</v>
      </c>
      <c r="C49" s="61" t="s">
        <v>66</v>
      </c>
      <c r="D49" s="61" t="s">
        <v>147</v>
      </c>
      <c r="E49" s="30">
        <v>42506.389224537037</v>
      </c>
      <c r="F49" s="30">
        <v>42506.390381944446</v>
      </c>
      <c r="G49" s="38">
        <v>1</v>
      </c>
      <c r="H49" s="30" t="s">
        <v>199</v>
      </c>
      <c r="I49" s="30">
        <v>42506.420995370368</v>
      </c>
      <c r="J49" s="61">
        <v>0</v>
      </c>
      <c r="K49" s="61" t="str">
        <f t="shared" si="9"/>
        <v>4039/4040</v>
      </c>
      <c r="L49" s="61" t="str">
        <f>VLOOKUP(A49,'Trips&amp;Operators'!$C$1:$E$9999,3,FALSE)</f>
        <v>STORY</v>
      </c>
      <c r="M49" s="12">
        <f t="shared" si="10"/>
        <v>3.0613425922638271E-2</v>
      </c>
      <c r="N49" s="13">
        <f t="shared" si="5"/>
        <v>44.08333332859911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09:19:29-0600',mode:absolute,to:'2016-05-16 10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4.4400000000000002E-2</v>
      </c>
      <c r="X49" s="74">
        <f t="shared" si="15"/>
        <v>23.332799999999999</v>
      </c>
      <c r="Y49" s="74">
        <f t="shared" si="16"/>
        <v>23.288399999999999</v>
      </c>
      <c r="Z49" s="75" t="e">
        <f>VLOOKUP(A49,Enforcements!$C$3:$J$40,8,0)</f>
        <v>#N/A</v>
      </c>
      <c r="AA49" s="75" t="e">
        <f>VLOOKUP(A49,Enforcements!$C$3:$J$40,3,0)</f>
        <v>#N/A</v>
      </c>
    </row>
    <row r="50" spans="1:27" s="2" customFormat="1" x14ac:dyDescent="0.25">
      <c r="A50" s="61" t="s">
        <v>282</v>
      </c>
      <c r="B50" s="61">
        <v>4039</v>
      </c>
      <c r="C50" s="61" t="s">
        <v>66</v>
      </c>
      <c r="D50" s="61" t="s">
        <v>448</v>
      </c>
      <c r="E50" s="30">
        <v>42506.429432870369</v>
      </c>
      <c r="F50" s="30">
        <v>42506.430196759262</v>
      </c>
      <c r="G50" s="38">
        <v>1</v>
      </c>
      <c r="H50" s="30" t="s">
        <v>89</v>
      </c>
      <c r="I50" s="30">
        <v>42506.464456018519</v>
      </c>
      <c r="J50" s="61">
        <v>1</v>
      </c>
      <c r="K50" s="61" t="str">
        <f t="shared" si="9"/>
        <v>4039/4040</v>
      </c>
      <c r="L50" s="61" t="str">
        <f>VLOOKUP(A50,'Trips&amp;Operators'!$C$1:$E$9999,3,FALSE)</f>
        <v>STORY</v>
      </c>
      <c r="M50" s="12">
        <f t="shared" si="10"/>
        <v>3.4259259256941732E-2</v>
      </c>
      <c r="N50" s="13">
        <f t="shared" si="5"/>
        <v>49.333333329996094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10:17:23-0600',mode:absolute,to:'2016-05-16 11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23.302499999999998</v>
      </c>
      <c r="X50" s="74">
        <f t="shared" si="15"/>
        <v>1.52E-2</v>
      </c>
      <c r="Y50" s="74">
        <f t="shared" si="16"/>
        <v>23.287299999999998</v>
      </c>
      <c r="Z50" s="75">
        <f>VLOOKUP(A50,Enforcements!$C$3:$J$40,8,0)</f>
        <v>103864</v>
      </c>
      <c r="AA50" s="75" t="str">
        <f>VLOOKUP(A50,Enforcements!$C$3:$J$40,3,0)</f>
        <v>EQUIPMENT RESTRICTION</v>
      </c>
    </row>
    <row r="51" spans="1:27" s="2" customFormat="1" x14ac:dyDescent="0.25">
      <c r="A51" s="61" t="s">
        <v>277</v>
      </c>
      <c r="B51" s="61">
        <v>4024</v>
      </c>
      <c r="C51" s="61" t="s">
        <v>66</v>
      </c>
      <c r="D51" s="61" t="s">
        <v>82</v>
      </c>
      <c r="E51" s="30">
        <v>42506.402060185188</v>
      </c>
      <c r="F51" s="30">
        <v>42506.402916666666</v>
      </c>
      <c r="G51" s="38">
        <v>1</v>
      </c>
      <c r="H51" s="30" t="s">
        <v>69</v>
      </c>
      <c r="I51" s="30">
        <v>42506.431631944448</v>
      </c>
      <c r="J51" s="61">
        <v>1</v>
      </c>
      <c r="K51" s="61" t="str">
        <f t="shared" si="9"/>
        <v>4023/4024</v>
      </c>
      <c r="L51" s="61" t="str">
        <f>VLOOKUP(A51,'Trips&amp;Operators'!$C$1:$E$9999,3,FALSE)</f>
        <v>ARNOLD</v>
      </c>
      <c r="M51" s="12">
        <f t="shared" si="10"/>
        <v>2.8715277781884652E-2</v>
      </c>
      <c r="N51" s="13">
        <f t="shared" si="5"/>
        <v>41.350000005913898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09:37:58-0600',mode:absolute,to:'2016-05-16 10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4.7100000000000003E-2</v>
      </c>
      <c r="X51" s="74">
        <f t="shared" si="15"/>
        <v>23.329499999999999</v>
      </c>
      <c r="Y51" s="74">
        <f t="shared" si="16"/>
        <v>23.282399999999999</v>
      </c>
      <c r="Z51" s="75">
        <f>VLOOKUP(A51,Enforcements!$C$3:$J$40,8,0)</f>
        <v>232107</v>
      </c>
      <c r="AA51" s="75" t="str">
        <f>VLOOKUP(A51,Enforcements!$C$3:$J$40,3,0)</f>
        <v>PERMANENT SPEED RESTRICTION</v>
      </c>
    </row>
    <row r="52" spans="1:27" s="2" customFormat="1" x14ac:dyDescent="0.25">
      <c r="A52" s="61" t="s">
        <v>287</v>
      </c>
      <c r="B52" s="61">
        <v>4023</v>
      </c>
      <c r="C52" s="61" t="s">
        <v>66</v>
      </c>
      <c r="D52" s="61" t="s">
        <v>185</v>
      </c>
      <c r="E52" s="30">
        <v>42506.436874999999</v>
      </c>
      <c r="F52" s="30">
        <v>42506.437673611108</v>
      </c>
      <c r="G52" s="38">
        <v>1</v>
      </c>
      <c r="H52" s="30" t="s">
        <v>126</v>
      </c>
      <c r="I52" s="30">
        <v>42506.471018518518</v>
      </c>
      <c r="J52" s="61">
        <v>0</v>
      </c>
      <c r="K52" s="61" t="str">
        <f t="shared" si="9"/>
        <v>4023/4024</v>
      </c>
      <c r="L52" s="61" t="str">
        <f>VLOOKUP(A52,'Trips&amp;Operators'!$C$1:$E$9999,3,FALSE)</f>
        <v>ARNOLD</v>
      </c>
      <c r="M52" s="12">
        <f t="shared" si="10"/>
        <v>3.3344907409627922E-2</v>
      </c>
      <c r="N52" s="13">
        <f t="shared" si="5"/>
        <v>48.016666669864208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10:28:06-0600',mode:absolute,to:'2016-05-16 11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23.299800000000001</v>
      </c>
      <c r="X52" s="74">
        <f t="shared" si="15"/>
        <v>1.38E-2</v>
      </c>
      <c r="Y52" s="74">
        <f t="shared" si="16"/>
        <v>23.286000000000001</v>
      </c>
      <c r="Z52" s="75" t="e">
        <f>VLOOKUP(A52,Enforcements!$C$3:$J$40,8,0)</f>
        <v>#N/A</v>
      </c>
      <c r="AA52" s="75" t="e">
        <f>VLOOKUP(A52,Enforcements!$C$3:$J$40,3,0)</f>
        <v>#N/A</v>
      </c>
    </row>
    <row r="53" spans="1:27" s="2" customFormat="1" x14ac:dyDescent="0.25">
      <c r="A53" s="61" t="s">
        <v>284</v>
      </c>
      <c r="B53" s="61">
        <v>4016</v>
      </c>
      <c r="C53" s="61" t="s">
        <v>66</v>
      </c>
      <c r="D53" s="61" t="s">
        <v>85</v>
      </c>
      <c r="E53" s="30">
        <v>42506.410173611112</v>
      </c>
      <c r="F53" s="30">
        <v>42506.411307870374</v>
      </c>
      <c r="G53" s="38">
        <v>1</v>
      </c>
      <c r="H53" s="30" t="s">
        <v>181</v>
      </c>
      <c r="I53" s="30">
        <v>42506.441643518519</v>
      </c>
      <c r="J53" s="61">
        <v>0</v>
      </c>
      <c r="K53" s="61" t="str">
        <f t="shared" si="9"/>
        <v>4015/4016</v>
      </c>
      <c r="L53" s="61" t="str">
        <f>VLOOKUP(A53,'Trips&amp;Operators'!$C$1:$E$9999,3,FALSE)</f>
        <v>LEDERHAUSE</v>
      </c>
      <c r="M53" s="12">
        <f t="shared" si="10"/>
        <v>3.0335648145410232E-2</v>
      </c>
      <c r="N53" s="13">
        <f t="shared" si="5"/>
        <v>43.683333329390734</v>
      </c>
      <c r="O53" s="13"/>
      <c r="P53" s="13"/>
      <c r="Q53" s="62"/>
      <c r="R53" s="62"/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09:49:39-0600',mode:absolute,to:'2016-05-16 10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4.5100000000000001E-2</v>
      </c>
      <c r="X53" s="74">
        <f t="shared" si="15"/>
        <v>23.330500000000001</v>
      </c>
      <c r="Y53" s="74">
        <f t="shared" si="16"/>
        <v>23.285399999999999</v>
      </c>
      <c r="Z53" s="75" t="e">
        <f>VLOOKUP(A53,Enforcements!$C$3:$J$40,8,0)</f>
        <v>#N/A</v>
      </c>
      <c r="AA53" s="75" t="e">
        <f>VLOOKUP(A53,Enforcements!$C$3:$J$40,3,0)</f>
        <v>#N/A</v>
      </c>
    </row>
    <row r="54" spans="1:27" s="2" customFormat="1" x14ac:dyDescent="0.25">
      <c r="A54" s="61" t="s">
        <v>283</v>
      </c>
      <c r="B54" s="61">
        <v>4015</v>
      </c>
      <c r="C54" s="61" t="s">
        <v>66</v>
      </c>
      <c r="D54" s="61" t="s">
        <v>118</v>
      </c>
      <c r="E54" s="30">
        <v>42506.450856481482</v>
      </c>
      <c r="F54" s="30">
        <v>42506.453229166669</v>
      </c>
      <c r="G54" s="38">
        <v>3</v>
      </c>
      <c r="H54" s="30" t="s">
        <v>449</v>
      </c>
      <c r="I54" s="30">
        <v>42506.481446759259</v>
      </c>
      <c r="J54" s="61">
        <v>2</v>
      </c>
      <c r="K54" s="61" t="str">
        <f t="shared" si="9"/>
        <v>4015/4016</v>
      </c>
      <c r="L54" s="61" t="str">
        <f>VLOOKUP(A54,'Trips&amp;Operators'!$C$1:$E$9999,3,FALSE)</f>
        <v>LEDERHAUSE</v>
      </c>
      <c r="M54" s="12">
        <f t="shared" si="10"/>
        <v>2.8217592589498963E-2</v>
      </c>
      <c r="N54" s="13">
        <f t="shared" si="5"/>
        <v>40.633333328878507</v>
      </c>
      <c r="O54" s="13"/>
      <c r="P54" s="13"/>
      <c r="Q54" s="62"/>
      <c r="R54" s="62"/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10:48:14-0600',mode:absolute,to:'2016-05-16 11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4" s="74" t="str">
        <f t="shared" si="12"/>
        <v>N</v>
      </c>
      <c r="V54" s="74">
        <f t="shared" si="13"/>
        <v>1</v>
      </c>
      <c r="W54" s="74">
        <f t="shared" si="14"/>
        <v>23.2986</v>
      </c>
      <c r="X54" s="74">
        <f t="shared" si="15"/>
        <v>1.6899999999999998E-2</v>
      </c>
      <c r="Y54" s="74">
        <f t="shared" si="16"/>
        <v>23.281700000000001</v>
      </c>
      <c r="Z54" s="75">
        <f>VLOOKUP(A54,Enforcements!$C$3:$J$40,8,0)</f>
        <v>21848</v>
      </c>
      <c r="AA54" s="75" t="str">
        <f>VLOOKUP(A54,Enforcements!$C$3:$J$40,3,0)</f>
        <v>PERMANENT SPEED RESTRICTION</v>
      </c>
    </row>
    <row r="55" spans="1:27" s="2" customFormat="1" x14ac:dyDescent="0.25">
      <c r="A55" s="61" t="s">
        <v>256</v>
      </c>
      <c r="B55" s="61">
        <v>4011</v>
      </c>
      <c r="C55" s="61" t="s">
        <v>66</v>
      </c>
      <c r="D55" s="61" t="s">
        <v>87</v>
      </c>
      <c r="E55" s="30">
        <v>42506.422766203701</v>
      </c>
      <c r="F55" s="30">
        <v>42506.424131944441</v>
      </c>
      <c r="G55" s="38">
        <v>1</v>
      </c>
      <c r="H55" s="30" t="s">
        <v>180</v>
      </c>
      <c r="I55" s="30">
        <v>42506.45239583333</v>
      </c>
      <c r="J55" s="61">
        <v>0</v>
      </c>
      <c r="K55" s="61" t="str">
        <f t="shared" si="9"/>
        <v>4011/4012</v>
      </c>
      <c r="L55" s="61" t="str">
        <f>VLOOKUP(A55,'Trips&amp;Operators'!$C$1:$E$9999,3,FALSE)</f>
        <v>ACKERMAN</v>
      </c>
      <c r="M55" s="12">
        <f t="shared" si="10"/>
        <v>2.8263888889341615E-2</v>
      </c>
      <c r="N55" s="13">
        <f t="shared" si="5"/>
        <v>40.700000000651926</v>
      </c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10:07:47-0600',mode:absolute,to:'2016-05-16 10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5" s="74" t="str">
        <f t="shared" si="12"/>
        <v>N</v>
      </c>
      <c r="V55" s="74">
        <f t="shared" si="13"/>
        <v>1</v>
      </c>
      <c r="W55" s="74">
        <f t="shared" si="14"/>
        <v>4.53E-2</v>
      </c>
      <c r="X55" s="74">
        <f t="shared" si="15"/>
        <v>23.330200000000001</v>
      </c>
      <c r="Y55" s="74">
        <f t="shared" si="16"/>
        <v>23.2849</v>
      </c>
      <c r="Z55" s="75" t="e">
        <f>VLOOKUP(A55,Enforcements!$C$3:$J$40,8,0)</f>
        <v>#N/A</v>
      </c>
      <c r="AA55" s="75" t="e">
        <f>VLOOKUP(A55,Enforcements!$C$3:$J$40,3,0)</f>
        <v>#N/A</v>
      </c>
    </row>
    <row r="56" spans="1:27" s="2" customFormat="1" x14ac:dyDescent="0.25">
      <c r="A56" s="61" t="s">
        <v>266</v>
      </c>
      <c r="B56" s="61">
        <v>4012</v>
      </c>
      <c r="C56" s="61" t="s">
        <v>66</v>
      </c>
      <c r="D56" s="61" t="s">
        <v>76</v>
      </c>
      <c r="E56" s="30">
        <v>42506.461423611108</v>
      </c>
      <c r="F56" s="30">
        <v>42506.462754629632</v>
      </c>
      <c r="G56" s="38">
        <v>1</v>
      </c>
      <c r="H56" s="30" t="s">
        <v>81</v>
      </c>
      <c r="I56" s="30">
        <v>42506.49181712963</v>
      </c>
      <c r="J56" s="61">
        <v>0</v>
      </c>
      <c r="K56" s="61" t="str">
        <f t="shared" si="9"/>
        <v>4011/4012</v>
      </c>
      <c r="L56" s="61" t="str">
        <f>VLOOKUP(A56,'Trips&amp;Operators'!$C$1:$E$9999,3,FALSE)</f>
        <v>ACKERMAN</v>
      </c>
      <c r="M56" s="12">
        <f t="shared" si="10"/>
        <v>2.9062499997962732E-2</v>
      </c>
      <c r="N56" s="13">
        <f t="shared" si="5"/>
        <v>41.849999997066334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11:03:27-0600',mode:absolute,to:'2016-05-16 11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23.299099999999999</v>
      </c>
      <c r="X56" s="74">
        <f t="shared" si="15"/>
        <v>1.3599999999999999E-2</v>
      </c>
      <c r="Y56" s="74">
        <f t="shared" si="16"/>
        <v>23.285499999999999</v>
      </c>
      <c r="Z56" s="75" t="e">
        <f>VLOOKUP(A56,Enforcements!$C$3:$J$40,8,0)</f>
        <v>#N/A</v>
      </c>
      <c r="AA56" s="75" t="e">
        <f>VLOOKUP(A56,Enforcements!$C$3:$J$40,3,0)</f>
        <v>#N/A</v>
      </c>
    </row>
    <row r="57" spans="1:27" s="2" customFormat="1" x14ac:dyDescent="0.25">
      <c r="A57" s="61" t="s">
        <v>305</v>
      </c>
      <c r="B57" s="61">
        <v>4020</v>
      </c>
      <c r="C57" s="61" t="s">
        <v>66</v>
      </c>
      <c r="D57" s="61" t="s">
        <v>75</v>
      </c>
      <c r="E57" s="30">
        <v>42506.432789351849</v>
      </c>
      <c r="F57" s="30">
        <v>42506.434027777781</v>
      </c>
      <c r="G57" s="38">
        <v>1</v>
      </c>
      <c r="H57" s="30" t="s">
        <v>450</v>
      </c>
      <c r="I57" s="30">
        <v>42506.461712962962</v>
      </c>
      <c r="J57" s="61">
        <v>0</v>
      </c>
      <c r="K57" s="61" t="str">
        <f t="shared" si="9"/>
        <v>4019/4020</v>
      </c>
      <c r="L57" s="61" t="str">
        <f>VLOOKUP(A57,'Trips&amp;Operators'!$C$1:$E$9999,3,FALSE)</f>
        <v>CHANDLER</v>
      </c>
      <c r="M57" s="12">
        <f t="shared" si="10"/>
        <v>2.7685185181326233E-2</v>
      </c>
      <c r="N57" s="13">
        <f t="shared" si="5"/>
        <v>39.866666661109775</v>
      </c>
      <c r="O57" s="13"/>
      <c r="P57" s="13"/>
      <c r="Q57" s="62"/>
      <c r="R57" s="62"/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10:22:13-0600',mode:absolute,to:'2016-05-16 11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7" s="74" t="str">
        <f t="shared" si="12"/>
        <v>N</v>
      </c>
      <c r="V57" s="74">
        <f t="shared" si="13"/>
        <v>1</v>
      </c>
      <c r="W57" s="74">
        <f t="shared" si="14"/>
        <v>4.5699999999999998E-2</v>
      </c>
      <c r="X57" s="74">
        <f t="shared" si="15"/>
        <v>23.286799999999999</v>
      </c>
      <c r="Y57" s="74">
        <f t="shared" si="16"/>
        <v>23.241099999999999</v>
      </c>
      <c r="Z57" s="75" t="e">
        <f>VLOOKUP(A57,Enforcements!$C$3:$J$40,8,0)</f>
        <v>#N/A</v>
      </c>
      <c r="AA57" s="75" t="e">
        <f>VLOOKUP(A57,Enforcements!$C$3:$J$40,3,0)</f>
        <v>#N/A</v>
      </c>
    </row>
    <row r="58" spans="1:27" s="2" customFormat="1" x14ac:dyDescent="0.25">
      <c r="A58" s="61" t="s">
        <v>271</v>
      </c>
      <c r="B58" s="61">
        <v>4019</v>
      </c>
      <c r="C58" s="61" t="s">
        <v>66</v>
      </c>
      <c r="D58" s="61" t="s">
        <v>195</v>
      </c>
      <c r="E58" s="30">
        <v>42506.468622685185</v>
      </c>
      <c r="F58" s="30">
        <v>42506.46980324074</v>
      </c>
      <c r="G58" s="38">
        <v>1</v>
      </c>
      <c r="H58" s="30" t="s">
        <v>153</v>
      </c>
      <c r="I58" s="30">
        <v>42506.502430555556</v>
      </c>
      <c r="J58" s="61">
        <v>0</v>
      </c>
      <c r="K58" s="61" t="str">
        <f t="shared" si="9"/>
        <v>4019/4020</v>
      </c>
      <c r="L58" s="61" t="str">
        <f>VLOOKUP(A58,'Trips&amp;Operators'!$C$1:$E$9999,3,FALSE)</f>
        <v>CHANDLER</v>
      </c>
      <c r="M58" s="12">
        <f t="shared" si="10"/>
        <v>3.2627314816636499E-2</v>
      </c>
      <c r="N58" s="13">
        <f t="shared" si="5"/>
        <v>46.983333335956559</v>
      </c>
      <c r="O58" s="13"/>
      <c r="P58" s="13"/>
      <c r="Q58" s="62"/>
      <c r="R58" s="62"/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11:13:49-0600',mode:absolute,to:'2016-05-16 12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8" s="74" t="str">
        <f t="shared" si="12"/>
        <v>N</v>
      </c>
      <c r="V58" s="74">
        <f t="shared" si="13"/>
        <v>1</v>
      </c>
      <c r="W58" s="74">
        <f t="shared" si="14"/>
        <v>23.296500000000002</v>
      </c>
      <c r="X58" s="74">
        <f t="shared" si="15"/>
        <v>1.6500000000000001E-2</v>
      </c>
      <c r="Y58" s="74">
        <f t="shared" si="16"/>
        <v>23.28</v>
      </c>
      <c r="Z58" s="75" t="e">
        <f>VLOOKUP(A58,Enforcements!$C$3:$J$40,8,0)</f>
        <v>#N/A</v>
      </c>
      <c r="AA58" s="75" t="e">
        <f>VLOOKUP(A58,Enforcements!$C$3:$J$40,3,0)</f>
        <v>#N/A</v>
      </c>
    </row>
    <row r="59" spans="1:27" s="2" customFormat="1" x14ac:dyDescent="0.25">
      <c r="A59" s="61" t="s">
        <v>275</v>
      </c>
      <c r="B59" s="61">
        <v>4031</v>
      </c>
      <c r="C59" s="61" t="s">
        <v>66</v>
      </c>
      <c r="D59" s="61" t="s">
        <v>111</v>
      </c>
      <c r="E59" s="30">
        <v>42506.442256944443</v>
      </c>
      <c r="F59" s="30">
        <v>42506.444571759261</v>
      </c>
      <c r="G59" s="38">
        <v>3</v>
      </c>
      <c r="H59" s="30" t="s">
        <v>146</v>
      </c>
      <c r="I59" s="30">
        <v>42506.473796296297</v>
      </c>
      <c r="J59" s="61">
        <v>1</v>
      </c>
      <c r="K59" s="61" t="str">
        <f t="shared" si="9"/>
        <v>4031/4032</v>
      </c>
      <c r="L59" s="61" t="str">
        <f>VLOOKUP(A59,'Trips&amp;Operators'!$C$1:$E$9999,3,FALSE)</f>
        <v>BRUDER</v>
      </c>
      <c r="M59" s="12">
        <f t="shared" si="10"/>
        <v>2.9224537036498077E-2</v>
      </c>
      <c r="N59" s="13">
        <f t="shared" si="5"/>
        <v>42.083333332557231</v>
      </c>
      <c r="O59" s="13"/>
      <c r="P59" s="13"/>
      <c r="Q59" s="62"/>
      <c r="R59" s="62"/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10:35:51-0600',mode:absolute,to:'2016-05-16 11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9" s="74" t="str">
        <f t="shared" si="12"/>
        <v>N</v>
      </c>
      <c r="V59" s="74">
        <f t="shared" si="13"/>
        <v>1</v>
      </c>
      <c r="W59" s="74">
        <f t="shared" si="14"/>
        <v>4.6199999999999998E-2</v>
      </c>
      <c r="X59" s="74">
        <f t="shared" si="15"/>
        <v>23.3306</v>
      </c>
      <c r="Y59" s="74">
        <f t="shared" si="16"/>
        <v>23.284400000000002</v>
      </c>
      <c r="Z59" s="75">
        <f>VLOOKUP(A59,Enforcements!$C$3:$J$40,8,0)</f>
        <v>233491</v>
      </c>
      <c r="AA59" s="75" t="str">
        <f>VLOOKUP(A59,Enforcements!$C$3:$J$40,3,0)</f>
        <v>TRACK WARRANT AUTHORITY</v>
      </c>
    </row>
    <row r="60" spans="1:27" s="2" customFormat="1" x14ac:dyDescent="0.25">
      <c r="A60" s="61" t="s">
        <v>317</v>
      </c>
      <c r="B60" s="61">
        <v>4032</v>
      </c>
      <c r="C60" s="61" t="s">
        <v>66</v>
      </c>
      <c r="D60" s="61" t="s">
        <v>451</v>
      </c>
      <c r="E60" s="30">
        <v>42506.476087962961</v>
      </c>
      <c r="F60" s="30">
        <v>42506.477962962963</v>
      </c>
      <c r="G60" s="38">
        <v>2</v>
      </c>
      <c r="H60" s="30" t="s">
        <v>79</v>
      </c>
      <c r="I60" s="30">
        <v>42506.512708333335</v>
      </c>
      <c r="J60" s="61">
        <v>0</v>
      </c>
      <c r="K60" s="61" t="str">
        <f t="shared" si="9"/>
        <v>4031/4032</v>
      </c>
      <c r="L60" s="61" t="str">
        <f>VLOOKUP(A60,'Trips&amp;Operators'!$C$1:$E$9999,3,FALSE)</f>
        <v>BRUDER</v>
      </c>
      <c r="M60" s="12">
        <f t="shared" si="10"/>
        <v>3.4745370372547768E-2</v>
      </c>
      <c r="N60" s="13">
        <f t="shared" si="5"/>
        <v>50.033333336468786</v>
      </c>
      <c r="O60" s="13"/>
      <c r="P60" s="13"/>
      <c r="Q60" s="62"/>
      <c r="R60" s="62"/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11:24:34-0600',mode:absolute,to:'2016-05-16 12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0" s="74" t="str">
        <f t="shared" si="12"/>
        <v>N</v>
      </c>
      <c r="V60" s="74">
        <f t="shared" si="13"/>
        <v>1</v>
      </c>
      <c r="W60" s="74">
        <f t="shared" si="14"/>
        <v>23.299299999999999</v>
      </c>
      <c r="X60" s="74">
        <f t="shared" si="15"/>
        <v>1.4500000000000001E-2</v>
      </c>
      <c r="Y60" s="74">
        <f t="shared" si="16"/>
        <v>23.284799999999997</v>
      </c>
      <c r="Z60" s="75" t="e">
        <f>VLOOKUP(A60,Enforcements!$C$3:$J$40,8,0)</f>
        <v>#N/A</v>
      </c>
      <c r="AA60" s="75" t="e">
        <f>VLOOKUP(A60,Enforcements!$C$3:$J$40,3,0)</f>
        <v>#N/A</v>
      </c>
    </row>
    <row r="61" spans="1:27" s="2" customFormat="1" x14ac:dyDescent="0.25">
      <c r="A61" s="61" t="s">
        <v>251</v>
      </c>
      <c r="B61" s="61">
        <v>4009</v>
      </c>
      <c r="C61" s="61" t="s">
        <v>66</v>
      </c>
      <c r="D61" s="61" t="s">
        <v>91</v>
      </c>
      <c r="E61" s="30">
        <v>42506.457395833335</v>
      </c>
      <c r="F61" s="30">
        <v>42506.458182870374</v>
      </c>
      <c r="G61" s="38">
        <v>1</v>
      </c>
      <c r="H61" s="30" t="s">
        <v>74</v>
      </c>
      <c r="I61" s="30">
        <v>42506.482881944445</v>
      </c>
      <c r="J61" s="61">
        <v>1</v>
      </c>
      <c r="K61" s="61" t="str">
        <f t="shared" si="9"/>
        <v>4009/4010</v>
      </c>
      <c r="L61" s="61" t="str">
        <f>VLOOKUP(A61,'Trips&amp;Operators'!$C$1:$E$9999,3,FALSE)</f>
        <v>MALAVE</v>
      </c>
      <c r="M61" s="12">
        <f t="shared" si="10"/>
        <v>2.4699074070667848E-2</v>
      </c>
      <c r="N61" s="13">
        <f t="shared" si="5"/>
        <v>35.566666661761701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10:57:39-0600',mode:absolute,to:'2016-05-16 11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1" s="74" t="str">
        <f t="shared" si="12"/>
        <v>N</v>
      </c>
      <c r="V61" s="74">
        <f t="shared" si="13"/>
        <v>1</v>
      </c>
      <c r="W61" s="74">
        <f t="shared" si="14"/>
        <v>4.4600000000000001E-2</v>
      </c>
      <c r="X61" s="74">
        <f t="shared" si="15"/>
        <v>23.330300000000001</v>
      </c>
      <c r="Y61" s="74">
        <f t="shared" si="16"/>
        <v>23.285700000000002</v>
      </c>
      <c r="Z61" s="75">
        <f>VLOOKUP(A61,Enforcements!$C$3:$J$40,8,0)</f>
        <v>233491</v>
      </c>
      <c r="AA61" s="75" t="str">
        <f>VLOOKUP(A61,Enforcements!$C$3:$J$40,3,0)</f>
        <v>TRACK WARRANT AUTHORITY</v>
      </c>
    </row>
    <row r="62" spans="1:27" s="2" customFormat="1" x14ac:dyDescent="0.25">
      <c r="A62" s="61" t="s">
        <v>320</v>
      </c>
      <c r="B62" s="61">
        <v>4010</v>
      </c>
      <c r="C62" s="61" t="s">
        <v>66</v>
      </c>
      <c r="D62" s="61" t="s">
        <v>104</v>
      </c>
      <c r="E62" s="30">
        <v>42506.49596064815</v>
      </c>
      <c r="F62" s="30">
        <v>42506.497372685182</v>
      </c>
      <c r="G62" s="38">
        <v>2</v>
      </c>
      <c r="H62" s="30" t="s">
        <v>439</v>
      </c>
      <c r="I62" s="30">
        <v>42506.522962962961</v>
      </c>
      <c r="J62" s="61">
        <v>0</v>
      </c>
      <c r="K62" s="61" t="str">
        <f t="shared" si="9"/>
        <v>4009/4010</v>
      </c>
      <c r="L62" s="61" t="str">
        <f>VLOOKUP(A62,'Trips&amp;Operators'!$C$1:$E$9999,3,FALSE)</f>
        <v>MALAVE</v>
      </c>
      <c r="M62" s="12">
        <f t="shared" si="10"/>
        <v>2.5590277778974269E-2</v>
      </c>
      <c r="N62" s="13">
        <f t="shared" si="5"/>
        <v>36.850000001722947</v>
      </c>
      <c r="O62" s="13"/>
      <c r="P62" s="13"/>
      <c r="Q62" s="62"/>
      <c r="R62" s="62"/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11:53:11-0600',mode:absolute,to:'2016-05-16 12:34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2" s="74" t="str">
        <f t="shared" si="12"/>
        <v>N</v>
      </c>
      <c r="V62" s="74">
        <f t="shared" si="13"/>
        <v>1</v>
      </c>
      <c r="W62" s="74">
        <f t="shared" si="14"/>
        <v>23.297499999999999</v>
      </c>
      <c r="X62" s="74">
        <f t="shared" si="15"/>
        <v>1.6299999999999999E-2</v>
      </c>
      <c r="Y62" s="74">
        <f t="shared" si="16"/>
        <v>23.281199999999998</v>
      </c>
      <c r="Z62" s="75">
        <f>VLOOKUP(A62,Enforcements!$C$3:$J$40,8,0)</f>
        <v>1</v>
      </c>
      <c r="AA62" s="75" t="str">
        <f>VLOOKUP(A62,Enforcements!$C$3:$J$40,3,0)</f>
        <v>TRACK WARRANT AUTHORITY</v>
      </c>
    </row>
    <row r="63" spans="1:27" s="2" customFormat="1" x14ac:dyDescent="0.25">
      <c r="A63" s="61" t="s">
        <v>265</v>
      </c>
      <c r="B63" s="61">
        <v>4040</v>
      </c>
      <c r="C63" s="61" t="s">
        <v>66</v>
      </c>
      <c r="D63" s="61" t="s">
        <v>129</v>
      </c>
      <c r="E63" s="30">
        <v>42506.467048611114</v>
      </c>
      <c r="F63" s="30">
        <v>42506.469085648147</v>
      </c>
      <c r="G63" s="38">
        <v>2</v>
      </c>
      <c r="H63" s="30" t="s">
        <v>445</v>
      </c>
      <c r="I63" s="30">
        <v>42506.493900462963</v>
      </c>
      <c r="J63" s="61">
        <v>0</v>
      </c>
      <c r="K63" s="61" t="str">
        <f t="shared" si="9"/>
        <v>4039/4040</v>
      </c>
      <c r="L63" s="61" t="str">
        <f>VLOOKUP(A63,'Trips&amp;Operators'!$C$1:$E$9999,3,FALSE)</f>
        <v>RIVERA</v>
      </c>
      <c r="M63" s="12">
        <f t="shared" si="10"/>
        <v>2.4814814816636499E-2</v>
      </c>
      <c r="N63" s="13">
        <f t="shared" si="5"/>
        <v>35.733333335956559</v>
      </c>
      <c r="O63" s="13"/>
      <c r="P63" s="13"/>
      <c r="Q63" s="62"/>
      <c r="R63" s="62"/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11:11:33-0600',mode:absolute,to:'2016-05-16 11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3" s="74" t="str">
        <f t="shared" si="12"/>
        <v>N</v>
      </c>
      <c r="V63" s="74">
        <f t="shared" si="13"/>
        <v>1</v>
      </c>
      <c r="W63" s="74">
        <f t="shared" si="14"/>
        <v>4.6699999999999998E-2</v>
      </c>
      <c r="X63" s="74">
        <f t="shared" si="15"/>
        <v>23.331399999999999</v>
      </c>
      <c r="Y63" s="74">
        <f t="shared" si="16"/>
        <v>23.284699999999997</v>
      </c>
      <c r="Z63" s="75" t="e">
        <f>VLOOKUP(A63,Enforcements!$C$3:$J$40,8,0)</f>
        <v>#N/A</v>
      </c>
      <c r="AA63" s="75" t="e">
        <f>VLOOKUP(A63,Enforcements!$C$3:$J$40,3,0)</f>
        <v>#N/A</v>
      </c>
    </row>
    <row r="64" spans="1:27" s="2" customFormat="1" x14ac:dyDescent="0.25">
      <c r="A64" s="61" t="s">
        <v>319</v>
      </c>
      <c r="B64" s="61">
        <v>4039</v>
      </c>
      <c r="C64" s="61" t="s">
        <v>66</v>
      </c>
      <c r="D64" s="61" t="s">
        <v>86</v>
      </c>
      <c r="E64" s="30">
        <v>42506.502534722225</v>
      </c>
      <c r="F64" s="30">
        <v>42506.503668981481</v>
      </c>
      <c r="G64" s="38">
        <v>1</v>
      </c>
      <c r="H64" s="30" t="s">
        <v>102</v>
      </c>
      <c r="I64" s="30">
        <v>42506.533668981479</v>
      </c>
      <c r="J64" s="61">
        <v>1</v>
      </c>
      <c r="K64" s="61" t="str">
        <f t="shared" si="9"/>
        <v>4039/4040</v>
      </c>
      <c r="L64" s="61" t="str">
        <f>VLOOKUP(A64,'Trips&amp;Operators'!$C$1:$E$9999,3,FALSE)</f>
        <v>RIVERA</v>
      </c>
      <c r="M64" s="12">
        <f t="shared" si="10"/>
        <v>2.9999999998835847E-2</v>
      </c>
      <c r="N64" s="13">
        <f t="shared" si="5"/>
        <v>43.199999998323619</v>
      </c>
      <c r="O64" s="13"/>
      <c r="P64" s="13"/>
      <c r="Q64" s="62"/>
      <c r="R64" s="62"/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12:02:39-0600',mode:absolute,to:'2016-05-16 12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4" s="74" t="str">
        <f t="shared" si="12"/>
        <v>N</v>
      </c>
      <c r="V64" s="74">
        <f t="shared" si="13"/>
        <v>1</v>
      </c>
      <c r="W64" s="74">
        <f t="shared" si="14"/>
        <v>23.3</v>
      </c>
      <c r="X64" s="74">
        <f t="shared" si="15"/>
        <v>1.41E-2</v>
      </c>
      <c r="Y64" s="74">
        <f t="shared" si="16"/>
        <v>23.285900000000002</v>
      </c>
      <c r="Z64" s="75">
        <f>VLOOKUP(A64,Enforcements!$C$3:$J$40,8,0)</f>
        <v>126678</v>
      </c>
      <c r="AA64" s="75" t="str">
        <f>VLOOKUP(A64,Enforcements!$C$3:$J$40,3,0)</f>
        <v>EQUIPMENT RESTRICTION</v>
      </c>
    </row>
    <row r="65" spans="1:27" s="2" customFormat="1" x14ac:dyDescent="0.25">
      <c r="A65" s="61" t="s">
        <v>253</v>
      </c>
      <c r="B65" s="61">
        <v>4024</v>
      </c>
      <c r="C65" s="61" t="s">
        <v>66</v>
      </c>
      <c r="D65" s="61" t="s">
        <v>197</v>
      </c>
      <c r="E65" s="30">
        <v>42506.472337962965</v>
      </c>
      <c r="F65" s="30">
        <v>42506.473680555559</v>
      </c>
      <c r="G65" s="38">
        <v>1</v>
      </c>
      <c r="H65" s="30" t="s">
        <v>452</v>
      </c>
      <c r="I65" s="30">
        <v>42506.505486111113</v>
      </c>
      <c r="J65" s="61">
        <v>1</v>
      </c>
      <c r="K65" s="61" t="str">
        <f t="shared" si="9"/>
        <v>4023/4024</v>
      </c>
      <c r="L65" s="61" t="str">
        <f>VLOOKUP(A65,'Trips&amp;Operators'!$C$1:$E$9999,3,FALSE)</f>
        <v>DE LA ROSA</v>
      </c>
      <c r="M65" s="12">
        <f t="shared" si="10"/>
        <v>3.1805555554456078E-2</v>
      </c>
      <c r="N65" s="13">
        <f t="shared" si="5"/>
        <v>45.799999998416752</v>
      </c>
      <c r="O65" s="13"/>
      <c r="P65" s="13"/>
      <c r="Q65" s="62"/>
      <c r="R65" s="62"/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11:19:10-0600',mode:absolute,to:'2016-05-16 12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5" s="74" t="str">
        <f t="shared" si="12"/>
        <v>N</v>
      </c>
      <c r="V65" s="74">
        <f t="shared" si="13"/>
        <v>1</v>
      </c>
      <c r="W65" s="74">
        <f t="shared" si="14"/>
        <v>4.5999999999999999E-2</v>
      </c>
      <c r="X65" s="74">
        <f t="shared" si="15"/>
        <v>23.331600000000002</v>
      </c>
      <c r="Y65" s="74">
        <f t="shared" si="16"/>
        <v>23.285600000000002</v>
      </c>
      <c r="Z65" s="75">
        <f>VLOOKUP(A65,Enforcements!$C$3:$J$40,8,0)</f>
        <v>149694</v>
      </c>
      <c r="AA65" s="75" t="str">
        <f>VLOOKUP(A65,Enforcements!$C$3:$J$40,3,0)</f>
        <v>SIGNAL</v>
      </c>
    </row>
    <row r="66" spans="1:27" s="2" customFormat="1" x14ac:dyDescent="0.25">
      <c r="A66" s="61" t="s">
        <v>346</v>
      </c>
      <c r="B66" s="61">
        <v>4023</v>
      </c>
      <c r="C66" s="61" t="s">
        <v>66</v>
      </c>
      <c r="D66" s="61" t="s">
        <v>86</v>
      </c>
      <c r="E66" s="30">
        <v>42506.510717592595</v>
      </c>
      <c r="F66" s="30">
        <v>42506.511793981481</v>
      </c>
      <c r="G66" s="38">
        <v>1</v>
      </c>
      <c r="H66" s="30" t="s">
        <v>73</v>
      </c>
      <c r="I66" s="30">
        <v>42506.544039351851</v>
      </c>
      <c r="J66" s="61">
        <v>0</v>
      </c>
      <c r="K66" s="61" t="str">
        <f t="shared" si="9"/>
        <v>4023/4024</v>
      </c>
      <c r="L66" s="61" t="str">
        <f>VLOOKUP(A66,'Trips&amp;Operators'!$C$1:$E$9999,3,FALSE)</f>
        <v>DE LA ROSA</v>
      </c>
      <c r="M66" s="12">
        <f t="shared" si="10"/>
        <v>3.2245370370219462E-2</v>
      </c>
      <c r="N66" s="13">
        <f t="shared" si="5"/>
        <v>46.433333333116025</v>
      </c>
      <c r="O66" s="13"/>
      <c r="P66" s="13"/>
      <c r="Q66" s="62"/>
      <c r="R66" s="62"/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12:14:26-0600',mode:absolute,to:'2016-05-16 13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6" s="74" t="str">
        <f t="shared" si="12"/>
        <v>N</v>
      </c>
      <c r="V66" s="74">
        <f t="shared" si="13"/>
        <v>1</v>
      </c>
      <c r="W66" s="74">
        <f t="shared" si="14"/>
        <v>23.3</v>
      </c>
      <c r="X66" s="74">
        <f t="shared" si="15"/>
        <v>1.49E-2</v>
      </c>
      <c r="Y66" s="74">
        <f t="shared" si="16"/>
        <v>23.2851</v>
      </c>
      <c r="Z66" s="75" t="e">
        <f>VLOOKUP(A66,Enforcements!$C$3:$J$40,8,0)</f>
        <v>#N/A</v>
      </c>
      <c r="AA66" s="75" t="e">
        <f>VLOOKUP(A66,Enforcements!$C$3:$J$40,3,0)</f>
        <v>#N/A</v>
      </c>
    </row>
    <row r="67" spans="1:27" s="2" customFormat="1" x14ac:dyDescent="0.25">
      <c r="A67" s="61" t="s">
        <v>309</v>
      </c>
      <c r="B67" s="61">
        <v>4016</v>
      </c>
      <c r="C67" s="61" t="s">
        <v>66</v>
      </c>
      <c r="D67" s="61" t="s">
        <v>82</v>
      </c>
      <c r="E67" s="30">
        <v>42506.483599537038</v>
      </c>
      <c r="F67" s="30">
        <v>42506.484849537039</v>
      </c>
      <c r="G67" s="38">
        <v>1</v>
      </c>
      <c r="H67" s="30" t="s">
        <v>453</v>
      </c>
      <c r="I67" s="30">
        <v>42506.514560185184</v>
      </c>
      <c r="J67" s="61">
        <v>1</v>
      </c>
      <c r="K67" s="61" t="str">
        <f t="shared" si="9"/>
        <v>4015/4016</v>
      </c>
      <c r="L67" s="61" t="str">
        <f>VLOOKUP(A67,'Trips&amp;Operators'!$C$1:$E$9999,3,FALSE)</f>
        <v>LOCKLEAR</v>
      </c>
      <c r="M67" s="12">
        <f t="shared" si="10"/>
        <v>2.9710648144828156E-2</v>
      </c>
      <c r="N67" s="13">
        <f t="shared" si="5"/>
        <v>42.783333328552544</v>
      </c>
      <c r="O67" s="13"/>
      <c r="P67" s="13"/>
      <c r="Q67" s="62"/>
      <c r="R67" s="62"/>
      <c r="T6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11:35:23-0600',mode:absolute,to:'2016-05-16 12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7" s="74" t="str">
        <f t="shared" si="12"/>
        <v>N</v>
      </c>
      <c r="V67" s="74">
        <f t="shared" si="13"/>
        <v>1</v>
      </c>
      <c r="W67" s="74">
        <f t="shared" si="14"/>
        <v>4.7100000000000003E-2</v>
      </c>
      <c r="X67" s="74">
        <f t="shared" si="15"/>
        <v>23.333200000000001</v>
      </c>
      <c r="Y67" s="74">
        <f t="shared" si="16"/>
        <v>23.286100000000001</v>
      </c>
      <c r="Z67" s="75">
        <f>VLOOKUP(A67,Enforcements!$C$3:$J$40,8,0)</f>
        <v>20338</v>
      </c>
      <c r="AA67" s="75" t="str">
        <f>VLOOKUP(A67,Enforcements!$C$3:$J$40,3,0)</f>
        <v>PERMANENT SPEED RESTRICTION</v>
      </c>
    </row>
    <row r="68" spans="1:27" s="2" customFormat="1" x14ac:dyDescent="0.25">
      <c r="A68" s="61" t="s">
        <v>321</v>
      </c>
      <c r="B68" s="61">
        <v>4015</v>
      </c>
      <c r="C68" s="61" t="s">
        <v>66</v>
      </c>
      <c r="D68" s="61" t="s">
        <v>117</v>
      </c>
      <c r="E68" s="30">
        <v>42506.525416666664</v>
      </c>
      <c r="F68" s="30">
        <v>42506.526400462964</v>
      </c>
      <c r="G68" s="38">
        <v>1</v>
      </c>
      <c r="H68" s="30" t="s">
        <v>79</v>
      </c>
      <c r="I68" s="30">
        <v>42506.554988425924</v>
      </c>
      <c r="J68" s="61">
        <v>2</v>
      </c>
      <c r="K68" s="61" t="str">
        <f t="shared" ref="K68:K131" si="17">IF(ISEVEN(B68),(B68-1)&amp;"/"&amp;B68,B68&amp;"/"&amp;(B68+1))</f>
        <v>4015/4016</v>
      </c>
      <c r="L68" s="61" t="str">
        <f>VLOOKUP(A68,'Trips&amp;Operators'!$C$1:$E$9999,3,FALSE)</f>
        <v>LOCKLEAR</v>
      </c>
      <c r="M68" s="12">
        <f t="shared" ref="M68:M131" si="18">I68-F68</f>
        <v>2.8587962959136348E-2</v>
      </c>
      <c r="N68" s="13">
        <f t="shared" ref="N68:N122" si="19">24*60*SUM($M68:$M68)</f>
        <v>41.166666661156341</v>
      </c>
      <c r="O68" s="13"/>
      <c r="P68" s="13"/>
      <c r="Q68" s="62"/>
      <c r="R68" s="62"/>
      <c r="T68" s="74" t="str">
        <f t="shared" ref="T68:T131" si="20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https://search-rtdc-monitor-bjffxe2xuh6vdkpspy63sjmuny.us-east-1.es.amazonaws.com/_plugin/kibana/#/discover/Steve-Slow-Train-Analysis-(2080s-and-2083s)?_g=(refreshInterval:(display:Off,section:0,value:0),time:(from:'2016-05-16 12:35:36-0600',mode:absolute,to:'2016-05-16 13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8" s="74" t="str">
        <f t="shared" ref="U68:U131" si="21">IF(Y68&lt;23,"Y","N")</f>
        <v>N</v>
      </c>
      <c r="V68" s="74">
        <f t="shared" ref="V68:V131" si="22">VALUE(LEFT(A68,3))-VALUE(LEFT(A67,3))</f>
        <v>1</v>
      </c>
      <c r="W68" s="74">
        <f t="shared" ref="W68:W131" si="23">RIGHT(D68,LEN(D68)-4)/10000</f>
        <v>23.300999999999998</v>
      </c>
      <c r="X68" s="74">
        <f t="shared" ref="X68:X131" si="24">RIGHT(H68,LEN(H68)-4)/10000</f>
        <v>1.4500000000000001E-2</v>
      </c>
      <c r="Y68" s="74">
        <f t="shared" ref="Y68:Y131" si="25">ABS(X68-W68)</f>
        <v>23.286499999999997</v>
      </c>
      <c r="Z68" s="75">
        <f>VLOOKUP(A68,Enforcements!$C$3:$J$40,8,0)</f>
        <v>183829</v>
      </c>
      <c r="AA68" s="75" t="str">
        <f>VLOOKUP(A68,Enforcements!$C$3:$J$40,3,0)</f>
        <v>PERMANENT SPEED RESTRICTION</v>
      </c>
    </row>
    <row r="69" spans="1:27" s="2" customFormat="1" x14ac:dyDescent="0.25">
      <c r="A69" s="61" t="s">
        <v>413</v>
      </c>
      <c r="B69" s="61">
        <v>4011</v>
      </c>
      <c r="C69" s="61" t="s">
        <v>66</v>
      </c>
      <c r="D69" s="61" t="s">
        <v>438</v>
      </c>
      <c r="E69" s="30">
        <v>42506.494537037041</v>
      </c>
      <c r="F69" s="30">
        <v>42506.495636574073</v>
      </c>
      <c r="G69" s="38">
        <v>1</v>
      </c>
      <c r="H69" s="30" t="s">
        <v>207</v>
      </c>
      <c r="I69" s="30">
        <v>42506.524791666663</v>
      </c>
      <c r="J69" s="61">
        <v>0</v>
      </c>
      <c r="K69" s="61" t="str">
        <f t="shared" si="17"/>
        <v>4011/4012</v>
      </c>
      <c r="L69" s="61" t="str">
        <f>VLOOKUP(A69,'Trips&amp;Operators'!$C$1:$E$9999,3,FALSE)</f>
        <v>ACKERMAN</v>
      </c>
      <c r="M69" s="12">
        <f t="shared" si="18"/>
        <v>2.9155092590372078E-2</v>
      </c>
      <c r="N69" s="13">
        <f t="shared" si="19"/>
        <v>41.983333330135792</v>
      </c>
      <c r="O69" s="13"/>
      <c r="P69" s="13"/>
      <c r="Q69" s="62"/>
      <c r="R69" s="62"/>
      <c r="T6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11:51:08-0600',mode:absolute,to:'2016-05-16 12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9" s="74" t="str">
        <f t="shared" si="21"/>
        <v>N</v>
      </c>
      <c r="V69" s="74">
        <f t="shared" si="22"/>
        <v>1</v>
      </c>
      <c r="W69" s="74">
        <f t="shared" si="23"/>
        <v>4.3799999999999999E-2</v>
      </c>
      <c r="X69" s="74">
        <f t="shared" si="24"/>
        <v>23.3309</v>
      </c>
      <c r="Y69" s="74">
        <f t="shared" si="25"/>
        <v>23.287099999999999</v>
      </c>
      <c r="Z69" s="75" t="e">
        <f>VLOOKUP(A69,Enforcements!$C$3:$J$40,8,0)</f>
        <v>#N/A</v>
      </c>
      <c r="AA69" s="75" t="e">
        <f>VLOOKUP(A69,Enforcements!$C$3:$J$40,3,0)</f>
        <v>#N/A</v>
      </c>
    </row>
    <row r="70" spans="1:27" s="2" customFormat="1" x14ac:dyDescent="0.25">
      <c r="A70" s="61" t="s">
        <v>322</v>
      </c>
      <c r="B70" s="61">
        <v>4012</v>
      </c>
      <c r="C70" s="61" t="s">
        <v>66</v>
      </c>
      <c r="D70" s="61" t="s">
        <v>106</v>
      </c>
      <c r="E70" s="30">
        <v>42506.533032407409</v>
      </c>
      <c r="F70" s="30">
        <v>42506.53396990741</v>
      </c>
      <c r="G70" s="38">
        <v>1</v>
      </c>
      <c r="H70" s="30" t="s">
        <v>126</v>
      </c>
      <c r="I70" s="30">
        <v>42506.564965277779</v>
      </c>
      <c r="J70" s="61">
        <v>1</v>
      </c>
      <c r="K70" s="61" t="str">
        <f t="shared" si="17"/>
        <v>4011/4012</v>
      </c>
      <c r="L70" s="61" t="str">
        <f>VLOOKUP(A70,'Trips&amp;Operators'!$C$1:$E$9999,3,FALSE)</f>
        <v>ACKERMAN</v>
      </c>
      <c r="M70" s="12">
        <f t="shared" si="18"/>
        <v>3.0995370369055308E-2</v>
      </c>
      <c r="N70" s="13">
        <f t="shared" si="19"/>
        <v>44.633333331439644</v>
      </c>
      <c r="O70" s="13"/>
      <c r="P70" s="13"/>
      <c r="Q70" s="62"/>
      <c r="R70" s="62"/>
      <c r="T7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12:46:34-0600',mode:absolute,to:'2016-05-16 13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0" s="74" t="str">
        <f t="shared" si="21"/>
        <v>N</v>
      </c>
      <c r="V70" s="74">
        <f t="shared" si="22"/>
        <v>1</v>
      </c>
      <c r="W70" s="74">
        <f t="shared" si="23"/>
        <v>23.298999999999999</v>
      </c>
      <c r="X70" s="74">
        <f t="shared" si="24"/>
        <v>1.38E-2</v>
      </c>
      <c r="Y70" s="74">
        <f t="shared" si="25"/>
        <v>23.2852</v>
      </c>
      <c r="Z70" s="75" t="e">
        <f>VLOOKUP(A70,Enforcements!$C$3:$J$40,8,0)</f>
        <v>#N/A</v>
      </c>
      <c r="AA70" s="75" t="e">
        <f>VLOOKUP(A70,Enforcements!$C$3:$J$40,3,0)</f>
        <v>#N/A</v>
      </c>
    </row>
    <row r="71" spans="1:27" s="2" customFormat="1" x14ac:dyDescent="0.25">
      <c r="A71" s="61" t="s">
        <v>376</v>
      </c>
      <c r="B71" s="61">
        <v>4020</v>
      </c>
      <c r="C71" s="61" t="s">
        <v>66</v>
      </c>
      <c r="D71" s="61" t="s">
        <v>80</v>
      </c>
      <c r="E71" s="30">
        <v>42506.508194444446</v>
      </c>
      <c r="F71" s="30">
        <v>42506.510347222225</v>
      </c>
      <c r="G71" s="38">
        <v>3</v>
      </c>
      <c r="H71" s="30" t="s">
        <v>68</v>
      </c>
      <c r="I71" s="30">
        <v>42506.536585648151</v>
      </c>
      <c r="J71" s="61">
        <v>0</v>
      </c>
      <c r="K71" s="61" t="str">
        <f t="shared" si="17"/>
        <v>4019/4020</v>
      </c>
      <c r="L71" s="61" t="str">
        <f>VLOOKUP(A71,'Trips&amp;Operators'!$C$1:$E$9999,3,FALSE)</f>
        <v>ADANE</v>
      </c>
      <c r="M71" s="12">
        <f t="shared" si="18"/>
        <v>2.6238425925839692E-2</v>
      </c>
      <c r="N71" s="13">
        <f t="shared" si="19"/>
        <v>37.783333333209157</v>
      </c>
      <c r="O71" s="13"/>
      <c r="P71" s="13"/>
      <c r="Q71" s="62"/>
      <c r="R71" s="62"/>
      <c r="T7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12:10:48-0600',mode:absolute,to:'2016-05-16 12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1" s="74" t="str">
        <f t="shared" si="21"/>
        <v>N</v>
      </c>
      <c r="V71" s="74">
        <f t="shared" si="22"/>
        <v>1</v>
      </c>
      <c r="W71" s="74">
        <f t="shared" si="23"/>
        <v>4.4699999999999997E-2</v>
      </c>
      <c r="X71" s="74">
        <f t="shared" si="24"/>
        <v>23.331</v>
      </c>
      <c r="Y71" s="74">
        <f t="shared" si="25"/>
        <v>23.286300000000001</v>
      </c>
      <c r="Z71" s="75" t="e">
        <f>VLOOKUP(A71,Enforcements!$C$3:$J$40,8,0)</f>
        <v>#N/A</v>
      </c>
      <c r="AA71" s="75" t="e">
        <f>VLOOKUP(A71,Enforcements!$C$3:$J$40,3,0)</f>
        <v>#N/A</v>
      </c>
    </row>
    <row r="72" spans="1:27" s="2" customFormat="1" x14ac:dyDescent="0.25">
      <c r="A72" s="61" t="s">
        <v>323</v>
      </c>
      <c r="B72" s="61">
        <v>4019</v>
      </c>
      <c r="C72" s="61" t="s">
        <v>66</v>
      </c>
      <c r="D72" s="61" t="s">
        <v>78</v>
      </c>
      <c r="E72" s="30">
        <v>42506.54724537037</v>
      </c>
      <c r="F72" s="30">
        <v>42506.548657407409</v>
      </c>
      <c r="G72" s="38">
        <v>2</v>
      </c>
      <c r="H72" s="30" t="s">
        <v>103</v>
      </c>
      <c r="I72" s="30">
        <v>42506.575497685182</v>
      </c>
      <c r="J72" s="61">
        <v>1</v>
      </c>
      <c r="K72" s="61" t="str">
        <f t="shared" si="17"/>
        <v>4019/4020</v>
      </c>
      <c r="L72" s="61" t="str">
        <f>VLOOKUP(A72,'Trips&amp;Operators'!$C$1:$E$9999,3,FALSE)</f>
        <v>ADANE</v>
      </c>
      <c r="M72" s="12">
        <f t="shared" si="18"/>
        <v>2.6840277772862464E-2</v>
      </c>
      <c r="N72" s="13">
        <f t="shared" si="19"/>
        <v>38.649999992921948</v>
      </c>
      <c r="O72" s="13"/>
      <c r="P72" s="13"/>
      <c r="Q72" s="62"/>
      <c r="R72" s="62"/>
      <c r="T7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13:07:02-0600',mode:absolute,to:'2016-05-16 13:49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2" s="74" t="str">
        <f t="shared" si="21"/>
        <v>N</v>
      </c>
      <c r="V72" s="74">
        <f t="shared" si="22"/>
        <v>1</v>
      </c>
      <c r="W72" s="74">
        <f t="shared" si="23"/>
        <v>23.2989</v>
      </c>
      <c r="X72" s="74">
        <f t="shared" si="24"/>
        <v>1.4999999999999999E-2</v>
      </c>
      <c r="Y72" s="74">
        <f t="shared" si="25"/>
        <v>23.283899999999999</v>
      </c>
      <c r="Z72" s="75">
        <f>VLOOKUP(A72,Enforcements!$C$3:$J$40,8,0)</f>
        <v>30562</v>
      </c>
      <c r="AA72" s="75" t="str">
        <f>VLOOKUP(A72,Enforcements!$C$3:$J$40,3,0)</f>
        <v>PERMANENT SPEED RESTRICTION</v>
      </c>
    </row>
    <row r="73" spans="1:27" s="2" customFormat="1" x14ac:dyDescent="0.25">
      <c r="A73" s="61" t="s">
        <v>358</v>
      </c>
      <c r="B73" s="61">
        <v>4031</v>
      </c>
      <c r="C73" s="61" t="s">
        <v>66</v>
      </c>
      <c r="D73" s="61" t="s">
        <v>87</v>
      </c>
      <c r="E73" s="30">
        <v>42506.514849537038</v>
      </c>
      <c r="F73" s="30">
        <v>42506.515960648147</v>
      </c>
      <c r="G73" s="38">
        <v>1</v>
      </c>
      <c r="H73" s="30" t="s">
        <v>88</v>
      </c>
      <c r="I73" s="30">
        <v>42506.548206018517</v>
      </c>
      <c r="J73" s="61">
        <v>0</v>
      </c>
      <c r="K73" s="61" t="str">
        <f t="shared" si="17"/>
        <v>4031/4032</v>
      </c>
      <c r="L73" s="61" t="str">
        <f>VLOOKUP(A73,'Trips&amp;Operators'!$C$1:$E$9999,3,FALSE)</f>
        <v>BRUDER</v>
      </c>
      <c r="M73" s="12">
        <f t="shared" si="18"/>
        <v>3.2245370370219462E-2</v>
      </c>
      <c r="N73" s="13">
        <f t="shared" si="19"/>
        <v>46.433333333116025</v>
      </c>
      <c r="O73" s="13"/>
      <c r="P73" s="13"/>
      <c r="Q73" s="62"/>
      <c r="R73" s="62"/>
      <c r="T7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12:20:23-0600',mode:absolute,to:'2016-05-16 13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3" s="74" t="str">
        <f t="shared" si="21"/>
        <v>N</v>
      </c>
      <c r="V73" s="74">
        <f t="shared" si="22"/>
        <v>1</v>
      </c>
      <c r="W73" s="74">
        <f t="shared" si="23"/>
        <v>4.53E-2</v>
      </c>
      <c r="X73" s="74">
        <f t="shared" si="24"/>
        <v>23.329899999999999</v>
      </c>
      <c r="Y73" s="74">
        <f t="shared" si="25"/>
        <v>23.284599999999998</v>
      </c>
      <c r="Z73" s="75" t="e">
        <f>VLOOKUP(A73,Enforcements!$C$3:$J$40,8,0)</f>
        <v>#N/A</v>
      </c>
      <c r="AA73" s="75" t="e">
        <f>VLOOKUP(A73,Enforcements!$C$3:$J$40,3,0)</f>
        <v>#N/A</v>
      </c>
    </row>
    <row r="74" spans="1:27" s="2" customFormat="1" x14ac:dyDescent="0.25">
      <c r="A74" s="61" t="s">
        <v>412</v>
      </c>
      <c r="B74" s="61">
        <v>4032</v>
      </c>
      <c r="C74" s="61" t="s">
        <v>66</v>
      </c>
      <c r="D74" s="61" t="s">
        <v>92</v>
      </c>
      <c r="E74" s="30">
        <v>42506.553912037038</v>
      </c>
      <c r="F74" s="30">
        <v>42506.555555555555</v>
      </c>
      <c r="G74" s="38">
        <v>2</v>
      </c>
      <c r="H74" s="30" t="s">
        <v>102</v>
      </c>
      <c r="I74" s="30">
        <v>42506.585868055554</v>
      </c>
      <c r="J74" s="61">
        <v>0</v>
      </c>
      <c r="K74" s="61" t="str">
        <f t="shared" si="17"/>
        <v>4031/4032</v>
      </c>
      <c r="L74" s="61" t="str">
        <f>VLOOKUP(A74,'Trips&amp;Operators'!$C$1:$E$9999,3,FALSE)</f>
        <v>BRUDER</v>
      </c>
      <c r="M74" s="12">
        <f t="shared" si="18"/>
        <v>3.0312499999126885E-2</v>
      </c>
      <c r="N74" s="13">
        <f t="shared" si="19"/>
        <v>43.649999998742715</v>
      </c>
      <c r="O74" s="13"/>
      <c r="P74" s="13"/>
      <c r="Q74" s="62"/>
      <c r="R74" s="62"/>
      <c r="T7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13:16:38-0600',mode:absolute,to:'2016-05-16 14:04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4" s="74" t="str">
        <f t="shared" si="21"/>
        <v>N</v>
      </c>
      <c r="V74" s="74">
        <f t="shared" si="22"/>
        <v>1</v>
      </c>
      <c r="W74" s="74">
        <f t="shared" si="23"/>
        <v>23.299399999999999</v>
      </c>
      <c r="X74" s="74">
        <f t="shared" si="24"/>
        <v>1.41E-2</v>
      </c>
      <c r="Y74" s="74">
        <f t="shared" si="25"/>
        <v>23.285299999999999</v>
      </c>
      <c r="Z74" s="75" t="e">
        <f>VLOOKUP(A74,Enforcements!$C$3:$J$40,8,0)</f>
        <v>#N/A</v>
      </c>
      <c r="AA74" s="75" t="e">
        <f>VLOOKUP(A74,Enforcements!$C$3:$J$40,3,0)</f>
        <v>#N/A</v>
      </c>
    </row>
    <row r="75" spans="1:27" s="2" customFormat="1" x14ac:dyDescent="0.25">
      <c r="A75" s="61" t="s">
        <v>354</v>
      </c>
      <c r="B75" s="61">
        <v>4009</v>
      </c>
      <c r="C75" s="61" t="s">
        <v>66</v>
      </c>
      <c r="D75" s="61" t="s">
        <v>454</v>
      </c>
      <c r="E75" s="30">
        <v>42506.526342592595</v>
      </c>
      <c r="F75" s="30">
        <v>42506.528437499997</v>
      </c>
      <c r="G75" s="38">
        <v>3</v>
      </c>
      <c r="H75" s="30" t="s">
        <v>108</v>
      </c>
      <c r="I75" s="30">
        <v>42506.557060185187</v>
      </c>
      <c r="J75" s="61">
        <v>0</v>
      </c>
      <c r="K75" s="61" t="str">
        <f t="shared" si="17"/>
        <v>4009/4010</v>
      </c>
      <c r="L75" s="61" t="str">
        <f>VLOOKUP(A75,'Trips&amp;Operators'!$C$1:$E$9999,3,FALSE)</f>
        <v>YORK</v>
      </c>
      <c r="M75" s="12">
        <f t="shared" si="18"/>
        <v>2.8622685189475305E-2</v>
      </c>
      <c r="N75" s="13">
        <f t="shared" si="19"/>
        <v>41.21666667284444</v>
      </c>
      <c r="O75" s="13"/>
      <c r="P75" s="13"/>
      <c r="Q75" s="62"/>
      <c r="R75" s="62"/>
      <c r="T7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12:36:56-0600',mode:absolute,to:'2016-05-16 13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5" s="74" t="str">
        <f t="shared" si="21"/>
        <v>N</v>
      </c>
      <c r="V75" s="74">
        <f t="shared" si="22"/>
        <v>1</v>
      </c>
      <c r="W75" s="74">
        <f t="shared" si="23"/>
        <v>4.7800000000000002E-2</v>
      </c>
      <c r="X75" s="74">
        <f t="shared" si="24"/>
        <v>23.331499999999998</v>
      </c>
      <c r="Y75" s="74">
        <f t="shared" si="25"/>
        <v>23.2837</v>
      </c>
      <c r="Z75" s="75" t="e">
        <f>VLOOKUP(A75,Enforcements!$C$3:$J$40,8,0)</f>
        <v>#N/A</v>
      </c>
      <c r="AA75" s="75" t="e">
        <f>VLOOKUP(A75,Enforcements!$C$3:$J$40,3,0)</f>
        <v>#N/A</v>
      </c>
    </row>
    <row r="76" spans="1:27" s="2" customFormat="1" x14ac:dyDescent="0.25">
      <c r="A76" s="61" t="s">
        <v>423</v>
      </c>
      <c r="B76" s="61">
        <v>4010</v>
      </c>
      <c r="C76" s="61" t="s">
        <v>66</v>
      </c>
      <c r="D76" s="61" t="s">
        <v>86</v>
      </c>
      <c r="E76" s="30">
        <v>42506.565844907411</v>
      </c>
      <c r="F76" s="30">
        <v>42506.566967592589</v>
      </c>
      <c r="G76" s="38">
        <v>1</v>
      </c>
      <c r="H76" s="30" t="s">
        <v>89</v>
      </c>
      <c r="I76" s="30">
        <v>42506.596724537034</v>
      </c>
      <c r="J76" s="61">
        <v>0</v>
      </c>
      <c r="K76" s="61" t="str">
        <f t="shared" si="17"/>
        <v>4009/4010</v>
      </c>
      <c r="L76" s="61" t="str">
        <f>VLOOKUP(A76,'Trips&amp;Operators'!$C$1:$E$9999,3,FALSE)</f>
        <v>YORK</v>
      </c>
      <c r="M76" s="12">
        <f t="shared" si="18"/>
        <v>2.9756944444670808E-2</v>
      </c>
      <c r="N76" s="13">
        <f t="shared" si="19"/>
        <v>42.850000000325963</v>
      </c>
      <c r="O76" s="13"/>
      <c r="P76" s="13"/>
      <c r="Q76" s="62"/>
      <c r="R76" s="62"/>
      <c r="T7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13:33:49-0600',mode:absolute,to:'2016-05-16 14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6" s="74" t="str">
        <f t="shared" si="21"/>
        <v>N</v>
      </c>
      <c r="V76" s="74">
        <f t="shared" si="22"/>
        <v>1</v>
      </c>
      <c r="W76" s="74">
        <f t="shared" si="23"/>
        <v>23.3</v>
      </c>
      <c r="X76" s="74">
        <f t="shared" si="24"/>
        <v>1.52E-2</v>
      </c>
      <c r="Y76" s="74">
        <f t="shared" si="25"/>
        <v>23.284800000000001</v>
      </c>
      <c r="Z76" s="75" t="e">
        <f>VLOOKUP(A76,Enforcements!$C$3:$J$40,8,0)</f>
        <v>#N/A</v>
      </c>
      <c r="AA76" s="75" t="e">
        <f>VLOOKUP(A76,Enforcements!$C$3:$J$40,3,0)</f>
        <v>#N/A</v>
      </c>
    </row>
    <row r="77" spans="1:27" s="2" customFormat="1" x14ac:dyDescent="0.25">
      <c r="A77" s="61" t="s">
        <v>404</v>
      </c>
      <c r="B77" s="61">
        <v>4040</v>
      </c>
      <c r="C77" s="61" t="s">
        <v>66</v>
      </c>
      <c r="D77" s="61" t="s">
        <v>183</v>
      </c>
      <c r="E77" s="30">
        <v>42506.535798611112</v>
      </c>
      <c r="F77" s="30">
        <v>42506.536782407406</v>
      </c>
      <c r="G77" s="38">
        <v>1</v>
      </c>
      <c r="H77" s="30" t="s">
        <v>140</v>
      </c>
      <c r="I77" s="30">
        <v>42506.566944444443</v>
      </c>
      <c r="J77" s="61">
        <v>0</v>
      </c>
      <c r="K77" s="61" t="str">
        <f t="shared" si="17"/>
        <v>4039/4040</v>
      </c>
      <c r="L77" s="61" t="str">
        <f>VLOOKUP(A77,'Trips&amp;Operators'!$C$1:$E$9999,3,FALSE)</f>
        <v>RIVERA</v>
      </c>
      <c r="M77" s="12">
        <f t="shared" si="18"/>
        <v>3.0162037037371192E-2</v>
      </c>
      <c r="N77" s="13">
        <f t="shared" si="19"/>
        <v>43.433333333814517</v>
      </c>
      <c r="O77" s="13"/>
      <c r="P77" s="13"/>
      <c r="Q77" s="62"/>
      <c r="R77" s="62"/>
      <c r="T7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12:50:33-0600',mode:absolute,to:'2016-05-16 13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7" s="74" t="str">
        <f t="shared" si="21"/>
        <v>N</v>
      </c>
      <c r="V77" s="74">
        <f t="shared" si="22"/>
        <v>1</v>
      </c>
      <c r="W77" s="74">
        <f t="shared" si="23"/>
        <v>4.4900000000000002E-2</v>
      </c>
      <c r="X77" s="74">
        <f t="shared" si="24"/>
        <v>23.3307</v>
      </c>
      <c r="Y77" s="74">
        <f t="shared" si="25"/>
        <v>23.285800000000002</v>
      </c>
      <c r="Z77" s="75" t="e">
        <f>VLOOKUP(A77,Enforcements!$C$3:$J$40,8,0)</f>
        <v>#N/A</v>
      </c>
      <c r="AA77" s="75" t="e">
        <f>VLOOKUP(A77,Enforcements!$C$3:$J$40,3,0)</f>
        <v>#N/A</v>
      </c>
    </row>
    <row r="78" spans="1:27" s="2" customFormat="1" x14ac:dyDescent="0.25">
      <c r="A78" s="61" t="s">
        <v>324</v>
      </c>
      <c r="B78" s="61">
        <v>4039</v>
      </c>
      <c r="C78" s="61" t="s">
        <v>66</v>
      </c>
      <c r="D78" s="61" t="s">
        <v>106</v>
      </c>
      <c r="E78" s="30">
        <v>42506.578379629631</v>
      </c>
      <c r="F78" s="30">
        <v>42506.580729166664</v>
      </c>
      <c r="G78" s="38">
        <v>3</v>
      </c>
      <c r="H78" s="30" t="s">
        <v>145</v>
      </c>
      <c r="I78" s="30">
        <v>42506.606469907405</v>
      </c>
      <c r="J78" s="61">
        <v>1</v>
      </c>
      <c r="K78" s="61" t="str">
        <f t="shared" si="17"/>
        <v>4039/4040</v>
      </c>
      <c r="L78" s="61" t="str">
        <f>VLOOKUP(A78,'Trips&amp;Operators'!$C$1:$E$9999,3,FALSE)</f>
        <v>RIVERA</v>
      </c>
      <c r="M78" s="12">
        <f t="shared" si="18"/>
        <v>2.5740740740729962E-2</v>
      </c>
      <c r="N78" s="13">
        <f t="shared" si="19"/>
        <v>37.066666666651145</v>
      </c>
      <c r="O78" s="13"/>
      <c r="P78" s="13"/>
      <c r="Q78" s="62"/>
      <c r="R78" s="62"/>
      <c r="T7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13:51:52-0600',mode:absolute,to:'2016-05-16 14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8" s="74" t="str">
        <f t="shared" si="21"/>
        <v>N</v>
      </c>
      <c r="V78" s="74">
        <f t="shared" si="22"/>
        <v>1</v>
      </c>
      <c r="W78" s="74">
        <f t="shared" si="23"/>
        <v>23.298999999999999</v>
      </c>
      <c r="X78" s="74">
        <f t="shared" si="24"/>
        <v>1.3899999999999999E-2</v>
      </c>
      <c r="Y78" s="74">
        <f t="shared" si="25"/>
        <v>23.2851</v>
      </c>
      <c r="Z78" s="75" t="e">
        <f>VLOOKUP(A78,Enforcements!$C$3:$J$40,8,0)</f>
        <v>#N/A</v>
      </c>
      <c r="AA78" s="75" t="e">
        <f>VLOOKUP(A78,Enforcements!$C$3:$J$40,3,0)</f>
        <v>#N/A</v>
      </c>
    </row>
    <row r="79" spans="1:27" s="2" customFormat="1" x14ac:dyDescent="0.25">
      <c r="A79" s="61" t="s">
        <v>380</v>
      </c>
      <c r="B79" s="61">
        <v>4024</v>
      </c>
      <c r="C79" s="61" t="s">
        <v>66</v>
      </c>
      <c r="D79" s="61" t="s">
        <v>93</v>
      </c>
      <c r="E79" s="30">
        <v>42506.545995370368</v>
      </c>
      <c r="F79" s="30">
        <v>42506.547129629631</v>
      </c>
      <c r="G79" s="38">
        <v>1</v>
      </c>
      <c r="H79" s="30" t="s">
        <v>455</v>
      </c>
      <c r="I79" s="30">
        <v>42506.578657407408</v>
      </c>
      <c r="J79" s="61">
        <v>0</v>
      </c>
      <c r="K79" s="61" t="str">
        <f t="shared" si="17"/>
        <v>4023/4024</v>
      </c>
      <c r="L79" s="61" t="str">
        <f>VLOOKUP(A79,'Trips&amp;Operators'!$C$1:$E$9999,3,FALSE)</f>
        <v>DE LA ROSA</v>
      </c>
      <c r="M79" s="12">
        <f t="shared" si="18"/>
        <v>3.1527777777228039E-2</v>
      </c>
      <c r="N79" s="13">
        <f t="shared" si="19"/>
        <v>45.399999999208376</v>
      </c>
      <c r="O79" s="13"/>
      <c r="P79" s="13"/>
      <c r="Q79" s="62"/>
      <c r="R79" s="62"/>
      <c r="T7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13:05:14-0600',mode:absolute,to:'2016-05-16 13:54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9" s="74" t="str">
        <f t="shared" si="21"/>
        <v>N</v>
      </c>
      <c r="V79" s="74">
        <f t="shared" si="22"/>
        <v>1</v>
      </c>
      <c r="W79" s="74">
        <f t="shared" si="23"/>
        <v>4.6399999999999997E-2</v>
      </c>
      <c r="X79" s="74">
        <f t="shared" si="24"/>
        <v>23.328299999999999</v>
      </c>
      <c r="Y79" s="74">
        <f t="shared" si="25"/>
        <v>23.2819</v>
      </c>
      <c r="Z79" s="75" t="e">
        <f>VLOOKUP(A79,Enforcements!$C$3:$J$40,8,0)</f>
        <v>#N/A</v>
      </c>
      <c r="AA79" s="75" t="e">
        <f>VLOOKUP(A79,Enforcements!$C$3:$J$40,3,0)</f>
        <v>#N/A</v>
      </c>
    </row>
    <row r="80" spans="1:27" s="2" customFormat="1" x14ac:dyDescent="0.25">
      <c r="A80" s="61" t="s">
        <v>325</v>
      </c>
      <c r="B80" s="61">
        <v>4023</v>
      </c>
      <c r="C80" s="61" t="s">
        <v>66</v>
      </c>
      <c r="D80" s="61" t="s">
        <v>456</v>
      </c>
      <c r="E80" s="30">
        <v>42506.582881944443</v>
      </c>
      <c r="F80" s="30">
        <v>42506.583923611113</v>
      </c>
      <c r="G80" s="38">
        <v>1</v>
      </c>
      <c r="H80" s="30" t="s">
        <v>77</v>
      </c>
      <c r="I80" s="30">
        <v>42506.617847222224</v>
      </c>
      <c r="J80" s="61">
        <v>1</v>
      </c>
      <c r="K80" s="61" t="str">
        <f t="shared" si="17"/>
        <v>4023/4024</v>
      </c>
      <c r="L80" s="61" t="str">
        <f>VLOOKUP(A80,'Trips&amp;Operators'!$C$1:$E$9999,3,FALSE)</f>
        <v>DE LA ROSA</v>
      </c>
      <c r="M80" s="12">
        <f t="shared" si="18"/>
        <v>3.3923611110367347E-2</v>
      </c>
      <c r="N80" s="13">
        <f t="shared" si="19"/>
        <v>48.849999998928979</v>
      </c>
      <c r="O80" s="13"/>
      <c r="P80" s="13"/>
      <c r="Q80" s="62"/>
      <c r="R80" s="62"/>
      <c r="T8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13:58:21-0600',mode:absolute,to:'2016-05-16 14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0" s="74" t="str">
        <f t="shared" si="21"/>
        <v>N</v>
      </c>
      <c r="V80" s="74">
        <f t="shared" si="22"/>
        <v>1</v>
      </c>
      <c r="W80" s="74">
        <f t="shared" si="23"/>
        <v>23.298300000000001</v>
      </c>
      <c r="X80" s="74">
        <f t="shared" si="24"/>
        <v>1.54E-2</v>
      </c>
      <c r="Y80" s="74">
        <f t="shared" si="25"/>
        <v>23.282900000000001</v>
      </c>
      <c r="Z80" s="75" t="e">
        <f>VLOOKUP(A80,Enforcements!$C$3:$J$40,8,0)</f>
        <v>#N/A</v>
      </c>
      <c r="AA80" s="75" t="e">
        <f>VLOOKUP(A80,Enforcements!$C$3:$J$40,3,0)</f>
        <v>#N/A</v>
      </c>
    </row>
    <row r="81" spans="1:27" s="2" customFormat="1" x14ac:dyDescent="0.25">
      <c r="A81" s="61" t="s">
        <v>377</v>
      </c>
      <c r="B81" s="61">
        <v>4016</v>
      </c>
      <c r="C81" s="61" t="s">
        <v>66</v>
      </c>
      <c r="D81" s="61" t="s">
        <v>130</v>
      </c>
      <c r="E81" s="30">
        <v>42506.556585648148</v>
      </c>
      <c r="F81" s="30">
        <v>42506.557638888888</v>
      </c>
      <c r="G81" s="38">
        <v>1</v>
      </c>
      <c r="H81" s="30" t="s">
        <v>457</v>
      </c>
      <c r="I81" s="30">
        <v>42506.587256944447</v>
      </c>
      <c r="J81" s="61">
        <v>0</v>
      </c>
      <c r="K81" s="61" t="str">
        <f t="shared" si="17"/>
        <v>4015/4016</v>
      </c>
      <c r="L81" s="61" t="str">
        <f>VLOOKUP(A81,'Trips&amp;Operators'!$C$1:$E$9999,3,FALSE)</f>
        <v>LOCKLEAR</v>
      </c>
      <c r="M81" s="12">
        <f t="shared" si="18"/>
        <v>2.9618055559694767E-2</v>
      </c>
      <c r="N81" s="13">
        <f t="shared" si="19"/>
        <v>42.650000005960464</v>
      </c>
      <c r="O81" s="13"/>
      <c r="P81" s="13"/>
      <c r="Q81" s="62"/>
      <c r="R81" s="62"/>
      <c r="T8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13:20:29-0600',mode:absolute,to:'2016-05-16 14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1" s="74" t="str">
        <f t="shared" si="21"/>
        <v>N</v>
      </c>
      <c r="V81" s="74">
        <f t="shared" si="22"/>
        <v>1</v>
      </c>
      <c r="W81" s="74">
        <f t="shared" si="23"/>
        <v>4.4200000000000003E-2</v>
      </c>
      <c r="X81" s="74">
        <f t="shared" si="24"/>
        <v>23.334299999999999</v>
      </c>
      <c r="Y81" s="74">
        <f t="shared" si="25"/>
        <v>23.290099999999999</v>
      </c>
      <c r="Z81" s="75" t="e">
        <f>VLOOKUP(A81,Enforcements!$C$3:$J$40,8,0)</f>
        <v>#N/A</v>
      </c>
      <c r="AA81" s="75" t="e">
        <f>VLOOKUP(A81,Enforcements!$C$3:$J$40,3,0)</f>
        <v>#N/A</v>
      </c>
    </row>
    <row r="82" spans="1:27" s="2" customFormat="1" x14ac:dyDescent="0.25">
      <c r="A82" s="61" t="s">
        <v>400</v>
      </c>
      <c r="B82" s="61">
        <v>4015</v>
      </c>
      <c r="C82" s="61" t="s">
        <v>66</v>
      </c>
      <c r="D82" s="61" t="s">
        <v>448</v>
      </c>
      <c r="E82" s="30">
        <v>42506.598067129627</v>
      </c>
      <c r="F82" s="30">
        <v>42506.599363425928</v>
      </c>
      <c r="G82" s="38">
        <v>1</v>
      </c>
      <c r="H82" s="30" t="s">
        <v>458</v>
      </c>
      <c r="I82" s="30">
        <v>42506.626840277779</v>
      </c>
      <c r="J82" s="61">
        <v>0</v>
      </c>
      <c r="K82" s="61" t="str">
        <f t="shared" si="17"/>
        <v>4015/4016</v>
      </c>
      <c r="L82" s="61" t="str">
        <f>VLOOKUP(A82,'Trips&amp;Operators'!$C$1:$E$9999,3,FALSE)</f>
        <v>LOCKLEAR</v>
      </c>
      <c r="M82" s="12">
        <f t="shared" si="18"/>
        <v>2.7476851850224193E-2</v>
      </c>
      <c r="N82" s="13">
        <f t="shared" si="19"/>
        <v>39.566666664322838</v>
      </c>
      <c r="O82" s="13"/>
      <c r="P82" s="13"/>
      <c r="Q82" s="62"/>
      <c r="R82" s="62"/>
      <c r="T8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14:20:13-0600',mode:absolute,to:'2016-05-16 15:03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2" s="74" t="str">
        <f t="shared" si="21"/>
        <v>N</v>
      </c>
      <c r="V82" s="74">
        <f t="shared" si="22"/>
        <v>1</v>
      </c>
      <c r="W82" s="74">
        <f t="shared" si="23"/>
        <v>23.302499999999998</v>
      </c>
      <c r="X82" s="74">
        <f t="shared" si="24"/>
        <v>1.7600000000000001E-2</v>
      </c>
      <c r="Y82" s="74">
        <f t="shared" si="25"/>
        <v>23.284899999999997</v>
      </c>
      <c r="Z82" s="75" t="e">
        <f>VLOOKUP(A82,Enforcements!$C$3:$J$40,8,0)</f>
        <v>#N/A</v>
      </c>
      <c r="AA82" s="75" t="e">
        <f>VLOOKUP(A82,Enforcements!$C$3:$J$40,3,0)</f>
        <v>#N/A</v>
      </c>
    </row>
    <row r="83" spans="1:27" s="2" customFormat="1" x14ac:dyDescent="0.25">
      <c r="A83" s="61" t="s">
        <v>420</v>
      </c>
      <c r="B83" s="61">
        <v>4011</v>
      </c>
      <c r="C83" s="61" t="s">
        <v>66</v>
      </c>
      <c r="D83" s="61" t="s">
        <v>459</v>
      </c>
      <c r="E83" s="30">
        <v>42506.567048611112</v>
      </c>
      <c r="F83" s="30">
        <v>42506.568136574075</v>
      </c>
      <c r="G83" s="38">
        <v>1</v>
      </c>
      <c r="H83" s="30" t="s">
        <v>187</v>
      </c>
      <c r="I83" s="30">
        <v>42506.598032407404</v>
      </c>
      <c r="J83" s="61">
        <v>0</v>
      </c>
      <c r="K83" s="61" t="str">
        <f t="shared" si="17"/>
        <v>4011/4012</v>
      </c>
      <c r="L83" s="61" t="str">
        <f>VLOOKUP(A83,'Trips&amp;Operators'!$C$1:$E$9999,3,FALSE)</f>
        <v>ACKERMAN</v>
      </c>
      <c r="M83" s="12">
        <f t="shared" si="18"/>
        <v>2.9895833329646848E-2</v>
      </c>
      <c r="N83" s="13">
        <f t="shared" si="19"/>
        <v>43.049999994691461</v>
      </c>
      <c r="O83" s="13"/>
      <c r="P83" s="13"/>
      <c r="Q83" s="62"/>
      <c r="R83" s="62"/>
      <c r="T8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13:35:33-0600',mode:absolute,to:'2016-05-16 14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3" s="74" t="str">
        <f t="shared" si="21"/>
        <v>N</v>
      </c>
      <c r="V83" s="74">
        <f t="shared" si="22"/>
        <v>1</v>
      </c>
      <c r="W83" s="74">
        <f t="shared" si="23"/>
        <v>4.07E-2</v>
      </c>
      <c r="X83" s="74">
        <f t="shared" si="24"/>
        <v>23.332100000000001</v>
      </c>
      <c r="Y83" s="74">
        <f t="shared" si="25"/>
        <v>23.291399999999999</v>
      </c>
      <c r="Z83" s="75" t="e">
        <f>VLOOKUP(A83,Enforcements!$C$3:$J$40,8,0)</f>
        <v>#N/A</v>
      </c>
      <c r="AA83" s="75" t="e">
        <f>VLOOKUP(A83,Enforcements!$C$3:$J$40,3,0)</f>
        <v>#N/A</v>
      </c>
    </row>
    <row r="84" spans="1:27" s="2" customFormat="1" x14ac:dyDescent="0.25">
      <c r="A84" s="61" t="s">
        <v>359</v>
      </c>
      <c r="B84" s="61">
        <v>4012</v>
      </c>
      <c r="C84" s="61" t="s">
        <v>66</v>
      </c>
      <c r="D84" s="61" t="s">
        <v>184</v>
      </c>
      <c r="E84" s="30">
        <v>42506.607743055552</v>
      </c>
      <c r="F84" s="30">
        <v>42506.608773148146</v>
      </c>
      <c r="G84" s="38">
        <v>1</v>
      </c>
      <c r="H84" s="30" t="s">
        <v>102</v>
      </c>
      <c r="I84" s="30">
        <v>42506.637407407405</v>
      </c>
      <c r="J84" s="61">
        <v>0</v>
      </c>
      <c r="K84" s="61" t="str">
        <f t="shared" si="17"/>
        <v>4011/4012</v>
      </c>
      <c r="L84" s="61" t="str">
        <f>VLOOKUP(A84,'Trips&amp;Operators'!$C$1:$E$9999,3,FALSE)</f>
        <v>ACKERMAN</v>
      </c>
      <c r="M84" s="12">
        <f t="shared" si="18"/>
        <v>2.8634259258979E-2</v>
      </c>
      <c r="N84" s="13">
        <f t="shared" si="19"/>
        <v>41.23333333292976</v>
      </c>
      <c r="O84" s="13"/>
      <c r="P84" s="13"/>
      <c r="Q84" s="62"/>
      <c r="R84" s="62"/>
      <c r="T8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14:34:09-0600',mode:absolute,to:'2016-05-16 15:18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4" s="74" t="str">
        <f t="shared" si="21"/>
        <v>N</v>
      </c>
      <c r="V84" s="74">
        <f t="shared" si="22"/>
        <v>1</v>
      </c>
      <c r="W84" s="74">
        <f t="shared" si="23"/>
        <v>23.299600000000002</v>
      </c>
      <c r="X84" s="74">
        <f t="shared" si="24"/>
        <v>1.41E-2</v>
      </c>
      <c r="Y84" s="74">
        <f t="shared" si="25"/>
        <v>23.285500000000003</v>
      </c>
      <c r="Z84" s="75" t="e">
        <f>VLOOKUP(A84,Enforcements!$C$3:$J$40,8,0)</f>
        <v>#N/A</v>
      </c>
      <c r="AA84" s="75" t="e">
        <f>VLOOKUP(A84,Enforcements!$C$3:$J$40,3,0)</f>
        <v>#N/A</v>
      </c>
    </row>
    <row r="85" spans="1:27" s="2" customFormat="1" x14ac:dyDescent="0.25">
      <c r="A85" s="61" t="s">
        <v>381</v>
      </c>
      <c r="B85" s="61">
        <v>4020</v>
      </c>
      <c r="C85" s="61" t="s">
        <v>66</v>
      </c>
      <c r="D85" s="61" t="s">
        <v>130</v>
      </c>
      <c r="E85" s="30">
        <v>42506.577337962961</v>
      </c>
      <c r="F85" s="30">
        <v>42506.579027777778</v>
      </c>
      <c r="G85" s="38">
        <v>2</v>
      </c>
      <c r="H85" s="30" t="s">
        <v>460</v>
      </c>
      <c r="I85" s="30">
        <v>42506.607939814814</v>
      </c>
      <c r="J85" s="61">
        <v>0</v>
      </c>
      <c r="K85" s="61" t="str">
        <f t="shared" si="17"/>
        <v>4019/4020</v>
      </c>
      <c r="L85" s="61" t="str">
        <f>VLOOKUP(A85,'Trips&amp;Operators'!$C$1:$E$9999,3,FALSE)</f>
        <v>ADANE</v>
      </c>
      <c r="M85" s="12">
        <f t="shared" si="18"/>
        <v>2.8912037036207039E-2</v>
      </c>
      <c r="N85" s="13">
        <f t="shared" si="19"/>
        <v>41.633333332138136</v>
      </c>
      <c r="O85" s="13"/>
      <c r="P85" s="13"/>
      <c r="Q85" s="62"/>
      <c r="R85" s="62"/>
      <c r="T8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13:50:22-0600',mode:absolute,to:'2016-05-16 14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5" s="74" t="str">
        <f t="shared" si="21"/>
        <v>N</v>
      </c>
      <c r="V85" s="74">
        <f t="shared" si="22"/>
        <v>1</v>
      </c>
      <c r="W85" s="74">
        <f t="shared" si="23"/>
        <v>4.4200000000000003E-2</v>
      </c>
      <c r="X85" s="74">
        <f t="shared" si="24"/>
        <v>23.335999999999999</v>
      </c>
      <c r="Y85" s="74">
        <f t="shared" si="25"/>
        <v>23.291799999999999</v>
      </c>
      <c r="Z85" s="75" t="e">
        <f>VLOOKUP(A85,Enforcements!$C$3:$J$40,8,0)</f>
        <v>#N/A</v>
      </c>
      <c r="AA85" s="75" t="e">
        <f>VLOOKUP(A85,Enforcements!$C$3:$J$40,3,0)</f>
        <v>#N/A</v>
      </c>
    </row>
    <row r="86" spans="1:27" s="2" customFormat="1" x14ac:dyDescent="0.25">
      <c r="A86" s="61" t="s">
        <v>365</v>
      </c>
      <c r="B86" s="61">
        <v>4019</v>
      </c>
      <c r="C86" s="61" t="s">
        <v>66</v>
      </c>
      <c r="D86" s="61" t="s">
        <v>461</v>
      </c>
      <c r="E86" s="30">
        <v>42506.615752314814</v>
      </c>
      <c r="F86" s="30">
        <v>42506.617280092592</v>
      </c>
      <c r="G86" s="38">
        <v>2</v>
      </c>
      <c r="H86" s="30" t="s">
        <v>81</v>
      </c>
      <c r="I86" s="30">
        <v>42506.64738425926</v>
      </c>
      <c r="J86" s="61">
        <v>0</v>
      </c>
      <c r="K86" s="61" t="str">
        <f t="shared" si="17"/>
        <v>4019/4020</v>
      </c>
      <c r="L86" s="61" t="str">
        <f>VLOOKUP(A86,'Trips&amp;Operators'!$C$1:$E$9999,3,FALSE)</f>
        <v>ADANE</v>
      </c>
      <c r="M86" s="12">
        <f t="shared" si="18"/>
        <v>3.0104166668024845E-2</v>
      </c>
      <c r="N86" s="13">
        <f t="shared" si="19"/>
        <v>43.350000001955777</v>
      </c>
      <c r="O86" s="13"/>
      <c r="P86" s="13"/>
      <c r="Q86" s="62"/>
      <c r="R86" s="62"/>
      <c r="T8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14:45:41-0600',mode:absolute,to:'2016-05-16 15:33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6" s="74" t="str">
        <f t="shared" si="21"/>
        <v>N</v>
      </c>
      <c r="V86" s="74">
        <f t="shared" si="22"/>
        <v>1</v>
      </c>
      <c r="W86" s="74">
        <f t="shared" si="23"/>
        <v>23.307200000000002</v>
      </c>
      <c r="X86" s="74">
        <f t="shared" si="24"/>
        <v>1.3599999999999999E-2</v>
      </c>
      <c r="Y86" s="74">
        <f t="shared" si="25"/>
        <v>23.293600000000001</v>
      </c>
      <c r="Z86" s="75" t="e">
        <f>VLOOKUP(A86,Enforcements!$C$3:$J$40,8,0)</f>
        <v>#N/A</v>
      </c>
      <c r="AA86" s="75" t="e">
        <f>VLOOKUP(A86,Enforcements!$C$3:$J$40,3,0)</f>
        <v>#N/A</v>
      </c>
    </row>
    <row r="87" spans="1:27" s="2" customFormat="1" x14ac:dyDescent="0.25">
      <c r="A87" s="61" t="s">
        <v>414</v>
      </c>
      <c r="B87" s="61">
        <v>4031</v>
      </c>
      <c r="C87" s="61" t="s">
        <v>66</v>
      </c>
      <c r="D87" s="61" t="s">
        <v>129</v>
      </c>
      <c r="E87" s="30">
        <v>42506.588090277779</v>
      </c>
      <c r="F87" s="30">
        <v>42506.589074074072</v>
      </c>
      <c r="G87" s="38">
        <v>1</v>
      </c>
      <c r="H87" s="30" t="s">
        <v>192</v>
      </c>
      <c r="I87" s="30">
        <v>42506.61991898148</v>
      </c>
      <c r="J87" s="61">
        <v>0</v>
      </c>
      <c r="K87" s="61" t="str">
        <f t="shared" si="17"/>
        <v>4031/4032</v>
      </c>
      <c r="L87" s="61" t="str">
        <f>VLOOKUP(A87,'Trips&amp;Operators'!$C$1:$E$9999,3,FALSE)</f>
        <v>BRUDER</v>
      </c>
      <c r="M87" s="12">
        <f t="shared" si="18"/>
        <v>3.0844907407299615E-2</v>
      </c>
      <c r="N87" s="13">
        <f t="shared" si="19"/>
        <v>44.416666666511446</v>
      </c>
      <c r="O87" s="13"/>
      <c r="P87" s="13"/>
      <c r="Q87" s="62"/>
      <c r="R87" s="62"/>
      <c r="T8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14:05:51-0600',mode:absolute,to:'2016-05-16 14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7" s="74" t="str">
        <f t="shared" si="21"/>
        <v>N</v>
      </c>
      <c r="V87" s="74">
        <f t="shared" si="22"/>
        <v>1</v>
      </c>
      <c r="W87" s="74">
        <f t="shared" si="23"/>
        <v>4.6699999999999998E-2</v>
      </c>
      <c r="X87" s="74">
        <f t="shared" si="24"/>
        <v>23.334399999999999</v>
      </c>
      <c r="Y87" s="74">
        <f t="shared" si="25"/>
        <v>23.287699999999997</v>
      </c>
      <c r="Z87" s="75" t="e">
        <f>VLOOKUP(A87,Enforcements!$C$3:$J$40,8,0)</f>
        <v>#N/A</v>
      </c>
      <c r="AA87" s="75" t="e">
        <f>VLOOKUP(A87,Enforcements!$C$3:$J$40,3,0)</f>
        <v>#N/A</v>
      </c>
    </row>
    <row r="88" spans="1:27" s="2" customFormat="1" x14ac:dyDescent="0.25">
      <c r="A88" s="61" t="s">
        <v>379</v>
      </c>
      <c r="B88" s="61">
        <v>4032</v>
      </c>
      <c r="C88" s="61" t="s">
        <v>66</v>
      </c>
      <c r="D88" s="61" t="s">
        <v>139</v>
      </c>
      <c r="E88" s="30">
        <v>42506.622581018521</v>
      </c>
      <c r="F88" s="30">
        <v>42506.623495370368</v>
      </c>
      <c r="G88" s="38">
        <v>1</v>
      </c>
      <c r="H88" s="30" t="s">
        <v>109</v>
      </c>
      <c r="I88" s="30">
        <v>42506.658634259256</v>
      </c>
      <c r="J88" s="61">
        <v>0</v>
      </c>
      <c r="K88" s="61" t="str">
        <f t="shared" si="17"/>
        <v>4031/4032</v>
      </c>
      <c r="L88" s="61" t="str">
        <f>VLOOKUP(A88,'Trips&amp;Operators'!$C$1:$E$9999,3,FALSE)</f>
        <v>BRUDER</v>
      </c>
      <c r="M88" s="12">
        <f t="shared" si="18"/>
        <v>3.51388888884685E-2</v>
      </c>
      <c r="N88" s="13">
        <f t="shared" si="19"/>
        <v>50.59999999939464</v>
      </c>
      <c r="O88" s="13"/>
      <c r="P88" s="13"/>
      <c r="Q88" s="62"/>
      <c r="R88" s="62"/>
      <c r="T8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14:55:31-0600',mode:absolute,to:'2016-05-16 15:49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8" s="74" t="str">
        <f t="shared" si="21"/>
        <v>N</v>
      </c>
      <c r="V88" s="74">
        <f t="shared" si="22"/>
        <v>1</v>
      </c>
      <c r="W88" s="74">
        <f t="shared" si="23"/>
        <v>23.3004</v>
      </c>
      <c r="X88" s="74">
        <f t="shared" si="24"/>
        <v>1.34E-2</v>
      </c>
      <c r="Y88" s="74">
        <f t="shared" si="25"/>
        <v>23.286999999999999</v>
      </c>
      <c r="Z88" s="75" t="e">
        <f>VLOOKUP(A88,Enforcements!$C$3:$J$40,8,0)</f>
        <v>#N/A</v>
      </c>
      <c r="AA88" s="75" t="e">
        <f>VLOOKUP(A88,Enforcements!$C$3:$J$40,3,0)</f>
        <v>#N/A</v>
      </c>
    </row>
    <row r="89" spans="1:27" s="2" customFormat="1" x14ac:dyDescent="0.25">
      <c r="A89" s="61" t="s">
        <v>396</v>
      </c>
      <c r="B89" s="61">
        <v>4009</v>
      </c>
      <c r="C89" s="61" t="s">
        <v>66</v>
      </c>
      <c r="D89" s="61" t="s">
        <v>125</v>
      </c>
      <c r="E89" s="30">
        <v>42506.601076388892</v>
      </c>
      <c r="F89" s="30">
        <v>42506.602199074077</v>
      </c>
      <c r="G89" s="38">
        <v>1</v>
      </c>
      <c r="H89" s="30" t="s">
        <v>90</v>
      </c>
      <c r="I89" s="30">
        <v>42506.629178240742</v>
      </c>
      <c r="J89" s="61">
        <v>0</v>
      </c>
      <c r="K89" s="61" t="str">
        <f t="shared" si="17"/>
        <v>4009/4010</v>
      </c>
      <c r="L89" s="61" t="str">
        <f>VLOOKUP(A89,'Trips&amp;Operators'!$C$1:$E$9999,3,FALSE)</f>
        <v>YORK</v>
      </c>
      <c r="M89" s="12">
        <f t="shared" si="18"/>
        <v>2.6979166665114462E-2</v>
      </c>
      <c r="N89" s="13">
        <f t="shared" si="19"/>
        <v>38.849999997764826</v>
      </c>
      <c r="O89" s="13"/>
      <c r="P89" s="13"/>
      <c r="Q89" s="62"/>
      <c r="R89" s="62"/>
      <c r="T8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14:24:33-0600',mode:absolute,to:'2016-05-16 15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9" s="74" t="str">
        <f t="shared" si="21"/>
        <v>N</v>
      </c>
      <c r="V89" s="74">
        <f t="shared" si="22"/>
        <v>1</v>
      </c>
      <c r="W89" s="74">
        <f t="shared" si="23"/>
        <v>4.3999999999999997E-2</v>
      </c>
      <c r="X89" s="74">
        <f t="shared" si="24"/>
        <v>23.331199999999999</v>
      </c>
      <c r="Y89" s="74">
        <f t="shared" si="25"/>
        <v>23.287199999999999</v>
      </c>
      <c r="Z89" s="75" t="e">
        <f>VLOOKUP(A89,Enforcements!$C$3:$J$40,8,0)</f>
        <v>#N/A</v>
      </c>
      <c r="AA89" s="75" t="e">
        <f>VLOOKUP(A89,Enforcements!$C$3:$J$40,3,0)</f>
        <v>#N/A</v>
      </c>
    </row>
    <row r="90" spans="1:27" s="2" customFormat="1" x14ac:dyDescent="0.25">
      <c r="A90" s="61" t="s">
        <v>378</v>
      </c>
      <c r="B90" s="61">
        <v>4010</v>
      </c>
      <c r="C90" s="61" t="s">
        <v>66</v>
      </c>
      <c r="D90" s="61" t="s">
        <v>152</v>
      </c>
      <c r="E90" s="30">
        <v>42506.637314814812</v>
      </c>
      <c r="F90" s="30">
        <v>42506.638078703705</v>
      </c>
      <c r="G90" s="38">
        <v>1</v>
      </c>
      <c r="H90" s="30" t="s">
        <v>127</v>
      </c>
      <c r="I90" s="30">
        <v>42506.669444444444</v>
      </c>
      <c r="J90" s="61">
        <v>0</v>
      </c>
      <c r="K90" s="61" t="str">
        <f t="shared" si="17"/>
        <v>4009/4010</v>
      </c>
      <c r="L90" s="61" t="str">
        <f>VLOOKUP(A90,'Trips&amp;Operators'!$C$1:$E$9999,3,FALSE)</f>
        <v>YORK</v>
      </c>
      <c r="M90" s="12">
        <f t="shared" si="18"/>
        <v>3.1365740738692693E-2</v>
      </c>
      <c r="N90" s="13">
        <f t="shared" si="19"/>
        <v>45.166666663717479</v>
      </c>
      <c r="O90" s="13"/>
      <c r="P90" s="13"/>
      <c r="Q90" s="62"/>
      <c r="R90" s="62"/>
      <c r="T9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15:16:44-0600',mode:absolute,to:'2016-05-16 16:05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0" s="74" t="str">
        <f t="shared" si="21"/>
        <v>N</v>
      </c>
      <c r="V90" s="74">
        <f t="shared" si="22"/>
        <v>1</v>
      </c>
      <c r="W90" s="74">
        <f t="shared" si="23"/>
        <v>23.2973</v>
      </c>
      <c r="X90" s="74">
        <f t="shared" si="24"/>
        <v>1.5800000000000002E-2</v>
      </c>
      <c r="Y90" s="74">
        <f t="shared" si="25"/>
        <v>23.281500000000001</v>
      </c>
      <c r="Z90" s="75" t="e">
        <f>VLOOKUP(A90,Enforcements!$C$3:$J$40,8,0)</f>
        <v>#N/A</v>
      </c>
      <c r="AA90" s="75" t="e">
        <f>VLOOKUP(A90,Enforcements!$C$3:$J$40,3,0)</f>
        <v>#N/A</v>
      </c>
    </row>
    <row r="91" spans="1:27" s="2" customFormat="1" x14ac:dyDescent="0.25">
      <c r="A91" s="61" t="s">
        <v>326</v>
      </c>
      <c r="B91" s="61">
        <v>4039</v>
      </c>
      <c r="C91" s="61" t="s">
        <v>66</v>
      </c>
      <c r="D91" s="61" t="s">
        <v>76</v>
      </c>
      <c r="E91" s="30">
        <v>42506.648888888885</v>
      </c>
      <c r="F91" s="30">
        <v>42506.650046296294</v>
      </c>
      <c r="G91" s="38">
        <v>1</v>
      </c>
      <c r="H91" s="30" t="s">
        <v>462</v>
      </c>
      <c r="I91" s="30">
        <v>42506.6796875</v>
      </c>
      <c r="J91" s="61">
        <v>1</v>
      </c>
      <c r="K91" s="61" t="str">
        <f t="shared" si="17"/>
        <v>4039/4040</v>
      </c>
      <c r="L91" s="61" t="str">
        <f>VLOOKUP(A91,'Trips&amp;Operators'!$C$1:$E$9999,3,FALSE)</f>
        <v>RIVERA</v>
      </c>
      <c r="M91" s="12">
        <f t="shared" si="18"/>
        <v>2.9641203705978114E-2</v>
      </c>
      <c r="N91" s="13">
        <f t="shared" si="19"/>
        <v>42.683333336608484</v>
      </c>
      <c r="O91" s="13"/>
      <c r="P91" s="13"/>
      <c r="Q91" s="62"/>
      <c r="R91" s="62"/>
      <c r="T9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15:33:24-0600',mode:absolute,to:'2016-05-16 16:19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1" s="74" t="str">
        <f t="shared" si="21"/>
        <v>N</v>
      </c>
      <c r="V91" s="74">
        <f t="shared" si="22"/>
        <v>2</v>
      </c>
      <c r="W91" s="74">
        <f t="shared" si="23"/>
        <v>23.299099999999999</v>
      </c>
      <c r="X91" s="74">
        <f t="shared" si="24"/>
        <v>9.0899999999999995E-2</v>
      </c>
      <c r="Y91" s="74">
        <f t="shared" si="25"/>
        <v>23.208199999999998</v>
      </c>
      <c r="Z91" s="75" t="e">
        <f>VLOOKUP(A91,Enforcements!$C$3:$J$40,8,0)</f>
        <v>#N/A</v>
      </c>
      <c r="AA91" s="75" t="e">
        <f>VLOOKUP(A91,Enforcements!$C$3:$J$40,3,0)</f>
        <v>#N/A</v>
      </c>
    </row>
    <row r="92" spans="1:27" s="2" customFormat="1" x14ac:dyDescent="0.25">
      <c r="A92" s="61" t="s">
        <v>411</v>
      </c>
      <c r="B92" s="61">
        <v>4024</v>
      </c>
      <c r="C92" s="61" t="s">
        <v>66</v>
      </c>
      <c r="D92" s="61" t="s">
        <v>113</v>
      </c>
      <c r="E92" s="30">
        <v>42506.619097222225</v>
      </c>
      <c r="F92" s="30">
        <v>42506.620185185187</v>
      </c>
      <c r="G92" s="38">
        <v>1</v>
      </c>
      <c r="H92" s="30" t="s">
        <v>463</v>
      </c>
      <c r="I92" s="30">
        <v>42506.650393518517</v>
      </c>
      <c r="J92" s="61">
        <v>0</v>
      </c>
      <c r="K92" s="61" t="str">
        <f t="shared" si="17"/>
        <v>4023/4024</v>
      </c>
      <c r="L92" s="61" t="str">
        <f>VLOOKUP(A92,'Trips&amp;Operators'!$C$1:$E$9999,3,FALSE)</f>
        <v>DE LA ROSA</v>
      </c>
      <c r="M92" s="12">
        <f t="shared" si="18"/>
        <v>3.0208333329937886E-2</v>
      </c>
      <c r="N92" s="13">
        <f t="shared" si="19"/>
        <v>43.499999995110556</v>
      </c>
      <c r="O92" s="13"/>
      <c r="P92" s="13"/>
      <c r="Q92" s="62"/>
      <c r="R92" s="62"/>
      <c r="T9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14:50:30-0600',mode:absolute,to:'2016-05-16 15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2" s="74" t="str">
        <f t="shared" si="21"/>
        <v>N</v>
      </c>
      <c r="V92" s="74">
        <f t="shared" si="22"/>
        <v>1</v>
      </c>
      <c r="W92" s="74">
        <f t="shared" si="23"/>
        <v>4.8000000000000001E-2</v>
      </c>
      <c r="X92" s="74">
        <f t="shared" si="24"/>
        <v>23.333400000000001</v>
      </c>
      <c r="Y92" s="74">
        <f t="shared" si="25"/>
        <v>23.285400000000003</v>
      </c>
      <c r="Z92" s="75" t="e">
        <f>VLOOKUP(A92,Enforcements!$C$3:$J$40,8,0)</f>
        <v>#N/A</v>
      </c>
      <c r="AA92" s="75" t="e">
        <f>VLOOKUP(A92,Enforcements!$C$3:$J$40,3,0)</f>
        <v>#N/A</v>
      </c>
    </row>
    <row r="93" spans="1:27" s="2" customFormat="1" x14ac:dyDescent="0.25">
      <c r="A93" s="61" t="s">
        <v>384</v>
      </c>
      <c r="B93" s="61">
        <v>4023</v>
      </c>
      <c r="C93" s="61" t="s">
        <v>66</v>
      </c>
      <c r="D93" s="61" t="s">
        <v>152</v>
      </c>
      <c r="E93" s="30">
        <v>42506.652256944442</v>
      </c>
      <c r="F93" s="30">
        <v>42506.653506944444</v>
      </c>
      <c r="G93" s="38">
        <v>1</v>
      </c>
      <c r="H93" s="30" t="s">
        <v>103</v>
      </c>
      <c r="I93" s="30">
        <v>42506.691342592596</v>
      </c>
      <c r="J93" s="61">
        <v>0</v>
      </c>
      <c r="K93" s="61" t="str">
        <f t="shared" si="17"/>
        <v>4023/4024</v>
      </c>
      <c r="L93" s="61" t="str">
        <f>VLOOKUP(A93,'Trips&amp;Operators'!$C$1:$E$9999,3,FALSE)</f>
        <v>DE LA ROSA</v>
      </c>
      <c r="M93" s="12">
        <f t="shared" si="18"/>
        <v>3.7835648152395152E-2</v>
      </c>
      <c r="N93" s="13">
        <f t="shared" si="19"/>
        <v>54.483333339449018</v>
      </c>
      <c r="O93" s="13"/>
      <c r="P93" s="13"/>
      <c r="Q93" s="62"/>
      <c r="R93" s="62"/>
      <c r="T9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15:38:15-0600',mode:absolute,to:'2016-05-16 16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3" s="74" t="str">
        <f t="shared" si="21"/>
        <v>N</v>
      </c>
      <c r="V93" s="74">
        <f t="shared" si="22"/>
        <v>1</v>
      </c>
      <c r="W93" s="74">
        <f t="shared" si="23"/>
        <v>23.2973</v>
      </c>
      <c r="X93" s="74">
        <f t="shared" si="24"/>
        <v>1.4999999999999999E-2</v>
      </c>
      <c r="Y93" s="74">
        <f t="shared" si="25"/>
        <v>23.282299999999999</v>
      </c>
      <c r="Z93" s="75" t="e">
        <f>VLOOKUP(A93,Enforcements!$C$3:$J$40,8,0)</f>
        <v>#N/A</v>
      </c>
      <c r="AA93" s="75" t="e">
        <f>VLOOKUP(A93,Enforcements!$C$3:$J$40,3,0)</f>
        <v>#N/A</v>
      </c>
    </row>
    <row r="94" spans="1:27" s="2" customFormat="1" x14ac:dyDescent="0.25">
      <c r="A94" s="61" t="s">
        <v>387</v>
      </c>
      <c r="B94" s="61">
        <v>4016</v>
      </c>
      <c r="C94" s="61" t="s">
        <v>66</v>
      </c>
      <c r="D94" s="61" t="s">
        <v>132</v>
      </c>
      <c r="E94" s="30">
        <v>42506.63071759259</v>
      </c>
      <c r="F94" s="30">
        <v>42506.631805555553</v>
      </c>
      <c r="G94" s="38">
        <v>1</v>
      </c>
      <c r="H94" s="30" t="s">
        <v>463</v>
      </c>
      <c r="I94" s="30">
        <v>42506.660115740742</v>
      </c>
      <c r="J94" s="61">
        <v>0</v>
      </c>
      <c r="K94" s="61" t="str">
        <f t="shared" si="17"/>
        <v>4015/4016</v>
      </c>
      <c r="L94" s="61" t="str">
        <f>VLOOKUP(A94,'Trips&amp;Operators'!$C$1:$E$9999,3,FALSE)</f>
        <v>LOCKLEAR</v>
      </c>
      <c r="M94" s="12">
        <f t="shared" si="18"/>
        <v>2.8310185189184267E-2</v>
      </c>
      <c r="N94" s="13">
        <f t="shared" si="19"/>
        <v>40.766666672425345</v>
      </c>
      <c r="O94" s="13"/>
      <c r="P94" s="13"/>
      <c r="Q94" s="62"/>
      <c r="R94" s="62"/>
      <c r="T9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15:07:14-0600',mode:absolute,to:'2016-05-16 15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4" s="74" t="str">
        <f t="shared" si="21"/>
        <v>N</v>
      </c>
      <c r="V94" s="74">
        <f t="shared" si="22"/>
        <v>1</v>
      </c>
      <c r="W94" s="74">
        <f t="shared" si="23"/>
        <v>4.58E-2</v>
      </c>
      <c r="X94" s="74">
        <f t="shared" si="24"/>
        <v>23.333400000000001</v>
      </c>
      <c r="Y94" s="74">
        <f t="shared" si="25"/>
        <v>23.287600000000001</v>
      </c>
      <c r="Z94" s="75" t="e">
        <f>VLOOKUP(A94,Enforcements!$C$3:$J$40,8,0)</f>
        <v>#N/A</v>
      </c>
      <c r="AA94" s="75" t="e">
        <f>VLOOKUP(A94,Enforcements!$C$3:$J$40,3,0)</f>
        <v>#N/A</v>
      </c>
    </row>
    <row r="95" spans="1:27" s="2" customFormat="1" x14ac:dyDescent="0.25">
      <c r="A95" s="61" t="s">
        <v>399</v>
      </c>
      <c r="B95" s="61">
        <v>4015</v>
      </c>
      <c r="C95" s="61" t="s">
        <v>66</v>
      </c>
      <c r="D95" s="61" t="s">
        <v>464</v>
      </c>
      <c r="E95" s="30">
        <v>42506.672314814816</v>
      </c>
      <c r="F95" s="30">
        <v>42506.673333333332</v>
      </c>
      <c r="G95" s="38">
        <v>1</v>
      </c>
      <c r="H95" s="30" t="s">
        <v>94</v>
      </c>
      <c r="I95" s="30">
        <v>42506.699687499997</v>
      </c>
      <c r="J95" s="61">
        <v>0</v>
      </c>
      <c r="K95" s="61" t="str">
        <f t="shared" si="17"/>
        <v>4015/4016</v>
      </c>
      <c r="L95" s="61" t="str">
        <f>VLOOKUP(A95,'Trips&amp;Operators'!$C$1:$E$9999,3,FALSE)</f>
        <v>LOCKLEAR</v>
      </c>
      <c r="M95" s="12">
        <f t="shared" si="18"/>
        <v>2.6354166664532386E-2</v>
      </c>
      <c r="N95" s="13">
        <f t="shared" si="19"/>
        <v>37.949999996926636</v>
      </c>
      <c r="O95" s="13"/>
      <c r="P95" s="13"/>
      <c r="Q95" s="62"/>
      <c r="R95" s="62"/>
      <c r="T9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16:07:08-0600',mode:absolute,to:'2016-05-16 16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5" s="74" t="str">
        <f t="shared" si="21"/>
        <v>N</v>
      </c>
      <c r="V95" s="74">
        <f t="shared" si="22"/>
        <v>1</v>
      </c>
      <c r="W95" s="74">
        <f t="shared" si="23"/>
        <v>23.3019</v>
      </c>
      <c r="X95" s="74">
        <f t="shared" si="24"/>
        <v>1.61E-2</v>
      </c>
      <c r="Y95" s="74">
        <f t="shared" si="25"/>
        <v>23.285799999999998</v>
      </c>
      <c r="Z95" s="75" t="e">
        <f>VLOOKUP(A95,Enforcements!$C$3:$J$40,8,0)</f>
        <v>#N/A</v>
      </c>
      <c r="AA95" s="75" t="e">
        <f>VLOOKUP(A95,Enforcements!$C$3:$J$40,3,0)</f>
        <v>#N/A</v>
      </c>
    </row>
    <row r="96" spans="1:27" s="2" customFormat="1" x14ac:dyDescent="0.25">
      <c r="A96" s="61" t="s">
        <v>398</v>
      </c>
      <c r="B96" s="61">
        <v>4011</v>
      </c>
      <c r="C96" s="61" t="s">
        <v>66</v>
      </c>
      <c r="D96" s="61" t="s">
        <v>85</v>
      </c>
      <c r="E96" s="30">
        <v>42506.640416666669</v>
      </c>
      <c r="F96" s="30">
        <v>42506.641516203701</v>
      </c>
      <c r="G96" s="38">
        <v>1</v>
      </c>
      <c r="H96" s="30" t="s">
        <v>465</v>
      </c>
      <c r="I96" s="30">
        <v>42506.670497685183</v>
      </c>
      <c r="J96" s="61">
        <v>0</v>
      </c>
      <c r="K96" s="61" t="str">
        <f t="shared" si="17"/>
        <v>4011/4012</v>
      </c>
      <c r="L96" s="61" t="str">
        <f>VLOOKUP(A96,'Trips&amp;Operators'!$C$1:$E$9999,3,FALSE)</f>
        <v>ACKERMAN</v>
      </c>
      <c r="M96" s="12">
        <f t="shared" si="18"/>
        <v>2.8981481482333038E-2</v>
      </c>
      <c r="N96" s="13">
        <f t="shared" si="19"/>
        <v>41.733333334559575</v>
      </c>
      <c r="O96" s="13"/>
      <c r="P96" s="13"/>
      <c r="Q96" s="62"/>
      <c r="R96" s="62"/>
      <c r="T9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15:21:12-0600',mode:absolute,to:'2016-05-16 16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6" s="74" t="str">
        <f t="shared" si="21"/>
        <v>N</v>
      </c>
      <c r="V96" s="74">
        <f t="shared" si="22"/>
        <v>1</v>
      </c>
      <c r="W96" s="74">
        <f t="shared" si="23"/>
        <v>4.5100000000000001E-2</v>
      </c>
      <c r="X96" s="74">
        <f t="shared" si="24"/>
        <v>23.328600000000002</v>
      </c>
      <c r="Y96" s="74">
        <f t="shared" si="25"/>
        <v>23.2835</v>
      </c>
      <c r="Z96" s="75" t="e">
        <f>VLOOKUP(A96,Enforcements!$C$3:$J$40,8,0)</f>
        <v>#N/A</v>
      </c>
      <c r="AA96" s="75" t="e">
        <f>VLOOKUP(A96,Enforcements!$C$3:$J$40,3,0)</f>
        <v>#N/A</v>
      </c>
    </row>
    <row r="97" spans="1:27" s="2" customFormat="1" x14ac:dyDescent="0.25">
      <c r="A97" s="61" t="s">
        <v>328</v>
      </c>
      <c r="B97" s="61">
        <v>4012</v>
      </c>
      <c r="C97" s="61" t="s">
        <v>66</v>
      </c>
      <c r="D97" s="61" t="s">
        <v>466</v>
      </c>
      <c r="E97" s="30">
        <v>42506.680277777778</v>
      </c>
      <c r="F97" s="30">
        <v>42506.681087962963</v>
      </c>
      <c r="G97" s="38">
        <v>1</v>
      </c>
      <c r="H97" s="30" t="s">
        <v>79</v>
      </c>
      <c r="I97" s="30">
        <v>42506.710497685184</v>
      </c>
      <c r="J97" s="61">
        <v>1</v>
      </c>
      <c r="K97" s="61" t="str">
        <f t="shared" si="17"/>
        <v>4011/4012</v>
      </c>
      <c r="L97" s="61" t="str">
        <f>VLOOKUP(A97,'Trips&amp;Operators'!$C$1:$E$9999,3,FALSE)</f>
        <v>ACKERMAN</v>
      </c>
      <c r="M97" s="12">
        <f t="shared" si="18"/>
        <v>2.940972222131677E-2</v>
      </c>
      <c r="N97" s="13">
        <f t="shared" si="19"/>
        <v>42.349999998696148</v>
      </c>
      <c r="O97" s="13"/>
      <c r="P97" s="13"/>
      <c r="Q97" s="62"/>
      <c r="R97" s="62"/>
      <c r="T9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16:18:36-0600',mode:absolute,to:'2016-05-16 17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7" s="74" t="str">
        <f t="shared" si="21"/>
        <v>N</v>
      </c>
      <c r="V97" s="74">
        <f t="shared" si="22"/>
        <v>1</v>
      </c>
      <c r="W97" s="74">
        <f t="shared" si="23"/>
        <v>23.2971</v>
      </c>
      <c r="X97" s="74">
        <f t="shared" si="24"/>
        <v>1.4500000000000001E-2</v>
      </c>
      <c r="Y97" s="74">
        <f t="shared" si="25"/>
        <v>23.282599999999999</v>
      </c>
      <c r="Z97" s="75" t="e">
        <f>VLOOKUP(A97,Enforcements!$C$3:$J$40,8,0)</f>
        <v>#N/A</v>
      </c>
      <c r="AA97" s="75" t="e">
        <f>VLOOKUP(A97,Enforcements!$C$3:$J$40,3,0)</f>
        <v>#N/A</v>
      </c>
    </row>
    <row r="98" spans="1:27" s="2" customFormat="1" x14ac:dyDescent="0.25">
      <c r="A98" s="61" t="s">
        <v>383</v>
      </c>
      <c r="B98" s="61">
        <v>4020</v>
      </c>
      <c r="C98" s="61" t="s">
        <v>66</v>
      </c>
      <c r="D98" s="61" t="s">
        <v>467</v>
      </c>
      <c r="E98" s="30">
        <v>42506.652581018519</v>
      </c>
      <c r="F98" s="30">
        <v>42506.653854166667</v>
      </c>
      <c r="G98" s="38">
        <v>1</v>
      </c>
      <c r="H98" s="30" t="s">
        <v>198</v>
      </c>
      <c r="I98" s="30">
        <v>42506.681666666664</v>
      </c>
      <c r="J98" s="61">
        <v>0</v>
      </c>
      <c r="K98" s="61" t="str">
        <f t="shared" si="17"/>
        <v>4019/4020</v>
      </c>
      <c r="L98" s="61" t="str">
        <f>VLOOKUP(A98,'Trips&amp;Operators'!$C$1:$E$9999,3,FALSE)</f>
        <v>ADANE</v>
      </c>
      <c r="M98" s="12">
        <f t="shared" si="18"/>
        <v>2.7812499996798579E-2</v>
      </c>
      <c r="N98" s="13">
        <f t="shared" si="19"/>
        <v>40.049999995389953</v>
      </c>
      <c r="O98" s="13"/>
      <c r="P98" s="13"/>
      <c r="Q98" s="62"/>
      <c r="R98" s="62"/>
      <c r="T9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15:38:43-0600',mode:absolute,to:'2016-05-16 16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8" s="74" t="str">
        <f t="shared" si="21"/>
        <v>N</v>
      </c>
      <c r="V98" s="74">
        <f t="shared" si="22"/>
        <v>1</v>
      </c>
      <c r="W98" s="74">
        <f t="shared" si="23"/>
        <v>3.9800000000000002E-2</v>
      </c>
      <c r="X98" s="74">
        <f t="shared" si="24"/>
        <v>23.335699999999999</v>
      </c>
      <c r="Y98" s="74">
        <f t="shared" si="25"/>
        <v>23.2959</v>
      </c>
      <c r="Z98" s="75" t="e">
        <f>VLOOKUP(A98,Enforcements!$C$3:$J$40,8,0)</f>
        <v>#N/A</v>
      </c>
      <c r="AA98" s="75" t="e">
        <f>VLOOKUP(A98,Enforcements!$C$3:$J$40,3,0)</f>
        <v>#N/A</v>
      </c>
    </row>
    <row r="99" spans="1:27" s="2" customFormat="1" x14ac:dyDescent="0.25">
      <c r="A99" s="61" t="s">
        <v>415</v>
      </c>
      <c r="B99" s="61">
        <v>4019</v>
      </c>
      <c r="C99" s="61" t="s">
        <v>66</v>
      </c>
      <c r="D99" s="61" t="s">
        <v>468</v>
      </c>
      <c r="E99" s="30">
        <v>42506.692210648151</v>
      </c>
      <c r="F99" s="30">
        <v>42506.69332175926</v>
      </c>
      <c r="G99" s="38">
        <v>1</v>
      </c>
      <c r="H99" s="30" t="s">
        <v>79</v>
      </c>
      <c r="I99" s="30">
        <v>42506.721643518518</v>
      </c>
      <c r="J99" s="61">
        <v>0</v>
      </c>
      <c r="K99" s="61" t="str">
        <f t="shared" si="17"/>
        <v>4019/4020</v>
      </c>
      <c r="L99" s="61" t="str">
        <f>VLOOKUP(A99,'Trips&amp;Operators'!$C$1:$E$9999,3,FALSE)</f>
        <v>ADANE</v>
      </c>
      <c r="M99" s="12">
        <f t="shared" si="18"/>
        <v>2.8321759258687962E-2</v>
      </c>
      <c r="N99" s="13">
        <f t="shared" si="19"/>
        <v>40.783333332510665</v>
      </c>
      <c r="O99" s="13"/>
      <c r="P99" s="13"/>
      <c r="Q99" s="62"/>
      <c r="R99" s="62"/>
      <c r="T9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16:35:47-0600',mode:absolute,to:'2016-05-16 17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9" s="74" t="str">
        <f t="shared" si="21"/>
        <v>N</v>
      </c>
      <c r="V99" s="74">
        <f t="shared" si="22"/>
        <v>1</v>
      </c>
      <c r="W99" s="74">
        <f t="shared" si="23"/>
        <v>23.304500000000001</v>
      </c>
      <c r="X99" s="74">
        <f t="shared" si="24"/>
        <v>1.4500000000000001E-2</v>
      </c>
      <c r="Y99" s="74">
        <f t="shared" si="25"/>
        <v>23.29</v>
      </c>
      <c r="Z99" s="75" t="e">
        <f>VLOOKUP(A99,Enforcements!$C$3:$J$40,8,0)</f>
        <v>#N/A</v>
      </c>
      <c r="AA99" s="75" t="e">
        <f>VLOOKUP(A99,Enforcements!$C$3:$J$40,3,0)</f>
        <v>#N/A</v>
      </c>
    </row>
    <row r="100" spans="1:27" s="2" customFormat="1" x14ac:dyDescent="0.25">
      <c r="A100" s="61" t="s">
        <v>397</v>
      </c>
      <c r="B100" s="61">
        <v>4031</v>
      </c>
      <c r="C100" s="61" t="s">
        <v>66</v>
      </c>
      <c r="D100" s="61" t="s">
        <v>183</v>
      </c>
      <c r="E100" s="30">
        <v>42506.661053240743</v>
      </c>
      <c r="F100" s="30">
        <v>42506.66207175926</v>
      </c>
      <c r="G100" s="38">
        <v>1</v>
      </c>
      <c r="H100" s="30" t="s">
        <v>469</v>
      </c>
      <c r="I100" s="30">
        <v>42506.691550925927</v>
      </c>
      <c r="J100" s="61">
        <v>0</v>
      </c>
      <c r="K100" s="61" t="str">
        <f t="shared" si="17"/>
        <v>4031/4032</v>
      </c>
      <c r="L100" s="61" t="str">
        <f>VLOOKUP(A100,'Trips&amp;Operators'!$C$1:$E$9999,3,FALSE)</f>
        <v>BRUDER</v>
      </c>
      <c r="M100" s="12">
        <f t="shared" si="18"/>
        <v>2.9479166667442769E-2</v>
      </c>
      <c r="N100" s="13">
        <f t="shared" si="19"/>
        <v>42.450000001117587</v>
      </c>
      <c r="O100" s="13"/>
      <c r="P100" s="13"/>
      <c r="Q100" s="62"/>
      <c r="R100" s="62"/>
      <c r="T10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15:50:55-0600',mode:absolute,to:'2016-05-16 16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0" s="74" t="str">
        <f t="shared" si="21"/>
        <v>N</v>
      </c>
      <c r="V100" s="74">
        <f t="shared" si="22"/>
        <v>1</v>
      </c>
      <c r="W100" s="74">
        <f t="shared" si="23"/>
        <v>4.4900000000000002E-2</v>
      </c>
      <c r="X100" s="74">
        <f t="shared" si="24"/>
        <v>23.331099999999999</v>
      </c>
      <c r="Y100" s="74">
        <f t="shared" si="25"/>
        <v>23.286200000000001</v>
      </c>
      <c r="Z100" s="75" t="e">
        <f>VLOOKUP(A100,Enforcements!$C$3:$J$40,8,0)</f>
        <v>#N/A</v>
      </c>
      <c r="AA100" s="75" t="e">
        <f>VLOOKUP(A100,Enforcements!$C$3:$J$40,3,0)</f>
        <v>#N/A</v>
      </c>
    </row>
    <row r="101" spans="1:27" s="2" customFormat="1" x14ac:dyDescent="0.25">
      <c r="A101" s="61" t="s">
        <v>382</v>
      </c>
      <c r="B101" s="61">
        <v>4032</v>
      </c>
      <c r="C101" s="61" t="s">
        <v>66</v>
      </c>
      <c r="D101" s="61" t="s">
        <v>70</v>
      </c>
      <c r="E101" s="30">
        <v>42506.696655092594</v>
      </c>
      <c r="F101" s="30">
        <v>42506.699305555558</v>
      </c>
      <c r="G101" s="38">
        <v>3</v>
      </c>
      <c r="H101" s="30" t="s">
        <v>79</v>
      </c>
      <c r="I101" s="30">
        <v>42506.731620370374</v>
      </c>
      <c r="J101" s="61">
        <v>0</v>
      </c>
      <c r="K101" s="61" t="str">
        <f t="shared" si="17"/>
        <v>4031/4032</v>
      </c>
      <c r="L101" s="61" t="str">
        <f>VLOOKUP(A101,'Trips&amp;Operators'!$C$1:$E$9999,3,FALSE)</f>
        <v>BRUDER</v>
      </c>
      <c r="M101" s="12">
        <f t="shared" si="18"/>
        <v>3.2314814816345461E-2</v>
      </c>
      <c r="N101" s="13">
        <f t="shared" si="19"/>
        <v>46.533333335537463</v>
      </c>
      <c r="O101" s="13"/>
      <c r="P101" s="13"/>
      <c r="Q101" s="62"/>
      <c r="R101" s="62"/>
      <c r="T10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16:42:11-0600',mode:absolute,to:'2016-05-16 17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1" s="74" t="str">
        <f t="shared" si="21"/>
        <v>N</v>
      </c>
      <c r="V101" s="74">
        <f t="shared" si="22"/>
        <v>1</v>
      </c>
      <c r="W101" s="74">
        <f t="shared" si="23"/>
        <v>23.297799999999999</v>
      </c>
      <c r="X101" s="74">
        <f t="shared" si="24"/>
        <v>1.4500000000000001E-2</v>
      </c>
      <c r="Y101" s="74">
        <f t="shared" si="25"/>
        <v>23.283299999999997</v>
      </c>
      <c r="Z101" s="75" t="e">
        <f>VLOOKUP(A101,Enforcements!$C$3:$J$40,8,0)</f>
        <v>#N/A</v>
      </c>
      <c r="AA101" s="75" t="e">
        <f>VLOOKUP(A101,Enforcements!$C$3:$J$40,3,0)</f>
        <v>#N/A</v>
      </c>
    </row>
    <row r="102" spans="1:27" s="2" customFormat="1" x14ac:dyDescent="0.25">
      <c r="A102" s="61" t="s">
        <v>327</v>
      </c>
      <c r="B102" s="61">
        <v>4009</v>
      </c>
      <c r="C102" s="61" t="s">
        <v>66</v>
      </c>
      <c r="D102" s="61" t="s">
        <v>93</v>
      </c>
      <c r="E102" s="30">
        <v>42506.670902777776</v>
      </c>
      <c r="F102" s="30">
        <v>42506.672291666669</v>
      </c>
      <c r="G102" s="38">
        <v>1</v>
      </c>
      <c r="H102" s="30" t="s">
        <v>69</v>
      </c>
      <c r="I102" s="30">
        <v>42506.703645833331</v>
      </c>
      <c r="J102" s="61">
        <v>1</v>
      </c>
      <c r="K102" s="61" t="str">
        <f t="shared" si="17"/>
        <v>4009/4010</v>
      </c>
      <c r="L102" s="61" t="str">
        <f>VLOOKUP(A102,'Trips&amp;Operators'!$C$1:$E$9999,3,FALSE)</f>
        <v>YORK</v>
      </c>
      <c r="M102" s="12">
        <f t="shared" si="18"/>
        <v>3.1354166661913041E-2</v>
      </c>
      <c r="N102" s="13">
        <f t="shared" si="19"/>
        <v>45.149999993154779</v>
      </c>
      <c r="O102" s="13"/>
      <c r="P102" s="13"/>
      <c r="Q102" s="62"/>
      <c r="R102" s="62"/>
      <c r="T10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16:05:06-0600',mode:absolute,to:'2016-05-16 16:54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4" t="str">
        <f t="shared" si="21"/>
        <v>N</v>
      </c>
      <c r="V102" s="74">
        <f t="shared" si="22"/>
        <v>1</v>
      </c>
      <c r="W102" s="74">
        <f t="shared" si="23"/>
        <v>4.6399999999999997E-2</v>
      </c>
      <c r="X102" s="74">
        <f t="shared" si="24"/>
        <v>23.329499999999999</v>
      </c>
      <c r="Y102" s="74">
        <f t="shared" si="25"/>
        <v>23.283100000000001</v>
      </c>
      <c r="Z102" s="75" t="e">
        <f>VLOOKUP(A102,Enforcements!$C$3:$J$40,8,0)</f>
        <v>#N/A</v>
      </c>
      <c r="AA102" s="75" t="e">
        <f>VLOOKUP(A102,Enforcements!$C$3:$J$40,3,0)</f>
        <v>#N/A</v>
      </c>
    </row>
    <row r="103" spans="1:27" s="2" customFormat="1" x14ac:dyDescent="0.25">
      <c r="A103" s="61" t="s">
        <v>385</v>
      </c>
      <c r="B103" s="61">
        <v>4010</v>
      </c>
      <c r="C103" s="61" t="s">
        <v>66</v>
      </c>
      <c r="D103" s="61" t="s">
        <v>470</v>
      </c>
      <c r="E103" s="30">
        <v>42506.709317129629</v>
      </c>
      <c r="F103" s="30">
        <v>42506.710416666669</v>
      </c>
      <c r="G103" s="38">
        <v>1</v>
      </c>
      <c r="H103" s="30" t="s">
        <v>449</v>
      </c>
      <c r="I103" s="30">
        <v>42506.742731481485</v>
      </c>
      <c r="J103" s="61">
        <v>0</v>
      </c>
      <c r="K103" s="61" t="str">
        <f t="shared" si="17"/>
        <v>4009/4010</v>
      </c>
      <c r="L103" s="61" t="str">
        <f>VLOOKUP(A103,'Trips&amp;Operators'!$C$1:$E$9999,3,FALSE)</f>
        <v>YORK</v>
      </c>
      <c r="M103" s="12">
        <f t="shared" si="18"/>
        <v>3.2314814816345461E-2</v>
      </c>
      <c r="N103" s="13">
        <f t="shared" si="19"/>
        <v>46.533333335537463</v>
      </c>
      <c r="O103" s="13"/>
      <c r="P103" s="13"/>
      <c r="Q103" s="62"/>
      <c r="R103" s="62"/>
      <c r="T10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17:00:25-0600',mode:absolute,to:'2016-05-16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4" t="str">
        <f t="shared" si="21"/>
        <v>N</v>
      </c>
      <c r="V103" s="74">
        <f t="shared" si="22"/>
        <v>1</v>
      </c>
      <c r="W103" s="74">
        <f t="shared" si="23"/>
        <v>23.298100000000002</v>
      </c>
      <c r="X103" s="74">
        <f t="shared" si="24"/>
        <v>1.6899999999999998E-2</v>
      </c>
      <c r="Y103" s="74">
        <f t="shared" si="25"/>
        <v>23.281200000000002</v>
      </c>
      <c r="Z103" s="75" t="e">
        <f>VLOOKUP(A103,Enforcements!$C$3:$J$40,8,0)</f>
        <v>#N/A</v>
      </c>
      <c r="AA103" s="75" t="e">
        <f>VLOOKUP(A103,Enforcements!$C$3:$J$40,3,0)</f>
        <v>#N/A</v>
      </c>
    </row>
    <row r="104" spans="1:27" s="2" customFormat="1" x14ac:dyDescent="0.25">
      <c r="A104" s="61" t="s">
        <v>330</v>
      </c>
      <c r="B104" s="61">
        <v>4044</v>
      </c>
      <c r="C104" s="61" t="s">
        <v>66</v>
      </c>
      <c r="D104" s="61" t="s">
        <v>147</v>
      </c>
      <c r="E104" s="30">
        <v>42506.683020833334</v>
      </c>
      <c r="F104" s="30">
        <v>42506.684293981481</v>
      </c>
      <c r="G104" s="38">
        <v>1</v>
      </c>
      <c r="H104" s="30" t="s">
        <v>69</v>
      </c>
      <c r="I104" s="30">
        <v>42506.712905092594</v>
      </c>
      <c r="J104" s="61">
        <v>1</v>
      </c>
      <c r="K104" s="61" t="str">
        <f t="shared" si="17"/>
        <v>4043/4044</v>
      </c>
      <c r="L104" s="61" t="str">
        <f>VLOOKUP(A104,'Trips&amp;Operators'!$C$1:$E$9999,3,FALSE)</f>
        <v>RIVERA</v>
      </c>
      <c r="M104" s="12">
        <f t="shared" si="18"/>
        <v>2.8611111112695653E-2</v>
      </c>
      <c r="N104" s="13">
        <f t="shared" si="19"/>
        <v>41.20000000228174</v>
      </c>
      <c r="O104" s="13"/>
      <c r="P104" s="13"/>
      <c r="Q104" s="62"/>
      <c r="R104" s="62"/>
      <c r="T10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16:22:33-0600',mode:absolute,to:'2016-05-16 17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4" s="74" t="str">
        <f t="shared" si="21"/>
        <v>N</v>
      </c>
      <c r="V104" s="74">
        <f t="shared" si="22"/>
        <v>1</v>
      </c>
      <c r="W104" s="74">
        <f t="shared" si="23"/>
        <v>4.4400000000000002E-2</v>
      </c>
      <c r="X104" s="74">
        <f t="shared" si="24"/>
        <v>23.329499999999999</v>
      </c>
      <c r="Y104" s="74">
        <f t="shared" si="25"/>
        <v>23.2851</v>
      </c>
      <c r="Z104" s="75" t="e">
        <f>VLOOKUP(A104,Enforcements!$C$3:$J$40,8,0)</f>
        <v>#N/A</v>
      </c>
      <c r="AA104" s="75" t="e">
        <f>VLOOKUP(A104,Enforcements!$C$3:$J$40,3,0)</f>
        <v>#N/A</v>
      </c>
    </row>
    <row r="105" spans="1:27" s="2" customFormat="1" x14ac:dyDescent="0.25">
      <c r="A105" s="61" t="s">
        <v>332</v>
      </c>
      <c r="B105" s="61">
        <v>4043</v>
      </c>
      <c r="C105" s="61" t="s">
        <v>66</v>
      </c>
      <c r="D105" s="61" t="s">
        <v>446</v>
      </c>
      <c r="E105" s="30">
        <v>42506.720868055556</v>
      </c>
      <c r="F105" s="30">
        <v>42506.72179398148</v>
      </c>
      <c r="G105" s="38">
        <v>1</v>
      </c>
      <c r="H105" s="30" t="s">
        <v>73</v>
      </c>
      <c r="I105" s="30">
        <v>42506.752071759256</v>
      </c>
      <c r="J105" s="61">
        <v>1</v>
      </c>
      <c r="K105" s="61" t="str">
        <f t="shared" si="17"/>
        <v>4043/4044</v>
      </c>
      <c r="L105" s="61" t="str">
        <f>VLOOKUP(A105,'Trips&amp;Operators'!$C$1:$E$9999,3,FALSE)</f>
        <v>RIVERA</v>
      </c>
      <c r="M105" s="12">
        <f t="shared" si="18"/>
        <v>3.0277777776063886E-2</v>
      </c>
      <c r="N105" s="13">
        <f t="shared" si="19"/>
        <v>43.599999997531995</v>
      </c>
      <c r="O105" s="13"/>
      <c r="P105" s="13"/>
      <c r="Q105" s="62"/>
      <c r="R105" s="62"/>
      <c r="T10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17:17:03-0600',mode:absolute,to:'2016-05-16 18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5" s="74" t="str">
        <f t="shared" si="21"/>
        <v>N</v>
      </c>
      <c r="V105" s="74">
        <f t="shared" si="22"/>
        <v>1</v>
      </c>
      <c r="W105" s="74">
        <f t="shared" si="23"/>
        <v>23.296700000000001</v>
      </c>
      <c r="X105" s="74">
        <f t="shared" si="24"/>
        <v>1.49E-2</v>
      </c>
      <c r="Y105" s="74">
        <f t="shared" si="25"/>
        <v>23.2818</v>
      </c>
      <c r="Z105" s="75" t="e">
        <f>VLOOKUP(A105,Enforcements!$C$3:$J$40,8,0)</f>
        <v>#N/A</v>
      </c>
      <c r="AA105" s="75" t="e">
        <f>VLOOKUP(A105,Enforcements!$C$3:$J$40,3,0)</f>
        <v>#N/A</v>
      </c>
    </row>
    <row r="106" spans="1:27" s="2" customFormat="1" x14ac:dyDescent="0.25">
      <c r="A106" s="61" t="s">
        <v>406</v>
      </c>
      <c r="B106" s="61">
        <v>4024</v>
      </c>
      <c r="C106" s="61" t="s">
        <v>66</v>
      </c>
      <c r="D106" s="61" t="s">
        <v>132</v>
      </c>
      <c r="E106" s="30">
        <v>42506.692870370367</v>
      </c>
      <c r="F106" s="30">
        <v>42506.694143518522</v>
      </c>
      <c r="G106" s="38">
        <v>1</v>
      </c>
      <c r="H106" s="30" t="s">
        <v>180</v>
      </c>
      <c r="I106" s="30">
        <v>42506.724097222221</v>
      </c>
      <c r="J106" s="61">
        <v>0</v>
      </c>
      <c r="K106" s="61" t="str">
        <f t="shared" si="17"/>
        <v>4023/4024</v>
      </c>
      <c r="L106" s="61" t="str">
        <f>VLOOKUP(A106,'Trips&amp;Operators'!$C$1:$E$9999,3,FALSE)</f>
        <v>DE LA ROSA</v>
      </c>
      <c r="M106" s="12">
        <f t="shared" si="18"/>
        <v>2.9953703698993195E-2</v>
      </c>
      <c r="N106" s="13">
        <f t="shared" si="19"/>
        <v>43.133333326550201</v>
      </c>
      <c r="O106" s="13"/>
      <c r="P106" s="13"/>
      <c r="Q106" s="62"/>
      <c r="R106" s="62"/>
      <c r="T10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16:36:44-0600',mode:absolute,to:'2016-05-16 17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6" s="74" t="str">
        <f t="shared" si="21"/>
        <v>N</v>
      </c>
      <c r="V106" s="74">
        <f t="shared" si="22"/>
        <v>1</v>
      </c>
      <c r="W106" s="74">
        <f t="shared" si="23"/>
        <v>4.58E-2</v>
      </c>
      <c r="X106" s="74">
        <f t="shared" si="24"/>
        <v>23.330200000000001</v>
      </c>
      <c r="Y106" s="74">
        <f t="shared" si="25"/>
        <v>23.284400000000002</v>
      </c>
      <c r="Z106" s="75" t="e">
        <f>VLOOKUP(A106,Enforcements!$C$3:$J$40,8,0)</f>
        <v>#N/A</v>
      </c>
      <c r="AA106" s="75" t="e">
        <f>VLOOKUP(A106,Enforcements!$C$3:$J$40,3,0)</f>
        <v>#N/A</v>
      </c>
    </row>
    <row r="107" spans="1:27" s="2" customFormat="1" x14ac:dyDescent="0.25">
      <c r="A107" s="61" t="s">
        <v>409</v>
      </c>
      <c r="B107" s="61">
        <v>4023</v>
      </c>
      <c r="C107" s="61" t="s">
        <v>66</v>
      </c>
      <c r="D107" s="61" t="s">
        <v>447</v>
      </c>
      <c r="E107" s="30">
        <v>42506.726446759261</v>
      </c>
      <c r="F107" s="30">
        <v>42506.727638888886</v>
      </c>
      <c r="G107" s="38">
        <v>1</v>
      </c>
      <c r="H107" s="30" t="s">
        <v>110</v>
      </c>
      <c r="I107" s="30">
        <v>42506.76363425926</v>
      </c>
      <c r="J107" s="61">
        <v>0</v>
      </c>
      <c r="K107" s="61" t="str">
        <f t="shared" si="17"/>
        <v>4023/4024</v>
      </c>
      <c r="L107" s="61" t="str">
        <f>VLOOKUP(A107,'Trips&amp;Operators'!$C$1:$E$9999,3,FALSE)</f>
        <v>DE LA ROSA</v>
      </c>
      <c r="M107" s="12">
        <f t="shared" si="18"/>
        <v>3.5995370373711921E-2</v>
      </c>
      <c r="N107" s="13">
        <f t="shared" si="19"/>
        <v>51.833333338145167</v>
      </c>
      <c r="O107" s="13"/>
      <c r="P107" s="13"/>
      <c r="Q107" s="62"/>
      <c r="R107" s="62"/>
      <c r="T10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17:25:05-0600',mode:absolute,to:'2016-05-16 18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7" s="74" t="str">
        <f t="shared" si="21"/>
        <v>N</v>
      </c>
      <c r="V107" s="74">
        <f t="shared" si="22"/>
        <v>1</v>
      </c>
      <c r="W107" s="74">
        <f t="shared" si="23"/>
        <v>23.297899999999998</v>
      </c>
      <c r="X107" s="74">
        <f t="shared" si="24"/>
        <v>1.47E-2</v>
      </c>
      <c r="Y107" s="74">
        <f t="shared" si="25"/>
        <v>23.283199999999997</v>
      </c>
      <c r="Z107" s="75" t="e">
        <f>VLOOKUP(A107,Enforcements!$C$3:$J$40,8,0)</f>
        <v>#N/A</v>
      </c>
      <c r="AA107" s="75" t="e">
        <f>VLOOKUP(A107,Enforcements!$C$3:$J$40,3,0)</f>
        <v>#N/A</v>
      </c>
    </row>
    <row r="108" spans="1:27" s="2" customFormat="1" x14ac:dyDescent="0.25">
      <c r="A108" s="61" t="s">
        <v>349</v>
      </c>
      <c r="B108" s="61">
        <v>4016</v>
      </c>
      <c r="C108" s="61" t="s">
        <v>66</v>
      </c>
      <c r="D108" s="61" t="s">
        <v>132</v>
      </c>
      <c r="E108" s="30">
        <v>42506.704930555556</v>
      </c>
      <c r="F108" s="30">
        <v>42506.705729166664</v>
      </c>
      <c r="G108" s="38">
        <v>1</v>
      </c>
      <c r="H108" s="30" t="s">
        <v>471</v>
      </c>
      <c r="I108" s="30">
        <v>42506.732986111114</v>
      </c>
      <c r="J108" s="61">
        <v>0</v>
      </c>
      <c r="K108" s="61" t="str">
        <f t="shared" si="17"/>
        <v>4015/4016</v>
      </c>
      <c r="L108" s="61" t="str">
        <f>VLOOKUP(A108,'Trips&amp;Operators'!$C$1:$E$9999,3,FALSE)</f>
        <v>LOCKLEAR</v>
      </c>
      <c r="M108" s="12">
        <f t="shared" si="18"/>
        <v>2.7256944449618459E-2</v>
      </c>
      <c r="N108" s="13">
        <f t="shared" si="19"/>
        <v>39.250000007450581</v>
      </c>
      <c r="O108" s="13"/>
      <c r="P108" s="13"/>
      <c r="Q108" s="62"/>
      <c r="R108" s="62"/>
      <c r="T10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16:54:06-0600',mode:absolute,to:'2016-05-16 17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8" s="74" t="str">
        <f t="shared" si="21"/>
        <v>N</v>
      </c>
      <c r="V108" s="74">
        <f t="shared" si="22"/>
        <v>1</v>
      </c>
      <c r="W108" s="74">
        <f t="shared" si="23"/>
        <v>4.58E-2</v>
      </c>
      <c r="X108" s="74">
        <f t="shared" si="24"/>
        <v>23.337599999999998</v>
      </c>
      <c r="Y108" s="74">
        <f t="shared" si="25"/>
        <v>23.291799999999999</v>
      </c>
      <c r="Z108" s="75" t="e">
        <f>VLOOKUP(A108,Enforcements!$C$3:$J$40,8,0)</f>
        <v>#N/A</v>
      </c>
      <c r="AA108" s="75" t="e">
        <f>VLOOKUP(A108,Enforcements!$C$3:$J$40,3,0)</f>
        <v>#N/A</v>
      </c>
    </row>
    <row r="109" spans="1:27" s="2" customFormat="1" x14ac:dyDescent="0.25">
      <c r="A109" s="61" t="s">
        <v>333</v>
      </c>
      <c r="B109" s="61">
        <v>4015</v>
      </c>
      <c r="C109" s="61" t="s">
        <v>66</v>
      </c>
      <c r="D109" s="61" t="s">
        <v>472</v>
      </c>
      <c r="E109" s="30">
        <v>42506.745324074072</v>
      </c>
      <c r="F109" s="30">
        <v>42506.746388888889</v>
      </c>
      <c r="G109" s="38">
        <v>1</v>
      </c>
      <c r="H109" s="30" t="s">
        <v>116</v>
      </c>
      <c r="I109" s="30">
        <v>42506.772916666669</v>
      </c>
      <c r="J109" s="61">
        <v>1</v>
      </c>
      <c r="K109" s="61" t="str">
        <f t="shared" si="17"/>
        <v>4015/4016</v>
      </c>
      <c r="L109" s="61" t="str">
        <f>VLOOKUP(A109,'Trips&amp;Operators'!$C$1:$E$9999,3,FALSE)</f>
        <v>LOCKLEAR</v>
      </c>
      <c r="M109" s="12">
        <f t="shared" si="18"/>
        <v>2.6527777779847383E-2</v>
      </c>
      <c r="N109" s="13">
        <f t="shared" si="19"/>
        <v>38.200000002980232</v>
      </c>
      <c r="O109" s="13"/>
      <c r="P109" s="13"/>
      <c r="Q109" s="62"/>
      <c r="R109" s="62"/>
      <c r="T10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17:52:16-0600',mode:absolute,to:'2016-05-16 18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9" s="74" t="str">
        <f t="shared" si="21"/>
        <v>N</v>
      </c>
      <c r="V109" s="74">
        <f t="shared" si="22"/>
        <v>1</v>
      </c>
      <c r="W109" s="74">
        <f t="shared" si="23"/>
        <v>23.306100000000001</v>
      </c>
      <c r="X109" s="74">
        <f t="shared" si="24"/>
        <v>1.67E-2</v>
      </c>
      <c r="Y109" s="74">
        <f t="shared" si="25"/>
        <v>23.289400000000001</v>
      </c>
      <c r="Z109" s="75">
        <f>VLOOKUP(A109,Enforcements!$C$3:$J$40,8,0)</f>
        <v>30562</v>
      </c>
      <c r="AA109" s="75" t="str">
        <f>VLOOKUP(A109,Enforcements!$C$3:$J$40,3,0)</f>
        <v>PERMANENT SPEED RESTRICTION</v>
      </c>
    </row>
    <row r="110" spans="1:27" s="2" customFormat="1" x14ac:dyDescent="0.25">
      <c r="A110" s="61" t="s">
        <v>410</v>
      </c>
      <c r="B110" s="61">
        <v>4011</v>
      </c>
      <c r="C110" s="61" t="s">
        <v>66</v>
      </c>
      <c r="D110" s="61" t="s">
        <v>183</v>
      </c>
      <c r="E110" s="30">
        <v>42506.713541666664</v>
      </c>
      <c r="F110" s="30">
        <v>42506.714837962965</v>
      </c>
      <c r="G110" s="38">
        <v>1</v>
      </c>
      <c r="H110" s="30" t="s">
        <v>90</v>
      </c>
      <c r="I110" s="30">
        <v>42506.745023148149</v>
      </c>
      <c r="J110" s="61">
        <v>0</v>
      </c>
      <c r="K110" s="61" t="str">
        <f t="shared" si="17"/>
        <v>4011/4012</v>
      </c>
      <c r="L110" s="61" t="str">
        <f>VLOOKUP(A110,'Trips&amp;Operators'!$C$1:$E$9999,3,FALSE)</f>
        <v>NELSON</v>
      </c>
      <c r="M110" s="12">
        <f t="shared" si="18"/>
        <v>3.0185185183654539E-2</v>
      </c>
      <c r="N110" s="13">
        <f t="shared" si="19"/>
        <v>43.466666664462537</v>
      </c>
      <c r="O110" s="13"/>
      <c r="P110" s="13"/>
      <c r="Q110" s="62"/>
      <c r="R110" s="62"/>
      <c r="T11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17:06:30-0600',mode:absolute,to:'2016-05-16 17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0" s="74" t="str">
        <f t="shared" si="21"/>
        <v>N</v>
      </c>
      <c r="V110" s="74">
        <f t="shared" si="22"/>
        <v>1</v>
      </c>
      <c r="W110" s="74">
        <f t="shared" si="23"/>
        <v>4.4900000000000002E-2</v>
      </c>
      <c r="X110" s="74">
        <f t="shared" si="24"/>
        <v>23.331199999999999</v>
      </c>
      <c r="Y110" s="74">
        <f t="shared" si="25"/>
        <v>23.286300000000001</v>
      </c>
      <c r="Z110" s="75" t="e">
        <f>VLOOKUP(A110,Enforcements!$C$3:$J$40,8,0)</f>
        <v>#N/A</v>
      </c>
      <c r="AA110" s="75" t="e">
        <f>VLOOKUP(A110,Enforcements!$C$3:$J$40,3,0)</f>
        <v>#N/A</v>
      </c>
    </row>
    <row r="111" spans="1:27" s="2" customFormat="1" x14ac:dyDescent="0.25">
      <c r="A111" s="61" t="s">
        <v>386</v>
      </c>
      <c r="B111" s="61">
        <v>4012</v>
      </c>
      <c r="C111" s="61" t="s">
        <v>66</v>
      </c>
      <c r="D111" s="61" t="s">
        <v>184</v>
      </c>
      <c r="E111" s="30">
        <v>42506.752129629633</v>
      </c>
      <c r="F111" s="30">
        <v>42506.753472222219</v>
      </c>
      <c r="G111" s="38">
        <v>1</v>
      </c>
      <c r="H111" s="30" t="s">
        <v>71</v>
      </c>
      <c r="I111" s="30">
        <v>42506.788344907407</v>
      </c>
      <c r="J111" s="61">
        <v>0</v>
      </c>
      <c r="K111" s="61" t="str">
        <f t="shared" si="17"/>
        <v>4011/4012</v>
      </c>
      <c r="L111" s="61" t="str">
        <f>VLOOKUP(A111,'Trips&amp;Operators'!$C$1:$E$9999,3,FALSE)</f>
        <v>NELSON</v>
      </c>
      <c r="M111" s="12">
        <f t="shared" si="18"/>
        <v>3.4872685188020114E-2</v>
      </c>
      <c r="N111" s="13">
        <f t="shared" si="19"/>
        <v>50.216666670748964</v>
      </c>
      <c r="O111" s="13"/>
      <c r="P111" s="13"/>
      <c r="Q111" s="62"/>
      <c r="R111" s="62"/>
      <c r="T11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18:02:04-0600',mode:absolute,to:'2016-05-16 18:56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1" s="74" t="str">
        <f t="shared" si="21"/>
        <v>N</v>
      </c>
      <c r="V111" s="74">
        <f t="shared" si="22"/>
        <v>1</v>
      </c>
      <c r="W111" s="74">
        <f t="shared" si="23"/>
        <v>23.299600000000002</v>
      </c>
      <c r="X111" s="74">
        <f t="shared" si="24"/>
        <v>1.5599999999999999E-2</v>
      </c>
      <c r="Y111" s="74">
        <f t="shared" si="25"/>
        <v>23.284000000000002</v>
      </c>
      <c r="Z111" s="75" t="e">
        <f>VLOOKUP(A111,Enforcements!$C$3:$J$40,8,0)</f>
        <v>#N/A</v>
      </c>
      <c r="AA111" s="75" t="e">
        <f>VLOOKUP(A111,Enforcements!$C$3:$J$40,3,0)</f>
        <v>#N/A</v>
      </c>
    </row>
    <row r="112" spans="1:27" s="2" customFormat="1" x14ac:dyDescent="0.25">
      <c r="A112" s="61" t="s">
        <v>395</v>
      </c>
      <c r="B112" s="61">
        <v>4020</v>
      </c>
      <c r="C112" s="61" t="s">
        <v>66</v>
      </c>
      <c r="D112" s="61" t="s">
        <v>75</v>
      </c>
      <c r="E112" s="30">
        <v>42506.725173611114</v>
      </c>
      <c r="F112" s="30">
        <v>42506.726793981485</v>
      </c>
      <c r="G112" s="38">
        <v>2</v>
      </c>
      <c r="H112" s="30" t="s">
        <v>189</v>
      </c>
      <c r="I112" s="30">
        <v>42506.75403935185</v>
      </c>
      <c r="J112" s="61">
        <v>0</v>
      </c>
      <c r="K112" s="61" t="str">
        <f t="shared" si="17"/>
        <v>4019/4020</v>
      </c>
      <c r="L112" s="61" t="str">
        <f>VLOOKUP(A112,'Trips&amp;Operators'!$C$1:$E$9999,3,FALSE)</f>
        <v>ADANE</v>
      </c>
      <c r="M112" s="12">
        <f t="shared" si="18"/>
        <v>2.7245370365562849E-2</v>
      </c>
      <c r="N112" s="13">
        <f t="shared" si="19"/>
        <v>39.233333326410502</v>
      </c>
      <c r="O112" s="13"/>
      <c r="P112" s="13"/>
      <c r="Q112" s="62"/>
      <c r="R112" s="62"/>
      <c r="T11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17:23:15-0600',mode:absolute,to:'2016-05-16 18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2" s="74" t="str">
        <f t="shared" si="21"/>
        <v>N</v>
      </c>
      <c r="V112" s="74">
        <f t="shared" si="22"/>
        <v>1</v>
      </c>
      <c r="W112" s="74">
        <f t="shared" si="23"/>
        <v>4.5699999999999998E-2</v>
      </c>
      <c r="X112" s="74">
        <f t="shared" si="24"/>
        <v>23.3353</v>
      </c>
      <c r="Y112" s="74">
        <f t="shared" si="25"/>
        <v>23.2896</v>
      </c>
      <c r="Z112" s="75" t="e">
        <f>VLOOKUP(A112,Enforcements!$C$3:$J$40,8,0)</f>
        <v>#N/A</v>
      </c>
      <c r="AA112" s="75" t="e">
        <f>VLOOKUP(A112,Enforcements!$C$3:$J$40,3,0)</f>
        <v>#N/A</v>
      </c>
    </row>
    <row r="113" spans="1:27" s="2" customFormat="1" x14ac:dyDescent="0.25">
      <c r="A113" s="61" t="s">
        <v>334</v>
      </c>
      <c r="B113" s="61">
        <v>4019</v>
      </c>
      <c r="C113" s="61" t="s">
        <v>66</v>
      </c>
      <c r="D113" s="61" t="s">
        <v>473</v>
      </c>
      <c r="E113" s="30">
        <v>42506.766655092593</v>
      </c>
      <c r="F113" s="30">
        <v>42506.767650462964</v>
      </c>
      <c r="G113" s="38">
        <v>1</v>
      </c>
      <c r="H113" s="30" t="s">
        <v>79</v>
      </c>
      <c r="I113" s="30">
        <v>42506.7968287037</v>
      </c>
      <c r="J113" s="61">
        <v>1</v>
      </c>
      <c r="K113" s="61" t="str">
        <f t="shared" si="17"/>
        <v>4019/4020</v>
      </c>
      <c r="L113" s="61" t="str">
        <f>VLOOKUP(A113,'Trips&amp;Operators'!$C$1:$E$9999,3,FALSE)</f>
        <v>ADANE</v>
      </c>
      <c r="M113" s="12">
        <f t="shared" si="18"/>
        <v>2.9178240736655425E-2</v>
      </c>
      <c r="N113" s="13">
        <f t="shared" si="19"/>
        <v>42.016666660783812</v>
      </c>
      <c r="O113" s="13"/>
      <c r="P113" s="13"/>
      <c r="Q113" s="62"/>
      <c r="R113" s="62"/>
      <c r="T11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18:22:59-0600',mode:absolute,to:'2016-05-16 19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3" s="74" t="str">
        <f t="shared" si="21"/>
        <v>N</v>
      </c>
      <c r="V113" s="74">
        <f t="shared" si="22"/>
        <v>1</v>
      </c>
      <c r="W113" s="74">
        <f t="shared" si="23"/>
        <v>23.305499999999999</v>
      </c>
      <c r="X113" s="74">
        <f t="shared" si="24"/>
        <v>1.4500000000000001E-2</v>
      </c>
      <c r="Y113" s="74">
        <f t="shared" si="25"/>
        <v>23.290999999999997</v>
      </c>
      <c r="Z113" s="75">
        <f>VLOOKUP(A113,Enforcements!$C$3:$J$40,8,0)</f>
        <v>103800</v>
      </c>
      <c r="AA113" s="75" t="str">
        <f>VLOOKUP(A113,Enforcements!$C$3:$J$40,3,0)</f>
        <v>GRADE CROSSING</v>
      </c>
    </row>
    <row r="114" spans="1:27" s="2" customFormat="1" x14ac:dyDescent="0.25">
      <c r="A114" s="61" t="s">
        <v>331</v>
      </c>
      <c r="B114" s="61">
        <v>4031</v>
      </c>
      <c r="C114" s="61" t="s">
        <v>66</v>
      </c>
      <c r="D114" s="61" t="s">
        <v>183</v>
      </c>
      <c r="E114" s="30">
        <v>42506.735081018516</v>
      </c>
      <c r="F114" s="30">
        <v>42506.736481481479</v>
      </c>
      <c r="G114" s="38">
        <v>2</v>
      </c>
      <c r="H114" s="30" t="s">
        <v>474</v>
      </c>
      <c r="I114" s="30">
        <v>42506.765844907408</v>
      </c>
      <c r="J114" s="61">
        <v>1</v>
      </c>
      <c r="K114" s="61" t="str">
        <f t="shared" si="17"/>
        <v>4031/4032</v>
      </c>
      <c r="L114" s="61" t="str">
        <f>VLOOKUP(A114,'Trips&amp;Operators'!$C$1:$E$9999,3,FALSE)</f>
        <v>GOODNIGHT</v>
      </c>
      <c r="M114" s="12">
        <f t="shared" si="18"/>
        <v>2.9363425928750075E-2</v>
      </c>
      <c r="N114" s="13">
        <f t="shared" si="19"/>
        <v>42.283333337400109</v>
      </c>
      <c r="O114" s="13"/>
      <c r="P114" s="13"/>
      <c r="Q114" s="62"/>
      <c r="R114" s="62"/>
      <c r="T11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17:37:31-0600',mode:absolute,to:'2016-05-16 18:23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4" s="74" t="str">
        <f t="shared" si="21"/>
        <v>N</v>
      </c>
      <c r="V114" s="74">
        <f t="shared" si="22"/>
        <v>1</v>
      </c>
      <c r="W114" s="74">
        <f t="shared" si="23"/>
        <v>4.4900000000000002E-2</v>
      </c>
      <c r="X114" s="74">
        <f t="shared" si="24"/>
        <v>23.344000000000001</v>
      </c>
      <c r="Y114" s="74">
        <f t="shared" si="25"/>
        <v>23.299100000000003</v>
      </c>
      <c r="Z114" s="75">
        <f>VLOOKUP(A114,Enforcements!$C$3:$J$40,8,0)</f>
        <v>27333</v>
      </c>
      <c r="AA114" s="75" t="str">
        <f>VLOOKUP(A114,Enforcements!$C$3:$J$40,3,0)</f>
        <v>PERMANENT SPEED RESTRICTION</v>
      </c>
    </row>
    <row r="115" spans="1:27" s="2" customFormat="1" x14ac:dyDescent="0.25">
      <c r="A115" s="61" t="s">
        <v>363</v>
      </c>
      <c r="B115" s="61">
        <v>4032</v>
      </c>
      <c r="C115" s="61" t="s">
        <v>66</v>
      </c>
      <c r="D115" s="61" t="s">
        <v>475</v>
      </c>
      <c r="E115" s="30">
        <v>42506.775208333333</v>
      </c>
      <c r="F115" s="30">
        <v>42506.776192129626</v>
      </c>
      <c r="G115" s="38">
        <v>1</v>
      </c>
      <c r="H115" s="30" t="s">
        <v>476</v>
      </c>
      <c r="I115" s="30">
        <v>42506.808807870373</v>
      </c>
      <c r="J115" s="61">
        <v>0</v>
      </c>
      <c r="K115" s="61" t="str">
        <f t="shared" si="17"/>
        <v>4031/4032</v>
      </c>
      <c r="L115" s="61" t="str">
        <f>VLOOKUP(A115,'Trips&amp;Operators'!$C$1:$E$9999,3,FALSE)</f>
        <v>GOODNIGHT</v>
      </c>
      <c r="M115" s="12">
        <f t="shared" si="18"/>
        <v>3.2615740747132804E-2</v>
      </c>
      <c r="N115" s="13">
        <f t="shared" si="19"/>
        <v>46.966666675871238</v>
      </c>
      <c r="O115" s="13"/>
      <c r="P115" s="13"/>
      <c r="Q115" s="62"/>
      <c r="R115" s="62"/>
      <c r="T11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18:35:18-0600',mode:absolute,to:'2016-05-16 19:25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5" s="74" t="str">
        <f t="shared" si="21"/>
        <v>N</v>
      </c>
      <c r="V115" s="74">
        <f t="shared" si="22"/>
        <v>1</v>
      </c>
      <c r="W115" s="74">
        <f t="shared" si="23"/>
        <v>23.306799999999999</v>
      </c>
      <c r="X115" s="74">
        <f t="shared" si="24"/>
        <v>0.15029999999999999</v>
      </c>
      <c r="Y115" s="74">
        <f t="shared" si="25"/>
        <v>23.156499999999998</v>
      </c>
      <c r="Z115" s="75" t="e">
        <f>VLOOKUP(A115,Enforcements!$C$3:$J$40,8,0)</f>
        <v>#N/A</v>
      </c>
      <c r="AA115" s="75" t="e">
        <f>VLOOKUP(A115,Enforcements!$C$3:$J$40,3,0)</f>
        <v>#N/A</v>
      </c>
    </row>
    <row r="116" spans="1:27" s="2" customFormat="1" x14ac:dyDescent="0.25">
      <c r="A116" s="61" t="s">
        <v>405</v>
      </c>
      <c r="B116" s="61">
        <v>4009</v>
      </c>
      <c r="C116" s="61" t="s">
        <v>66</v>
      </c>
      <c r="D116" s="61" t="s">
        <v>75</v>
      </c>
      <c r="E116" s="30">
        <v>42506.744317129633</v>
      </c>
      <c r="F116" s="30">
        <v>42506.746539351851</v>
      </c>
      <c r="G116" s="38">
        <v>3</v>
      </c>
      <c r="H116" s="30" t="s">
        <v>67</v>
      </c>
      <c r="I116" s="30">
        <v>42506.77484953704</v>
      </c>
      <c r="J116" s="61">
        <v>0</v>
      </c>
      <c r="K116" s="61" t="str">
        <f t="shared" si="17"/>
        <v>4009/4010</v>
      </c>
      <c r="L116" s="61" t="str">
        <f>VLOOKUP(A116,'Trips&amp;Operators'!$C$1:$E$9999,3,FALSE)</f>
        <v>YORK</v>
      </c>
      <c r="M116" s="12">
        <f t="shared" si="18"/>
        <v>2.8310185189184267E-2</v>
      </c>
      <c r="N116" s="13">
        <f t="shared" si="19"/>
        <v>40.766666672425345</v>
      </c>
      <c r="O116" s="13"/>
      <c r="P116" s="13"/>
      <c r="Q116" s="62"/>
      <c r="R116" s="62"/>
      <c r="T11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17:50:49-0600',mode:absolute,to:'2016-05-16 18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6" s="74" t="str">
        <f t="shared" si="21"/>
        <v>N</v>
      </c>
      <c r="V116" s="74">
        <f t="shared" si="22"/>
        <v>1</v>
      </c>
      <c r="W116" s="74">
        <f t="shared" si="23"/>
        <v>4.5699999999999998E-2</v>
      </c>
      <c r="X116" s="74">
        <f t="shared" si="24"/>
        <v>23.329699999999999</v>
      </c>
      <c r="Y116" s="74">
        <f t="shared" si="25"/>
        <v>23.283999999999999</v>
      </c>
      <c r="Z116" s="75" t="e">
        <f>VLOOKUP(A116,Enforcements!$C$3:$J$40,8,0)</f>
        <v>#N/A</v>
      </c>
      <c r="AA116" s="75" t="e">
        <f>VLOOKUP(A116,Enforcements!$C$3:$J$40,3,0)</f>
        <v>#N/A</v>
      </c>
    </row>
    <row r="117" spans="1:27" s="2" customFormat="1" x14ac:dyDescent="0.25">
      <c r="A117" s="61" t="s">
        <v>338</v>
      </c>
      <c r="B117" s="61">
        <v>4010</v>
      </c>
      <c r="C117" s="61" t="s">
        <v>66</v>
      </c>
      <c r="D117" s="61" t="s">
        <v>115</v>
      </c>
      <c r="E117" s="30">
        <v>42506.781215277777</v>
      </c>
      <c r="F117" s="30">
        <v>42506.782152777778</v>
      </c>
      <c r="G117" s="38">
        <v>1</v>
      </c>
      <c r="H117" s="30" t="s">
        <v>477</v>
      </c>
      <c r="I117" s="30">
        <v>42506.817511574074</v>
      </c>
      <c r="J117" s="61">
        <v>1</v>
      </c>
      <c r="K117" s="61" t="str">
        <f t="shared" si="17"/>
        <v>4009/4010</v>
      </c>
      <c r="L117" s="61" t="str">
        <f>VLOOKUP(A117,'Trips&amp;Operators'!$C$1:$E$9999,3,FALSE)</f>
        <v>YORK</v>
      </c>
      <c r="M117" s="12">
        <f t="shared" si="18"/>
        <v>3.5358796296350192E-2</v>
      </c>
      <c r="N117" s="13">
        <f t="shared" si="19"/>
        <v>50.916666666744277</v>
      </c>
      <c r="O117" s="13"/>
      <c r="P117" s="13"/>
      <c r="Q117" s="62"/>
      <c r="R117" s="62"/>
      <c r="T11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18:43:57-0600',mode:absolute,to:'2016-05-16 19:38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7" s="74" t="str">
        <f t="shared" si="21"/>
        <v>N</v>
      </c>
      <c r="V117" s="74">
        <f t="shared" si="22"/>
        <v>1</v>
      </c>
      <c r="W117" s="74">
        <f t="shared" si="23"/>
        <v>23.298200000000001</v>
      </c>
      <c r="X117" s="74">
        <f t="shared" si="24"/>
        <v>2.01E-2</v>
      </c>
      <c r="Y117" s="74">
        <f t="shared" si="25"/>
        <v>23.278100000000002</v>
      </c>
      <c r="Z117" s="75">
        <f>VLOOKUP(A117,Enforcements!$C$3:$J$40,8,0)</f>
        <v>78469</v>
      </c>
      <c r="AA117" s="75" t="str">
        <f>VLOOKUP(A117,Enforcements!$C$3:$J$40,3,0)</f>
        <v>GRADE CROSSING</v>
      </c>
    </row>
    <row r="118" spans="1:27" s="2" customFormat="1" x14ac:dyDescent="0.25">
      <c r="A118" s="61" t="s">
        <v>388</v>
      </c>
      <c r="B118" s="61">
        <v>4044</v>
      </c>
      <c r="C118" s="61" t="s">
        <v>66</v>
      </c>
      <c r="D118" s="61" t="s">
        <v>125</v>
      </c>
      <c r="E118" s="30">
        <v>42506.755185185182</v>
      </c>
      <c r="F118" s="30">
        <v>42506.756365740737</v>
      </c>
      <c r="G118" s="38">
        <v>1</v>
      </c>
      <c r="H118" s="30" t="s">
        <v>187</v>
      </c>
      <c r="I118" s="30">
        <v>42506.789837962962</v>
      </c>
      <c r="J118" s="61">
        <v>0</v>
      </c>
      <c r="K118" s="61" t="str">
        <f t="shared" si="17"/>
        <v>4043/4044</v>
      </c>
      <c r="L118" s="61" t="str">
        <f>VLOOKUP(A118,'Trips&amp;Operators'!$C$1:$E$9999,3,FALSE)</f>
        <v>CANFIELD</v>
      </c>
      <c r="M118" s="12">
        <f t="shared" si="18"/>
        <v>3.3472222225100268E-2</v>
      </c>
      <c r="N118" s="13">
        <f t="shared" si="19"/>
        <v>48.200000004144385</v>
      </c>
      <c r="O118" s="13"/>
      <c r="P118" s="13"/>
      <c r="Q118" s="62"/>
      <c r="R118" s="62"/>
      <c r="T11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18:06:28-0600',mode:absolute,to:'2016-05-16 18:58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8" s="74" t="str">
        <f t="shared" si="21"/>
        <v>N</v>
      </c>
      <c r="V118" s="74">
        <f t="shared" si="22"/>
        <v>1</v>
      </c>
      <c r="W118" s="74">
        <f t="shared" si="23"/>
        <v>4.3999999999999997E-2</v>
      </c>
      <c r="X118" s="74">
        <f t="shared" si="24"/>
        <v>23.332100000000001</v>
      </c>
      <c r="Y118" s="74">
        <f t="shared" si="25"/>
        <v>23.2881</v>
      </c>
      <c r="Z118" s="75" t="e">
        <f>VLOOKUP(A118,Enforcements!$C$3:$J$40,8,0)</f>
        <v>#N/A</v>
      </c>
      <c r="AA118" s="75" t="e">
        <f>VLOOKUP(A118,Enforcements!$C$3:$J$40,3,0)</f>
        <v>#N/A</v>
      </c>
    </row>
    <row r="119" spans="1:27" s="2" customFormat="1" x14ac:dyDescent="0.25">
      <c r="A119" s="61" t="s">
        <v>368</v>
      </c>
      <c r="B119" s="61">
        <v>4043</v>
      </c>
      <c r="C119" s="61" t="s">
        <v>66</v>
      </c>
      <c r="D119" s="61" t="s">
        <v>212</v>
      </c>
      <c r="E119" s="30">
        <v>42506.791747685187</v>
      </c>
      <c r="F119" s="30">
        <v>42506.79614583333</v>
      </c>
      <c r="G119" s="38">
        <v>6</v>
      </c>
      <c r="H119" s="30" t="s">
        <v>94</v>
      </c>
      <c r="I119" s="30">
        <v>42506.827997685185</v>
      </c>
      <c r="J119" s="61">
        <v>0</v>
      </c>
      <c r="K119" s="61" t="str">
        <f t="shared" si="17"/>
        <v>4043/4044</v>
      </c>
      <c r="L119" s="61" t="str">
        <f>VLOOKUP(A119,'Trips&amp;Operators'!$C$1:$E$9999,3,FALSE)</f>
        <v>CANFIELD</v>
      </c>
      <c r="M119" s="12">
        <f t="shared" si="18"/>
        <v>3.1851851854298729E-2</v>
      </c>
      <c r="N119" s="13">
        <f t="shared" si="19"/>
        <v>45.86666667019017</v>
      </c>
      <c r="O119" s="13"/>
      <c r="P119" s="13"/>
      <c r="Q119" s="62"/>
      <c r="R119" s="62"/>
      <c r="T11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18:59:07-0600',mode:absolute,to:'2016-05-16 19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9" s="74" t="str">
        <f t="shared" si="21"/>
        <v>N</v>
      </c>
      <c r="V119" s="74">
        <f t="shared" si="22"/>
        <v>1</v>
      </c>
      <c r="W119" s="74">
        <f t="shared" si="23"/>
        <v>23.302800000000001</v>
      </c>
      <c r="X119" s="74">
        <f t="shared" si="24"/>
        <v>1.61E-2</v>
      </c>
      <c r="Y119" s="74">
        <f t="shared" si="25"/>
        <v>23.2867</v>
      </c>
      <c r="Z119" s="75" t="e">
        <f>VLOOKUP(A119,Enforcements!$C$3:$J$40,8,0)</f>
        <v>#N/A</v>
      </c>
      <c r="AA119" s="75" t="e">
        <f>VLOOKUP(A119,Enforcements!$C$3:$J$40,3,0)</f>
        <v>#N/A</v>
      </c>
    </row>
    <row r="120" spans="1:27" s="2" customFormat="1" x14ac:dyDescent="0.25">
      <c r="A120" s="61" t="s">
        <v>337</v>
      </c>
      <c r="B120" s="61">
        <v>4024</v>
      </c>
      <c r="C120" s="61" t="s">
        <v>66</v>
      </c>
      <c r="D120" s="61" t="s">
        <v>82</v>
      </c>
      <c r="E120" s="30">
        <v>42506.765856481485</v>
      </c>
      <c r="F120" s="30">
        <v>42506.767245370371</v>
      </c>
      <c r="G120" s="38">
        <v>2</v>
      </c>
      <c r="H120" s="30" t="s">
        <v>90</v>
      </c>
      <c r="I120" s="30">
        <v>42506.797511574077</v>
      </c>
      <c r="J120" s="61">
        <v>1</v>
      </c>
      <c r="K120" s="61" t="str">
        <f t="shared" si="17"/>
        <v>4023/4024</v>
      </c>
      <c r="L120" s="61" t="str">
        <f>VLOOKUP(A120,'Trips&amp;Operators'!$C$1:$E$9999,3,FALSE)</f>
        <v>BARTLETT</v>
      </c>
      <c r="M120" s="12">
        <f t="shared" si="18"/>
        <v>3.0266203706560191E-2</v>
      </c>
      <c r="N120" s="13">
        <f t="shared" si="19"/>
        <v>43.583333337446675</v>
      </c>
      <c r="O120" s="13"/>
      <c r="P120" s="13"/>
      <c r="Q120" s="62"/>
      <c r="R120" s="62"/>
      <c r="T12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18:21:50-0600',mode:absolute,to:'2016-05-16 19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0" s="74" t="str">
        <f t="shared" si="21"/>
        <v>N</v>
      </c>
      <c r="V120" s="74">
        <f t="shared" si="22"/>
        <v>1</v>
      </c>
      <c r="W120" s="74">
        <f t="shared" si="23"/>
        <v>4.7100000000000003E-2</v>
      </c>
      <c r="X120" s="74">
        <f t="shared" si="24"/>
        <v>23.331199999999999</v>
      </c>
      <c r="Y120" s="74">
        <f t="shared" si="25"/>
        <v>23.284099999999999</v>
      </c>
      <c r="Z120" s="75" t="e">
        <f>VLOOKUP(A120,Enforcements!$C$3:$J$40,8,0)</f>
        <v>#N/A</v>
      </c>
      <c r="AA120" s="75" t="e">
        <f>VLOOKUP(A120,Enforcements!$C$3:$J$40,3,0)</f>
        <v>#N/A</v>
      </c>
    </row>
    <row r="121" spans="1:27" s="2" customFormat="1" x14ac:dyDescent="0.25">
      <c r="A121" s="61" t="s">
        <v>403</v>
      </c>
      <c r="B121" s="61">
        <v>4023</v>
      </c>
      <c r="C121" s="61" t="s">
        <v>66</v>
      </c>
      <c r="D121" s="61" t="s">
        <v>128</v>
      </c>
      <c r="E121" s="30">
        <v>42506.806527777779</v>
      </c>
      <c r="F121" s="30">
        <v>42506.807557870372</v>
      </c>
      <c r="G121" s="38">
        <v>1</v>
      </c>
      <c r="H121" s="30" t="s">
        <v>230</v>
      </c>
      <c r="I121" s="30">
        <v>42506.840763888889</v>
      </c>
      <c r="J121" s="61">
        <v>0</v>
      </c>
      <c r="K121" s="61" t="str">
        <f t="shared" si="17"/>
        <v>4023/4024</v>
      </c>
      <c r="L121" s="61" t="str">
        <f>VLOOKUP(A121,'Trips&amp;Operators'!$C$1:$E$9999,3,FALSE)</f>
        <v>BARTLETT</v>
      </c>
      <c r="M121" s="12">
        <f t="shared" si="18"/>
        <v>3.3206018517375924E-2</v>
      </c>
      <c r="N121" s="13">
        <f t="shared" si="19"/>
        <v>47.81666666502133</v>
      </c>
      <c r="O121" s="13"/>
      <c r="P121" s="13"/>
      <c r="Q121" s="62"/>
      <c r="R121" s="62"/>
      <c r="T12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19:20:24-0600',mode:absolute,to:'2016-05-16 20:11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1" s="74" t="str">
        <f t="shared" si="21"/>
        <v>N</v>
      </c>
      <c r="V121" s="74">
        <f t="shared" si="22"/>
        <v>1</v>
      </c>
      <c r="W121" s="74">
        <f t="shared" si="23"/>
        <v>23.298400000000001</v>
      </c>
      <c r="X121" s="74">
        <f t="shared" si="24"/>
        <v>1.7000000000000001E-2</v>
      </c>
      <c r="Y121" s="74">
        <f t="shared" si="25"/>
        <v>23.281400000000001</v>
      </c>
      <c r="Z121" s="75" t="e">
        <f>VLOOKUP(A121,Enforcements!$C$3:$J$40,8,0)</f>
        <v>#N/A</v>
      </c>
      <c r="AA121" s="75" t="e">
        <f>VLOOKUP(A121,Enforcements!$C$3:$J$40,3,0)</f>
        <v>#N/A</v>
      </c>
    </row>
    <row r="122" spans="1:27" s="2" customFormat="1" x14ac:dyDescent="0.25">
      <c r="A122" s="61" t="s">
        <v>339</v>
      </c>
      <c r="B122" s="61">
        <v>4011</v>
      </c>
      <c r="C122" s="61" t="s">
        <v>66</v>
      </c>
      <c r="D122" s="61" t="s">
        <v>111</v>
      </c>
      <c r="E122" s="30">
        <v>42506.789606481485</v>
      </c>
      <c r="F122" s="30">
        <v>42506.791018518517</v>
      </c>
      <c r="G122" s="38">
        <v>2</v>
      </c>
      <c r="H122" s="30" t="s">
        <v>105</v>
      </c>
      <c r="I122" s="30">
        <v>42506.818749999999</v>
      </c>
      <c r="J122" s="61">
        <v>1</v>
      </c>
      <c r="K122" s="61" t="str">
        <f t="shared" si="17"/>
        <v>4011/4012</v>
      </c>
      <c r="L122" s="61" t="str">
        <f>VLOOKUP(A122,'Trips&amp;Operators'!$C$1:$E$9999,3,FALSE)</f>
        <v>NELSON</v>
      </c>
      <c r="M122" s="12">
        <f t="shared" si="18"/>
        <v>2.7731481481168885E-2</v>
      </c>
      <c r="N122" s="13">
        <f t="shared" si="19"/>
        <v>39.933333332883194</v>
      </c>
      <c r="O122" s="13"/>
      <c r="P122" s="13"/>
      <c r="Q122" s="62"/>
      <c r="R122" s="62"/>
      <c r="T12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18:56:02-0600',mode:absolute,to:'2016-05-16 19:40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2" s="74" t="str">
        <f t="shared" si="21"/>
        <v>N</v>
      </c>
      <c r="V122" s="74">
        <f t="shared" si="22"/>
        <v>1</v>
      </c>
      <c r="W122" s="74">
        <f t="shared" si="23"/>
        <v>4.6199999999999998E-2</v>
      </c>
      <c r="X122" s="74">
        <f t="shared" si="24"/>
        <v>23.3291</v>
      </c>
      <c r="Y122" s="74">
        <f t="shared" si="25"/>
        <v>23.282900000000001</v>
      </c>
      <c r="Z122" s="75" t="e">
        <f>VLOOKUP(A122,Enforcements!$C$3:$J$40,8,0)</f>
        <v>#N/A</v>
      </c>
      <c r="AA122" s="75" t="e">
        <f>VLOOKUP(A122,Enforcements!$C$3:$J$40,3,0)</f>
        <v>#N/A</v>
      </c>
    </row>
    <row r="123" spans="1:27" s="2" customFormat="1" x14ac:dyDescent="0.25">
      <c r="A123" s="61" t="s">
        <v>375</v>
      </c>
      <c r="B123" s="61">
        <v>4012</v>
      </c>
      <c r="C123" s="61" t="s">
        <v>66</v>
      </c>
      <c r="D123" s="61" t="s">
        <v>478</v>
      </c>
      <c r="E123" s="30">
        <v>42506.843032407407</v>
      </c>
      <c r="F123" s="30">
        <v>42506.843784722223</v>
      </c>
      <c r="G123" s="38">
        <v>1</v>
      </c>
      <c r="H123" s="30" t="s">
        <v>155</v>
      </c>
      <c r="I123" s="30">
        <v>42506.861504629633</v>
      </c>
      <c r="J123" s="61">
        <v>0</v>
      </c>
      <c r="K123" s="61" t="str">
        <f t="shared" si="17"/>
        <v>4011/4012</v>
      </c>
      <c r="L123" s="61" t="str">
        <f>VLOOKUP(A123,'Trips&amp;Operators'!$C$1:$E$9999,3,FALSE)</f>
        <v>NELSON</v>
      </c>
      <c r="M123" s="12">
        <f t="shared" si="18"/>
        <v>1.7719907409627922E-2</v>
      </c>
      <c r="N123" s="13"/>
      <c r="O123" s="13"/>
      <c r="P123" s="13">
        <f>1440*SUM(M123:M124)</f>
        <v>45.299999996786937</v>
      </c>
      <c r="Q123" s="62" t="s">
        <v>493</v>
      </c>
      <c r="R123" s="62" t="s">
        <v>492</v>
      </c>
      <c r="T12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20:12:58-0600',mode:absolute,to:'2016-05-16 20:41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3" s="74" t="str">
        <f t="shared" si="21"/>
        <v>Y</v>
      </c>
      <c r="V123" s="74">
        <f t="shared" si="22"/>
        <v>1</v>
      </c>
      <c r="W123" s="74">
        <f t="shared" si="23"/>
        <v>12.786899999999999</v>
      </c>
      <c r="X123" s="74">
        <f t="shared" si="24"/>
        <v>1.2999999999999999E-2</v>
      </c>
      <c r="Y123" s="74">
        <f t="shared" si="25"/>
        <v>12.773899999999999</v>
      </c>
      <c r="Z123" s="75" t="e">
        <f>VLOOKUP(A123,Enforcements!$C$3:$J$40,8,0)</f>
        <v>#N/A</v>
      </c>
      <c r="AA123" s="75" t="e">
        <f>VLOOKUP(A123,Enforcements!$C$3:$J$40,3,0)</f>
        <v>#N/A</v>
      </c>
    </row>
    <row r="124" spans="1:27" s="2" customFormat="1" x14ac:dyDescent="0.25">
      <c r="A124" s="61" t="s">
        <v>375</v>
      </c>
      <c r="B124" s="61">
        <v>4012</v>
      </c>
      <c r="C124" s="61" t="s">
        <v>66</v>
      </c>
      <c r="D124" s="61" t="s">
        <v>466</v>
      </c>
      <c r="E124" s="30">
        <v>42506.826782407406</v>
      </c>
      <c r="F124" s="30">
        <v>42506.828009259261</v>
      </c>
      <c r="G124" s="38">
        <v>1</v>
      </c>
      <c r="H124" s="30" t="s">
        <v>479</v>
      </c>
      <c r="I124" s="30">
        <v>42506.841747685183</v>
      </c>
      <c r="J124" s="61">
        <v>0</v>
      </c>
      <c r="K124" s="61" t="str">
        <f t="shared" si="17"/>
        <v>4011/4012</v>
      </c>
      <c r="L124" s="61" t="str">
        <f>VLOOKUP(A124,'Trips&amp;Operators'!$C$1:$E$9999,3,FALSE)</f>
        <v>NELSON</v>
      </c>
      <c r="M124" s="12">
        <f t="shared" si="18"/>
        <v>1.3738425921474118E-2</v>
      </c>
      <c r="N124" s="13"/>
      <c r="O124" s="13"/>
      <c r="P124" s="13"/>
      <c r="Q124" s="62"/>
      <c r="R124" s="62"/>
      <c r="T12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19:49:34-0600',mode:absolute,to:'2016-05-16 20:13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4" s="74" t="str">
        <f t="shared" si="21"/>
        <v>Y</v>
      </c>
      <c r="V124" s="74">
        <f t="shared" si="22"/>
        <v>0</v>
      </c>
      <c r="W124" s="74">
        <f t="shared" si="23"/>
        <v>23.2971</v>
      </c>
      <c r="X124" s="74">
        <f t="shared" si="24"/>
        <v>12.8795</v>
      </c>
      <c r="Y124" s="74">
        <f t="shared" si="25"/>
        <v>10.4176</v>
      </c>
      <c r="Z124" s="75" t="e">
        <f>VLOOKUP(A124,Enforcements!$C$3:$J$40,8,0)</f>
        <v>#N/A</v>
      </c>
      <c r="AA124" s="75" t="e">
        <f>VLOOKUP(A124,Enforcements!$C$3:$J$40,3,0)</f>
        <v>#N/A</v>
      </c>
    </row>
    <row r="125" spans="1:27" s="2" customFormat="1" x14ac:dyDescent="0.25">
      <c r="A125" s="61" t="s">
        <v>408</v>
      </c>
      <c r="B125" s="61">
        <v>4029</v>
      </c>
      <c r="C125" s="61" t="s">
        <v>66</v>
      </c>
      <c r="D125" s="61" t="s">
        <v>111</v>
      </c>
      <c r="E125" s="30">
        <v>42506.814375000002</v>
      </c>
      <c r="F125" s="30">
        <v>42506.815567129626</v>
      </c>
      <c r="G125" s="38">
        <v>1</v>
      </c>
      <c r="H125" s="30" t="s">
        <v>181</v>
      </c>
      <c r="I125" s="30">
        <v>42506.845532407409</v>
      </c>
      <c r="J125" s="61">
        <v>0</v>
      </c>
      <c r="K125" s="61" t="str">
        <f t="shared" si="17"/>
        <v>4029/4030</v>
      </c>
      <c r="L125" s="61" t="str">
        <f>VLOOKUP(A125,'Trips&amp;Operators'!$C$1:$E$9999,3,FALSE)</f>
        <v>GOODNIGHT</v>
      </c>
      <c r="M125" s="12">
        <f t="shared" si="18"/>
        <v>2.9965277783048805E-2</v>
      </c>
      <c r="N125" s="13">
        <f t="shared" ref="N125:P134" si="26">$M125*24*60</f>
        <v>43.150000007590279</v>
      </c>
      <c r="O125" s="13"/>
      <c r="P125" s="13"/>
      <c r="Q125" s="62"/>
      <c r="R125" s="62"/>
      <c r="T12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19:31:42-0600',mode:absolute,to:'2016-05-16 20:18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5" s="74" t="str">
        <f t="shared" si="21"/>
        <v>N</v>
      </c>
      <c r="V125" s="74">
        <f t="shared" si="22"/>
        <v>1</v>
      </c>
      <c r="W125" s="74">
        <f t="shared" si="23"/>
        <v>4.6199999999999998E-2</v>
      </c>
      <c r="X125" s="74">
        <f t="shared" si="24"/>
        <v>23.330500000000001</v>
      </c>
      <c r="Y125" s="74">
        <f t="shared" si="25"/>
        <v>23.284300000000002</v>
      </c>
      <c r="Z125" s="75" t="e">
        <f>VLOOKUP(A125,Enforcements!$C$3:$J$40,8,0)</f>
        <v>#N/A</v>
      </c>
      <c r="AA125" s="75" t="e">
        <f>VLOOKUP(A125,Enforcements!$C$3:$J$40,3,0)</f>
        <v>#N/A</v>
      </c>
    </row>
    <row r="126" spans="1:27" s="2" customFormat="1" x14ac:dyDescent="0.25">
      <c r="A126" s="61" t="s">
        <v>340</v>
      </c>
      <c r="B126" s="61">
        <v>4030</v>
      </c>
      <c r="C126" s="61" t="s">
        <v>66</v>
      </c>
      <c r="D126" s="61" t="s">
        <v>184</v>
      </c>
      <c r="E126" s="30">
        <v>42506.852372685185</v>
      </c>
      <c r="F126" s="30">
        <v>42506.853263888886</v>
      </c>
      <c r="G126" s="38">
        <v>1</v>
      </c>
      <c r="H126" s="30" t="s">
        <v>480</v>
      </c>
      <c r="I126" s="30">
        <v>42506.887986111113</v>
      </c>
      <c r="J126" s="61">
        <v>2</v>
      </c>
      <c r="K126" s="61" t="str">
        <f t="shared" si="17"/>
        <v>4029/4030</v>
      </c>
      <c r="L126" s="61" t="str">
        <f>VLOOKUP(A126,'Trips&amp;Operators'!$C$1:$E$9999,3,FALSE)</f>
        <v>GOODNIGHT</v>
      </c>
      <c r="M126" s="12">
        <f t="shared" si="18"/>
        <v>3.4722222226264421E-2</v>
      </c>
      <c r="N126" s="13"/>
      <c r="O126" s="13"/>
      <c r="P126" s="13">
        <f>1440*SUM(M126)</f>
        <v>50.000000005820766</v>
      </c>
      <c r="Q126" s="62" t="s">
        <v>493</v>
      </c>
      <c r="R126" s="62" t="s">
        <v>494</v>
      </c>
      <c r="T12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20:26:25-0600',mode:absolute,to:'2016-05-16 21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6" s="74" t="str">
        <f t="shared" si="21"/>
        <v>Y</v>
      </c>
      <c r="V126" s="74">
        <f t="shared" si="22"/>
        <v>1</v>
      </c>
      <c r="W126" s="74">
        <f t="shared" si="23"/>
        <v>23.299600000000002</v>
      </c>
      <c r="X126" s="74">
        <f t="shared" si="24"/>
        <v>5.6471</v>
      </c>
      <c r="Y126" s="74">
        <f t="shared" si="25"/>
        <v>17.652500000000003</v>
      </c>
      <c r="Z126" s="75">
        <f>VLOOKUP(A126,Enforcements!$C$3:$J$40,8,0)</f>
        <v>103800</v>
      </c>
      <c r="AA126" s="75" t="str">
        <f>VLOOKUP(A126,Enforcements!$C$3:$J$40,3,0)</f>
        <v>GRADE CROSSING</v>
      </c>
    </row>
    <row r="127" spans="1:27" s="2" customFormat="1" x14ac:dyDescent="0.25">
      <c r="A127" s="61" t="s">
        <v>367</v>
      </c>
      <c r="B127" s="61">
        <v>4044</v>
      </c>
      <c r="C127" s="61" t="s">
        <v>66</v>
      </c>
      <c r="D127" s="61" t="s">
        <v>93</v>
      </c>
      <c r="E127" s="30">
        <v>42506.831388888888</v>
      </c>
      <c r="F127" s="30">
        <v>42506.832418981481</v>
      </c>
      <c r="G127" s="38">
        <v>1</v>
      </c>
      <c r="H127" s="30" t="s">
        <v>202</v>
      </c>
      <c r="I127" s="30">
        <v>42506.85864583333</v>
      </c>
      <c r="J127" s="61">
        <v>0</v>
      </c>
      <c r="K127" s="61" t="str">
        <f t="shared" si="17"/>
        <v>4043/4044</v>
      </c>
      <c r="L127" s="61" t="str">
        <f>VLOOKUP(A127,'Trips&amp;Operators'!$C$1:$E$9999,3,FALSE)</f>
        <v>CANFIELD</v>
      </c>
      <c r="M127" s="12">
        <f t="shared" si="18"/>
        <v>2.622685184906004E-2</v>
      </c>
      <c r="N127" s="13">
        <f t="shared" si="26"/>
        <v>37.766666662646458</v>
      </c>
      <c r="O127" s="13"/>
      <c r="P127" s="13"/>
      <c r="Q127" s="62"/>
      <c r="R127" s="62"/>
      <c r="T12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19:56:12-0600',mode:absolute,to:'2016-05-16 20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7" s="74" t="str">
        <f t="shared" si="21"/>
        <v>N</v>
      </c>
      <c r="V127" s="74">
        <f t="shared" si="22"/>
        <v>1</v>
      </c>
      <c r="W127" s="74">
        <f t="shared" si="23"/>
        <v>4.6399999999999997E-2</v>
      </c>
      <c r="X127" s="74">
        <f t="shared" si="24"/>
        <v>23.328199999999999</v>
      </c>
      <c r="Y127" s="74">
        <f t="shared" si="25"/>
        <v>23.2818</v>
      </c>
      <c r="Z127" s="75" t="e">
        <f>VLOOKUP(A127,Enforcements!$C$3:$J$40,8,0)</f>
        <v>#N/A</v>
      </c>
      <c r="AA127" s="75" t="e">
        <f>VLOOKUP(A127,Enforcements!$C$3:$J$40,3,0)</f>
        <v>#N/A</v>
      </c>
    </row>
    <row r="128" spans="1:27" s="2" customFormat="1" x14ac:dyDescent="0.25">
      <c r="A128" s="61" t="s">
        <v>341</v>
      </c>
      <c r="B128" s="61">
        <v>4043</v>
      </c>
      <c r="C128" s="61" t="s">
        <v>66</v>
      </c>
      <c r="D128" s="61" t="s">
        <v>437</v>
      </c>
      <c r="E128" s="30">
        <v>42506.866550925923</v>
      </c>
      <c r="F128" s="30">
        <v>42506.867604166669</v>
      </c>
      <c r="G128" s="38">
        <v>1</v>
      </c>
      <c r="H128" s="30" t="s">
        <v>191</v>
      </c>
      <c r="I128" s="30">
        <v>42506.91028935185</v>
      </c>
      <c r="J128" s="61">
        <v>1</v>
      </c>
      <c r="K128" s="61" t="str">
        <f t="shared" si="17"/>
        <v>4043/4044</v>
      </c>
      <c r="L128" s="61" t="str">
        <f>VLOOKUP(A128,'Trips&amp;Operators'!$C$1:$E$9999,3,FALSE)</f>
        <v>CANFIELD</v>
      </c>
      <c r="M128" s="12">
        <f t="shared" si="18"/>
        <v>4.2685185180744156E-2</v>
      </c>
      <c r="N128" s="13">
        <f t="shared" si="26"/>
        <v>61.466666660271585</v>
      </c>
      <c r="O128" s="13"/>
      <c r="P128" s="13"/>
      <c r="Q128" s="62"/>
      <c r="R128" s="62"/>
      <c r="T12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20:46:50-0600',mode:absolute,to:'2016-05-16 21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8" s="74" t="str">
        <f t="shared" si="21"/>
        <v>N</v>
      </c>
      <c r="V128" s="74">
        <f t="shared" si="22"/>
        <v>1</v>
      </c>
      <c r="W128" s="74">
        <f t="shared" si="23"/>
        <v>23.296900000000001</v>
      </c>
      <c r="X128" s="74">
        <f t="shared" si="24"/>
        <v>1.6E-2</v>
      </c>
      <c r="Y128" s="74">
        <f t="shared" si="25"/>
        <v>23.280900000000003</v>
      </c>
      <c r="Z128" s="75">
        <f>VLOOKUP(A128,Enforcements!$C$3:$J$40,8,0)</f>
        <v>57897</v>
      </c>
      <c r="AA128" s="75" t="str">
        <f>VLOOKUP(A128,Enforcements!$C$3:$J$40,3,0)</f>
        <v>SIGNAL</v>
      </c>
    </row>
    <row r="129" spans="1:27" s="2" customFormat="1" x14ac:dyDescent="0.25">
      <c r="A129" s="61" t="s">
        <v>347</v>
      </c>
      <c r="B129" s="61">
        <v>4024</v>
      </c>
      <c r="C129" s="61" t="s">
        <v>66</v>
      </c>
      <c r="D129" s="61" t="s">
        <v>454</v>
      </c>
      <c r="E129" s="30">
        <v>42506.845081018517</v>
      </c>
      <c r="F129" s="30">
        <v>42506.846192129633</v>
      </c>
      <c r="G129" s="38">
        <v>1</v>
      </c>
      <c r="H129" s="30" t="s">
        <v>445</v>
      </c>
      <c r="I129" s="30">
        <v>42506.880324074074</v>
      </c>
      <c r="J129" s="61">
        <v>0</v>
      </c>
      <c r="K129" s="61" t="str">
        <f t="shared" si="17"/>
        <v>4023/4024</v>
      </c>
      <c r="L129" s="61" t="str">
        <f>VLOOKUP(A129,'Trips&amp;Operators'!$C$1:$E$9999,3,FALSE)</f>
        <v>BARTLETT</v>
      </c>
      <c r="M129" s="12">
        <f t="shared" si="18"/>
        <v>3.4131944441469386E-2</v>
      </c>
      <c r="N129" s="13">
        <f t="shared" si="26"/>
        <v>49.149999995715916</v>
      </c>
      <c r="O129" s="13"/>
      <c r="P129" s="13"/>
      <c r="Q129" s="62"/>
      <c r="R129" s="62"/>
      <c r="T12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20:15:55-0600',mode:absolute,to:'2016-05-16 21:08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9" s="74" t="str">
        <f t="shared" si="21"/>
        <v>N</v>
      </c>
      <c r="V129" s="74">
        <f t="shared" si="22"/>
        <v>1</v>
      </c>
      <c r="W129" s="74">
        <f t="shared" si="23"/>
        <v>4.7800000000000002E-2</v>
      </c>
      <c r="X129" s="74">
        <f t="shared" si="24"/>
        <v>23.331399999999999</v>
      </c>
      <c r="Y129" s="74">
        <f t="shared" si="25"/>
        <v>23.2836</v>
      </c>
      <c r="Z129" s="75" t="e">
        <f>VLOOKUP(A129,Enforcements!$C$3:$J$40,8,0)</f>
        <v>#N/A</v>
      </c>
      <c r="AA129" s="75" t="e">
        <f>VLOOKUP(A129,Enforcements!$C$3:$J$40,3,0)</f>
        <v>#N/A</v>
      </c>
    </row>
    <row r="130" spans="1:27" s="2" customFormat="1" x14ac:dyDescent="0.25">
      <c r="A130" s="61" t="s">
        <v>362</v>
      </c>
      <c r="B130" s="61">
        <v>4023</v>
      </c>
      <c r="C130" s="61" t="s">
        <v>66</v>
      </c>
      <c r="D130" s="61" t="s">
        <v>104</v>
      </c>
      <c r="E130" s="30">
        <v>42506.888518518521</v>
      </c>
      <c r="F130" s="30">
        <v>42506.893368055556</v>
      </c>
      <c r="G130" s="38">
        <v>1</v>
      </c>
      <c r="H130" s="30" t="s">
        <v>481</v>
      </c>
      <c r="I130" s="30">
        <v>42506.951365740744</v>
      </c>
      <c r="J130" s="61">
        <v>0</v>
      </c>
      <c r="K130" s="61" t="str">
        <f t="shared" si="17"/>
        <v>4023/4024</v>
      </c>
      <c r="L130" s="61" t="str">
        <f>VLOOKUP(A130,'Trips&amp;Operators'!$C$1:$E$9999,3,FALSE)</f>
        <v>BARTLETT</v>
      </c>
      <c r="M130" s="12">
        <f t="shared" si="18"/>
        <v>5.7997685187729076E-2</v>
      </c>
      <c r="N130" s="13"/>
      <c r="O130" s="13"/>
      <c r="P130" s="13">
        <f t="shared" si="26"/>
        <v>83.516666670329869</v>
      </c>
      <c r="Q130" s="62" t="s">
        <v>493</v>
      </c>
      <c r="R130" s="62" t="s">
        <v>495</v>
      </c>
      <c r="T13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21:18:28-0600',mode:absolute,to:'2016-05-16 22:50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0" s="74" t="str">
        <f t="shared" si="21"/>
        <v>Y</v>
      </c>
      <c r="V130" s="74">
        <f t="shared" si="22"/>
        <v>1</v>
      </c>
      <c r="W130" s="74">
        <f t="shared" si="23"/>
        <v>23.297499999999999</v>
      </c>
      <c r="X130" s="74">
        <f t="shared" si="24"/>
        <v>1.8754999999999999</v>
      </c>
      <c r="Y130" s="74">
        <f t="shared" si="25"/>
        <v>21.422000000000001</v>
      </c>
      <c r="Z130" s="75" t="e">
        <f>VLOOKUP(A130,Enforcements!$C$3:$J$40,8,0)</f>
        <v>#N/A</v>
      </c>
      <c r="AA130" s="75" t="e">
        <f>VLOOKUP(A130,Enforcements!$C$3:$J$40,3,0)</f>
        <v>#N/A</v>
      </c>
    </row>
    <row r="131" spans="1:27" s="2" customFormat="1" x14ac:dyDescent="0.25">
      <c r="A131" s="61" t="s">
        <v>417</v>
      </c>
      <c r="B131" s="61">
        <v>4011</v>
      </c>
      <c r="C131" s="61" t="s">
        <v>66</v>
      </c>
      <c r="D131" s="61" t="s">
        <v>188</v>
      </c>
      <c r="E131" s="30">
        <v>42506.868495370371</v>
      </c>
      <c r="F131" s="30">
        <v>42506.869513888887</v>
      </c>
      <c r="G131" s="38">
        <v>1</v>
      </c>
      <c r="H131" s="30" t="s">
        <v>151</v>
      </c>
      <c r="I131" s="30">
        <v>42506.900925925926</v>
      </c>
      <c r="J131" s="61">
        <v>0</v>
      </c>
      <c r="K131" s="61" t="str">
        <f t="shared" si="17"/>
        <v>4011/4012</v>
      </c>
      <c r="L131" s="61" t="str">
        <f>VLOOKUP(A131,'Trips&amp;Operators'!$C$1:$E$9999,3,FALSE)</f>
        <v>NELSON</v>
      </c>
      <c r="M131" s="12">
        <f t="shared" si="18"/>
        <v>3.1412037038535345E-2</v>
      </c>
      <c r="N131" s="13">
        <f t="shared" si="26"/>
        <v>45.233333335490897</v>
      </c>
      <c r="O131" s="13"/>
      <c r="P131" s="13"/>
      <c r="Q131" s="62"/>
      <c r="R131" s="62"/>
      <c r="T13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20:49:38-0600',mode:absolute,to:'2016-05-16 21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1" s="74" t="str">
        <f t="shared" si="21"/>
        <v>N</v>
      </c>
      <c r="V131" s="74">
        <f t="shared" si="22"/>
        <v>1</v>
      </c>
      <c r="W131" s="74">
        <f t="shared" si="23"/>
        <v>4.3499999999999997E-2</v>
      </c>
      <c r="X131" s="74">
        <f t="shared" si="24"/>
        <v>23.328900000000001</v>
      </c>
      <c r="Y131" s="74">
        <f t="shared" si="25"/>
        <v>23.285399999999999</v>
      </c>
      <c r="Z131" s="75" t="e">
        <f>VLOOKUP(A131,Enforcements!$C$3:$J$40,8,0)</f>
        <v>#N/A</v>
      </c>
      <c r="AA131" s="75" t="e">
        <f>VLOOKUP(A131,Enforcements!$C$3:$J$40,3,0)</f>
        <v>#N/A</v>
      </c>
    </row>
    <row r="132" spans="1:27" s="2" customFormat="1" x14ac:dyDescent="0.25">
      <c r="A132" s="61" t="s">
        <v>344</v>
      </c>
      <c r="B132" s="61">
        <v>4012</v>
      </c>
      <c r="C132" s="61" t="s">
        <v>66</v>
      </c>
      <c r="D132" s="61" t="s">
        <v>115</v>
      </c>
      <c r="E132" s="30">
        <v>42506.909016203703</v>
      </c>
      <c r="F132" s="30">
        <v>42506.914097222223</v>
      </c>
      <c r="G132" s="38">
        <v>1</v>
      </c>
      <c r="H132" s="30" t="s">
        <v>82</v>
      </c>
      <c r="I132" s="30">
        <v>42506.967314814814</v>
      </c>
      <c r="J132" s="61">
        <v>1</v>
      </c>
      <c r="K132" s="61" t="str">
        <f t="shared" ref="K132:K137" si="27">IF(ISEVEN(B132),(B132-1)&amp;"/"&amp;B132,B132&amp;"/"&amp;(B132+1))</f>
        <v>4011/4012</v>
      </c>
      <c r="L132" s="61" t="str">
        <f>VLOOKUP(A132,'Trips&amp;Operators'!$C$1:$E$9999,3,FALSE)</f>
        <v>NELSON</v>
      </c>
      <c r="M132" s="12">
        <f t="shared" ref="M132:M137" si="28">I132-F132</f>
        <v>5.3217592590954155E-2</v>
      </c>
      <c r="N132" s="13">
        <f t="shared" ref="N132:P137" si="29">$M132*24*60</f>
        <v>76.633333330973983</v>
      </c>
      <c r="O132" s="13"/>
      <c r="P132" s="13"/>
      <c r="Q132" s="62"/>
      <c r="R132" s="62" t="s">
        <v>499</v>
      </c>
      <c r="T132" s="74" t="str">
        <f t="shared" ref="T132:T137" si="30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https://search-rtdc-monitor-bjffxe2xuh6vdkpspy63sjmuny.us-east-1.es.amazonaws.com/_plugin/kibana/#/discover/Steve-Slow-Train-Analysis-(2080s-and-2083s)?_g=(refreshInterval:(display:Off,section:0,value:0),time:(from:'2016-05-16 21:47:59-0600',mode:absolute,to:'2016-05-16 23:13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2" s="74" t="str">
        <f t="shared" ref="U132:U137" si="31">IF(Y132&lt;23,"Y","N")</f>
        <v>N</v>
      </c>
      <c r="V132" s="74">
        <f t="shared" ref="V132:V137" si="32">VALUE(LEFT(A132,3))-VALUE(LEFT(A131,3))</f>
        <v>1</v>
      </c>
      <c r="W132" s="74">
        <f t="shared" ref="W132:W137" si="33">RIGHT(D132,LEN(D132)-4)/10000</f>
        <v>23.298200000000001</v>
      </c>
      <c r="X132" s="74">
        <f t="shared" ref="X132:X137" si="34">RIGHT(H132,LEN(H132)-4)/10000</f>
        <v>4.7100000000000003E-2</v>
      </c>
      <c r="Y132" s="74">
        <f t="shared" ref="Y132:Y137" si="35">ABS(X132-W132)</f>
        <v>23.251100000000001</v>
      </c>
      <c r="Z132" s="75" t="e">
        <f>VLOOKUP(A132,Enforcements!$C$3:$J$40,8,0)</f>
        <v>#N/A</v>
      </c>
      <c r="AA132" s="75" t="e">
        <f>VLOOKUP(A132,Enforcements!$C$3:$J$40,3,0)</f>
        <v>#N/A</v>
      </c>
    </row>
    <row r="133" spans="1:27" s="2" customFormat="1" x14ac:dyDescent="0.25">
      <c r="A133" s="61" t="s">
        <v>342</v>
      </c>
      <c r="B133" s="61">
        <v>4031</v>
      </c>
      <c r="C133" s="61" t="s">
        <v>66</v>
      </c>
      <c r="D133" s="61" t="s">
        <v>224</v>
      </c>
      <c r="E133" s="30">
        <v>42506.90729166667</v>
      </c>
      <c r="F133" s="30">
        <v>42506.911226851851</v>
      </c>
      <c r="G133" s="38">
        <v>5</v>
      </c>
      <c r="H133" s="30" t="s">
        <v>482</v>
      </c>
      <c r="I133" s="30">
        <v>42506.962164351855</v>
      </c>
      <c r="J133" s="61">
        <v>3</v>
      </c>
      <c r="K133" s="61" t="str">
        <f t="shared" si="27"/>
        <v>4031/4032</v>
      </c>
      <c r="L133" s="61" t="str">
        <f>VLOOKUP(A133,'Trips&amp;Operators'!$C$1:$E$9999,3,FALSE)</f>
        <v>GOODNIGHT</v>
      </c>
      <c r="M133" s="12">
        <f t="shared" si="28"/>
        <v>5.0937500003783498E-2</v>
      </c>
      <c r="N133" s="13"/>
      <c r="O133" s="13"/>
      <c r="P133" s="13">
        <f t="shared" si="26"/>
        <v>73.350000005448237</v>
      </c>
      <c r="Q133" s="62" t="s">
        <v>493</v>
      </c>
      <c r="R133" s="62" t="s">
        <v>496</v>
      </c>
      <c r="T133" s="74" t="str">
        <f t="shared" si="30"/>
        <v>https://search-rtdc-monitor-bjffxe2xuh6vdkpspy63sjmuny.us-east-1.es.amazonaws.com/_plugin/kibana/#/discover/Steve-Slow-Train-Analysis-(2080s-and-2083s)?_g=(refreshInterval:(display:Off,section:0,value:0),time:(from:'2016-05-16 21:45:30-0600',mode:absolute,to:'2016-05-16 23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3" s="74" t="str">
        <f t="shared" si="31"/>
        <v>Y</v>
      </c>
      <c r="V133" s="74">
        <f t="shared" si="32"/>
        <v>1</v>
      </c>
      <c r="W133" s="74">
        <f t="shared" si="33"/>
        <v>0.1182</v>
      </c>
      <c r="X133" s="74">
        <f t="shared" si="34"/>
        <v>0.1371</v>
      </c>
      <c r="Y133" s="74">
        <f t="shared" si="35"/>
        <v>1.89E-2</v>
      </c>
      <c r="Z133" s="75">
        <f>VLOOKUP(A133,Enforcements!$C$3:$J$40,8,0)</f>
        <v>4677</v>
      </c>
      <c r="AA133" s="75" t="str">
        <f>VLOOKUP(A133,Enforcements!$C$3:$J$40,3,0)</f>
        <v>SIGNAL</v>
      </c>
    </row>
    <row r="134" spans="1:27" s="2" customFormat="1" x14ac:dyDescent="0.25">
      <c r="A134" s="61" t="s">
        <v>345</v>
      </c>
      <c r="B134" s="61">
        <v>4044</v>
      </c>
      <c r="C134" s="61" t="s">
        <v>66</v>
      </c>
      <c r="D134" s="61" t="s">
        <v>483</v>
      </c>
      <c r="E134" s="30">
        <v>42506.96125</v>
      </c>
      <c r="F134" s="30">
        <v>42506.962384259263</v>
      </c>
      <c r="G134" s="38">
        <v>1</v>
      </c>
      <c r="H134" s="30" t="s">
        <v>190</v>
      </c>
      <c r="I134" s="30">
        <v>42506.999583333331</v>
      </c>
      <c r="J134" s="61">
        <v>1</v>
      </c>
      <c r="K134" s="61" t="str">
        <f t="shared" si="27"/>
        <v>4043/4044</v>
      </c>
      <c r="L134" s="61" t="str">
        <f>VLOOKUP(A134,'Trips&amp;Operators'!$C$1:$E$9999,3,FALSE)</f>
        <v>CANFIELD</v>
      </c>
      <c r="M134" s="12">
        <f t="shared" si="28"/>
        <v>3.7199074067757465E-2</v>
      </c>
      <c r="N134" s="13"/>
      <c r="O134" s="13"/>
      <c r="P134" s="13">
        <f t="shared" si="26"/>
        <v>53.56666665757075</v>
      </c>
      <c r="Q134" s="62" t="s">
        <v>493</v>
      </c>
      <c r="R134" s="62" t="s">
        <v>497</v>
      </c>
      <c r="T134" s="74" t="str">
        <f t="shared" si="30"/>
        <v>https://search-rtdc-monitor-bjffxe2xuh6vdkpspy63sjmuny.us-east-1.es.amazonaws.com/_plugin/kibana/#/discover/Steve-Slow-Train-Analysis-(2080s-and-2083s)?_g=(refreshInterval:(display:Off,section:0,value:0),time:(from:'2016-05-16 23:03:12-0600',mode:absolute,to:'2016-05-17 00:00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4" s="74" t="str">
        <f t="shared" si="31"/>
        <v>N</v>
      </c>
      <c r="V134" s="74">
        <f t="shared" si="32"/>
        <v>2</v>
      </c>
      <c r="W134" s="74">
        <f t="shared" si="33"/>
        <v>0.15790000000000001</v>
      </c>
      <c r="X134" s="74">
        <f t="shared" si="34"/>
        <v>23.327000000000002</v>
      </c>
      <c r="Y134" s="74">
        <f t="shared" si="35"/>
        <v>23.1691</v>
      </c>
      <c r="Z134" s="75" t="e">
        <f>VLOOKUP(A134,Enforcements!$C$3:$J$40,8,0)</f>
        <v>#N/A</v>
      </c>
      <c r="AA134" s="75" t="e">
        <f>VLOOKUP(A134,Enforcements!$C$3:$J$40,3,0)</f>
        <v>#N/A</v>
      </c>
    </row>
    <row r="135" spans="1:27" s="2" customFormat="1" x14ac:dyDescent="0.25">
      <c r="A135" s="61" t="s">
        <v>345</v>
      </c>
      <c r="B135" s="61">
        <v>4044</v>
      </c>
      <c r="C135" s="61" t="s">
        <v>66</v>
      </c>
      <c r="D135" s="61" t="s">
        <v>484</v>
      </c>
      <c r="E135" s="30">
        <v>42506.94295138889</v>
      </c>
      <c r="F135" s="30">
        <v>42506.94394675926</v>
      </c>
      <c r="G135" s="38">
        <v>1</v>
      </c>
      <c r="H135" s="30" t="s">
        <v>485</v>
      </c>
      <c r="I135" s="30">
        <v>42506.946782407409</v>
      </c>
      <c r="J135" s="61">
        <v>0</v>
      </c>
      <c r="K135" s="61" t="str">
        <f t="shared" si="27"/>
        <v>4043/4044</v>
      </c>
      <c r="L135" s="61" t="str">
        <f>VLOOKUP(A135,'Trips&amp;Operators'!$C$1:$E$9999,3,FALSE)</f>
        <v>CANFIELD</v>
      </c>
      <c r="M135" s="12">
        <f t="shared" si="28"/>
        <v>2.8356481489026919E-3</v>
      </c>
      <c r="N135" s="13"/>
      <c r="O135" s="13"/>
      <c r="P135" s="13"/>
      <c r="Q135" s="62"/>
      <c r="R135" s="62"/>
      <c r="T135" s="74" t="str">
        <f t="shared" si="30"/>
        <v>https://search-rtdc-monitor-bjffxe2xuh6vdkpspy63sjmuny.us-east-1.es.amazonaws.com/_plugin/kibana/#/discover/Steve-Slow-Train-Analysis-(2080s-and-2083s)?_g=(refreshInterval:(display:Off,section:0,value:0),time:(from:'2016-05-16 22:36:51-0600',mode:absolute,to:'2016-05-16 22:44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5" s="74" t="str">
        <f t="shared" si="31"/>
        <v>Y</v>
      </c>
      <c r="V135" s="74">
        <f t="shared" si="32"/>
        <v>0</v>
      </c>
      <c r="W135" s="74">
        <f t="shared" si="33"/>
        <v>3.09E-2</v>
      </c>
      <c r="X135" s="74">
        <f t="shared" si="34"/>
        <v>0.12820000000000001</v>
      </c>
      <c r="Y135" s="74">
        <f t="shared" si="35"/>
        <v>9.7300000000000011E-2</v>
      </c>
      <c r="Z135" s="75" t="e">
        <f>VLOOKUP(A135,Enforcements!$C$3:$J$40,8,0)</f>
        <v>#N/A</v>
      </c>
      <c r="AA135" s="75" t="e">
        <f>VLOOKUP(A135,Enforcements!$C$3:$J$40,3,0)</f>
        <v>#N/A</v>
      </c>
    </row>
    <row r="136" spans="1:27" s="2" customFormat="1" x14ac:dyDescent="0.25">
      <c r="A136" s="61" t="s">
        <v>350</v>
      </c>
      <c r="B136" s="61">
        <v>4024</v>
      </c>
      <c r="C136" s="61" t="s">
        <v>66</v>
      </c>
      <c r="D136" s="61" t="s">
        <v>486</v>
      </c>
      <c r="E136" s="30">
        <v>42506.959583333337</v>
      </c>
      <c r="F136" s="30">
        <v>42506.960497685184</v>
      </c>
      <c r="G136" s="38">
        <v>1</v>
      </c>
      <c r="H136" s="30" t="s">
        <v>124</v>
      </c>
      <c r="I136" s="30">
        <v>42506.985520833332</v>
      </c>
      <c r="J136" s="61">
        <v>0</v>
      </c>
      <c r="K136" s="61" t="str">
        <f t="shared" si="27"/>
        <v>4023/4024</v>
      </c>
      <c r="L136" s="61" t="str">
        <f>VLOOKUP(A136,'Trips&amp;Operators'!$C$1:$E$9999,3,FALSE)</f>
        <v>BARTLETT</v>
      </c>
      <c r="M136" s="12">
        <f t="shared" si="28"/>
        <v>2.5023148147738539E-2</v>
      </c>
      <c r="N136" s="13"/>
      <c r="O136" s="13"/>
      <c r="P136" s="13">
        <f t="shared" si="29"/>
        <v>36.033333332743496</v>
      </c>
      <c r="Q136" s="62" t="s">
        <v>493</v>
      </c>
      <c r="R136" s="62" t="s">
        <v>498</v>
      </c>
      <c r="T136" s="74" t="str">
        <f t="shared" si="30"/>
        <v>https://search-rtdc-monitor-bjffxe2xuh6vdkpspy63sjmuny.us-east-1.es.amazonaws.com/_plugin/kibana/#/discover/Steve-Slow-Train-Analysis-(2080s-and-2083s)?_g=(refreshInterval:(display:Off,section:0,value:0),time:(from:'2016-05-16 23:00:48-0600',mode:absolute,to:'2016-05-16 23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6" s="74" t="str">
        <f t="shared" si="31"/>
        <v>Y</v>
      </c>
      <c r="V136" s="74">
        <f t="shared" si="32"/>
        <v>2</v>
      </c>
      <c r="W136" s="74">
        <f t="shared" si="33"/>
        <v>1.036</v>
      </c>
      <c r="X136" s="74">
        <f t="shared" si="34"/>
        <v>23.331900000000001</v>
      </c>
      <c r="Y136" s="74">
        <f t="shared" si="35"/>
        <v>22.2959</v>
      </c>
      <c r="Z136" s="75" t="e">
        <f>VLOOKUP(A136,Enforcements!$C$3:$J$40,8,0)</f>
        <v>#N/A</v>
      </c>
      <c r="AA136" s="75" t="e">
        <f>VLOOKUP(A136,Enforcements!$C$3:$J$40,3,0)</f>
        <v>#N/A</v>
      </c>
    </row>
    <row r="137" spans="1:27" s="2" customFormat="1" x14ac:dyDescent="0.25">
      <c r="A137" s="61" t="s">
        <v>361</v>
      </c>
      <c r="B137" s="61">
        <v>4011</v>
      </c>
      <c r="C137" s="61" t="s">
        <v>66</v>
      </c>
      <c r="D137" s="61" t="s">
        <v>487</v>
      </c>
      <c r="E137" s="30">
        <v>42506.972893518519</v>
      </c>
      <c r="F137" s="30">
        <v>42506.974398148152</v>
      </c>
      <c r="G137" s="38">
        <v>2</v>
      </c>
      <c r="H137" s="30" t="s">
        <v>83</v>
      </c>
      <c r="I137" s="30">
        <v>42507.006493055553</v>
      </c>
      <c r="J137" s="61">
        <v>0</v>
      </c>
      <c r="K137" s="61" t="str">
        <f t="shared" si="27"/>
        <v>4011/4012</v>
      </c>
      <c r="L137" s="61" t="str">
        <f>VLOOKUP(A137,'Trips&amp;Operators'!$C$1:$E$9999,3,FALSE)</f>
        <v>NELSON</v>
      </c>
      <c r="M137" s="12">
        <f t="shared" si="28"/>
        <v>3.2094907401187811E-2</v>
      </c>
      <c r="N137" s="13">
        <f t="shared" si="29"/>
        <v>46.216666657710448</v>
      </c>
      <c r="O137" s="13"/>
      <c r="P137" s="13"/>
      <c r="Q137" s="62"/>
      <c r="R137" s="62"/>
      <c r="T137" s="74" t="str">
        <f t="shared" si="30"/>
        <v>https://search-rtdc-monitor-bjffxe2xuh6vdkpspy63sjmuny.us-east-1.es.amazonaws.com/_plugin/kibana/#/discover/Steve-Slow-Train-Analysis-(2080s-and-2083s)?_g=(refreshInterval:(display:Off,section:0,value:0),time:(from:'2016-05-16 23:19:58-0600',mode:absolute,to:'2016-05-17 00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7" s="74" t="str">
        <f t="shared" si="31"/>
        <v>N</v>
      </c>
      <c r="V137" s="74">
        <f t="shared" si="32"/>
        <v>2</v>
      </c>
      <c r="W137" s="74">
        <f t="shared" si="33"/>
        <v>6.6799999999999998E-2</v>
      </c>
      <c r="X137" s="74">
        <f t="shared" si="34"/>
        <v>23.3308</v>
      </c>
      <c r="Y137" s="74">
        <f t="shared" si="35"/>
        <v>23.263999999999999</v>
      </c>
      <c r="Z137" s="75" t="e">
        <f>VLOOKUP(A137,Enforcements!$C$3:$J$40,8,0)</f>
        <v>#N/A</v>
      </c>
      <c r="AA137" s="75" t="e">
        <f>VLOOKUP(A137,Enforcements!$C$3:$J$40,3,0)</f>
        <v>#N/A</v>
      </c>
    </row>
    <row r="138" spans="1:27" s="2" customFormat="1" ht="15.75" thickBot="1" x14ac:dyDescent="0.3">
      <c r="A138" s="63"/>
      <c r="B138" s="63"/>
      <c r="C138" s="63"/>
      <c r="D138" s="63"/>
      <c r="E138" s="64"/>
      <c r="F138" s="64"/>
      <c r="G138" s="65"/>
      <c r="H138" s="64"/>
      <c r="I138" s="64"/>
      <c r="J138" s="63"/>
      <c r="K138" s="63"/>
      <c r="L138" s="63"/>
      <c r="M138" s="66"/>
      <c r="N138" s="67"/>
      <c r="O138" s="67"/>
      <c r="P138" s="67"/>
      <c r="Q138" s="68"/>
      <c r="R138" s="68"/>
      <c r="T138" s="69"/>
      <c r="U138" s="69"/>
      <c r="V138" s="69"/>
      <c r="W138" s="69"/>
      <c r="X138" s="69"/>
      <c r="Y138" s="69"/>
      <c r="Z138" s="70"/>
      <c r="AA138" s="70"/>
    </row>
    <row r="139" spans="1:27" s="2" customFormat="1" ht="15.75" thickBot="1" x14ac:dyDescent="0.3">
      <c r="E139" s="31"/>
      <c r="F139" s="31"/>
      <c r="G139" s="39"/>
      <c r="H139" s="31"/>
      <c r="I139" s="80">
        <f>Variables!A2</f>
        <v>42506</v>
      </c>
      <c r="J139" s="81"/>
      <c r="K139" s="76"/>
      <c r="L139" s="76"/>
      <c r="M139" s="82" t="s">
        <v>8</v>
      </c>
      <c r="N139" s="83"/>
      <c r="O139" s="84"/>
      <c r="P139" s="5"/>
      <c r="T139" s="57"/>
      <c r="U139" s="57"/>
      <c r="V139" s="57"/>
      <c r="W139" s="57"/>
      <c r="X139" s="57"/>
      <c r="Y139" s="57"/>
      <c r="Z139" s="58"/>
      <c r="AA139" s="58"/>
    </row>
    <row r="140" spans="1:27" s="2" customFormat="1" ht="15.75" thickBot="1" x14ac:dyDescent="0.3">
      <c r="E140" s="31"/>
      <c r="F140" s="31"/>
      <c r="G140" s="39"/>
      <c r="H140" s="31"/>
      <c r="I140" s="85" t="s">
        <v>10</v>
      </c>
      <c r="J140" s="86"/>
      <c r="K140" s="35"/>
      <c r="L140" s="59"/>
      <c r="M140" s="9" t="s">
        <v>11</v>
      </c>
      <c r="N140" s="6" t="s">
        <v>12</v>
      </c>
      <c r="O140" s="7" t="s">
        <v>13</v>
      </c>
      <c r="P140" s="5"/>
      <c r="T140" s="57"/>
      <c r="U140" s="57"/>
      <c r="V140" s="57"/>
      <c r="W140" s="57"/>
      <c r="X140" s="57"/>
      <c r="Y140" s="57"/>
      <c r="Z140" s="58"/>
      <c r="AA140" s="58"/>
    </row>
    <row r="141" spans="1:27" s="2" customFormat="1" ht="15.75" thickBot="1" x14ac:dyDescent="0.3">
      <c r="E141" s="31"/>
      <c r="F141" s="31"/>
      <c r="G141" s="39"/>
      <c r="H141" s="31"/>
      <c r="I141" s="32" t="s">
        <v>14</v>
      </c>
      <c r="J141" s="3">
        <f>COUNT(N3:P137)</f>
        <v>133</v>
      </c>
      <c r="K141" s="3"/>
      <c r="L141" s="3"/>
      <c r="M141" s="71" t="s">
        <v>15</v>
      </c>
      <c r="N141" s="6" t="s">
        <v>15</v>
      </c>
      <c r="O141" s="7" t="s">
        <v>15</v>
      </c>
      <c r="P141" s="5"/>
      <c r="T141" s="57"/>
      <c r="U141" s="57"/>
      <c r="V141" s="57"/>
      <c r="W141" s="57"/>
      <c r="X141" s="57"/>
      <c r="Y141" s="57"/>
      <c r="Z141" s="58"/>
      <c r="AA141" s="58"/>
    </row>
    <row r="142" spans="1:27" s="2" customFormat="1" ht="15.75" thickBot="1" x14ac:dyDescent="0.3">
      <c r="E142" s="31"/>
      <c r="F142" s="31"/>
      <c r="G142" s="39"/>
      <c r="H142" s="31"/>
      <c r="I142" s="32" t="s">
        <v>17</v>
      </c>
      <c r="J142" s="3">
        <f>COUNT(N3:N137)</f>
        <v>127</v>
      </c>
      <c r="K142" s="3"/>
      <c r="L142" s="3"/>
      <c r="M142" s="71">
        <f>AVERAGE(N3:N137)</f>
        <v>43.549737532615779</v>
      </c>
      <c r="N142" s="6">
        <f>MIN(N3:N137)</f>
        <v>35.399999998044223</v>
      </c>
      <c r="O142" s="7">
        <f>MAX(N3:N137)</f>
        <v>76.633333330973983</v>
      </c>
      <c r="P142" s="5"/>
      <c r="T142" s="57"/>
      <c r="U142" s="57"/>
      <c r="V142" s="57"/>
      <c r="W142" s="57"/>
      <c r="X142" s="57"/>
      <c r="Y142" s="57"/>
      <c r="Z142" s="58"/>
      <c r="AA142" s="58"/>
    </row>
    <row r="143" spans="1:27" s="2" customFormat="1" ht="15.75" thickBot="1" x14ac:dyDescent="0.3">
      <c r="B143"/>
      <c r="C143"/>
      <c r="D143"/>
      <c r="E143" s="14"/>
      <c r="F143" s="14"/>
      <c r="G143" s="40"/>
      <c r="H143" s="14"/>
      <c r="I143" s="33" t="s">
        <v>45</v>
      </c>
      <c r="J143" s="3">
        <f>COUNT(O3:O137)</f>
        <v>0</v>
      </c>
      <c r="K143" s="3"/>
      <c r="L143" s="3"/>
      <c r="M143" s="71">
        <f>IFERROR(AVERAGE(O3:O137),0)</f>
        <v>0</v>
      </c>
      <c r="N143" s="6">
        <f>MIN(O3:O137)</f>
        <v>0</v>
      </c>
      <c r="O143" s="7">
        <f>MAX(O3:O137)</f>
        <v>0</v>
      </c>
      <c r="P143" s="4"/>
      <c r="Q143"/>
      <c r="R143"/>
      <c r="S143"/>
      <c r="T143" s="55"/>
      <c r="U143" s="55"/>
      <c r="V143" s="55"/>
      <c r="W143" s="55"/>
      <c r="X143" s="55"/>
      <c r="Y143" s="55"/>
      <c r="Z143" s="56"/>
      <c r="AA143" s="56"/>
    </row>
    <row r="144" spans="1:27" s="2" customFormat="1" ht="15.75" thickBot="1" x14ac:dyDescent="0.3">
      <c r="B144"/>
      <c r="C144"/>
      <c r="D144"/>
      <c r="E144" s="14"/>
      <c r="F144" s="14"/>
      <c r="G144" s="40"/>
      <c r="H144" s="14"/>
      <c r="I144" s="34" t="s">
        <v>9</v>
      </c>
      <c r="J144" s="3">
        <f>COUNT(P3:P137)</f>
        <v>6</v>
      </c>
      <c r="K144" s="3"/>
      <c r="L144" s="3"/>
      <c r="M144" s="71" t="s">
        <v>15</v>
      </c>
      <c r="N144" s="6" t="s">
        <v>15</v>
      </c>
      <c r="O144" s="7" t="s">
        <v>15</v>
      </c>
      <c r="P144" s="4"/>
      <c r="Q144"/>
      <c r="R144"/>
      <c r="S144"/>
      <c r="T144" s="55"/>
      <c r="U144" s="55"/>
      <c r="V144" s="55"/>
      <c r="W144" s="55"/>
      <c r="X144" s="55"/>
      <c r="Y144" s="55"/>
      <c r="Z144" s="56"/>
      <c r="AA144" s="56"/>
    </row>
    <row r="145" spans="2:27" s="2" customFormat="1" ht="30.75" thickBot="1" x14ac:dyDescent="0.3">
      <c r="E145" s="31"/>
      <c r="F145" s="31"/>
      <c r="G145" s="39"/>
      <c r="H145" s="31"/>
      <c r="I145" s="32" t="s">
        <v>16</v>
      </c>
      <c r="J145" s="3">
        <f>COUNT(N3:O137)</f>
        <v>127</v>
      </c>
      <c r="K145" s="3"/>
      <c r="L145" s="3"/>
      <c r="M145" s="71">
        <f>AVERAGE(N3:P137)</f>
        <v>44.154761904593265</v>
      </c>
      <c r="N145" s="6">
        <f>MIN(N3:O137)</f>
        <v>35.399999998044223</v>
      </c>
      <c r="O145" s="7">
        <f>MAX(N3:O137)</f>
        <v>76.633333330973983</v>
      </c>
      <c r="P145" s="5"/>
      <c r="T145" s="57"/>
      <c r="U145" s="57"/>
      <c r="V145" s="57"/>
      <c r="W145" s="57"/>
      <c r="X145" s="57"/>
      <c r="Y145" s="57"/>
      <c r="Z145" s="58"/>
      <c r="AA145" s="58"/>
    </row>
    <row r="146" spans="2:27" s="2" customFormat="1" ht="30.75" thickBot="1" x14ac:dyDescent="0.3">
      <c r="B146"/>
      <c r="C146"/>
      <c r="D146"/>
      <c r="E146" s="14"/>
      <c r="F146" s="14"/>
      <c r="G146" s="40"/>
      <c r="H146" s="14"/>
      <c r="I146" s="32" t="s">
        <v>19</v>
      </c>
      <c r="J146" s="8">
        <f>J145/J141</f>
        <v>0.95488721804511278</v>
      </c>
      <c r="K146" s="8"/>
      <c r="L146" s="8"/>
      <c r="M146" s="1"/>
      <c r="N146" s="4"/>
      <c r="O146" s="4"/>
      <c r="P146" s="4"/>
      <c r="Q146"/>
      <c r="R146"/>
      <c r="S146"/>
      <c r="T146" s="55"/>
      <c r="U146" s="55"/>
      <c r="V146" s="55"/>
      <c r="W146" s="55"/>
      <c r="X146" s="55"/>
      <c r="Y146" s="55"/>
      <c r="Z146" s="56"/>
      <c r="AA146" s="56"/>
    </row>
    <row r="147" spans="2:27" s="2" customFormat="1" x14ac:dyDescent="0.25">
      <c r="B147"/>
      <c r="C147"/>
      <c r="D147"/>
      <c r="E147" s="14"/>
      <c r="F147" s="14"/>
      <c r="G147" s="40"/>
      <c r="H147" s="14"/>
      <c r="I147" s="14"/>
      <c r="J147"/>
      <c r="K147"/>
      <c r="L147" s="60"/>
      <c r="M147" s="1"/>
      <c r="N147" s="4"/>
      <c r="O147" s="4"/>
      <c r="P147" s="4"/>
      <c r="Q147"/>
      <c r="R147"/>
      <c r="S147"/>
      <c r="T147" s="55"/>
      <c r="U147" s="55"/>
      <c r="V147" s="55"/>
      <c r="W147" s="55"/>
      <c r="X147" s="55"/>
      <c r="Y147" s="55"/>
      <c r="Z147" s="56"/>
      <c r="AA147" s="56"/>
    </row>
    <row r="148" spans="2:27" s="2" customFormat="1" x14ac:dyDescent="0.25">
      <c r="B148"/>
      <c r="C148"/>
      <c r="D148"/>
      <c r="E148" s="14"/>
      <c r="F148" s="14"/>
      <c r="G148" s="40"/>
      <c r="H148" s="14"/>
      <c r="I148" s="14"/>
      <c r="J148"/>
      <c r="K148"/>
      <c r="L148" s="60"/>
      <c r="M148" s="1"/>
      <c r="N148" s="4"/>
      <c r="O148" s="4"/>
      <c r="P148" s="4"/>
      <c r="Q148"/>
      <c r="R148"/>
      <c r="S148"/>
      <c r="T148" s="55"/>
      <c r="U148" s="55"/>
      <c r="V148" s="55"/>
      <c r="W148" s="55"/>
      <c r="X148" s="55"/>
      <c r="Y148" s="55"/>
      <c r="Z148" s="56"/>
      <c r="AA148" s="56"/>
    </row>
    <row r="149" spans="2:27" s="2" customFormat="1" x14ac:dyDescent="0.25">
      <c r="B149"/>
      <c r="C149"/>
      <c r="D149"/>
      <c r="E149" s="14"/>
      <c r="F149" s="14"/>
      <c r="G149" s="40"/>
      <c r="H149" s="14"/>
      <c r="I149" s="14"/>
      <c r="J149"/>
      <c r="K149"/>
      <c r="L149" s="60"/>
      <c r="M149" s="1"/>
      <c r="N149" s="4"/>
      <c r="O149" s="4"/>
      <c r="P149" s="4"/>
      <c r="Q149"/>
      <c r="R149"/>
      <c r="S149"/>
      <c r="T149" s="55"/>
      <c r="U149" s="55"/>
      <c r="V149" s="55"/>
      <c r="W149" s="55"/>
      <c r="X149" s="55"/>
      <c r="Y149" s="55"/>
      <c r="Z149" s="56"/>
      <c r="AA149" s="56"/>
    </row>
    <row r="150" spans="2:27" s="2" customFormat="1" x14ac:dyDescent="0.25">
      <c r="B150"/>
      <c r="C150"/>
      <c r="D150"/>
      <c r="E150" s="14"/>
      <c r="F150" s="14"/>
      <c r="G150" s="40"/>
      <c r="H150" s="14"/>
      <c r="I150" s="14"/>
      <c r="J150"/>
      <c r="K150"/>
      <c r="L150" s="60"/>
      <c r="M150" s="1"/>
      <c r="N150" s="4"/>
      <c r="O150" s="4"/>
      <c r="P150" s="4"/>
      <c r="Q150"/>
      <c r="R150"/>
      <c r="S150"/>
      <c r="T150" s="55"/>
      <c r="U150" s="55"/>
      <c r="V150" s="55"/>
      <c r="W150" s="55"/>
      <c r="X150" s="55"/>
      <c r="Y150" s="55"/>
      <c r="Z150" s="56"/>
      <c r="AA150" s="56"/>
    </row>
    <row r="151" spans="2:27" s="2" customFormat="1" x14ac:dyDescent="0.25">
      <c r="B151"/>
      <c r="C151"/>
      <c r="D151"/>
      <c r="E151" s="14"/>
      <c r="F151" s="14"/>
      <c r="G151" s="40"/>
      <c r="H151" s="14"/>
      <c r="I151" s="14"/>
      <c r="J151"/>
      <c r="K151"/>
      <c r="L151" s="60"/>
      <c r="M151" s="1"/>
      <c r="N151" s="4"/>
      <c r="O151" s="4"/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4" spans="2:27" s="2" customFormat="1" x14ac:dyDescent="0.25">
      <c r="B154"/>
      <c r="C154"/>
      <c r="D154"/>
      <c r="E154" s="14"/>
      <c r="F154" s="14"/>
      <c r="G154" s="40"/>
      <c r="H154" s="14"/>
      <c r="I154" s="14"/>
      <c r="J154"/>
      <c r="K154"/>
      <c r="L154" s="60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</sheetData>
  <autoFilter ref="A2:AA137"/>
  <sortState ref="A3:Y144">
    <sortCondition ref="A3:A144"/>
  </sortState>
  <mergeCells count="4">
    <mergeCell ref="I139:J139"/>
    <mergeCell ref="M139:O139"/>
    <mergeCell ref="I140:J140"/>
    <mergeCell ref="A1:P1"/>
  </mergeCells>
  <conditionalFormatting sqref="U1:V1 U2 U3:V1048576">
    <cfRule type="cellIs" dxfId="8" priority="20" operator="equal">
      <formula>"Y"</formula>
    </cfRule>
  </conditionalFormatting>
  <conditionalFormatting sqref="V1 V3:V1048576">
    <cfRule type="cellIs" dxfId="7" priority="3" operator="greaterThan">
      <formula>1</formula>
    </cfRule>
  </conditionalFormatting>
  <conditionalFormatting sqref="A138:P138 A3:R137">
    <cfRule type="expression" dxfId="6" priority="34">
      <formula>$P3&gt;0</formula>
    </cfRule>
    <cfRule type="expression" dxfId="5" priority="35">
      <formula>$O3&gt;0</formula>
    </cfRule>
  </conditionalFormatting>
  <conditionalFormatting sqref="Q138:R138">
    <cfRule type="expression" dxfId="4" priority="76">
      <formula>$P138&gt;0</formula>
    </cfRule>
    <cfRule type="expression" dxfId="3" priority="77">
      <formula>$O157&gt;0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showGridLines="0" zoomScale="85" zoomScaleNormal="85" workbookViewId="0">
      <selection activeCell="A21" sqref="A21:K2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8" t="str">
        <f>"Eagle P3 Braking Events - "&amp;TEXT(Variables!$A$2,"YYYY-mm-dd")</f>
        <v>Eagle P3 Braking Events - 2016-05-16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42506.452037037037</v>
      </c>
      <c r="B3" s="22" t="s">
        <v>137</v>
      </c>
      <c r="C3" s="22" t="s">
        <v>282</v>
      </c>
      <c r="D3" s="22" t="s">
        <v>57</v>
      </c>
      <c r="E3" s="22" t="s">
        <v>150</v>
      </c>
      <c r="F3" s="22">
        <v>790</v>
      </c>
      <c r="G3" s="22">
        <v>863</v>
      </c>
      <c r="H3" s="22">
        <v>73761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STORY</v>
      </c>
      <c r="M3" s="20" t="s">
        <v>96</v>
      </c>
      <c r="N3" s="21"/>
    </row>
    <row r="4" spans="1:14" s="19" customFormat="1" x14ac:dyDescent="0.25">
      <c r="A4" s="23">
        <v>42506.520312499997</v>
      </c>
      <c r="B4" s="22" t="s">
        <v>137</v>
      </c>
      <c r="C4" s="22" t="s">
        <v>319</v>
      </c>
      <c r="D4" s="22" t="s">
        <v>57</v>
      </c>
      <c r="E4" s="22" t="s">
        <v>150</v>
      </c>
      <c r="F4" s="22">
        <v>790</v>
      </c>
      <c r="G4" s="22">
        <v>860</v>
      </c>
      <c r="H4" s="22">
        <v>97622</v>
      </c>
      <c r="I4" s="22" t="s">
        <v>61</v>
      </c>
      <c r="J4" s="22">
        <v>126678</v>
      </c>
      <c r="K4" s="21" t="s">
        <v>56</v>
      </c>
      <c r="L4" s="21" t="str">
        <f>VLOOKUP(C4,'Trips&amp;Operators'!$C$1:$E$9999,3,FALSE)</f>
        <v>RIVERA</v>
      </c>
      <c r="M4" s="20" t="s">
        <v>96</v>
      </c>
      <c r="N4" s="21"/>
    </row>
    <row r="5" spans="1:14" s="19" customFormat="1" x14ac:dyDescent="0.25">
      <c r="A5" s="23">
        <v>42506.783125000002</v>
      </c>
      <c r="B5" s="22" t="s">
        <v>65</v>
      </c>
      <c r="C5" s="22" t="s">
        <v>334</v>
      </c>
      <c r="D5" s="22" t="s">
        <v>52</v>
      </c>
      <c r="E5" s="22" t="s">
        <v>335</v>
      </c>
      <c r="F5" s="22">
        <v>0</v>
      </c>
      <c r="G5" s="22">
        <v>156</v>
      </c>
      <c r="H5" s="22">
        <v>104331</v>
      </c>
      <c r="I5" s="22" t="s">
        <v>336</v>
      </c>
      <c r="J5" s="22">
        <v>103800</v>
      </c>
      <c r="K5" s="21" t="s">
        <v>56</v>
      </c>
      <c r="L5" s="21" t="str">
        <f>VLOOKUP(C5,'Trips&amp;Operators'!$C$1:$E$9999,3,FALSE)</f>
        <v>ADANE</v>
      </c>
      <c r="M5" s="20" t="s">
        <v>96</v>
      </c>
      <c r="N5" s="21" t="s">
        <v>500</v>
      </c>
    </row>
    <row r="6" spans="1:14" s="19" customFormat="1" x14ac:dyDescent="0.25">
      <c r="A6" s="23">
        <v>42506.806342592594</v>
      </c>
      <c r="B6" s="22" t="s">
        <v>123</v>
      </c>
      <c r="C6" s="22" t="s">
        <v>338</v>
      </c>
      <c r="D6" s="22" t="s">
        <v>52</v>
      </c>
      <c r="E6" s="22" t="s">
        <v>335</v>
      </c>
      <c r="F6" s="22">
        <v>620</v>
      </c>
      <c r="G6" s="22">
        <v>688</v>
      </c>
      <c r="H6" s="22">
        <v>78905</v>
      </c>
      <c r="I6" s="22" t="s">
        <v>336</v>
      </c>
      <c r="J6" s="22">
        <v>78469</v>
      </c>
      <c r="K6" s="21" t="s">
        <v>56</v>
      </c>
      <c r="L6" s="21" t="str">
        <f>VLOOKUP(C6,'Trips&amp;Operators'!$C$1:$E$9999,3,FALSE)</f>
        <v>YORK</v>
      </c>
      <c r="M6" s="20" t="s">
        <v>96</v>
      </c>
      <c r="N6" s="21"/>
    </row>
    <row r="7" spans="1:14" s="19" customFormat="1" x14ac:dyDescent="0.25">
      <c r="A7" s="23">
        <v>42506.867465277777</v>
      </c>
      <c r="B7" s="22" t="s">
        <v>167</v>
      </c>
      <c r="C7" s="22" t="s">
        <v>340</v>
      </c>
      <c r="D7" s="22" t="s">
        <v>52</v>
      </c>
      <c r="E7" s="22" t="s">
        <v>335</v>
      </c>
      <c r="F7" s="22">
        <v>0</v>
      </c>
      <c r="G7" s="22">
        <v>163</v>
      </c>
      <c r="H7" s="22">
        <v>104539</v>
      </c>
      <c r="I7" s="22" t="s">
        <v>336</v>
      </c>
      <c r="J7" s="22">
        <v>103800</v>
      </c>
      <c r="K7" s="21" t="s">
        <v>56</v>
      </c>
      <c r="L7" s="21" t="str">
        <f>VLOOKUP(C7,'Trips&amp;Operators'!$C$1:$E$9999,3,FALSE)</f>
        <v>GOODNIGHT</v>
      </c>
      <c r="M7" s="20" t="s">
        <v>96</v>
      </c>
      <c r="N7" s="21" t="s">
        <v>500</v>
      </c>
    </row>
    <row r="8" spans="1:14" s="19" customFormat="1" x14ac:dyDescent="0.25">
      <c r="A8" s="23">
        <v>42506.326249999998</v>
      </c>
      <c r="B8" s="22" t="s">
        <v>162</v>
      </c>
      <c r="C8" s="22" t="s">
        <v>307</v>
      </c>
      <c r="D8" s="22" t="s">
        <v>52</v>
      </c>
      <c r="E8" s="22" t="s">
        <v>60</v>
      </c>
      <c r="F8" s="22">
        <v>150</v>
      </c>
      <c r="G8" s="22">
        <v>117</v>
      </c>
      <c r="H8" s="22">
        <v>231631</v>
      </c>
      <c r="I8" s="22" t="s">
        <v>61</v>
      </c>
      <c r="J8" s="22">
        <v>232107</v>
      </c>
      <c r="K8" s="21" t="s">
        <v>55</v>
      </c>
      <c r="L8" s="21" t="str">
        <f>VLOOKUP(C8,'Trips&amp;Operators'!$C$1:$E$9999,3,FALSE)</f>
        <v>MALAVE</v>
      </c>
      <c r="M8" s="20" t="s">
        <v>96</v>
      </c>
      <c r="N8" s="21"/>
    </row>
    <row r="9" spans="1:14" s="19" customFormat="1" x14ac:dyDescent="0.25">
      <c r="A9" s="23">
        <v>42506.378969907404</v>
      </c>
      <c r="B9" s="22" t="s">
        <v>162</v>
      </c>
      <c r="C9" s="22" t="s">
        <v>254</v>
      </c>
      <c r="D9" s="22" t="s">
        <v>52</v>
      </c>
      <c r="E9" s="22" t="s">
        <v>60</v>
      </c>
      <c r="F9" s="22">
        <v>300</v>
      </c>
      <c r="G9" s="22">
        <v>246</v>
      </c>
      <c r="H9" s="22">
        <v>19733</v>
      </c>
      <c r="I9" s="22" t="s">
        <v>61</v>
      </c>
      <c r="J9" s="22">
        <v>20338</v>
      </c>
      <c r="K9" s="21" t="s">
        <v>55</v>
      </c>
      <c r="L9" s="21" t="str">
        <f>VLOOKUP(C9,'Trips&amp;Operators'!$C$1:$E$9999,3,FALSE)</f>
        <v>MALAVE</v>
      </c>
      <c r="M9" s="20" t="s">
        <v>96</v>
      </c>
      <c r="N9" s="21"/>
    </row>
    <row r="10" spans="1:14" s="19" customFormat="1" x14ac:dyDescent="0.25">
      <c r="A10" s="23">
        <v>42506.389317129629</v>
      </c>
      <c r="B10" s="22" t="s">
        <v>64</v>
      </c>
      <c r="C10" s="22" t="s">
        <v>296</v>
      </c>
      <c r="D10" s="22" t="s">
        <v>52</v>
      </c>
      <c r="E10" s="22" t="s">
        <v>60</v>
      </c>
      <c r="F10" s="22">
        <v>150</v>
      </c>
      <c r="G10" s="22">
        <v>132</v>
      </c>
      <c r="H10" s="22">
        <v>231553</v>
      </c>
      <c r="I10" s="22" t="s">
        <v>61</v>
      </c>
      <c r="J10" s="22">
        <v>232107</v>
      </c>
      <c r="K10" s="21" t="s">
        <v>55</v>
      </c>
      <c r="L10" s="21" t="str">
        <f>VLOOKUP(C10,'Trips&amp;Operators'!$C$1:$E$9999,3,FALSE)</f>
        <v>LEVIN</v>
      </c>
      <c r="M10" s="20" t="s">
        <v>96</v>
      </c>
      <c r="N10" s="21"/>
    </row>
    <row r="11" spans="1:14" s="19" customFormat="1" x14ac:dyDescent="0.25">
      <c r="A11" s="23">
        <v>42506.389317129629</v>
      </c>
      <c r="B11" s="22" t="s">
        <v>64</v>
      </c>
      <c r="C11" s="22" t="s">
        <v>296</v>
      </c>
      <c r="D11" s="22" t="s">
        <v>52</v>
      </c>
      <c r="E11" s="22" t="s">
        <v>60</v>
      </c>
      <c r="F11" s="22">
        <v>150</v>
      </c>
      <c r="G11" s="22">
        <v>132</v>
      </c>
      <c r="H11" s="22">
        <v>231553</v>
      </c>
      <c r="I11" s="22" t="s">
        <v>61</v>
      </c>
      <c r="J11" s="22">
        <v>232107</v>
      </c>
      <c r="K11" s="21" t="s">
        <v>55</v>
      </c>
      <c r="L11" s="21" t="str">
        <f>VLOOKUP(C11,'Trips&amp;Operators'!$C$1:$E$9999,3,FALSE)</f>
        <v>LEVIN</v>
      </c>
      <c r="M11" s="20" t="s">
        <v>96</v>
      </c>
      <c r="N11" s="21"/>
    </row>
    <row r="12" spans="1:14" s="19" customFormat="1" x14ac:dyDescent="0.25">
      <c r="A12" s="23">
        <v>42506.431458333333</v>
      </c>
      <c r="B12" s="22" t="s">
        <v>158</v>
      </c>
      <c r="C12" s="22" t="s">
        <v>277</v>
      </c>
      <c r="D12" s="22" t="s">
        <v>52</v>
      </c>
      <c r="E12" s="22" t="s">
        <v>60</v>
      </c>
      <c r="F12" s="22">
        <v>150</v>
      </c>
      <c r="G12" s="22">
        <v>120</v>
      </c>
      <c r="H12" s="22">
        <v>231525</v>
      </c>
      <c r="I12" s="22" t="s">
        <v>61</v>
      </c>
      <c r="J12" s="22">
        <v>232107</v>
      </c>
      <c r="K12" s="21" t="s">
        <v>55</v>
      </c>
      <c r="L12" s="21" t="str">
        <f>VLOOKUP(C12,'Trips&amp;Operators'!$C$1:$E$9999,3,FALSE)</f>
        <v>ARNOLD</v>
      </c>
      <c r="M12" s="20" t="s">
        <v>96</v>
      </c>
      <c r="N12" s="21"/>
    </row>
    <row r="13" spans="1:14" s="19" customFormat="1" x14ac:dyDescent="0.25">
      <c r="A13" s="23">
        <v>42506.476597222223</v>
      </c>
      <c r="B13" s="22" t="s">
        <v>164</v>
      </c>
      <c r="C13" s="22" t="s">
        <v>283</v>
      </c>
      <c r="D13" s="22" t="s">
        <v>52</v>
      </c>
      <c r="E13" s="22" t="s">
        <v>60</v>
      </c>
      <c r="F13" s="22">
        <v>300</v>
      </c>
      <c r="G13" s="22">
        <v>473</v>
      </c>
      <c r="H13" s="22">
        <v>23976</v>
      </c>
      <c r="I13" s="22" t="s">
        <v>61</v>
      </c>
      <c r="J13" s="22">
        <v>21848</v>
      </c>
      <c r="K13" s="21" t="s">
        <v>56</v>
      </c>
      <c r="L13" s="21" t="str">
        <f>VLOOKUP(C13,'Trips&amp;Operators'!$C$1:$E$9999,3,FALSE)</f>
        <v>LEDERHAUSE</v>
      </c>
      <c r="M13" s="20" t="s">
        <v>96</v>
      </c>
      <c r="N13" s="21"/>
    </row>
    <row r="14" spans="1:14" s="19" customFormat="1" x14ac:dyDescent="0.25">
      <c r="A14" s="23">
        <v>42506.493506944447</v>
      </c>
      <c r="B14" s="22" t="s">
        <v>159</v>
      </c>
      <c r="C14" s="22" t="s">
        <v>309</v>
      </c>
      <c r="D14" s="22" t="s">
        <v>52</v>
      </c>
      <c r="E14" s="22" t="s">
        <v>60</v>
      </c>
      <c r="F14" s="22">
        <v>300</v>
      </c>
      <c r="G14" s="22">
        <v>268</v>
      </c>
      <c r="H14" s="22">
        <v>19807</v>
      </c>
      <c r="I14" s="22" t="s">
        <v>61</v>
      </c>
      <c r="J14" s="22">
        <v>20338</v>
      </c>
      <c r="K14" s="21" t="s">
        <v>55</v>
      </c>
      <c r="L14" s="21" t="str">
        <f>VLOOKUP(C14,'Trips&amp;Operators'!$C$1:$E$9999,3,FALSE)</f>
        <v>LOCKLEAR</v>
      </c>
      <c r="M14" s="20" t="s">
        <v>96</v>
      </c>
      <c r="N14" s="21"/>
    </row>
    <row r="15" spans="1:14" s="19" customFormat="1" x14ac:dyDescent="0.25">
      <c r="A15" s="23">
        <v>42506.534270833334</v>
      </c>
      <c r="B15" s="22" t="s">
        <v>164</v>
      </c>
      <c r="C15" s="22" t="s">
        <v>321</v>
      </c>
      <c r="D15" s="22" t="s">
        <v>57</v>
      </c>
      <c r="E15" s="22" t="s">
        <v>60</v>
      </c>
      <c r="F15" s="22">
        <v>700</v>
      </c>
      <c r="G15" s="22">
        <v>750</v>
      </c>
      <c r="H15" s="22">
        <v>179402</v>
      </c>
      <c r="I15" s="22" t="s">
        <v>61</v>
      </c>
      <c r="J15" s="22">
        <v>183829</v>
      </c>
      <c r="K15" s="21" t="s">
        <v>56</v>
      </c>
      <c r="L15" s="21" t="str">
        <f>VLOOKUP(C15,'Trips&amp;Operators'!$C$1:$E$9999,3,FALSE)</f>
        <v>LOCKLEAR</v>
      </c>
      <c r="M15" s="20" t="s">
        <v>96</v>
      </c>
      <c r="N15" s="21"/>
    </row>
    <row r="16" spans="1:14" s="19" customFormat="1" x14ac:dyDescent="0.25">
      <c r="A16" s="23">
        <v>42506.549120370371</v>
      </c>
      <c r="B16" s="22" t="s">
        <v>164</v>
      </c>
      <c r="C16" s="22" t="s">
        <v>321</v>
      </c>
      <c r="D16" s="22" t="s">
        <v>52</v>
      </c>
      <c r="E16" s="22" t="s">
        <v>60</v>
      </c>
      <c r="F16" s="22">
        <v>200</v>
      </c>
      <c r="G16" s="22">
        <v>231</v>
      </c>
      <c r="H16" s="22">
        <v>31173</v>
      </c>
      <c r="I16" s="22" t="s">
        <v>61</v>
      </c>
      <c r="J16" s="22">
        <v>30562</v>
      </c>
      <c r="K16" s="21" t="s">
        <v>56</v>
      </c>
      <c r="L16" s="21" t="str">
        <f>VLOOKUP(C16,'Trips&amp;Operators'!$C$1:$E$9999,3,FALSE)</f>
        <v>LOCKLEAR</v>
      </c>
      <c r="M16" s="20" t="s">
        <v>96</v>
      </c>
      <c r="N16" s="21"/>
    </row>
    <row r="17" spans="1:14" s="19" customFormat="1" x14ac:dyDescent="0.25">
      <c r="A17" s="23">
        <v>42506.569675925923</v>
      </c>
      <c r="B17" s="22" t="s">
        <v>65</v>
      </c>
      <c r="C17" s="22" t="s">
        <v>323</v>
      </c>
      <c r="D17" s="22" t="s">
        <v>52</v>
      </c>
      <c r="E17" s="22" t="s">
        <v>60</v>
      </c>
      <c r="F17" s="22">
        <v>200</v>
      </c>
      <c r="G17" s="22">
        <v>234</v>
      </c>
      <c r="H17" s="22">
        <v>30777</v>
      </c>
      <c r="I17" s="22" t="s">
        <v>61</v>
      </c>
      <c r="J17" s="22">
        <v>30562</v>
      </c>
      <c r="K17" s="21" t="s">
        <v>56</v>
      </c>
      <c r="L17" s="21" t="str">
        <f>VLOOKUP(C17,'Trips&amp;Operators'!$C$1:$E$9999,3,FALSE)</f>
        <v>ADANE</v>
      </c>
      <c r="M17" s="20" t="s">
        <v>96</v>
      </c>
      <c r="N17" s="21"/>
    </row>
    <row r="18" spans="1:14" s="19" customFormat="1" x14ac:dyDescent="0.25">
      <c r="A18" s="23">
        <v>42506.745196759257</v>
      </c>
      <c r="B18" s="22" t="s">
        <v>162</v>
      </c>
      <c r="C18" s="22" t="s">
        <v>331</v>
      </c>
      <c r="D18" s="22" t="s">
        <v>52</v>
      </c>
      <c r="E18" s="22" t="s">
        <v>60</v>
      </c>
      <c r="F18" s="22">
        <v>200</v>
      </c>
      <c r="G18" s="22">
        <v>217</v>
      </c>
      <c r="H18" s="22">
        <v>27240</v>
      </c>
      <c r="I18" s="22" t="s">
        <v>61</v>
      </c>
      <c r="J18" s="22">
        <v>27333</v>
      </c>
      <c r="K18" s="21" t="s">
        <v>55</v>
      </c>
      <c r="L18" s="21" t="str">
        <f>VLOOKUP(C18,'Trips&amp;Operators'!$C$1:$E$9999,3,FALSE)</f>
        <v>GOODNIGHT</v>
      </c>
      <c r="M18" s="20" t="s">
        <v>96</v>
      </c>
      <c r="N18" s="21"/>
    </row>
    <row r="19" spans="1:14" s="19" customFormat="1" x14ac:dyDescent="0.25">
      <c r="A19" s="23">
        <v>42506.767071759263</v>
      </c>
      <c r="B19" s="22" t="s">
        <v>164</v>
      </c>
      <c r="C19" s="22" t="s">
        <v>333</v>
      </c>
      <c r="D19" s="22" t="s">
        <v>52</v>
      </c>
      <c r="E19" s="22" t="s">
        <v>60</v>
      </c>
      <c r="F19" s="22">
        <v>200</v>
      </c>
      <c r="G19" s="22">
        <v>239</v>
      </c>
      <c r="H19" s="22">
        <v>31056</v>
      </c>
      <c r="I19" s="22" t="s">
        <v>61</v>
      </c>
      <c r="J19" s="22">
        <v>30562</v>
      </c>
      <c r="K19" s="21" t="s">
        <v>56</v>
      </c>
      <c r="L19" s="21" t="str">
        <f>VLOOKUP(C19,'Trips&amp;Operators'!$C$1:$E$9999,3,FALSE)</f>
        <v>LOCKLEAR</v>
      </c>
      <c r="M19" s="20" t="s">
        <v>96</v>
      </c>
      <c r="N19" s="21"/>
    </row>
    <row r="20" spans="1:14" s="19" customFormat="1" x14ac:dyDescent="0.25">
      <c r="A20" s="23">
        <v>42506.887696759259</v>
      </c>
      <c r="B20" s="22" t="s">
        <v>167</v>
      </c>
      <c r="C20" s="22" t="s">
        <v>340</v>
      </c>
      <c r="D20" s="22" t="s">
        <v>52</v>
      </c>
      <c r="E20" s="22" t="s">
        <v>60</v>
      </c>
      <c r="F20" s="22">
        <v>450</v>
      </c>
      <c r="G20" s="22">
        <v>451</v>
      </c>
      <c r="H20" s="22">
        <v>58164</v>
      </c>
      <c r="I20" s="22" t="s">
        <v>61</v>
      </c>
      <c r="J20" s="22">
        <v>57801</v>
      </c>
      <c r="K20" s="21" t="s">
        <v>56</v>
      </c>
      <c r="L20" s="21" t="str">
        <f>VLOOKUP(C20,'Trips&amp;Operators'!$C$1:$E$9999,3,FALSE)</f>
        <v>GOODNIGHT</v>
      </c>
      <c r="M20" s="20" t="s">
        <v>96</v>
      </c>
      <c r="N20" s="21"/>
    </row>
    <row r="21" spans="1:14" s="19" customFormat="1" x14ac:dyDescent="0.25">
      <c r="A21" s="23">
        <v>42506.497604166667</v>
      </c>
      <c r="B21" s="22" t="s">
        <v>158</v>
      </c>
      <c r="C21" s="22" t="s">
        <v>253</v>
      </c>
      <c r="D21" s="22" t="s">
        <v>57</v>
      </c>
      <c r="E21" s="22" t="s">
        <v>58</v>
      </c>
      <c r="F21" s="22">
        <v>0</v>
      </c>
      <c r="G21" s="22">
        <v>696</v>
      </c>
      <c r="H21" s="22">
        <v>149702</v>
      </c>
      <c r="I21" s="22" t="s">
        <v>59</v>
      </c>
      <c r="J21" s="22">
        <v>149694</v>
      </c>
      <c r="K21" s="21" t="s">
        <v>55</v>
      </c>
      <c r="L21" s="21" t="str">
        <f>VLOOKUP(C21,'Trips&amp;Operators'!$C$1:$E$9999,3,FALSE)</f>
        <v>DE LA ROSA</v>
      </c>
      <c r="M21" s="20" t="s">
        <v>424</v>
      </c>
      <c r="N21" s="21" t="s">
        <v>501</v>
      </c>
    </row>
    <row r="22" spans="1:14" s="19" customFormat="1" x14ac:dyDescent="0.25">
      <c r="A22" s="23">
        <v>42506.899016203701</v>
      </c>
      <c r="B22" s="22" t="s">
        <v>278</v>
      </c>
      <c r="C22" s="22" t="s">
        <v>341</v>
      </c>
      <c r="D22" s="22" t="s">
        <v>52</v>
      </c>
      <c r="E22" s="22" t="s">
        <v>58</v>
      </c>
      <c r="F22" s="22">
        <v>0</v>
      </c>
      <c r="G22" s="22">
        <v>48</v>
      </c>
      <c r="H22" s="22">
        <v>58123</v>
      </c>
      <c r="I22" s="22" t="s">
        <v>59</v>
      </c>
      <c r="J22" s="22">
        <v>57897</v>
      </c>
      <c r="K22" s="21" t="s">
        <v>56</v>
      </c>
      <c r="L22" s="21" t="str">
        <f>VLOOKUP(C22,'Trips&amp;Operators'!$C$1:$E$9999,3,FALSE)</f>
        <v>CANFIELD</v>
      </c>
      <c r="M22" s="20" t="s">
        <v>424</v>
      </c>
      <c r="N22" s="21" t="s">
        <v>504</v>
      </c>
    </row>
    <row r="23" spans="1:14" s="19" customFormat="1" x14ac:dyDescent="0.25">
      <c r="A23" s="23">
        <v>42506.954884259256</v>
      </c>
      <c r="B23" s="22" t="s">
        <v>162</v>
      </c>
      <c r="C23" s="22" t="s">
        <v>342</v>
      </c>
      <c r="D23" s="22" t="s">
        <v>52</v>
      </c>
      <c r="E23" s="22" t="s">
        <v>58</v>
      </c>
      <c r="F23" s="22">
        <v>0</v>
      </c>
      <c r="G23" s="22">
        <v>127</v>
      </c>
      <c r="H23" s="22">
        <v>5170</v>
      </c>
      <c r="I23" s="22" t="s">
        <v>59</v>
      </c>
      <c r="J23" s="22">
        <v>4677</v>
      </c>
      <c r="K23" s="21" t="s">
        <v>56</v>
      </c>
      <c r="L23" s="21" t="str">
        <f>VLOOKUP(C23,'Trips&amp;Operators'!$C$1:$E$9999,3,FALSE)</f>
        <v>GOODNIGHT</v>
      </c>
      <c r="M23" s="20" t="s">
        <v>424</v>
      </c>
      <c r="N23" s="21" t="s">
        <v>502</v>
      </c>
    </row>
    <row r="24" spans="1:14" s="19" customFormat="1" x14ac:dyDescent="0.25">
      <c r="A24" s="23">
        <v>42506.955034722225</v>
      </c>
      <c r="B24" s="22" t="s">
        <v>162</v>
      </c>
      <c r="C24" s="22" t="s">
        <v>342</v>
      </c>
      <c r="D24" s="22" t="s">
        <v>57</v>
      </c>
      <c r="E24" s="22" t="s">
        <v>58</v>
      </c>
      <c r="F24" s="22">
        <v>0</v>
      </c>
      <c r="G24" s="22">
        <v>3</v>
      </c>
      <c r="H24" s="22">
        <v>1049</v>
      </c>
      <c r="I24" s="22" t="s">
        <v>59</v>
      </c>
      <c r="J24" s="22">
        <v>2822</v>
      </c>
      <c r="K24" s="21" t="s">
        <v>56</v>
      </c>
      <c r="L24" s="21" t="str">
        <f>VLOOKUP(C24,'Trips&amp;Operators'!$C$1:$E$9999,3,FALSE)</f>
        <v>GOODNIGHT</v>
      </c>
      <c r="M24" s="20" t="s">
        <v>424</v>
      </c>
      <c r="N24" s="21" t="s">
        <v>503</v>
      </c>
    </row>
    <row r="25" spans="1:14" s="19" customFormat="1" x14ac:dyDescent="0.25">
      <c r="A25" s="23">
        <v>42506.91300925926</v>
      </c>
      <c r="B25" s="22" t="s">
        <v>162</v>
      </c>
      <c r="C25" s="22" t="s">
        <v>342</v>
      </c>
      <c r="D25" s="22" t="s">
        <v>52</v>
      </c>
      <c r="E25" s="22" t="s">
        <v>343</v>
      </c>
      <c r="F25" s="22">
        <v>400</v>
      </c>
      <c r="G25" s="22">
        <v>384</v>
      </c>
      <c r="H25" s="22">
        <v>6564</v>
      </c>
      <c r="I25" s="22" t="s">
        <v>336</v>
      </c>
      <c r="J25" s="22">
        <v>6800</v>
      </c>
      <c r="K25" s="21" t="s">
        <v>55</v>
      </c>
      <c r="L25" s="21" t="str">
        <f>VLOOKUP(C25,'Trips&amp;Operators'!$C$1:$E$9999,3,FALSE)</f>
        <v>GOODNIGHT</v>
      </c>
      <c r="M25" s="20" t="s">
        <v>96</v>
      </c>
      <c r="N25" s="21"/>
    </row>
    <row r="26" spans="1:14" s="19" customFormat="1" x14ac:dyDescent="0.25">
      <c r="A26" s="23">
        <v>42506.203159722223</v>
      </c>
      <c r="B26" s="22" t="s">
        <v>135</v>
      </c>
      <c r="C26" s="22" t="s">
        <v>298</v>
      </c>
      <c r="D26" s="22" t="s">
        <v>52</v>
      </c>
      <c r="E26" s="22" t="s">
        <v>53</v>
      </c>
      <c r="F26" s="22">
        <v>0</v>
      </c>
      <c r="G26" s="22">
        <v>8</v>
      </c>
      <c r="H26" s="22">
        <v>233346</v>
      </c>
      <c r="I26" s="22" t="s">
        <v>54</v>
      </c>
      <c r="J26" s="22">
        <v>233491</v>
      </c>
      <c r="K26" s="21" t="s">
        <v>55</v>
      </c>
      <c r="L26" s="21" t="str">
        <f>VLOOKUP(C26,'Trips&amp;Operators'!$C$1:$E$9999,3,FALSE)</f>
        <v>STORY</v>
      </c>
      <c r="M26" s="20" t="s">
        <v>96</v>
      </c>
      <c r="N26" s="21"/>
    </row>
    <row r="27" spans="1:14" s="19" customFormat="1" x14ac:dyDescent="0.25">
      <c r="A27" s="23">
        <v>42506.23333333333</v>
      </c>
      <c r="B27" s="22" t="s">
        <v>255</v>
      </c>
      <c r="C27" s="22" t="s">
        <v>297</v>
      </c>
      <c r="D27" s="22" t="s">
        <v>52</v>
      </c>
      <c r="E27" s="22" t="s">
        <v>53</v>
      </c>
      <c r="F27" s="22">
        <v>0</v>
      </c>
      <c r="G27" s="22">
        <v>8</v>
      </c>
      <c r="H27" s="22">
        <v>233326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CHANDLER</v>
      </c>
      <c r="M27" s="20" t="s">
        <v>96</v>
      </c>
      <c r="N27" s="21"/>
    </row>
    <row r="28" spans="1:14" s="19" customFormat="1" x14ac:dyDescent="0.25">
      <c r="A28" s="23">
        <v>42506.253553240742</v>
      </c>
      <c r="B28" s="22" t="s">
        <v>162</v>
      </c>
      <c r="C28" s="22" t="s">
        <v>314</v>
      </c>
      <c r="D28" s="22" t="s">
        <v>52</v>
      </c>
      <c r="E28" s="22" t="s">
        <v>53</v>
      </c>
      <c r="F28" s="22">
        <v>0</v>
      </c>
      <c r="G28" s="22">
        <v>5</v>
      </c>
      <c r="H28" s="22">
        <v>233320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MALAVE</v>
      </c>
      <c r="M28" s="20" t="s">
        <v>96</v>
      </c>
      <c r="N28" s="21"/>
    </row>
    <row r="29" spans="1:14" s="19" customFormat="1" x14ac:dyDescent="0.25">
      <c r="A29" s="23">
        <v>42506.274895833332</v>
      </c>
      <c r="B29" s="22" t="s">
        <v>135</v>
      </c>
      <c r="C29" s="22" t="s">
        <v>308</v>
      </c>
      <c r="D29" s="22" t="s">
        <v>52</v>
      </c>
      <c r="E29" s="22" t="s">
        <v>53</v>
      </c>
      <c r="F29" s="22">
        <v>0</v>
      </c>
      <c r="G29" s="22">
        <v>6</v>
      </c>
      <c r="H29" s="22">
        <v>233328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STORY</v>
      </c>
      <c r="M29" s="20" t="s">
        <v>96</v>
      </c>
      <c r="N29" s="21"/>
    </row>
    <row r="30" spans="1:14" s="19" customFormat="1" x14ac:dyDescent="0.25">
      <c r="A30" s="23">
        <v>42506.327233796299</v>
      </c>
      <c r="B30" s="22" t="s">
        <v>162</v>
      </c>
      <c r="C30" s="22" t="s">
        <v>307</v>
      </c>
      <c r="D30" s="22" t="s">
        <v>52</v>
      </c>
      <c r="E30" s="22" t="s">
        <v>53</v>
      </c>
      <c r="F30" s="22">
        <v>0</v>
      </c>
      <c r="G30" s="22">
        <v>8</v>
      </c>
      <c r="H30" s="22">
        <v>233334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MALAVE</v>
      </c>
      <c r="M30" s="20" t="s">
        <v>96</v>
      </c>
      <c r="N30" s="21"/>
    </row>
    <row r="31" spans="1:14" s="19" customFormat="1" x14ac:dyDescent="0.25">
      <c r="A31" s="23">
        <v>42506.337337962963</v>
      </c>
      <c r="B31" s="22" t="s">
        <v>122</v>
      </c>
      <c r="C31" s="22" t="s">
        <v>270</v>
      </c>
      <c r="D31" s="22" t="s">
        <v>52</v>
      </c>
      <c r="E31" s="22" t="s">
        <v>53</v>
      </c>
      <c r="F31" s="22">
        <v>0</v>
      </c>
      <c r="G31" s="22">
        <v>8</v>
      </c>
      <c r="H31" s="22">
        <v>233326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REBOLETTI</v>
      </c>
      <c r="M31" s="20" t="s">
        <v>96</v>
      </c>
      <c r="N31" s="21"/>
    </row>
    <row r="32" spans="1:14" s="19" customFormat="1" x14ac:dyDescent="0.25">
      <c r="A32" s="23">
        <v>42506.366215277776</v>
      </c>
      <c r="B32" s="22" t="s">
        <v>248</v>
      </c>
      <c r="C32" s="22" t="s">
        <v>315</v>
      </c>
      <c r="D32" s="22" t="s">
        <v>52</v>
      </c>
      <c r="E32" s="22" t="s">
        <v>53</v>
      </c>
      <c r="F32" s="22">
        <v>0</v>
      </c>
      <c r="G32" s="22">
        <v>4</v>
      </c>
      <c r="H32" s="22">
        <v>116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MALAVE</v>
      </c>
      <c r="M32" s="20" t="s">
        <v>96</v>
      </c>
      <c r="N32" s="21"/>
    </row>
    <row r="33" spans="1:14" s="19" customFormat="1" x14ac:dyDescent="0.25">
      <c r="A33" s="23">
        <v>42506.377256944441</v>
      </c>
      <c r="B33" s="22" t="s">
        <v>123</v>
      </c>
      <c r="C33" s="22" t="s">
        <v>264</v>
      </c>
      <c r="D33" s="22" t="s">
        <v>52</v>
      </c>
      <c r="E33" s="22" t="s">
        <v>53</v>
      </c>
      <c r="F33" s="22">
        <v>0</v>
      </c>
      <c r="G33" s="22">
        <v>8</v>
      </c>
      <c r="H33" s="22">
        <v>118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REBOLETTI</v>
      </c>
      <c r="M33" s="20" t="s">
        <v>96</v>
      </c>
      <c r="N33" s="21"/>
    </row>
    <row r="34" spans="1:14" s="19" customFormat="1" x14ac:dyDescent="0.25">
      <c r="A34" s="23">
        <v>42506.37871527778</v>
      </c>
      <c r="B34" s="22" t="s">
        <v>255</v>
      </c>
      <c r="C34" s="22" t="s">
        <v>299</v>
      </c>
      <c r="D34" s="22" t="s">
        <v>52</v>
      </c>
      <c r="E34" s="22" t="s">
        <v>53</v>
      </c>
      <c r="F34" s="22">
        <v>0</v>
      </c>
      <c r="G34" s="22">
        <v>9</v>
      </c>
      <c r="H34" s="22">
        <v>233326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CHANDLER</v>
      </c>
      <c r="M34" s="20" t="s">
        <v>96</v>
      </c>
      <c r="N34" s="21"/>
    </row>
    <row r="35" spans="1:14" s="19" customFormat="1" x14ac:dyDescent="0.25">
      <c r="A35" s="23">
        <v>42506.39912037037</v>
      </c>
      <c r="B35" s="22" t="s">
        <v>162</v>
      </c>
      <c r="C35" s="22" t="s">
        <v>254</v>
      </c>
      <c r="D35" s="22" t="s">
        <v>52</v>
      </c>
      <c r="E35" s="22" t="s">
        <v>53</v>
      </c>
      <c r="F35" s="22">
        <v>0</v>
      </c>
      <c r="G35" s="22">
        <v>155</v>
      </c>
      <c r="H35" s="22">
        <v>232785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MALAVE</v>
      </c>
      <c r="M35" s="20" t="s">
        <v>96</v>
      </c>
      <c r="N35" s="21"/>
    </row>
    <row r="36" spans="1:14" s="19" customFormat="1" x14ac:dyDescent="0.25">
      <c r="A36" s="23">
        <v>42506.399664351855</v>
      </c>
      <c r="B36" s="22" t="s">
        <v>162</v>
      </c>
      <c r="C36" s="22" t="s">
        <v>254</v>
      </c>
      <c r="D36" s="22" t="s">
        <v>52</v>
      </c>
      <c r="E36" s="22" t="s">
        <v>53</v>
      </c>
      <c r="F36" s="22">
        <v>0</v>
      </c>
      <c r="G36" s="22">
        <v>56</v>
      </c>
      <c r="H36" s="22">
        <v>233280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MALAVE</v>
      </c>
      <c r="M36" s="20" t="s">
        <v>96</v>
      </c>
      <c r="N36" s="21"/>
    </row>
    <row r="37" spans="1:14" s="19" customFormat="1" x14ac:dyDescent="0.25">
      <c r="A37" s="23">
        <v>42506.472361111111</v>
      </c>
      <c r="B37" s="22" t="s">
        <v>162</v>
      </c>
      <c r="C37" s="22" t="s">
        <v>275</v>
      </c>
      <c r="D37" s="22" t="s">
        <v>52</v>
      </c>
      <c r="E37" s="22" t="s">
        <v>53</v>
      </c>
      <c r="F37" s="22">
        <v>0</v>
      </c>
      <c r="G37" s="22">
        <v>7</v>
      </c>
      <c r="H37" s="22">
        <v>231461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BRUDER</v>
      </c>
      <c r="M37" s="20" t="s">
        <v>96</v>
      </c>
      <c r="N37" s="21"/>
    </row>
    <row r="38" spans="1:14" s="19" customFormat="1" x14ac:dyDescent="0.25">
      <c r="A38" s="23">
        <v>42506.481307870374</v>
      </c>
      <c r="B38" s="22" t="s">
        <v>164</v>
      </c>
      <c r="C38" s="22" t="s">
        <v>283</v>
      </c>
      <c r="D38" s="22" t="s">
        <v>52</v>
      </c>
      <c r="E38" s="22" t="s">
        <v>53</v>
      </c>
      <c r="F38" s="22">
        <v>0</v>
      </c>
      <c r="G38" s="22">
        <v>49</v>
      </c>
      <c r="H38" s="22">
        <v>181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LEDERHAUSE</v>
      </c>
      <c r="M38" s="20" t="s">
        <v>96</v>
      </c>
      <c r="N38" s="21"/>
    </row>
    <row r="39" spans="1:14" s="19" customFormat="1" x14ac:dyDescent="0.25">
      <c r="A39" s="23">
        <v>42506.482754629629</v>
      </c>
      <c r="B39" s="22" t="s">
        <v>122</v>
      </c>
      <c r="C39" s="22" t="s">
        <v>251</v>
      </c>
      <c r="D39" s="22" t="s">
        <v>52</v>
      </c>
      <c r="E39" s="22" t="s">
        <v>53</v>
      </c>
      <c r="F39" s="22">
        <v>0</v>
      </c>
      <c r="G39" s="22">
        <v>9</v>
      </c>
      <c r="H39" s="22">
        <v>233332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MALAVE</v>
      </c>
      <c r="M39" s="20" t="s">
        <v>96</v>
      </c>
      <c r="N39" s="21"/>
    </row>
    <row r="40" spans="1:14" s="19" customFormat="1" x14ac:dyDescent="0.25">
      <c r="A40" s="23">
        <v>42506.522916666669</v>
      </c>
      <c r="B40" s="22" t="s">
        <v>123</v>
      </c>
      <c r="C40" s="22" t="s">
        <v>320</v>
      </c>
      <c r="D40" s="22" t="s">
        <v>52</v>
      </c>
      <c r="E40" s="22" t="s">
        <v>53</v>
      </c>
      <c r="F40" s="22">
        <v>0</v>
      </c>
      <c r="G40" s="22">
        <v>7</v>
      </c>
      <c r="H40" s="22">
        <v>134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MALAVE</v>
      </c>
      <c r="M40" s="20" t="s">
        <v>96</v>
      </c>
      <c r="N40" s="21"/>
    </row>
    <row r="41" spans="1:14" s="19" customFormat="1" x14ac:dyDescent="0.25">
      <c r="A41" s="23">
        <v>42506.564814814818</v>
      </c>
      <c r="B41" s="22" t="s">
        <v>249</v>
      </c>
      <c r="C41" s="22" t="s">
        <v>322</v>
      </c>
      <c r="D41" s="22" t="s">
        <v>52</v>
      </c>
      <c r="E41" s="22" t="s">
        <v>53</v>
      </c>
      <c r="F41" s="22">
        <v>0</v>
      </c>
      <c r="G41" s="22">
        <v>52</v>
      </c>
      <c r="H41" s="22">
        <v>165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ACKERMAN</v>
      </c>
      <c r="M41" s="20" t="s">
        <v>96</v>
      </c>
      <c r="N41" s="21"/>
    </row>
    <row r="42" spans="1:14" s="19" customFormat="1" x14ac:dyDescent="0.25">
      <c r="A42" s="23">
        <v>42506.606238425928</v>
      </c>
      <c r="B42" s="22" t="s">
        <v>137</v>
      </c>
      <c r="C42" s="22" t="s">
        <v>324</v>
      </c>
      <c r="D42" s="22" t="s">
        <v>52</v>
      </c>
      <c r="E42" s="22" t="s">
        <v>53</v>
      </c>
      <c r="F42" s="22">
        <v>0</v>
      </c>
      <c r="G42" s="22">
        <v>8</v>
      </c>
      <c r="H42" s="22">
        <v>123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RIVERA</v>
      </c>
      <c r="M42" s="20" t="s">
        <v>96</v>
      </c>
      <c r="N42" s="21"/>
    </row>
    <row r="43" spans="1:14" s="19" customFormat="1" x14ac:dyDescent="0.25">
      <c r="A43" s="23">
        <v>42506.617696759262</v>
      </c>
      <c r="B43" s="22" t="s">
        <v>161</v>
      </c>
      <c r="C43" s="22" t="s">
        <v>325</v>
      </c>
      <c r="D43" s="22" t="s">
        <v>52</v>
      </c>
      <c r="E43" s="22" t="s">
        <v>53</v>
      </c>
      <c r="F43" s="22">
        <v>0</v>
      </c>
      <c r="G43" s="22">
        <v>6</v>
      </c>
      <c r="H43" s="22">
        <v>132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DE LA ROSA</v>
      </c>
      <c r="M43" s="20" t="s">
        <v>96</v>
      </c>
      <c r="N43" s="21"/>
    </row>
    <row r="44" spans="1:14" s="19" customFormat="1" x14ac:dyDescent="0.25">
      <c r="A44" s="23">
        <v>42506.679583333331</v>
      </c>
      <c r="B44" s="22" t="s">
        <v>137</v>
      </c>
      <c r="C44" s="22" t="s">
        <v>326</v>
      </c>
      <c r="D44" s="22" t="s">
        <v>52</v>
      </c>
      <c r="E44" s="22" t="s">
        <v>53</v>
      </c>
      <c r="F44" s="22">
        <v>0</v>
      </c>
      <c r="G44" s="22">
        <v>9</v>
      </c>
      <c r="H44" s="22">
        <v>896</v>
      </c>
      <c r="I44" s="22" t="s">
        <v>54</v>
      </c>
      <c r="J44" s="22">
        <v>839</v>
      </c>
      <c r="K44" s="21" t="s">
        <v>56</v>
      </c>
      <c r="L44" s="21" t="str">
        <f>VLOOKUP(C44,'Trips&amp;Operators'!$C$1:$E$9999,3,FALSE)</f>
        <v>RIVERA</v>
      </c>
      <c r="M44" s="20" t="s">
        <v>96</v>
      </c>
      <c r="N44" s="21"/>
    </row>
    <row r="45" spans="1:14" s="19" customFormat="1" x14ac:dyDescent="0.25">
      <c r="A45" s="23">
        <v>42506.703541666669</v>
      </c>
      <c r="B45" s="22" t="s">
        <v>122</v>
      </c>
      <c r="C45" s="22" t="s">
        <v>327</v>
      </c>
      <c r="D45" s="22" t="s">
        <v>52</v>
      </c>
      <c r="E45" s="22" t="s">
        <v>53</v>
      </c>
      <c r="F45" s="22">
        <v>0</v>
      </c>
      <c r="G45" s="22">
        <v>4</v>
      </c>
      <c r="H45" s="22">
        <v>233325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YORK</v>
      </c>
      <c r="M45" s="20" t="s">
        <v>96</v>
      </c>
      <c r="N45" s="21"/>
    </row>
    <row r="46" spans="1:14" s="19" customFormat="1" x14ac:dyDescent="0.25">
      <c r="A46" s="23">
        <v>42506.710231481484</v>
      </c>
      <c r="B46" s="22" t="s">
        <v>249</v>
      </c>
      <c r="C46" s="22" t="s">
        <v>328</v>
      </c>
      <c r="D46" s="22" t="s">
        <v>52</v>
      </c>
      <c r="E46" s="22" t="s">
        <v>53</v>
      </c>
      <c r="F46" s="22">
        <v>0</v>
      </c>
      <c r="G46" s="22">
        <v>48</v>
      </c>
      <c r="H46" s="22">
        <v>150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ACKERMAN</v>
      </c>
      <c r="M46" s="20" t="s">
        <v>96</v>
      </c>
      <c r="N46" s="21"/>
    </row>
    <row r="47" spans="1:14" s="19" customFormat="1" x14ac:dyDescent="0.25">
      <c r="A47" s="23">
        <v>42506.712812500002</v>
      </c>
      <c r="B47" s="22" t="s">
        <v>329</v>
      </c>
      <c r="C47" s="22" t="s">
        <v>330</v>
      </c>
      <c r="D47" s="22" t="s">
        <v>52</v>
      </c>
      <c r="E47" s="22" t="s">
        <v>53</v>
      </c>
      <c r="F47" s="22">
        <v>0</v>
      </c>
      <c r="G47" s="22">
        <v>6</v>
      </c>
      <c r="H47" s="22">
        <v>233328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RIVERA</v>
      </c>
      <c r="M47" s="20" t="s">
        <v>96</v>
      </c>
      <c r="N47" s="21"/>
    </row>
    <row r="48" spans="1:14" s="19" customFormat="1" x14ac:dyDescent="0.25">
      <c r="A48" s="23">
        <v>42506.751967592594</v>
      </c>
      <c r="B48" s="22" t="s">
        <v>278</v>
      </c>
      <c r="C48" s="22" t="s">
        <v>332</v>
      </c>
      <c r="D48" s="22" t="s">
        <v>52</v>
      </c>
      <c r="E48" s="22" t="s">
        <v>53</v>
      </c>
      <c r="F48" s="22">
        <v>0</v>
      </c>
      <c r="G48" s="22">
        <v>6</v>
      </c>
      <c r="H48" s="22">
        <v>125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RIVERA</v>
      </c>
      <c r="M48" s="20" t="s">
        <v>96</v>
      </c>
      <c r="N48" s="21"/>
    </row>
    <row r="49" spans="1:14" s="19" customFormat="1" x14ac:dyDescent="0.25">
      <c r="A49" s="23">
        <v>42506.797361111108</v>
      </c>
      <c r="B49" s="22" t="s">
        <v>158</v>
      </c>
      <c r="C49" s="22" t="s">
        <v>337</v>
      </c>
      <c r="D49" s="22" t="s">
        <v>52</v>
      </c>
      <c r="E49" s="22" t="s">
        <v>53</v>
      </c>
      <c r="F49" s="22">
        <v>0</v>
      </c>
      <c r="G49" s="22">
        <v>9</v>
      </c>
      <c r="H49" s="22">
        <v>233336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BARTLETT</v>
      </c>
      <c r="M49" s="20" t="s">
        <v>96</v>
      </c>
      <c r="N49" s="21"/>
    </row>
    <row r="50" spans="1:14" s="19" customFormat="1" x14ac:dyDescent="0.25">
      <c r="A50" s="23">
        <v>42506.818645833337</v>
      </c>
      <c r="B50" s="22" t="s">
        <v>255</v>
      </c>
      <c r="C50" s="22" t="s">
        <v>339</v>
      </c>
      <c r="D50" s="22" t="s">
        <v>52</v>
      </c>
      <c r="E50" s="22" t="s">
        <v>53</v>
      </c>
      <c r="F50" s="22">
        <v>0</v>
      </c>
      <c r="G50" s="22">
        <v>7</v>
      </c>
      <c r="H50" s="22">
        <v>233322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NELSON</v>
      </c>
      <c r="M50" s="20" t="s">
        <v>96</v>
      </c>
      <c r="N50" s="21"/>
    </row>
    <row r="51" spans="1:14" s="19" customFormat="1" x14ac:dyDescent="0.25">
      <c r="A51" s="23">
        <v>42506.967210648145</v>
      </c>
      <c r="B51" s="22" t="s">
        <v>249</v>
      </c>
      <c r="C51" s="22" t="s">
        <v>344</v>
      </c>
      <c r="D51" s="22" t="s">
        <v>52</v>
      </c>
      <c r="E51" s="22" t="s">
        <v>53</v>
      </c>
      <c r="F51" s="22">
        <v>0</v>
      </c>
      <c r="G51" s="22">
        <v>4</v>
      </c>
      <c r="H51" s="22">
        <v>437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NELSON</v>
      </c>
      <c r="M51" s="20" t="s">
        <v>96</v>
      </c>
      <c r="N51" s="21"/>
    </row>
    <row r="52" spans="1:14" s="19" customFormat="1" x14ac:dyDescent="0.25">
      <c r="A52" s="23">
        <v>42506.998842592591</v>
      </c>
      <c r="B52" s="22" t="s">
        <v>329</v>
      </c>
      <c r="C52" s="22" t="s">
        <v>345</v>
      </c>
      <c r="D52" s="22" t="s">
        <v>52</v>
      </c>
      <c r="E52" s="22" t="s">
        <v>53</v>
      </c>
      <c r="F52" s="22">
        <v>0</v>
      </c>
      <c r="G52" s="22">
        <v>6</v>
      </c>
      <c r="H52" s="22">
        <v>233311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CANFIELD</v>
      </c>
      <c r="M52" s="20" t="s">
        <v>96</v>
      </c>
      <c r="N52" s="21"/>
    </row>
    <row r="53" spans="1:14" s="19" customFormat="1" x14ac:dyDescent="0.25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3"/>
      <c r="L53" s="43"/>
      <c r="M53" s="44"/>
      <c r="N53" s="43"/>
    </row>
    <row r="54" spans="1:14" s="19" customFormat="1" ht="15.75" thickBot="1" x14ac:dyDescent="0.3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3"/>
      <c r="L54" s="43"/>
      <c r="M54" s="44"/>
      <c r="N54" s="43"/>
    </row>
    <row r="55" spans="1:14" ht="30" x14ac:dyDescent="0.25">
      <c r="B55" s="60"/>
      <c r="C55" s="60"/>
      <c r="D55" s="60"/>
      <c r="E55" s="60"/>
      <c r="F55" s="60"/>
      <c r="G55" s="60"/>
      <c r="H55" s="60"/>
      <c r="I55" s="60"/>
      <c r="J55" s="60"/>
      <c r="K55" s="18" t="s">
        <v>28</v>
      </c>
      <c r="L55" s="53"/>
      <c r="M55" s="17">
        <f>COUNTIF(M3:M52,"=Y")</f>
        <v>4</v>
      </c>
    </row>
    <row r="56" spans="1:14" ht="15.75" thickBot="1" x14ac:dyDescent="0.3">
      <c r="B56" s="60"/>
      <c r="C56" s="60"/>
      <c r="D56" s="60"/>
      <c r="E56" s="60"/>
      <c r="F56" s="60"/>
      <c r="G56" s="60"/>
      <c r="H56" s="60"/>
      <c r="I56" s="60"/>
      <c r="J56" s="60"/>
      <c r="K56" s="16" t="s">
        <v>27</v>
      </c>
      <c r="L56" s="54"/>
      <c r="M56" s="15">
        <f>COUNTA(M3:M52)-M55</f>
        <v>46</v>
      </c>
    </row>
  </sheetData>
  <autoFilter ref="A2:N52"/>
  <sortState ref="A3:N63">
    <sortCondition ref="E3:E63"/>
  </sortState>
  <mergeCells count="1">
    <mergeCell ref="A1:M1"/>
  </mergeCells>
  <conditionalFormatting sqref="N2 M2:M1048576">
    <cfRule type="cellIs" dxfId="1" priority="7" operator="equal">
      <formula>"Y"</formula>
    </cfRule>
  </conditionalFormatting>
  <conditionalFormatting sqref="B53:N54 M4:M52 B41:L52 N41:N52 B3:N40">
    <cfRule type="expression" dxfId="0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2" sqref="B12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2016-05-16</v>
      </c>
      <c r="B1" s="78"/>
    </row>
    <row r="2" spans="1:2" x14ac:dyDescent="0.25">
      <c r="A2" s="78" t="s">
        <v>488</v>
      </c>
      <c r="B2" s="78" t="s">
        <v>318</v>
      </c>
    </row>
    <row r="3" spans="1:2" x14ac:dyDescent="0.25">
      <c r="A3" s="78" t="s">
        <v>489</v>
      </c>
      <c r="B3" s="78" t="s">
        <v>318</v>
      </c>
    </row>
    <row r="4" spans="1:2" x14ac:dyDescent="0.25">
      <c r="A4" s="78" t="s">
        <v>490</v>
      </c>
      <c r="B4" s="78" t="s">
        <v>318</v>
      </c>
    </row>
    <row r="5" spans="1:2" x14ac:dyDescent="0.25">
      <c r="A5" s="79" t="s">
        <v>491</v>
      </c>
      <c r="B5" s="78" t="s">
        <v>318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37"/>
  <sheetViews>
    <sheetView workbookViewId="0">
      <selection sqref="A1:E204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42505.826817129629</v>
      </c>
      <c r="B1" t="s">
        <v>136</v>
      </c>
      <c r="C1" t="s">
        <v>217</v>
      </c>
      <c r="D1">
        <v>1500000</v>
      </c>
      <c r="E1" t="s">
        <v>259</v>
      </c>
    </row>
    <row r="2" spans="1:5" x14ac:dyDescent="0.25">
      <c r="A2" s="14">
        <v>42506.388912037037</v>
      </c>
      <c r="B2" t="s">
        <v>249</v>
      </c>
      <c r="C2" t="s">
        <v>250</v>
      </c>
      <c r="D2">
        <v>1800000</v>
      </c>
      <c r="E2" t="s">
        <v>120</v>
      </c>
    </row>
    <row r="3" spans="1:5" x14ac:dyDescent="0.25">
      <c r="A3" s="14">
        <v>42506.473078703704</v>
      </c>
      <c r="B3" t="s">
        <v>158</v>
      </c>
      <c r="C3" t="s">
        <v>253</v>
      </c>
      <c r="D3">
        <v>1780000</v>
      </c>
      <c r="E3" t="s">
        <v>142</v>
      </c>
    </row>
    <row r="4" spans="1:5" x14ac:dyDescent="0.25">
      <c r="A4" s="14">
        <v>42506.511435185188</v>
      </c>
      <c r="B4" t="s">
        <v>161</v>
      </c>
      <c r="C4" t="s">
        <v>346</v>
      </c>
      <c r="D4">
        <v>1780000</v>
      </c>
      <c r="E4" t="s">
        <v>142</v>
      </c>
    </row>
    <row r="5" spans="1:5" x14ac:dyDescent="0.25">
      <c r="A5" s="14">
        <v>42506.323078703703</v>
      </c>
      <c r="B5" t="s">
        <v>65</v>
      </c>
      <c r="C5" t="s">
        <v>247</v>
      </c>
      <c r="D5">
        <v>1300000</v>
      </c>
      <c r="E5" t="s">
        <v>143</v>
      </c>
    </row>
    <row r="6" spans="1:5" x14ac:dyDescent="0.25">
      <c r="A6" s="14">
        <v>42506.845578703702</v>
      </c>
      <c r="B6" t="s">
        <v>158</v>
      </c>
      <c r="C6" t="s">
        <v>347</v>
      </c>
      <c r="D6">
        <v>1280000</v>
      </c>
      <c r="E6" t="s">
        <v>63</v>
      </c>
    </row>
    <row r="7" spans="1:5" x14ac:dyDescent="0.25">
      <c r="A7" s="14">
        <v>42507.207002314812</v>
      </c>
      <c r="B7" t="s">
        <v>64</v>
      </c>
      <c r="C7" t="s">
        <v>348</v>
      </c>
      <c r="D7">
        <v>1750000</v>
      </c>
      <c r="E7" t="s">
        <v>131</v>
      </c>
    </row>
    <row r="8" spans="1:5" x14ac:dyDescent="0.25">
      <c r="A8" s="14">
        <v>42506.373749999999</v>
      </c>
      <c r="B8" t="s">
        <v>162</v>
      </c>
      <c r="C8" t="s">
        <v>254</v>
      </c>
      <c r="D8">
        <v>1310000</v>
      </c>
      <c r="E8" t="s">
        <v>149</v>
      </c>
    </row>
    <row r="9" spans="1:5" x14ac:dyDescent="0.25">
      <c r="A9" s="14">
        <v>42506.45784722222</v>
      </c>
      <c r="B9" t="s">
        <v>122</v>
      </c>
      <c r="C9" t="s">
        <v>251</v>
      </c>
      <c r="D9">
        <v>1310000</v>
      </c>
      <c r="E9" t="s">
        <v>149</v>
      </c>
    </row>
    <row r="10" spans="1:5" x14ac:dyDescent="0.25">
      <c r="A10" s="14">
        <v>42506.649317129632</v>
      </c>
      <c r="B10" t="s">
        <v>137</v>
      </c>
      <c r="C10" t="s">
        <v>326</v>
      </c>
      <c r="D10">
        <v>1470000</v>
      </c>
      <c r="E10" t="s">
        <v>114</v>
      </c>
    </row>
    <row r="11" spans="1:5" x14ac:dyDescent="0.25">
      <c r="A11" s="14">
        <v>42506.19332175926</v>
      </c>
      <c r="B11" t="s">
        <v>123</v>
      </c>
      <c r="C11" t="s">
        <v>245</v>
      </c>
      <c r="D11">
        <v>1750000</v>
      </c>
      <c r="E11" t="s">
        <v>131</v>
      </c>
    </row>
    <row r="12" spans="1:5" x14ac:dyDescent="0.25">
      <c r="A12" s="14">
        <v>42506.705243055556</v>
      </c>
      <c r="B12" t="s">
        <v>159</v>
      </c>
      <c r="C12" t="s">
        <v>349</v>
      </c>
      <c r="D12">
        <v>1120000</v>
      </c>
      <c r="E12" t="s">
        <v>262</v>
      </c>
    </row>
    <row r="13" spans="1:5" x14ac:dyDescent="0.25">
      <c r="A13" s="14">
        <v>42505.841736111113</v>
      </c>
      <c r="B13" t="s">
        <v>159</v>
      </c>
      <c r="C13" t="s">
        <v>170</v>
      </c>
      <c r="D13">
        <v>1280000</v>
      </c>
      <c r="E13" t="s">
        <v>63</v>
      </c>
    </row>
    <row r="14" spans="1:5" x14ac:dyDescent="0.25">
      <c r="A14" s="14">
        <v>42506.960115740738</v>
      </c>
      <c r="B14" t="s">
        <v>158</v>
      </c>
      <c r="C14" t="s">
        <v>350</v>
      </c>
      <c r="D14">
        <v>1280000</v>
      </c>
      <c r="E14" t="s">
        <v>63</v>
      </c>
    </row>
    <row r="15" spans="1:5" x14ac:dyDescent="0.25">
      <c r="A15" s="14">
        <v>42505.968414351853</v>
      </c>
      <c r="B15" t="s">
        <v>100</v>
      </c>
      <c r="C15" t="s">
        <v>227</v>
      </c>
      <c r="D15">
        <v>1520000</v>
      </c>
      <c r="E15" t="s">
        <v>260</v>
      </c>
    </row>
    <row r="16" spans="1:5" x14ac:dyDescent="0.25">
      <c r="A16" s="14">
        <v>42507.195196759261</v>
      </c>
      <c r="B16" t="s">
        <v>123</v>
      </c>
      <c r="C16" t="s">
        <v>351</v>
      </c>
      <c r="D16">
        <v>1110000</v>
      </c>
      <c r="E16" t="s">
        <v>236</v>
      </c>
    </row>
    <row r="17" spans="1:5" x14ac:dyDescent="0.25">
      <c r="A17" s="14">
        <v>42505.780706018515</v>
      </c>
      <c r="B17" t="s">
        <v>144</v>
      </c>
      <c r="C17" t="s">
        <v>213</v>
      </c>
      <c r="D17">
        <v>950000</v>
      </c>
      <c r="E17" t="s">
        <v>252</v>
      </c>
    </row>
    <row r="18" spans="1:5" x14ac:dyDescent="0.25">
      <c r="A18" s="14">
        <v>42506.423541666663</v>
      </c>
      <c r="B18" t="s">
        <v>255</v>
      </c>
      <c r="C18" t="s">
        <v>256</v>
      </c>
      <c r="D18">
        <v>1260000</v>
      </c>
      <c r="E18" t="s">
        <v>246</v>
      </c>
    </row>
    <row r="19" spans="1:5" x14ac:dyDescent="0.25">
      <c r="A19" s="14">
        <v>42505.976354166669</v>
      </c>
      <c r="B19" t="s">
        <v>138</v>
      </c>
      <c r="C19" t="s">
        <v>175</v>
      </c>
      <c r="D19">
        <v>1500000</v>
      </c>
      <c r="E19" t="s">
        <v>259</v>
      </c>
    </row>
    <row r="20" spans="1:5" x14ac:dyDescent="0.25">
      <c r="A20" s="14">
        <v>42506.852731481478</v>
      </c>
      <c r="B20" t="s">
        <v>167</v>
      </c>
      <c r="C20" t="s">
        <v>340</v>
      </c>
      <c r="D20">
        <v>1500000</v>
      </c>
      <c r="E20" t="s">
        <v>259</v>
      </c>
    </row>
    <row r="21" spans="1:5" x14ac:dyDescent="0.25">
      <c r="A21" s="14">
        <v>42505.940011574072</v>
      </c>
      <c r="B21" t="s">
        <v>158</v>
      </c>
      <c r="C21" t="s">
        <v>226</v>
      </c>
      <c r="D21">
        <v>1440000</v>
      </c>
      <c r="E21" t="s">
        <v>235</v>
      </c>
    </row>
    <row r="22" spans="1:5" x14ac:dyDescent="0.25">
      <c r="A22" s="14">
        <v>42507.154618055552</v>
      </c>
      <c r="B22" t="s">
        <v>352</v>
      </c>
      <c r="C22" t="s">
        <v>353</v>
      </c>
      <c r="D22">
        <v>1110000</v>
      </c>
      <c r="E22" t="s">
        <v>236</v>
      </c>
    </row>
    <row r="23" spans="1:5" x14ac:dyDescent="0.25">
      <c r="A23" s="14">
        <v>42505.915925925925</v>
      </c>
      <c r="B23" t="s">
        <v>161</v>
      </c>
      <c r="C23" t="s">
        <v>220</v>
      </c>
      <c r="D23">
        <v>1440000</v>
      </c>
      <c r="E23" t="s">
        <v>235</v>
      </c>
    </row>
    <row r="24" spans="1:5" x14ac:dyDescent="0.25">
      <c r="A24" s="14">
        <v>42506.503194444442</v>
      </c>
      <c r="B24" t="s">
        <v>137</v>
      </c>
      <c r="C24" t="s">
        <v>319</v>
      </c>
      <c r="D24">
        <v>1470000</v>
      </c>
      <c r="E24" t="s">
        <v>114</v>
      </c>
    </row>
    <row r="25" spans="1:5" x14ac:dyDescent="0.25">
      <c r="A25" s="14">
        <v>42505.888796296298</v>
      </c>
      <c r="B25" t="s">
        <v>172</v>
      </c>
      <c r="C25" t="s">
        <v>173</v>
      </c>
      <c r="D25">
        <v>1140000</v>
      </c>
      <c r="E25" t="s">
        <v>62</v>
      </c>
    </row>
    <row r="26" spans="1:5" x14ac:dyDescent="0.25">
      <c r="A26" s="14">
        <v>42506.52783564815</v>
      </c>
      <c r="B26" t="s">
        <v>122</v>
      </c>
      <c r="C26" t="s">
        <v>354</v>
      </c>
      <c r="D26">
        <v>1830000</v>
      </c>
      <c r="E26" t="s">
        <v>355</v>
      </c>
    </row>
    <row r="27" spans="1:5" x14ac:dyDescent="0.25">
      <c r="A27" s="14">
        <v>42505.945856481485</v>
      </c>
      <c r="B27" t="s">
        <v>159</v>
      </c>
      <c r="C27" t="s">
        <v>174</v>
      </c>
      <c r="D27">
        <v>1280000</v>
      </c>
      <c r="E27" t="s">
        <v>63</v>
      </c>
    </row>
    <row r="28" spans="1:5" x14ac:dyDescent="0.25">
      <c r="A28" s="14">
        <v>42506.745775462965</v>
      </c>
      <c r="B28" t="s">
        <v>164</v>
      </c>
      <c r="C28" t="s">
        <v>333</v>
      </c>
      <c r="D28">
        <v>1120000</v>
      </c>
      <c r="E28" t="s">
        <v>262</v>
      </c>
    </row>
    <row r="29" spans="1:5" x14ac:dyDescent="0.25">
      <c r="A29" s="14">
        <v>42506.254745370374</v>
      </c>
      <c r="B29" t="s">
        <v>65</v>
      </c>
      <c r="C29" t="s">
        <v>241</v>
      </c>
      <c r="D29">
        <v>1300000</v>
      </c>
      <c r="E29" t="s">
        <v>143</v>
      </c>
    </row>
    <row r="30" spans="1:5" x14ac:dyDescent="0.25">
      <c r="A30" s="14">
        <v>42506.961655092593</v>
      </c>
      <c r="B30" t="s">
        <v>329</v>
      </c>
      <c r="C30" t="s">
        <v>345</v>
      </c>
      <c r="D30">
        <v>1840000</v>
      </c>
      <c r="E30" t="s">
        <v>356</v>
      </c>
    </row>
    <row r="31" spans="1:5" x14ac:dyDescent="0.25">
      <c r="A31" s="14">
        <v>42506.17931712963</v>
      </c>
      <c r="B31" t="s">
        <v>158</v>
      </c>
      <c r="C31" t="s">
        <v>242</v>
      </c>
      <c r="D31">
        <v>860000</v>
      </c>
      <c r="E31" t="s">
        <v>243</v>
      </c>
    </row>
    <row r="32" spans="1:5" x14ac:dyDescent="0.25">
      <c r="A32" s="14">
        <v>42507.230312500003</v>
      </c>
      <c r="B32" t="s">
        <v>352</v>
      </c>
      <c r="C32" t="s">
        <v>357</v>
      </c>
      <c r="D32">
        <v>1100000</v>
      </c>
      <c r="E32" t="s">
        <v>237</v>
      </c>
    </row>
    <row r="33" spans="1:5" x14ac:dyDescent="0.25">
      <c r="A33" s="14">
        <v>42505.80636574074</v>
      </c>
      <c r="B33" t="s">
        <v>164</v>
      </c>
      <c r="C33" t="s">
        <v>169</v>
      </c>
      <c r="D33">
        <v>1280000</v>
      </c>
      <c r="E33" t="s">
        <v>63</v>
      </c>
    </row>
    <row r="34" spans="1:5" x14ac:dyDescent="0.25">
      <c r="A34" s="14">
        <v>42506.5153587963</v>
      </c>
      <c r="B34" t="s">
        <v>162</v>
      </c>
      <c r="C34" t="s">
        <v>358</v>
      </c>
      <c r="D34">
        <v>1770000</v>
      </c>
      <c r="E34" t="s">
        <v>119</v>
      </c>
    </row>
    <row r="35" spans="1:5" x14ac:dyDescent="0.25">
      <c r="A35" s="14">
        <v>42506.343923611108</v>
      </c>
      <c r="B35" t="s">
        <v>159</v>
      </c>
      <c r="C35" t="s">
        <v>240</v>
      </c>
      <c r="D35">
        <v>1430000</v>
      </c>
      <c r="E35" t="s">
        <v>238</v>
      </c>
    </row>
    <row r="36" spans="1:5" x14ac:dyDescent="0.25">
      <c r="A36" s="14">
        <v>42506.608182870368</v>
      </c>
      <c r="B36" t="s">
        <v>249</v>
      </c>
      <c r="C36" t="s">
        <v>359</v>
      </c>
      <c r="D36">
        <v>1260000</v>
      </c>
      <c r="E36" t="s">
        <v>246</v>
      </c>
    </row>
    <row r="37" spans="1:5" x14ac:dyDescent="0.25">
      <c r="A37" s="14">
        <v>42505.910532407404</v>
      </c>
      <c r="B37" t="s">
        <v>172</v>
      </c>
      <c r="C37" t="s">
        <v>173</v>
      </c>
      <c r="D37">
        <v>1140000</v>
      </c>
      <c r="E37" t="s">
        <v>62</v>
      </c>
    </row>
    <row r="38" spans="1:5" x14ac:dyDescent="0.25">
      <c r="A38" s="14">
        <v>42507.175046296295</v>
      </c>
      <c r="B38" t="s">
        <v>65</v>
      </c>
      <c r="C38" t="s">
        <v>360</v>
      </c>
      <c r="D38">
        <v>1750000</v>
      </c>
      <c r="E38" t="s">
        <v>131</v>
      </c>
    </row>
    <row r="39" spans="1:5" x14ac:dyDescent="0.25">
      <c r="A39" s="14">
        <v>42506.941886574074</v>
      </c>
      <c r="B39" t="s">
        <v>329</v>
      </c>
      <c r="C39" t="s">
        <v>345</v>
      </c>
      <c r="D39">
        <v>1840000</v>
      </c>
      <c r="E39" t="s">
        <v>356</v>
      </c>
    </row>
    <row r="40" spans="1:5" x14ac:dyDescent="0.25">
      <c r="A40" s="14">
        <v>42506.973738425928</v>
      </c>
      <c r="B40" t="s">
        <v>255</v>
      </c>
      <c r="C40" t="s">
        <v>361</v>
      </c>
      <c r="D40">
        <v>1460000</v>
      </c>
      <c r="E40" t="s">
        <v>244</v>
      </c>
    </row>
    <row r="41" spans="1:5" x14ac:dyDescent="0.25">
      <c r="A41" s="14">
        <v>42506.888981481483</v>
      </c>
      <c r="B41" t="s">
        <v>161</v>
      </c>
      <c r="C41" t="s">
        <v>362</v>
      </c>
      <c r="D41">
        <v>1280000</v>
      </c>
      <c r="E41" t="s">
        <v>63</v>
      </c>
    </row>
    <row r="42" spans="1:5" x14ac:dyDescent="0.25">
      <c r="A42" s="14">
        <v>42507.15384259259</v>
      </c>
      <c r="B42" t="s">
        <v>352</v>
      </c>
      <c r="C42" t="s">
        <v>353</v>
      </c>
      <c r="D42">
        <v>1110000</v>
      </c>
      <c r="E42" t="s">
        <v>236</v>
      </c>
    </row>
    <row r="43" spans="1:5" x14ac:dyDescent="0.25">
      <c r="A43" s="14">
        <v>42506.775810185187</v>
      </c>
      <c r="B43" t="s">
        <v>248</v>
      </c>
      <c r="C43" t="s">
        <v>363</v>
      </c>
      <c r="D43">
        <v>1500000</v>
      </c>
      <c r="E43" t="s">
        <v>259</v>
      </c>
    </row>
    <row r="44" spans="1:5" x14ac:dyDescent="0.25">
      <c r="A44" s="14">
        <v>42505.906180555554</v>
      </c>
      <c r="B44" t="s">
        <v>161</v>
      </c>
      <c r="C44" t="s">
        <v>220</v>
      </c>
      <c r="D44">
        <v>1440000</v>
      </c>
      <c r="E44" t="s">
        <v>235</v>
      </c>
    </row>
    <row r="45" spans="1:5" x14ac:dyDescent="0.25">
      <c r="A45" s="14">
        <v>42507.237893518519</v>
      </c>
      <c r="B45" t="s">
        <v>122</v>
      </c>
      <c r="C45" t="s">
        <v>364</v>
      </c>
      <c r="D45">
        <v>1110000</v>
      </c>
      <c r="E45" t="s">
        <v>236</v>
      </c>
    </row>
    <row r="46" spans="1:5" x14ac:dyDescent="0.25">
      <c r="A46" s="14">
        <v>42506.616261574076</v>
      </c>
      <c r="B46" t="s">
        <v>65</v>
      </c>
      <c r="C46" t="s">
        <v>365</v>
      </c>
      <c r="D46">
        <v>1820000</v>
      </c>
      <c r="E46" t="s">
        <v>366</v>
      </c>
    </row>
    <row r="47" spans="1:5" x14ac:dyDescent="0.25">
      <c r="A47" s="14">
        <v>42506.83184027778</v>
      </c>
      <c r="B47" t="s">
        <v>329</v>
      </c>
      <c r="C47" t="s">
        <v>367</v>
      </c>
      <c r="D47">
        <v>1840000</v>
      </c>
      <c r="E47" t="s">
        <v>356</v>
      </c>
    </row>
    <row r="48" spans="1:5" x14ac:dyDescent="0.25">
      <c r="A48" s="14">
        <v>42506.792407407411</v>
      </c>
      <c r="B48" t="s">
        <v>278</v>
      </c>
      <c r="C48" t="s">
        <v>368</v>
      </c>
      <c r="D48">
        <v>1840000</v>
      </c>
      <c r="E48" t="s">
        <v>356</v>
      </c>
    </row>
    <row r="49" spans="1:5" x14ac:dyDescent="0.25">
      <c r="A49" s="14">
        <v>42507.267523148148</v>
      </c>
      <c r="B49" t="s">
        <v>369</v>
      </c>
      <c r="C49" t="s">
        <v>370</v>
      </c>
      <c r="D49">
        <v>1100000</v>
      </c>
      <c r="E49" t="s">
        <v>237</v>
      </c>
    </row>
    <row r="50" spans="1:5" x14ac:dyDescent="0.25">
      <c r="A50" s="14">
        <v>42507.128182870372</v>
      </c>
      <c r="B50" t="s">
        <v>159</v>
      </c>
      <c r="C50" t="s">
        <v>371</v>
      </c>
      <c r="D50">
        <v>1750000</v>
      </c>
      <c r="E50" t="s">
        <v>131</v>
      </c>
    </row>
    <row r="51" spans="1:5" x14ac:dyDescent="0.25">
      <c r="A51" s="14">
        <v>42506.851435185185</v>
      </c>
      <c r="B51" t="s">
        <v>167</v>
      </c>
      <c r="C51" t="s">
        <v>340</v>
      </c>
      <c r="D51">
        <v>1500000</v>
      </c>
      <c r="E51" t="s">
        <v>259</v>
      </c>
    </row>
    <row r="52" spans="1:5" x14ac:dyDescent="0.25">
      <c r="A52" s="14">
        <v>42507.155868055554</v>
      </c>
      <c r="B52" t="s">
        <v>352</v>
      </c>
      <c r="C52" t="s">
        <v>353</v>
      </c>
      <c r="D52">
        <v>1110000</v>
      </c>
      <c r="E52" t="s">
        <v>236</v>
      </c>
    </row>
    <row r="53" spans="1:5" x14ac:dyDescent="0.25">
      <c r="A53" s="14">
        <v>42506.841215277775</v>
      </c>
      <c r="B53" t="s">
        <v>372</v>
      </c>
      <c r="C53" t="s">
        <v>373</v>
      </c>
      <c r="D53">
        <v>0</v>
      </c>
      <c r="E53" t="s">
        <v>374</v>
      </c>
    </row>
    <row r="54" spans="1:5" x14ac:dyDescent="0.25">
      <c r="A54" s="14">
        <v>42506.389699074076</v>
      </c>
      <c r="B54" t="s">
        <v>135</v>
      </c>
      <c r="C54" t="s">
        <v>281</v>
      </c>
      <c r="D54">
        <v>1740000</v>
      </c>
      <c r="E54" t="s">
        <v>121</v>
      </c>
    </row>
    <row r="55" spans="1:5" x14ac:dyDescent="0.25">
      <c r="A55" s="14">
        <v>42506.843206018515</v>
      </c>
      <c r="B55" t="s">
        <v>249</v>
      </c>
      <c r="C55" t="s">
        <v>375</v>
      </c>
      <c r="D55">
        <v>1460000</v>
      </c>
      <c r="E55" t="s">
        <v>244</v>
      </c>
    </row>
    <row r="56" spans="1:5" x14ac:dyDescent="0.25">
      <c r="A56" s="14">
        <v>42505.990543981483</v>
      </c>
      <c r="B56" t="s">
        <v>172</v>
      </c>
      <c r="C56" t="s">
        <v>231</v>
      </c>
      <c r="D56">
        <v>1140000</v>
      </c>
      <c r="E56" t="s">
        <v>62</v>
      </c>
    </row>
    <row r="57" spans="1:5" x14ac:dyDescent="0.25">
      <c r="A57" s="14">
        <v>42506.790138888886</v>
      </c>
      <c r="B57" t="s">
        <v>255</v>
      </c>
      <c r="C57" t="s">
        <v>339</v>
      </c>
      <c r="D57">
        <v>1460000</v>
      </c>
      <c r="E57" t="s">
        <v>244</v>
      </c>
    </row>
    <row r="58" spans="1:5" x14ac:dyDescent="0.25">
      <c r="A58" s="14">
        <v>42506.126539351855</v>
      </c>
      <c r="B58" t="s">
        <v>255</v>
      </c>
      <c r="C58" t="s">
        <v>274</v>
      </c>
      <c r="D58">
        <v>1300000</v>
      </c>
      <c r="E58" t="s">
        <v>143</v>
      </c>
    </row>
    <row r="59" spans="1:5" x14ac:dyDescent="0.25">
      <c r="A59" s="14">
        <v>42506.766643518517</v>
      </c>
      <c r="B59" t="s">
        <v>158</v>
      </c>
      <c r="C59" t="s">
        <v>337</v>
      </c>
      <c r="D59">
        <v>1280000</v>
      </c>
      <c r="E59" t="s">
        <v>63</v>
      </c>
    </row>
    <row r="60" spans="1:5" x14ac:dyDescent="0.25">
      <c r="A60" s="14">
        <v>42506.306840277779</v>
      </c>
      <c r="B60" t="s">
        <v>122</v>
      </c>
      <c r="C60" t="s">
        <v>270</v>
      </c>
      <c r="D60">
        <v>1750000</v>
      </c>
      <c r="E60" t="s">
        <v>131</v>
      </c>
    </row>
    <row r="61" spans="1:5" x14ac:dyDescent="0.25">
      <c r="A61" s="14">
        <v>42506.509722222225</v>
      </c>
      <c r="B61" t="s">
        <v>64</v>
      </c>
      <c r="C61" t="s">
        <v>376</v>
      </c>
      <c r="D61">
        <v>1820000</v>
      </c>
      <c r="E61" t="s">
        <v>366</v>
      </c>
    </row>
    <row r="62" spans="1:5" x14ac:dyDescent="0.25">
      <c r="A62" s="14">
        <v>42506.337870370371</v>
      </c>
      <c r="B62" t="s">
        <v>159</v>
      </c>
      <c r="C62" t="s">
        <v>240</v>
      </c>
      <c r="D62">
        <v>1430000</v>
      </c>
      <c r="E62" t="s">
        <v>238</v>
      </c>
    </row>
    <row r="63" spans="1:5" x14ac:dyDescent="0.25">
      <c r="A63" s="14">
        <v>42506.469351851854</v>
      </c>
      <c r="B63" t="s">
        <v>65</v>
      </c>
      <c r="C63" t="s">
        <v>271</v>
      </c>
      <c r="D63">
        <v>1800000</v>
      </c>
      <c r="E63" t="s">
        <v>120</v>
      </c>
    </row>
    <row r="64" spans="1:5" x14ac:dyDescent="0.25">
      <c r="A64" s="14">
        <v>42506.556956018518</v>
      </c>
      <c r="B64" t="s">
        <v>159</v>
      </c>
      <c r="C64" t="s">
        <v>377</v>
      </c>
      <c r="D64">
        <v>1120000</v>
      </c>
      <c r="E64" t="s">
        <v>262</v>
      </c>
    </row>
    <row r="65" spans="1:5" x14ac:dyDescent="0.25">
      <c r="A65" s="14">
        <v>42506.451620370368</v>
      </c>
      <c r="B65" t="s">
        <v>164</v>
      </c>
      <c r="C65" t="s">
        <v>283</v>
      </c>
      <c r="D65">
        <v>1430000</v>
      </c>
      <c r="E65" t="s">
        <v>238</v>
      </c>
    </row>
    <row r="66" spans="1:5" x14ac:dyDescent="0.25">
      <c r="A66" s="14">
        <v>42506.211817129632</v>
      </c>
      <c r="B66" t="s">
        <v>278</v>
      </c>
      <c r="C66" t="s">
        <v>279</v>
      </c>
      <c r="D66">
        <v>1470000</v>
      </c>
      <c r="E66" t="s">
        <v>114</v>
      </c>
    </row>
    <row r="67" spans="1:5" x14ac:dyDescent="0.25">
      <c r="A67" s="14">
        <v>42506.273877314816</v>
      </c>
      <c r="B67" t="s">
        <v>123</v>
      </c>
      <c r="C67" t="s">
        <v>273</v>
      </c>
      <c r="D67">
        <v>1750000</v>
      </c>
      <c r="E67" t="s">
        <v>131</v>
      </c>
    </row>
    <row r="68" spans="1:5" x14ac:dyDescent="0.25">
      <c r="A68" s="14">
        <v>42506.211655092593</v>
      </c>
      <c r="B68" t="s">
        <v>64</v>
      </c>
      <c r="C68" t="s">
        <v>268</v>
      </c>
      <c r="D68">
        <v>1300000</v>
      </c>
      <c r="E68" t="s">
        <v>143</v>
      </c>
    </row>
    <row r="69" spans="1:5" x14ac:dyDescent="0.25">
      <c r="A69" s="14">
        <v>42505.870381944442</v>
      </c>
      <c r="B69" t="s">
        <v>138</v>
      </c>
      <c r="C69" t="s">
        <v>222</v>
      </c>
      <c r="D69">
        <v>1500000</v>
      </c>
      <c r="E69" t="s">
        <v>259</v>
      </c>
    </row>
    <row r="70" spans="1:5" x14ac:dyDescent="0.25">
      <c r="A70" s="14">
        <v>42506.239374999997</v>
      </c>
      <c r="B70" t="s">
        <v>249</v>
      </c>
      <c r="C70" t="s">
        <v>280</v>
      </c>
      <c r="D70">
        <v>1800000</v>
      </c>
      <c r="E70" t="s">
        <v>120</v>
      </c>
    </row>
    <row r="71" spans="1:5" x14ac:dyDescent="0.25">
      <c r="A71" s="14">
        <v>42505.827685185184</v>
      </c>
      <c r="B71" t="s">
        <v>158</v>
      </c>
      <c r="C71" t="s">
        <v>219</v>
      </c>
      <c r="D71">
        <v>1440000</v>
      </c>
      <c r="E71" t="s">
        <v>235</v>
      </c>
    </row>
    <row r="72" spans="1:5" x14ac:dyDescent="0.25">
      <c r="A72" s="14">
        <v>42506.343472222223</v>
      </c>
      <c r="B72" t="s">
        <v>123</v>
      </c>
      <c r="C72" t="s">
        <v>264</v>
      </c>
      <c r="D72">
        <v>1750000</v>
      </c>
      <c r="E72" t="s">
        <v>131</v>
      </c>
    </row>
    <row r="73" spans="1:5" x14ac:dyDescent="0.25">
      <c r="A73" s="14">
        <v>42506.637673611112</v>
      </c>
      <c r="B73" t="s">
        <v>123</v>
      </c>
      <c r="C73" t="s">
        <v>378</v>
      </c>
      <c r="D73">
        <v>1830000</v>
      </c>
      <c r="E73" t="s">
        <v>355</v>
      </c>
    </row>
    <row r="74" spans="1:5" x14ac:dyDescent="0.25">
      <c r="A74" s="14">
        <v>42506.379594907405</v>
      </c>
      <c r="B74" t="s">
        <v>122</v>
      </c>
      <c r="C74" t="s">
        <v>285</v>
      </c>
      <c r="D74">
        <v>1750000</v>
      </c>
      <c r="E74" t="s">
        <v>131</v>
      </c>
    </row>
    <row r="75" spans="1:5" x14ac:dyDescent="0.25">
      <c r="A75" s="14">
        <v>42506.623148148145</v>
      </c>
      <c r="B75" t="s">
        <v>248</v>
      </c>
      <c r="C75" t="s">
        <v>379</v>
      </c>
      <c r="D75">
        <v>1770000</v>
      </c>
      <c r="E75" t="s">
        <v>119</v>
      </c>
    </row>
    <row r="76" spans="1:5" x14ac:dyDescent="0.25">
      <c r="A76" s="14">
        <v>42506.412534722222</v>
      </c>
      <c r="B76" t="s">
        <v>248</v>
      </c>
      <c r="C76" t="s">
        <v>272</v>
      </c>
      <c r="D76">
        <v>1310000</v>
      </c>
      <c r="E76" t="s">
        <v>149</v>
      </c>
    </row>
    <row r="77" spans="1:5" x14ac:dyDescent="0.25">
      <c r="A77" s="14">
        <v>42506.462199074071</v>
      </c>
      <c r="B77" t="s">
        <v>249</v>
      </c>
      <c r="C77" t="s">
        <v>266</v>
      </c>
      <c r="D77">
        <v>1260000</v>
      </c>
      <c r="E77" t="s">
        <v>246</v>
      </c>
    </row>
    <row r="78" spans="1:5" x14ac:dyDescent="0.25">
      <c r="A78" s="14">
        <v>42506.443912037037</v>
      </c>
      <c r="B78" t="s">
        <v>162</v>
      </c>
      <c r="C78" t="s">
        <v>275</v>
      </c>
      <c r="D78">
        <v>1770000</v>
      </c>
      <c r="E78" t="s">
        <v>119</v>
      </c>
    </row>
    <row r="79" spans="1:5" x14ac:dyDescent="0.25">
      <c r="A79" s="14">
        <v>42506.416678240741</v>
      </c>
      <c r="B79" t="s">
        <v>123</v>
      </c>
      <c r="C79" t="s">
        <v>276</v>
      </c>
      <c r="D79">
        <v>1750000</v>
      </c>
      <c r="E79" t="s">
        <v>131</v>
      </c>
    </row>
    <row r="80" spans="1:5" x14ac:dyDescent="0.25">
      <c r="A80" s="14">
        <v>42506.546493055554</v>
      </c>
      <c r="B80" t="s">
        <v>158</v>
      </c>
      <c r="C80" t="s">
        <v>380</v>
      </c>
      <c r="D80">
        <v>1780000</v>
      </c>
      <c r="E80" t="s">
        <v>142</v>
      </c>
    </row>
    <row r="81" spans="1:5" x14ac:dyDescent="0.25">
      <c r="A81" s="14">
        <v>42506.217557870368</v>
      </c>
      <c r="B81" t="s">
        <v>161</v>
      </c>
      <c r="C81" t="s">
        <v>291</v>
      </c>
      <c r="D81">
        <v>860000</v>
      </c>
      <c r="E81" t="s">
        <v>243</v>
      </c>
    </row>
    <row r="82" spans="1:5" x14ac:dyDescent="0.25">
      <c r="A82" s="14">
        <v>42506.578206018516</v>
      </c>
      <c r="B82" t="s">
        <v>64</v>
      </c>
      <c r="C82" t="s">
        <v>381</v>
      </c>
      <c r="D82">
        <v>1820000</v>
      </c>
      <c r="E82" t="s">
        <v>366</v>
      </c>
    </row>
    <row r="83" spans="1:5" x14ac:dyDescent="0.25">
      <c r="A83" s="14">
        <v>42506.031956018516</v>
      </c>
      <c r="B83" t="s">
        <v>136</v>
      </c>
      <c r="C83" t="s">
        <v>232</v>
      </c>
      <c r="D83">
        <v>1500000</v>
      </c>
      <c r="E83" t="s">
        <v>259</v>
      </c>
    </row>
    <row r="84" spans="1:5" x14ac:dyDescent="0.25">
      <c r="A84" s="14">
        <v>42506.583425925928</v>
      </c>
      <c r="B84" t="s">
        <v>161</v>
      </c>
      <c r="C84" t="s">
        <v>325</v>
      </c>
      <c r="D84">
        <v>1780000</v>
      </c>
      <c r="E84" t="s">
        <v>142</v>
      </c>
    </row>
    <row r="85" spans="1:5" x14ac:dyDescent="0.25">
      <c r="A85" s="14">
        <v>42506.697141203702</v>
      </c>
      <c r="B85" t="s">
        <v>248</v>
      </c>
      <c r="C85" t="s">
        <v>382</v>
      </c>
      <c r="D85">
        <v>1770000</v>
      </c>
      <c r="E85" t="s">
        <v>119</v>
      </c>
    </row>
    <row r="86" spans="1:5" x14ac:dyDescent="0.25">
      <c r="A86" s="14">
        <v>42506.653252314813</v>
      </c>
      <c r="B86" t="s">
        <v>64</v>
      </c>
      <c r="C86" t="s">
        <v>383</v>
      </c>
      <c r="D86">
        <v>1820000</v>
      </c>
      <c r="E86" t="s">
        <v>366</v>
      </c>
    </row>
    <row r="87" spans="1:5" x14ac:dyDescent="0.25">
      <c r="A87" s="14">
        <v>42506.65284722222</v>
      </c>
      <c r="B87" t="s">
        <v>161</v>
      </c>
      <c r="C87" t="s">
        <v>384</v>
      </c>
      <c r="D87">
        <v>1780000</v>
      </c>
      <c r="E87" t="s">
        <v>142</v>
      </c>
    </row>
    <row r="88" spans="1:5" x14ac:dyDescent="0.25">
      <c r="A88" s="14">
        <v>42506.709733796299</v>
      </c>
      <c r="B88" t="s">
        <v>123</v>
      </c>
      <c r="C88" t="s">
        <v>385</v>
      </c>
      <c r="D88">
        <v>1830000</v>
      </c>
      <c r="E88" t="s">
        <v>355</v>
      </c>
    </row>
    <row r="89" spans="1:5" x14ac:dyDescent="0.25">
      <c r="A89" s="14">
        <v>42506.410671296297</v>
      </c>
      <c r="B89" t="s">
        <v>159</v>
      </c>
      <c r="C89" t="s">
        <v>284</v>
      </c>
      <c r="D89">
        <v>1430000</v>
      </c>
      <c r="E89" t="s">
        <v>238</v>
      </c>
    </row>
    <row r="90" spans="1:5" x14ac:dyDescent="0.25">
      <c r="A90" s="14">
        <v>42506.753020833334</v>
      </c>
      <c r="B90" t="s">
        <v>249</v>
      </c>
      <c r="C90" t="s">
        <v>386</v>
      </c>
      <c r="D90">
        <v>1460000</v>
      </c>
      <c r="E90" t="s">
        <v>244</v>
      </c>
    </row>
    <row r="91" spans="1:5" x14ac:dyDescent="0.25">
      <c r="A91" s="14">
        <v>42506.402442129627</v>
      </c>
      <c r="B91" t="s">
        <v>158</v>
      </c>
      <c r="C91" t="s">
        <v>277</v>
      </c>
      <c r="D91">
        <v>860000</v>
      </c>
      <c r="E91" t="s">
        <v>243</v>
      </c>
    </row>
    <row r="92" spans="1:5" x14ac:dyDescent="0.25">
      <c r="A92" s="14">
        <v>42505.969363425924</v>
      </c>
      <c r="B92" t="s">
        <v>100</v>
      </c>
      <c r="C92" t="s">
        <v>227</v>
      </c>
      <c r="D92">
        <v>1520000</v>
      </c>
      <c r="E92" t="s">
        <v>260</v>
      </c>
    </row>
    <row r="93" spans="1:5" x14ac:dyDescent="0.25">
      <c r="A93" s="14">
        <v>42506.314953703702</v>
      </c>
      <c r="B93" t="s">
        <v>249</v>
      </c>
      <c r="C93" t="s">
        <v>288</v>
      </c>
      <c r="D93">
        <v>1800000</v>
      </c>
      <c r="E93" t="s">
        <v>120</v>
      </c>
    </row>
    <row r="94" spans="1:5" x14ac:dyDescent="0.25">
      <c r="A94" s="14">
        <v>42506.533553240741</v>
      </c>
      <c r="B94" t="s">
        <v>249</v>
      </c>
      <c r="C94" t="s">
        <v>322</v>
      </c>
      <c r="D94">
        <v>1260000</v>
      </c>
      <c r="E94" t="s">
        <v>246</v>
      </c>
    </row>
    <row r="95" spans="1:5" x14ac:dyDescent="0.25">
      <c r="A95" s="14">
        <v>42505.810902777775</v>
      </c>
      <c r="B95" t="s">
        <v>172</v>
      </c>
      <c r="C95" t="s">
        <v>218</v>
      </c>
      <c r="D95">
        <v>1140000</v>
      </c>
      <c r="E95" t="s">
        <v>62</v>
      </c>
    </row>
    <row r="96" spans="1:5" x14ac:dyDescent="0.25">
      <c r="A96" s="14">
        <v>42506.683749999997</v>
      </c>
      <c r="B96" t="s">
        <v>329</v>
      </c>
      <c r="C96" t="s">
        <v>330</v>
      </c>
      <c r="D96">
        <v>1470000</v>
      </c>
      <c r="E96" t="s">
        <v>114</v>
      </c>
    </row>
    <row r="97" spans="1:5" x14ac:dyDescent="0.25">
      <c r="A97" s="14">
        <v>42506.680636574078</v>
      </c>
      <c r="B97" t="s">
        <v>249</v>
      </c>
      <c r="C97" t="s">
        <v>328</v>
      </c>
      <c r="D97">
        <v>1260000</v>
      </c>
      <c r="E97" t="s">
        <v>246</v>
      </c>
    </row>
    <row r="98" spans="1:5" x14ac:dyDescent="0.25">
      <c r="A98" s="14">
        <v>42506.23196759259</v>
      </c>
      <c r="B98" t="s">
        <v>122</v>
      </c>
      <c r="C98" t="s">
        <v>269</v>
      </c>
      <c r="D98">
        <v>1750000</v>
      </c>
      <c r="E98" t="s">
        <v>131</v>
      </c>
    </row>
    <row r="99" spans="1:5" x14ac:dyDescent="0.25">
      <c r="A99" s="14">
        <v>42506.631122685183</v>
      </c>
      <c r="B99" t="s">
        <v>159</v>
      </c>
      <c r="C99" t="s">
        <v>387</v>
      </c>
      <c r="D99">
        <v>1120000</v>
      </c>
      <c r="E99" t="s">
        <v>262</v>
      </c>
    </row>
    <row r="100" spans="1:5" x14ac:dyDescent="0.25">
      <c r="A100" s="14">
        <v>42506.429803240739</v>
      </c>
      <c r="B100" t="s">
        <v>137</v>
      </c>
      <c r="C100" t="s">
        <v>282</v>
      </c>
      <c r="D100">
        <v>1740000</v>
      </c>
      <c r="E100" t="s">
        <v>121</v>
      </c>
    </row>
    <row r="101" spans="1:5" x14ac:dyDescent="0.25">
      <c r="A101" s="14">
        <v>42506.467743055553</v>
      </c>
      <c r="B101" t="s">
        <v>135</v>
      </c>
      <c r="C101" t="s">
        <v>265</v>
      </c>
      <c r="D101">
        <v>1470000</v>
      </c>
      <c r="E101" t="s">
        <v>114</v>
      </c>
    </row>
    <row r="102" spans="1:5" x14ac:dyDescent="0.25">
      <c r="A102" s="14">
        <v>42506.437222222223</v>
      </c>
      <c r="B102" t="s">
        <v>161</v>
      </c>
      <c r="C102" t="s">
        <v>287</v>
      </c>
      <c r="D102">
        <v>860000</v>
      </c>
      <c r="E102" t="s">
        <v>243</v>
      </c>
    </row>
    <row r="103" spans="1:5" x14ac:dyDescent="0.25">
      <c r="A103" s="14">
        <v>42506.365057870367</v>
      </c>
      <c r="B103" t="s">
        <v>161</v>
      </c>
      <c r="C103" t="s">
        <v>267</v>
      </c>
      <c r="D103">
        <v>860000</v>
      </c>
      <c r="E103" t="s">
        <v>243</v>
      </c>
    </row>
    <row r="104" spans="1:5" x14ac:dyDescent="0.25">
      <c r="A104" s="14">
        <v>42506.75576388889</v>
      </c>
      <c r="B104" t="s">
        <v>329</v>
      </c>
      <c r="C104" t="s">
        <v>388</v>
      </c>
      <c r="D104">
        <v>1840000</v>
      </c>
      <c r="E104" t="s">
        <v>356</v>
      </c>
    </row>
    <row r="105" spans="1:5" x14ac:dyDescent="0.25">
      <c r="A105" s="14">
        <v>42506.254571759258</v>
      </c>
      <c r="B105" t="s">
        <v>158</v>
      </c>
      <c r="C105" t="s">
        <v>261</v>
      </c>
      <c r="D105">
        <v>860000</v>
      </c>
      <c r="E105" t="s">
        <v>243</v>
      </c>
    </row>
    <row r="106" spans="1:5" x14ac:dyDescent="0.25">
      <c r="A106" s="14">
        <v>42507.175740740742</v>
      </c>
      <c r="B106" t="s">
        <v>158</v>
      </c>
      <c r="C106" t="s">
        <v>389</v>
      </c>
      <c r="D106">
        <v>1470000</v>
      </c>
      <c r="E106" t="s">
        <v>114</v>
      </c>
    </row>
    <row r="107" spans="1:5" x14ac:dyDescent="0.25">
      <c r="A107" s="14">
        <v>42506.234976851854</v>
      </c>
      <c r="B107" t="s">
        <v>164</v>
      </c>
      <c r="C107" t="s">
        <v>286</v>
      </c>
      <c r="D107">
        <v>1430000</v>
      </c>
      <c r="E107" t="s">
        <v>238</v>
      </c>
    </row>
    <row r="108" spans="1:5" x14ac:dyDescent="0.25">
      <c r="A108" s="14">
        <v>42507.254895833335</v>
      </c>
      <c r="B108" t="s">
        <v>158</v>
      </c>
      <c r="C108" t="s">
        <v>390</v>
      </c>
      <c r="D108">
        <v>1470000</v>
      </c>
      <c r="E108" t="s">
        <v>114</v>
      </c>
    </row>
    <row r="109" spans="1:5" x14ac:dyDescent="0.25">
      <c r="A109" s="14">
        <v>42505.940752314818</v>
      </c>
      <c r="B109" t="s">
        <v>101</v>
      </c>
      <c r="C109" t="s">
        <v>223</v>
      </c>
      <c r="D109">
        <v>1520000</v>
      </c>
      <c r="E109" t="s">
        <v>260</v>
      </c>
    </row>
    <row r="110" spans="1:5" x14ac:dyDescent="0.25">
      <c r="A110" s="14">
        <v>42507.197256944448</v>
      </c>
      <c r="B110" t="s">
        <v>329</v>
      </c>
      <c r="C110" t="s">
        <v>391</v>
      </c>
      <c r="D110">
        <v>1260000</v>
      </c>
      <c r="E110" t="s">
        <v>246</v>
      </c>
    </row>
    <row r="111" spans="1:5" x14ac:dyDescent="0.25">
      <c r="A111" s="14">
        <v>42505.929583333331</v>
      </c>
      <c r="B111" t="s">
        <v>101</v>
      </c>
      <c r="C111" t="s">
        <v>223</v>
      </c>
      <c r="D111">
        <v>1520000</v>
      </c>
      <c r="E111" t="s">
        <v>260</v>
      </c>
    </row>
    <row r="112" spans="1:5" x14ac:dyDescent="0.25">
      <c r="A112" s="14">
        <v>42507.222858796296</v>
      </c>
      <c r="B112" t="s">
        <v>249</v>
      </c>
      <c r="C112" t="s">
        <v>392</v>
      </c>
      <c r="D112">
        <v>1760000</v>
      </c>
      <c r="E112" t="s">
        <v>393</v>
      </c>
    </row>
    <row r="113" spans="1:5" x14ac:dyDescent="0.25">
      <c r="A113" s="14">
        <v>42505.885833333334</v>
      </c>
      <c r="B113" t="s">
        <v>161</v>
      </c>
      <c r="C113" t="s">
        <v>220</v>
      </c>
      <c r="D113">
        <v>1440000</v>
      </c>
      <c r="E113" t="s">
        <v>235</v>
      </c>
    </row>
    <row r="114" spans="1:5" x14ac:dyDescent="0.25">
      <c r="A114" s="14">
        <v>42507.252175925925</v>
      </c>
      <c r="B114" t="s">
        <v>65</v>
      </c>
      <c r="C114" t="s">
        <v>394</v>
      </c>
      <c r="D114">
        <v>1750000</v>
      </c>
      <c r="E114" t="s">
        <v>131</v>
      </c>
    </row>
    <row r="115" spans="1:5" x14ac:dyDescent="0.25">
      <c r="A115" s="14">
        <v>42506.725914351853</v>
      </c>
      <c r="B115" t="s">
        <v>64</v>
      </c>
      <c r="C115" t="s">
        <v>395</v>
      </c>
      <c r="D115">
        <v>1820000</v>
      </c>
      <c r="E115" t="s">
        <v>366</v>
      </c>
    </row>
    <row r="116" spans="1:5" x14ac:dyDescent="0.25">
      <c r="A116" s="14">
        <v>42506.6015162037</v>
      </c>
      <c r="B116" t="s">
        <v>122</v>
      </c>
      <c r="C116" t="s">
        <v>396</v>
      </c>
      <c r="D116">
        <v>1830000</v>
      </c>
      <c r="E116" t="s">
        <v>355</v>
      </c>
    </row>
    <row r="117" spans="1:5" x14ac:dyDescent="0.25">
      <c r="A117" s="14">
        <v>42506.526006944441</v>
      </c>
      <c r="B117" t="s">
        <v>164</v>
      </c>
      <c r="C117" t="s">
        <v>321</v>
      </c>
      <c r="D117">
        <v>1120000</v>
      </c>
      <c r="E117" t="s">
        <v>262</v>
      </c>
    </row>
    <row r="118" spans="1:5" x14ac:dyDescent="0.25">
      <c r="A118" s="14">
        <v>42506.661469907405</v>
      </c>
      <c r="B118" t="s">
        <v>162</v>
      </c>
      <c r="C118" t="s">
        <v>397</v>
      </c>
      <c r="D118">
        <v>1770000</v>
      </c>
      <c r="E118" t="s">
        <v>119</v>
      </c>
    </row>
    <row r="119" spans="1:5" x14ac:dyDescent="0.25">
      <c r="A119" s="14">
        <v>42506.640821759262</v>
      </c>
      <c r="B119" t="s">
        <v>255</v>
      </c>
      <c r="C119" t="s">
        <v>398</v>
      </c>
      <c r="D119">
        <v>1260000</v>
      </c>
      <c r="E119" t="s">
        <v>246</v>
      </c>
    </row>
    <row r="120" spans="1:5" x14ac:dyDescent="0.25">
      <c r="A120" s="14">
        <v>42506.672719907408</v>
      </c>
      <c r="B120" t="s">
        <v>164</v>
      </c>
      <c r="C120" t="s">
        <v>399</v>
      </c>
      <c r="D120">
        <v>1120000</v>
      </c>
      <c r="E120" t="s">
        <v>262</v>
      </c>
    </row>
    <row r="121" spans="1:5" x14ac:dyDescent="0.25">
      <c r="A121" s="14">
        <v>42506.288275462961</v>
      </c>
      <c r="B121" t="s">
        <v>64</v>
      </c>
      <c r="C121" t="s">
        <v>289</v>
      </c>
      <c r="D121">
        <v>1300000</v>
      </c>
      <c r="E121" t="s">
        <v>143</v>
      </c>
    </row>
    <row r="122" spans="1:5" x14ac:dyDescent="0.25">
      <c r="A122" s="14">
        <v>42505.793796296297</v>
      </c>
      <c r="B122" t="s">
        <v>161</v>
      </c>
      <c r="C122" t="s">
        <v>214</v>
      </c>
      <c r="D122">
        <v>1440000</v>
      </c>
      <c r="E122" t="s">
        <v>235</v>
      </c>
    </row>
    <row r="123" spans="1:5" x14ac:dyDescent="0.25">
      <c r="A123" s="14">
        <v>42506.27584490741</v>
      </c>
      <c r="B123" t="s">
        <v>255</v>
      </c>
      <c r="C123" t="s">
        <v>290</v>
      </c>
      <c r="D123">
        <v>1800000</v>
      </c>
      <c r="E123" t="s">
        <v>120</v>
      </c>
    </row>
    <row r="124" spans="1:5" x14ac:dyDescent="0.25">
      <c r="A124" s="14">
        <v>42505.889224537037</v>
      </c>
      <c r="B124" t="s">
        <v>164</v>
      </c>
      <c r="C124" t="s">
        <v>221</v>
      </c>
      <c r="D124">
        <v>1280000</v>
      </c>
      <c r="E124" t="s">
        <v>63</v>
      </c>
    </row>
    <row r="125" spans="1:5" x14ac:dyDescent="0.25">
      <c r="A125" s="14">
        <v>42506.19195601852</v>
      </c>
      <c r="B125" t="s">
        <v>159</v>
      </c>
      <c r="C125" t="s">
        <v>263</v>
      </c>
      <c r="D125">
        <v>1430000</v>
      </c>
      <c r="E125" t="s">
        <v>238</v>
      </c>
    </row>
    <row r="126" spans="1:5" x14ac:dyDescent="0.25">
      <c r="A126" s="14">
        <v>42506.578819444447</v>
      </c>
      <c r="B126" t="s">
        <v>137</v>
      </c>
      <c r="C126" t="s">
        <v>324</v>
      </c>
      <c r="D126">
        <v>1470000</v>
      </c>
      <c r="E126" t="s">
        <v>114</v>
      </c>
    </row>
    <row r="127" spans="1:5" x14ac:dyDescent="0.25">
      <c r="A127" s="14">
        <v>42507.253807870373</v>
      </c>
      <c r="B127" t="s">
        <v>158</v>
      </c>
      <c r="C127" t="s">
        <v>390</v>
      </c>
      <c r="D127">
        <v>1470000</v>
      </c>
      <c r="E127" t="s">
        <v>114</v>
      </c>
    </row>
    <row r="128" spans="1:5" x14ac:dyDescent="0.25">
      <c r="A128" s="14">
        <v>42506.598923611113</v>
      </c>
      <c r="B128" t="s">
        <v>164</v>
      </c>
      <c r="C128" t="s">
        <v>400</v>
      </c>
      <c r="D128">
        <v>1120000</v>
      </c>
      <c r="E128" t="s">
        <v>262</v>
      </c>
    </row>
    <row r="129" spans="1:5" x14ac:dyDescent="0.25">
      <c r="A129" s="14">
        <v>42506.290439814817</v>
      </c>
      <c r="B129" t="s">
        <v>161</v>
      </c>
      <c r="C129" t="s">
        <v>304</v>
      </c>
      <c r="D129">
        <v>860000</v>
      </c>
      <c r="E129" t="s">
        <v>243</v>
      </c>
    </row>
    <row r="130" spans="1:5" x14ac:dyDescent="0.25">
      <c r="A130" s="14">
        <v>42505.931168981479</v>
      </c>
      <c r="B130" t="s">
        <v>136</v>
      </c>
      <c r="C130" t="s">
        <v>310</v>
      </c>
      <c r="D130">
        <v>1500000</v>
      </c>
      <c r="E130" t="s">
        <v>259</v>
      </c>
    </row>
    <row r="131" spans="1:5" x14ac:dyDescent="0.25">
      <c r="A131" s="14">
        <v>42506.20521990741</v>
      </c>
      <c r="B131" t="s">
        <v>255</v>
      </c>
      <c r="C131" t="s">
        <v>297</v>
      </c>
      <c r="D131">
        <v>1800000</v>
      </c>
      <c r="E131" t="s">
        <v>120</v>
      </c>
    </row>
    <row r="132" spans="1:5" x14ac:dyDescent="0.25">
      <c r="A132" s="14">
        <v>42505.956006944441</v>
      </c>
      <c r="B132" t="s">
        <v>167</v>
      </c>
      <c r="C132" t="s">
        <v>225</v>
      </c>
      <c r="D132">
        <v>1140000</v>
      </c>
      <c r="E132" t="s">
        <v>62</v>
      </c>
    </row>
    <row r="133" spans="1:5" x14ac:dyDescent="0.25">
      <c r="A133" s="14">
        <v>42507.233611111114</v>
      </c>
      <c r="B133" t="s">
        <v>278</v>
      </c>
      <c r="C133" t="s">
        <v>401</v>
      </c>
      <c r="D133">
        <v>1260000</v>
      </c>
      <c r="E133" t="s">
        <v>246</v>
      </c>
    </row>
    <row r="134" spans="1:5" x14ac:dyDescent="0.25">
      <c r="A134" s="14">
        <v>42505.98232638889</v>
      </c>
      <c r="B134" t="s">
        <v>161</v>
      </c>
      <c r="C134" t="s">
        <v>228</v>
      </c>
      <c r="D134">
        <v>1440000</v>
      </c>
      <c r="E134" t="s">
        <v>235</v>
      </c>
    </row>
    <row r="135" spans="1:5" x14ac:dyDescent="0.25">
      <c r="A135" s="14">
        <v>42507.206064814818</v>
      </c>
      <c r="B135" t="s">
        <v>159</v>
      </c>
      <c r="C135" t="s">
        <v>402</v>
      </c>
      <c r="D135">
        <v>1800000</v>
      </c>
      <c r="E135" t="s">
        <v>120</v>
      </c>
    </row>
    <row r="136" spans="1:5" x14ac:dyDescent="0.25">
      <c r="A136" s="14">
        <v>42506.168576388889</v>
      </c>
      <c r="B136" t="s">
        <v>65</v>
      </c>
      <c r="C136" t="s">
        <v>311</v>
      </c>
      <c r="D136">
        <v>1300000</v>
      </c>
      <c r="E136" t="s">
        <v>143</v>
      </c>
    </row>
    <row r="137" spans="1:5" x14ac:dyDescent="0.25">
      <c r="A137" s="14">
        <v>42506.909548611111</v>
      </c>
      <c r="B137" t="s">
        <v>249</v>
      </c>
      <c r="C137" t="s">
        <v>344</v>
      </c>
      <c r="D137">
        <v>1460000</v>
      </c>
      <c r="E137" t="s">
        <v>244</v>
      </c>
    </row>
    <row r="138" spans="1:5" x14ac:dyDescent="0.25">
      <c r="A138" s="14">
        <v>42506.223263888889</v>
      </c>
      <c r="B138" t="s">
        <v>162</v>
      </c>
      <c r="C138" t="s">
        <v>314</v>
      </c>
      <c r="D138">
        <v>1310000</v>
      </c>
      <c r="E138" t="s">
        <v>149</v>
      </c>
    </row>
    <row r="139" spans="1:5" x14ac:dyDescent="0.25">
      <c r="A139" s="14">
        <v>42506.807106481479</v>
      </c>
      <c r="B139" t="s">
        <v>161</v>
      </c>
      <c r="C139" t="s">
        <v>403</v>
      </c>
      <c r="D139">
        <v>1280000</v>
      </c>
      <c r="E139" t="s">
        <v>63</v>
      </c>
    </row>
    <row r="140" spans="1:5" x14ac:dyDescent="0.25">
      <c r="A140" s="14">
        <v>42506.355173611111</v>
      </c>
      <c r="B140" t="s">
        <v>137</v>
      </c>
      <c r="C140" t="s">
        <v>294</v>
      </c>
      <c r="D140">
        <v>1740000</v>
      </c>
      <c r="E140" t="s">
        <v>121</v>
      </c>
    </row>
    <row r="141" spans="1:5" x14ac:dyDescent="0.25">
      <c r="A141" s="14">
        <v>42506.153020833335</v>
      </c>
      <c r="B141" t="s">
        <v>162</v>
      </c>
      <c r="C141" t="s">
        <v>306</v>
      </c>
      <c r="D141">
        <v>1750000</v>
      </c>
      <c r="E141" t="s">
        <v>131</v>
      </c>
    </row>
    <row r="142" spans="1:5" x14ac:dyDescent="0.25">
      <c r="A142" s="14">
        <v>42506.536157407405</v>
      </c>
      <c r="B142" t="s">
        <v>135</v>
      </c>
      <c r="C142" t="s">
        <v>404</v>
      </c>
      <c r="D142">
        <v>1470000</v>
      </c>
      <c r="E142" t="s">
        <v>114</v>
      </c>
    </row>
    <row r="143" spans="1:5" x14ac:dyDescent="0.25">
      <c r="A143" s="14">
        <v>42505.915046296293</v>
      </c>
      <c r="B143" t="s">
        <v>138</v>
      </c>
      <c r="C143" t="s">
        <v>222</v>
      </c>
      <c r="D143">
        <v>1500000</v>
      </c>
      <c r="E143" t="s">
        <v>259</v>
      </c>
    </row>
    <row r="144" spans="1:5" x14ac:dyDescent="0.25">
      <c r="A144" s="14">
        <v>42506.721354166664</v>
      </c>
      <c r="B144" t="s">
        <v>278</v>
      </c>
      <c r="C144" t="s">
        <v>332</v>
      </c>
      <c r="D144">
        <v>1470000</v>
      </c>
      <c r="E144" t="s">
        <v>114</v>
      </c>
    </row>
    <row r="145" spans="1:5" x14ac:dyDescent="0.25">
      <c r="A145" s="14">
        <v>42506.745891203704</v>
      </c>
      <c r="B145" t="s">
        <v>122</v>
      </c>
      <c r="C145" t="s">
        <v>405</v>
      </c>
      <c r="D145">
        <v>1830000</v>
      </c>
      <c r="E145" t="s">
        <v>355</v>
      </c>
    </row>
    <row r="146" spans="1:5" x14ac:dyDescent="0.25">
      <c r="A146" s="14">
        <v>42505.842164351852</v>
      </c>
      <c r="B146" t="s">
        <v>167</v>
      </c>
      <c r="C146" t="s">
        <v>171</v>
      </c>
      <c r="D146">
        <v>1140000</v>
      </c>
      <c r="E146" t="s">
        <v>62</v>
      </c>
    </row>
    <row r="147" spans="1:5" x14ac:dyDescent="0.25">
      <c r="A147" s="14">
        <v>42506.693541666667</v>
      </c>
      <c r="B147" t="s">
        <v>158</v>
      </c>
      <c r="C147" t="s">
        <v>406</v>
      </c>
      <c r="D147">
        <v>1780000</v>
      </c>
      <c r="E147" t="s">
        <v>142</v>
      </c>
    </row>
    <row r="148" spans="1:5" x14ac:dyDescent="0.25">
      <c r="A148" s="14">
        <v>42506.265150462961</v>
      </c>
      <c r="B148" t="s">
        <v>248</v>
      </c>
      <c r="C148" t="s">
        <v>293</v>
      </c>
      <c r="D148">
        <v>1310000</v>
      </c>
      <c r="E148" t="s">
        <v>149</v>
      </c>
    </row>
    <row r="149" spans="1:5" x14ac:dyDescent="0.25">
      <c r="A149" s="14">
        <v>42506.6484375</v>
      </c>
      <c r="B149" t="s">
        <v>137</v>
      </c>
      <c r="C149" t="s">
        <v>326</v>
      </c>
      <c r="D149">
        <v>1470000</v>
      </c>
      <c r="E149" t="s">
        <v>114</v>
      </c>
    </row>
    <row r="150" spans="1:5" x14ac:dyDescent="0.25">
      <c r="A150" s="14">
        <v>42506.287662037037</v>
      </c>
      <c r="B150" t="s">
        <v>137</v>
      </c>
      <c r="C150" t="s">
        <v>301</v>
      </c>
      <c r="D150">
        <v>1740000</v>
      </c>
      <c r="E150" t="s">
        <v>121</v>
      </c>
    </row>
    <row r="151" spans="1:5" x14ac:dyDescent="0.25">
      <c r="A151" s="14">
        <v>42506.548229166663</v>
      </c>
      <c r="B151" t="s">
        <v>65</v>
      </c>
      <c r="C151" t="s">
        <v>323</v>
      </c>
      <c r="D151">
        <v>1820000</v>
      </c>
      <c r="E151" t="s">
        <v>366</v>
      </c>
    </row>
    <row r="152" spans="1:5" x14ac:dyDescent="0.25">
      <c r="A152" s="14">
        <v>42506.341412037036</v>
      </c>
      <c r="B152" t="s">
        <v>248</v>
      </c>
      <c r="C152" t="s">
        <v>315</v>
      </c>
      <c r="D152">
        <v>1310000</v>
      </c>
      <c r="E152" t="s">
        <v>149</v>
      </c>
    </row>
    <row r="153" spans="1:5" x14ac:dyDescent="0.25">
      <c r="A153" s="14">
        <v>42506.316250000003</v>
      </c>
      <c r="B153" t="s">
        <v>135</v>
      </c>
      <c r="C153" t="s">
        <v>292</v>
      </c>
      <c r="D153">
        <v>1740000</v>
      </c>
      <c r="E153" t="s">
        <v>121</v>
      </c>
    </row>
    <row r="154" spans="1:5" x14ac:dyDescent="0.25">
      <c r="A154" s="14">
        <v>42506.433425925927</v>
      </c>
      <c r="B154" t="s">
        <v>64</v>
      </c>
      <c r="C154" t="s">
        <v>305</v>
      </c>
      <c r="D154">
        <v>1800000</v>
      </c>
      <c r="E154" t="s">
        <v>120</v>
      </c>
    </row>
    <row r="155" spans="1:5" x14ac:dyDescent="0.25">
      <c r="A155" s="14">
        <v>42506.170069444444</v>
      </c>
      <c r="B155" t="s">
        <v>135</v>
      </c>
      <c r="C155" t="s">
        <v>298</v>
      </c>
      <c r="D155">
        <v>1740000</v>
      </c>
      <c r="E155" t="s">
        <v>121</v>
      </c>
    </row>
    <row r="156" spans="1:5" x14ac:dyDescent="0.25">
      <c r="A156" s="14">
        <v>42506.477349537039</v>
      </c>
      <c r="B156" t="s">
        <v>248</v>
      </c>
      <c r="C156" t="s">
        <v>317</v>
      </c>
      <c r="D156">
        <v>1770000</v>
      </c>
      <c r="E156" t="s">
        <v>119</v>
      </c>
    </row>
    <row r="157" spans="1:5" x14ac:dyDescent="0.25">
      <c r="A157" s="14">
        <v>42506.827430555553</v>
      </c>
      <c r="B157" t="s">
        <v>249</v>
      </c>
      <c r="C157" t="s">
        <v>375</v>
      </c>
      <c r="D157">
        <v>1460000</v>
      </c>
      <c r="E157" t="s">
        <v>244</v>
      </c>
    </row>
    <row r="158" spans="1:5" x14ac:dyDescent="0.25">
      <c r="A158" s="14">
        <v>42506.484270833331</v>
      </c>
      <c r="B158" t="s">
        <v>159</v>
      </c>
      <c r="C158" t="s">
        <v>309</v>
      </c>
      <c r="D158">
        <v>1120000</v>
      </c>
      <c r="E158" t="s">
        <v>262</v>
      </c>
    </row>
    <row r="159" spans="1:5" x14ac:dyDescent="0.25">
      <c r="A159" s="14">
        <v>42506.496435185189</v>
      </c>
      <c r="B159" t="s">
        <v>123</v>
      </c>
      <c r="C159" t="s">
        <v>320</v>
      </c>
      <c r="D159">
        <v>1310000</v>
      </c>
      <c r="E159" t="s">
        <v>149</v>
      </c>
    </row>
    <row r="160" spans="1:5" x14ac:dyDescent="0.25">
      <c r="A160" s="14">
        <v>42506.735902777778</v>
      </c>
      <c r="B160" t="s">
        <v>162</v>
      </c>
      <c r="C160" t="s">
        <v>331</v>
      </c>
      <c r="D160">
        <v>1500000</v>
      </c>
      <c r="E160" t="s">
        <v>259</v>
      </c>
    </row>
    <row r="161" spans="1:5" x14ac:dyDescent="0.25">
      <c r="A161" s="14">
        <v>42506.379155092596</v>
      </c>
      <c r="B161" t="s">
        <v>164</v>
      </c>
      <c r="C161" t="s">
        <v>295</v>
      </c>
      <c r="D161">
        <v>1430000</v>
      </c>
      <c r="E161" t="s">
        <v>238</v>
      </c>
    </row>
    <row r="162" spans="1:5" x14ac:dyDescent="0.25">
      <c r="A162" s="14">
        <v>42505.768657407411</v>
      </c>
      <c r="B162" t="s">
        <v>167</v>
      </c>
      <c r="C162" t="s">
        <v>168</v>
      </c>
      <c r="D162">
        <v>1140000</v>
      </c>
      <c r="E162" t="s">
        <v>62</v>
      </c>
    </row>
    <row r="163" spans="1:5" x14ac:dyDescent="0.25">
      <c r="A163" s="14">
        <v>42506.351909722223</v>
      </c>
      <c r="B163" t="s">
        <v>255</v>
      </c>
      <c r="C163" t="s">
        <v>299</v>
      </c>
      <c r="D163">
        <v>1800000</v>
      </c>
      <c r="E163" t="s">
        <v>120</v>
      </c>
    </row>
    <row r="164" spans="1:5" x14ac:dyDescent="0.25">
      <c r="A164" s="14">
        <v>42505.788645833331</v>
      </c>
      <c r="B164" t="s">
        <v>138</v>
      </c>
      <c r="C164" t="s">
        <v>215</v>
      </c>
      <c r="D164">
        <v>1500000</v>
      </c>
      <c r="E164" t="s">
        <v>259</v>
      </c>
    </row>
    <row r="165" spans="1:5" x14ac:dyDescent="0.25">
      <c r="A165" s="14">
        <v>42506.306898148148</v>
      </c>
      <c r="B165" t="s">
        <v>164</v>
      </c>
      <c r="C165" t="s">
        <v>302</v>
      </c>
      <c r="D165">
        <v>1430000</v>
      </c>
      <c r="E165" t="s">
        <v>238</v>
      </c>
    </row>
    <row r="166" spans="1:5" x14ac:dyDescent="0.25">
      <c r="A166" s="14">
        <v>42506.264675925922</v>
      </c>
      <c r="B166" t="s">
        <v>159</v>
      </c>
      <c r="C166" t="s">
        <v>316</v>
      </c>
      <c r="D166">
        <v>1430000</v>
      </c>
      <c r="E166" t="s">
        <v>238</v>
      </c>
    </row>
    <row r="167" spans="1:5" x14ac:dyDescent="0.25">
      <c r="A167" s="14">
        <v>42507.267476851855</v>
      </c>
      <c r="B167" t="s">
        <v>329</v>
      </c>
      <c r="C167" t="s">
        <v>407</v>
      </c>
      <c r="D167">
        <v>1260000</v>
      </c>
      <c r="E167" t="s">
        <v>246</v>
      </c>
    </row>
    <row r="168" spans="1:5" x14ac:dyDescent="0.25">
      <c r="A168" s="14">
        <v>42506.300763888888</v>
      </c>
      <c r="B168" t="s">
        <v>162</v>
      </c>
      <c r="C168" t="s">
        <v>307</v>
      </c>
      <c r="D168">
        <v>1310000</v>
      </c>
      <c r="E168" t="s">
        <v>149</v>
      </c>
    </row>
    <row r="169" spans="1:5" x14ac:dyDescent="0.25">
      <c r="A169" s="14">
        <v>42506.815023148149</v>
      </c>
      <c r="B169" t="s">
        <v>172</v>
      </c>
      <c r="C169" t="s">
        <v>408</v>
      </c>
      <c r="D169">
        <v>1500000</v>
      </c>
      <c r="E169" t="s">
        <v>259</v>
      </c>
    </row>
    <row r="170" spans="1:5" x14ac:dyDescent="0.25">
      <c r="A170" s="14">
        <v>42506.032731481479</v>
      </c>
      <c r="B170" t="s">
        <v>167</v>
      </c>
      <c r="C170" t="s">
        <v>234</v>
      </c>
      <c r="D170">
        <v>1140000</v>
      </c>
      <c r="E170" t="s">
        <v>62</v>
      </c>
    </row>
    <row r="171" spans="1:5" x14ac:dyDescent="0.25">
      <c r="A171" s="14">
        <v>42506.727187500001</v>
      </c>
      <c r="B171" t="s">
        <v>161</v>
      </c>
      <c r="C171" t="s">
        <v>409</v>
      </c>
      <c r="D171">
        <v>1780000</v>
      </c>
      <c r="E171" t="s">
        <v>142</v>
      </c>
    </row>
    <row r="172" spans="1:5" x14ac:dyDescent="0.25">
      <c r="A172" s="14">
        <v>42506.249374999999</v>
      </c>
      <c r="B172" t="s">
        <v>135</v>
      </c>
      <c r="C172" t="s">
        <v>308</v>
      </c>
      <c r="D172">
        <v>1740000</v>
      </c>
      <c r="E172" t="s">
        <v>121</v>
      </c>
    </row>
    <row r="173" spans="1:5" x14ac:dyDescent="0.25">
      <c r="A173" s="14">
        <v>42506.714236111111</v>
      </c>
      <c r="B173" t="s">
        <v>255</v>
      </c>
      <c r="C173" t="s">
        <v>410</v>
      </c>
      <c r="D173">
        <v>1460000</v>
      </c>
      <c r="E173" t="s">
        <v>244</v>
      </c>
    </row>
    <row r="174" spans="1:5" x14ac:dyDescent="0.25">
      <c r="A174" s="14">
        <v>42506.361689814818</v>
      </c>
      <c r="B174" t="s">
        <v>64</v>
      </c>
      <c r="C174" t="s">
        <v>296</v>
      </c>
      <c r="D174">
        <v>1300000</v>
      </c>
      <c r="E174" t="s">
        <v>143</v>
      </c>
    </row>
    <row r="175" spans="1:5" x14ac:dyDescent="0.25">
      <c r="A175" s="14">
        <v>42506.619560185187</v>
      </c>
      <c r="B175" t="s">
        <v>158</v>
      </c>
      <c r="C175" t="s">
        <v>411</v>
      </c>
      <c r="D175">
        <v>1780000</v>
      </c>
      <c r="E175" t="s">
        <v>142</v>
      </c>
    </row>
    <row r="176" spans="1:5" x14ac:dyDescent="0.25">
      <c r="A176" s="14">
        <v>42506.395636574074</v>
      </c>
      <c r="B176" t="s">
        <v>65</v>
      </c>
      <c r="C176" t="s">
        <v>303</v>
      </c>
      <c r="D176">
        <v>1300000</v>
      </c>
      <c r="E176" t="s">
        <v>143</v>
      </c>
    </row>
    <row r="177" spans="1:5" x14ac:dyDescent="0.25">
      <c r="A177" s="14">
        <v>42506.554780092592</v>
      </c>
      <c r="B177" t="s">
        <v>248</v>
      </c>
      <c r="C177" t="s">
        <v>412</v>
      </c>
      <c r="D177">
        <v>1770000</v>
      </c>
      <c r="E177" t="s">
        <v>119</v>
      </c>
    </row>
    <row r="178" spans="1:5" x14ac:dyDescent="0.25">
      <c r="A178" s="14">
        <v>42505.863912037035</v>
      </c>
      <c r="B178" t="s">
        <v>161</v>
      </c>
      <c r="C178" t="s">
        <v>220</v>
      </c>
      <c r="D178">
        <v>1440000</v>
      </c>
      <c r="E178" t="s">
        <v>235</v>
      </c>
    </row>
    <row r="179" spans="1:5" x14ac:dyDescent="0.25">
      <c r="A179" s="14">
        <v>42506.866967592592</v>
      </c>
      <c r="B179" t="s">
        <v>278</v>
      </c>
      <c r="C179" t="s">
        <v>341</v>
      </c>
      <c r="D179">
        <v>1840000</v>
      </c>
      <c r="E179" t="s">
        <v>356</v>
      </c>
    </row>
    <row r="180" spans="1:5" x14ac:dyDescent="0.25">
      <c r="A180" s="14">
        <v>42506.495034722226</v>
      </c>
      <c r="B180" t="s">
        <v>255</v>
      </c>
      <c r="C180" t="s">
        <v>413</v>
      </c>
      <c r="D180">
        <v>1260000</v>
      </c>
      <c r="E180" t="s">
        <v>246</v>
      </c>
    </row>
    <row r="181" spans="1:5" x14ac:dyDescent="0.25">
      <c r="A181" s="14">
        <v>42506.767025462963</v>
      </c>
      <c r="B181" t="s">
        <v>65</v>
      </c>
      <c r="C181" t="s">
        <v>334</v>
      </c>
      <c r="D181">
        <v>1820000</v>
      </c>
      <c r="E181" t="s">
        <v>366</v>
      </c>
    </row>
    <row r="182" spans="1:5" x14ac:dyDescent="0.25">
      <c r="A182" s="14">
        <v>42506.588553240741</v>
      </c>
      <c r="B182" t="s">
        <v>162</v>
      </c>
      <c r="C182" t="s">
        <v>414</v>
      </c>
      <c r="D182">
        <v>1770000</v>
      </c>
      <c r="E182" t="s">
        <v>119</v>
      </c>
    </row>
    <row r="183" spans="1:5" x14ac:dyDescent="0.25">
      <c r="A183" s="14">
        <v>42505.980879629627</v>
      </c>
      <c r="B183" t="s">
        <v>161</v>
      </c>
      <c r="C183" t="s">
        <v>228</v>
      </c>
      <c r="D183">
        <v>1440000</v>
      </c>
      <c r="E183" t="s">
        <v>235</v>
      </c>
    </row>
    <row r="184" spans="1:5" x14ac:dyDescent="0.25">
      <c r="A184" s="14">
        <v>42506.692824074074</v>
      </c>
      <c r="B184" t="s">
        <v>65</v>
      </c>
      <c r="C184" t="s">
        <v>415</v>
      </c>
      <c r="D184">
        <v>1820000</v>
      </c>
      <c r="E184" t="s">
        <v>366</v>
      </c>
    </row>
    <row r="185" spans="1:5" x14ac:dyDescent="0.25">
      <c r="A185" s="14">
        <v>42507.245659722219</v>
      </c>
      <c r="B185" t="s">
        <v>164</v>
      </c>
      <c r="C185" t="s">
        <v>416</v>
      </c>
      <c r="D185">
        <v>1800000</v>
      </c>
      <c r="E185" t="s">
        <v>120</v>
      </c>
    </row>
    <row r="186" spans="1:5" x14ac:dyDescent="0.25">
      <c r="A186" s="14">
        <v>42506.781585648147</v>
      </c>
      <c r="B186" t="s">
        <v>123</v>
      </c>
      <c r="C186" t="s">
        <v>338</v>
      </c>
      <c r="D186">
        <v>1830000</v>
      </c>
      <c r="E186" t="s">
        <v>355</v>
      </c>
    </row>
    <row r="187" spans="1:5" x14ac:dyDescent="0.25">
      <c r="A187" s="14">
        <v>42507.126527777778</v>
      </c>
      <c r="B187" t="s">
        <v>159</v>
      </c>
      <c r="C187" t="s">
        <v>371</v>
      </c>
      <c r="D187">
        <v>1480000</v>
      </c>
      <c r="E187" t="s">
        <v>257</v>
      </c>
    </row>
    <row r="188" spans="1:5" x14ac:dyDescent="0.25">
      <c r="A188" s="14">
        <v>42506.868993055556</v>
      </c>
      <c r="B188" t="s">
        <v>255</v>
      </c>
      <c r="C188" t="s">
        <v>417</v>
      </c>
      <c r="D188">
        <v>1460000</v>
      </c>
      <c r="E188" t="s">
        <v>244</v>
      </c>
    </row>
    <row r="189" spans="1:5" x14ac:dyDescent="0.25">
      <c r="A189" s="14">
        <v>42506.908321759256</v>
      </c>
      <c r="B189" t="s">
        <v>162</v>
      </c>
      <c r="C189" t="s">
        <v>342</v>
      </c>
      <c r="D189">
        <v>1500000</v>
      </c>
      <c r="E189" t="s">
        <v>259</v>
      </c>
    </row>
    <row r="190" spans="1:5" x14ac:dyDescent="0.25">
      <c r="A190" s="14">
        <v>42507.213784722226</v>
      </c>
      <c r="B190" t="s">
        <v>418</v>
      </c>
      <c r="C190" t="s">
        <v>419</v>
      </c>
      <c r="D190">
        <v>1470000</v>
      </c>
      <c r="E190" t="s">
        <v>114</v>
      </c>
    </row>
    <row r="191" spans="1:5" x14ac:dyDescent="0.25">
      <c r="A191" s="14">
        <v>42506.6715625</v>
      </c>
      <c r="B191" t="s">
        <v>122</v>
      </c>
      <c r="C191" t="s">
        <v>327</v>
      </c>
      <c r="D191">
        <v>1830000</v>
      </c>
      <c r="E191" t="s">
        <v>355</v>
      </c>
    </row>
    <row r="192" spans="1:5" x14ac:dyDescent="0.25">
      <c r="A192" s="14">
        <v>42506.943368055552</v>
      </c>
      <c r="B192" t="s">
        <v>329</v>
      </c>
      <c r="C192" t="s">
        <v>345</v>
      </c>
      <c r="D192">
        <v>1840000</v>
      </c>
      <c r="E192" t="s">
        <v>356</v>
      </c>
    </row>
    <row r="193" spans="1:5" x14ac:dyDescent="0.25">
      <c r="A193" s="14">
        <v>42506.56753472222</v>
      </c>
      <c r="B193" t="s">
        <v>255</v>
      </c>
      <c r="C193" t="s">
        <v>420</v>
      </c>
      <c r="D193">
        <v>1260000</v>
      </c>
      <c r="E193" t="s">
        <v>246</v>
      </c>
    </row>
    <row r="194" spans="1:5" x14ac:dyDescent="0.25">
      <c r="A194" s="14">
        <v>42507.183900462966</v>
      </c>
      <c r="B194" t="s">
        <v>255</v>
      </c>
      <c r="C194" t="s">
        <v>421</v>
      </c>
      <c r="D194">
        <v>1760000</v>
      </c>
      <c r="E194" t="s">
        <v>393</v>
      </c>
    </row>
    <row r="195" spans="1:5" x14ac:dyDescent="0.25">
      <c r="A195" s="14">
        <v>42506.327557870369</v>
      </c>
      <c r="B195" t="s">
        <v>158</v>
      </c>
      <c r="C195" t="s">
        <v>300</v>
      </c>
      <c r="D195">
        <v>860000</v>
      </c>
      <c r="E195" t="s">
        <v>243</v>
      </c>
    </row>
    <row r="196" spans="1:5" x14ac:dyDescent="0.25">
      <c r="A196" s="14">
        <v>42507.258217592593</v>
      </c>
      <c r="B196" t="s">
        <v>255</v>
      </c>
      <c r="C196" t="s">
        <v>422</v>
      </c>
      <c r="D196">
        <v>1760000</v>
      </c>
      <c r="E196" t="s">
        <v>393</v>
      </c>
    </row>
    <row r="197" spans="1:5" x14ac:dyDescent="0.25">
      <c r="A197" s="14">
        <v>42506.151759259257</v>
      </c>
      <c r="B197" t="s">
        <v>162</v>
      </c>
      <c r="C197" t="s">
        <v>306</v>
      </c>
      <c r="D197">
        <v>1750000</v>
      </c>
      <c r="E197" t="s">
        <v>131</v>
      </c>
    </row>
    <row r="198" spans="1:5" x14ac:dyDescent="0.25">
      <c r="A198" s="14">
        <v>42506.98946759259</v>
      </c>
      <c r="B198" t="s">
        <v>161</v>
      </c>
      <c r="C198" t="s">
        <v>350</v>
      </c>
      <c r="D198">
        <v>1280000</v>
      </c>
      <c r="E198" t="s">
        <v>63</v>
      </c>
    </row>
    <row r="199" spans="1:5" x14ac:dyDescent="0.25">
      <c r="A199" s="14">
        <v>42506.010104166664</v>
      </c>
      <c r="B199" t="s">
        <v>101</v>
      </c>
      <c r="C199" t="s">
        <v>233</v>
      </c>
      <c r="D199">
        <v>1520000</v>
      </c>
      <c r="E199" t="s">
        <v>260</v>
      </c>
    </row>
    <row r="200" spans="1:5" x14ac:dyDescent="0.25">
      <c r="A200" s="14">
        <v>42507.174305555556</v>
      </c>
      <c r="B200" t="s">
        <v>158</v>
      </c>
      <c r="C200" t="s">
        <v>389</v>
      </c>
      <c r="D200">
        <v>1470000</v>
      </c>
      <c r="E200" t="s">
        <v>114</v>
      </c>
    </row>
    <row r="201" spans="1:5" x14ac:dyDescent="0.25">
      <c r="A201" s="14">
        <v>42505.999328703707</v>
      </c>
      <c r="B201" t="s">
        <v>164</v>
      </c>
      <c r="C201" t="s">
        <v>229</v>
      </c>
      <c r="D201">
        <v>1280000</v>
      </c>
      <c r="E201" t="s">
        <v>63</v>
      </c>
    </row>
    <row r="202" spans="1:5" x14ac:dyDescent="0.25">
      <c r="A202" s="14">
        <v>42507.212210648147</v>
      </c>
      <c r="B202" t="s">
        <v>418</v>
      </c>
      <c r="C202" t="s">
        <v>419</v>
      </c>
      <c r="D202">
        <v>1470000</v>
      </c>
      <c r="E202" t="s">
        <v>114</v>
      </c>
    </row>
    <row r="203" spans="1:5" x14ac:dyDescent="0.25">
      <c r="A203" s="14">
        <v>42506.566377314812</v>
      </c>
      <c r="B203" t="s">
        <v>123</v>
      </c>
      <c r="C203" t="s">
        <v>423</v>
      </c>
      <c r="D203">
        <v>1830000</v>
      </c>
      <c r="E203" t="s">
        <v>355</v>
      </c>
    </row>
    <row r="205" spans="1:5" x14ac:dyDescent="0.25">
      <c r="A205" s="14">
        <v>42505.392962962964</v>
      </c>
      <c r="B205" t="s">
        <v>158</v>
      </c>
      <c r="C205" t="s">
        <v>193</v>
      </c>
      <c r="D205">
        <v>1430000</v>
      </c>
      <c r="E205" t="s">
        <v>238</v>
      </c>
    </row>
    <row r="206" spans="1:5" x14ac:dyDescent="0.25">
      <c r="A206" s="14">
        <v>42506.249374999999</v>
      </c>
      <c r="B206" t="s">
        <v>135</v>
      </c>
      <c r="C206" t="s">
        <v>308</v>
      </c>
      <c r="D206">
        <v>1740000</v>
      </c>
      <c r="E206" t="s">
        <v>121</v>
      </c>
    </row>
    <row r="207" spans="1:5" x14ac:dyDescent="0.25">
      <c r="A207" s="14">
        <v>42505.274456018517</v>
      </c>
      <c r="B207" t="s">
        <v>100</v>
      </c>
      <c r="C207" t="s">
        <v>156</v>
      </c>
      <c r="D207">
        <v>1110000</v>
      </c>
      <c r="E207" t="s">
        <v>236</v>
      </c>
    </row>
    <row r="208" spans="1:5" x14ac:dyDescent="0.25">
      <c r="A208" s="14">
        <v>42506.484270833331</v>
      </c>
      <c r="B208" t="s">
        <v>159</v>
      </c>
      <c r="C208" t="s">
        <v>309</v>
      </c>
      <c r="D208">
        <v>1120000</v>
      </c>
      <c r="E208" t="s">
        <v>262</v>
      </c>
    </row>
    <row r="209" spans="1:5" x14ac:dyDescent="0.25">
      <c r="A209" s="14">
        <v>42505.588136574072</v>
      </c>
      <c r="B209" t="s">
        <v>101</v>
      </c>
      <c r="C209" t="s">
        <v>206</v>
      </c>
      <c r="D209">
        <v>1460000</v>
      </c>
      <c r="E209" t="s">
        <v>244</v>
      </c>
    </row>
    <row r="210" spans="1:5" x14ac:dyDescent="0.25">
      <c r="A210" s="14">
        <v>42505.454282407409</v>
      </c>
      <c r="B210" t="s">
        <v>148</v>
      </c>
      <c r="C210" t="s">
        <v>196</v>
      </c>
      <c r="D210">
        <v>1110000</v>
      </c>
      <c r="E210" t="s">
        <v>236</v>
      </c>
    </row>
    <row r="211" spans="1:5" x14ac:dyDescent="0.25">
      <c r="A211" s="14">
        <v>42505.415358796294</v>
      </c>
      <c r="B211" t="s">
        <v>135</v>
      </c>
      <c r="C211" t="s">
        <v>163</v>
      </c>
      <c r="D211">
        <v>1310000</v>
      </c>
      <c r="E211" t="s">
        <v>149</v>
      </c>
    </row>
    <row r="212" spans="1:5" x14ac:dyDescent="0.25">
      <c r="A212" s="14">
        <v>42505.453356481485</v>
      </c>
      <c r="B212" t="s">
        <v>137</v>
      </c>
      <c r="C212" t="s">
        <v>165</v>
      </c>
      <c r="D212">
        <v>1310000</v>
      </c>
      <c r="E212" t="s">
        <v>149</v>
      </c>
    </row>
    <row r="213" spans="1:5" x14ac:dyDescent="0.25">
      <c r="A213" s="14">
        <v>42505.372824074075</v>
      </c>
      <c r="B213" t="s">
        <v>101</v>
      </c>
      <c r="C213" t="s">
        <v>160</v>
      </c>
      <c r="D213">
        <v>1110000</v>
      </c>
      <c r="E213" t="s">
        <v>236</v>
      </c>
    </row>
    <row r="214" spans="1:5" x14ac:dyDescent="0.25">
      <c r="A214" s="14">
        <v>42505.495243055557</v>
      </c>
      <c r="B214" t="s">
        <v>138</v>
      </c>
      <c r="C214" t="s">
        <v>201</v>
      </c>
      <c r="D214">
        <v>1260000</v>
      </c>
      <c r="E214" t="s">
        <v>246</v>
      </c>
    </row>
    <row r="215" spans="1:5" x14ac:dyDescent="0.25">
      <c r="A215" s="14">
        <v>42505.215532407405</v>
      </c>
      <c r="B215" t="s">
        <v>167</v>
      </c>
      <c r="C215" t="s">
        <v>178</v>
      </c>
      <c r="D215">
        <v>1430000</v>
      </c>
      <c r="E215" t="s">
        <v>238</v>
      </c>
    </row>
    <row r="216" spans="1:5" x14ac:dyDescent="0.25">
      <c r="A216" s="14">
        <v>42505.692048611112</v>
      </c>
      <c r="B216" t="s">
        <v>159</v>
      </c>
      <c r="C216" t="s">
        <v>210</v>
      </c>
      <c r="D216">
        <v>940000</v>
      </c>
      <c r="E216" t="s">
        <v>258</v>
      </c>
    </row>
    <row r="217" spans="1:5" x14ac:dyDescent="0.25">
      <c r="A217" s="14">
        <v>42505.627523148149</v>
      </c>
      <c r="B217" t="s">
        <v>100</v>
      </c>
      <c r="C217" t="s">
        <v>208</v>
      </c>
      <c r="D217">
        <v>1460000</v>
      </c>
      <c r="E217" t="s">
        <v>244</v>
      </c>
    </row>
    <row r="218" spans="1:5" x14ac:dyDescent="0.25">
      <c r="A218" s="14">
        <v>42505.768657407411</v>
      </c>
      <c r="B218" t="s">
        <v>167</v>
      </c>
      <c r="C218" t="s">
        <v>168</v>
      </c>
      <c r="D218">
        <v>1140000</v>
      </c>
      <c r="E218" t="s">
        <v>62</v>
      </c>
    </row>
    <row r="219" spans="1:5" x14ac:dyDescent="0.25">
      <c r="A219" s="14">
        <v>42505.510069444441</v>
      </c>
      <c r="B219" t="s">
        <v>164</v>
      </c>
      <c r="C219" t="s">
        <v>200</v>
      </c>
      <c r="D219">
        <v>940000</v>
      </c>
      <c r="E219" t="s">
        <v>258</v>
      </c>
    </row>
    <row r="220" spans="1:5" x14ac:dyDescent="0.25">
      <c r="A220" s="14">
        <v>42505.931168981479</v>
      </c>
      <c r="B220" t="s">
        <v>136</v>
      </c>
      <c r="C220" t="s">
        <v>310</v>
      </c>
      <c r="D220">
        <v>1500000</v>
      </c>
      <c r="E220" t="s">
        <v>259</v>
      </c>
    </row>
    <row r="221" spans="1:5" x14ac:dyDescent="0.25">
      <c r="A221" s="14">
        <v>42505.193067129629</v>
      </c>
      <c r="B221" t="s">
        <v>144</v>
      </c>
      <c r="C221" t="s">
        <v>177</v>
      </c>
      <c r="D221">
        <v>1480000</v>
      </c>
      <c r="E221" t="s">
        <v>257</v>
      </c>
    </row>
    <row r="222" spans="1:5" x14ac:dyDescent="0.25">
      <c r="A222" s="14">
        <v>42506.168576388889</v>
      </c>
      <c r="B222" t="s">
        <v>65</v>
      </c>
      <c r="C222" t="s">
        <v>311</v>
      </c>
      <c r="D222">
        <v>1300000</v>
      </c>
      <c r="E222" t="s">
        <v>143</v>
      </c>
    </row>
    <row r="223" spans="1:5" x14ac:dyDescent="0.25">
      <c r="A223" s="14">
        <v>42505.01462962963</v>
      </c>
      <c r="B223" t="s">
        <v>137</v>
      </c>
      <c r="C223" t="s">
        <v>312</v>
      </c>
      <c r="D223">
        <v>1180000</v>
      </c>
      <c r="E223" t="s">
        <v>313</v>
      </c>
    </row>
    <row r="224" spans="1:5" x14ac:dyDescent="0.25">
      <c r="A224" s="14">
        <v>42506.223263888889</v>
      </c>
      <c r="B224" t="s">
        <v>162</v>
      </c>
      <c r="C224" t="s">
        <v>314</v>
      </c>
      <c r="D224">
        <v>1310000</v>
      </c>
      <c r="E224" t="s">
        <v>149</v>
      </c>
    </row>
    <row r="225" spans="1:5" x14ac:dyDescent="0.25">
      <c r="A225" s="14">
        <v>42505.731111111112</v>
      </c>
      <c r="B225" t="s">
        <v>164</v>
      </c>
      <c r="C225" t="s">
        <v>211</v>
      </c>
      <c r="D225">
        <v>940000</v>
      </c>
      <c r="E225" t="s">
        <v>258</v>
      </c>
    </row>
    <row r="226" spans="1:5" x14ac:dyDescent="0.25">
      <c r="A226" s="14">
        <v>42506.341412037036</v>
      </c>
      <c r="B226" t="s">
        <v>248</v>
      </c>
      <c r="C226" t="s">
        <v>315</v>
      </c>
      <c r="D226">
        <v>1310000</v>
      </c>
      <c r="E226" t="s">
        <v>149</v>
      </c>
    </row>
    <row r="227" spans="1:5" x14ac:dyDescent="0.25">
      <c r="A227" s="14">
        <v>42505.582199074073</v>
      </c>
      <c r="B227" t="s">
        <v>164</v>
      </c>
      <c r="C227" t="s">
        <v>205</v>
      </c>
      <c r="D227">
        <v>940000</v>
      </c>
      <c r="E227" t="s">
        <v>258</v>
      </c>
    </row>
    <row r="228" spans="1:5" x14ac:dyDescent="0.25">
      <c r="A228" s="14">
        <v>42505.430902777778</v>
      </c>
      <c r="B228" t="s">
        <v>161</v>
      </c>
      <c r="C228" t="s">
        <v>194</v>
      </c>
      <c r="D228">
        <v>1430000</v>
      </c>
      <c r="E228" t="s">
        <v>238</v>
      </c>
    </row>
    <row r="229" spans="1:5" x14ac:dyDescent="0.25">
      <c r="A229" s="14">
        <v>42505.573796296296</v>
      </c>
      <c r="B229" t="s">
        <v>161</v>
      </c>
      <c r="C229" t="s">
        <v>204</v>
      </c>
      <c r="D229">
        <v>1490000</v>
      </c>
      <c r="E229" t="s">
        <v>239</v>
      </c>
    </row>
    <row r="230" spans="1:5" x14ac:dyDescent="0.25">
      <c r="A230" s="14">
        <v>42505.578877314816</v>
      </c>
      <c r="B230" t="s">
        <v>162</v>
      </c>
      <c r="C230" t="s">
        <v>166</v>
      </c>
      <c r="D230">
        <v>880000</v>
      </c>
      <c r="E230" t="s">
        <v>141</v>
      </c>
    </row>
    <row r="231" spans="1:5" x14ac:dyDescent="0.25">
      <c r="A231" s="14">
        <v>42505.26902777778</v>
      </c>
      <c r="B231" t="s">
        <v>135</v>
      </c>
      <c r="C231" t="s">
        <v>186</v>
      </c>
      <c r="D231">
        <v>1310000</v>
      </c>
      <c r="E231" t="s">
        <v>149</v>
      </c>
    </row>
    <row r="232" spans="1:5" x14ac:dyDescent="0.25">
      <c r="A232" s="14">
        <v>42505.98232638889</v>
      </c>
      <c r="B232" t="s">
        <v>161</v>
      </c>
      <c r="C232" t="s">
        <v>228</v>
      </c>
      <c r="D232">
        <v>1440000</v>
      </c>
      <c r="E232" t="s">
        <v>235</v>
      </c>
    </row>
    <row r="233" spans="1:5" x14ac:dyDescent="0.25">
      <c r="A233" s="14">
        <v>42505.244050925925</v>
      </c>
      <c r="B233" t="s">
        <v>136</v>
      </c>
      <c r="C233" t="s">
        <v>157</v>
      </c>
      <c r="D233">
        <v>1100000</v>
      </c>
      <c r="E233" t="s">
        <v>237</v>
      </c>
    </row>
    <row r="234" spans="1:5" x14ac:dyDescent="0.25">
      <c r="A234" s="14">
        <v>42506.264675925922</v>
      </c>
      <c r="B234" t="s">
        <v>159</v>
      </c>
      <c r="C234" t="s">
        <v>316</v>
      </c>
      <c r="D234">
        <v>1430000</v>
      </c>
      <c r="E234" t="s">
        <v>238</v>
      </c>
    </row>
    <row r="235" spans="1:5" x14ac:dyDescent="0.25">
      <c r="A235" s="14">
        <v>42505.516712962963</v>
      </c>
      <c r="B235" t="s">
        <v>101</v>
      </c>
      <c r="C235" t="s">
        <v>203</v>
      </c>
      <c r="D235">
        <v>1460000</v>
      </c>
      <c r="E235" t="s">
        <v>244</v>
      </c>
    </row>
    <row r="236" spans="1:5" x14ac:dyDescent="0.25">
      <c r="A236" s="14">
        <v>42506.477349537039</v>
      </c>
      <c r="B236" t="s">
        <v>248</v>
      </c>
      <c r="C236" t="s">
        <v>317</v>
      </c>
      <c r="D236">
        <v>1770000</v>
      </c>
      <c r="E236" t="s">
        <v>119</v>
      </c>
    </row>
    <row r="237" spans="1:5" x14ac:dyDescent="0.25">
      <c r="A237" s="14">
        <v>42505.211493055554</v>
      </c>
      <c r="B237" t="s">
        <v>162</v>
      </c>
      <c r="C237" t="s">
        <v>182</v>
      </c>
      <c r="D237">
        <v>1300000</v>
      </c>
      <c r="E237" t="s">
        <v>143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42506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2016-05-17T14:47:07Z</dcterms:modified>
</cp:coreProperties>
</file>