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N91" i="1" s="1"/>
  <c r="M92" i="1"/>
  <c r="T69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V46" i="1"/>
  <c r="V47" i="1"/>
  <c r="V48" i="1"/>
  <c r="T46" i="1"/>
  <c r="W46" i="1"/>
  <c r="X46" i="1"/>
  <c r="Z46" i="1"/>
  <c r="AA46" i="1"/>
  <c r="L46" i="1"/>
  <c r="M46" i="1"/>
  <c r="N46" i="1" s="1"/>
  <c r="K46" i="1"/>
  <c r="V5" i="1"/>
  <c r="V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Y46" i="1" l="1"/>
  <c r="U46" i="1" s="1"/>
  <c r="Y94" i="1"/>
  <c r="U94" i="1" s="1"/>
  <c r="Y92" i="1"/>
  <c r="U92" i="1" s="1"/>
  <c r="Y93" i="1"/>
  <c r="U93" i="1" s="1"/>
  <c r="Y91" i="1"/>
  <c r="U91" i="1" s="1"/>
  <c r="L91" i="1"/>
  <c r="K91" i="1"/>
  <c r="M57" i="1" l="1"/>
  <c r="M58" i="1"/>
  <c r="M59" i="1"/>
  <c r="M60" i="1"/>
  <c r="M61" i="1"/>
  <c r="P60" i="1" l="1"/>
  <c r="L34" i="3"/>
  <c r="M66" i="3"/>
  <c r="M67" i="3" s="1"/>
  <c r="L18" i="3"/>
  <c r="T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V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Z23" i="1"/>
  <c r="AA23" i="1"/>
  <c r="T24" i="1"/>
  <c r="W24" i="1"/>
  <c r="X24" i="1"/>
  <c r="Z24" i="1"/>
  <c r="AA24" i="1"/>
  <c r="T25" i="1"/>
  <c r="W25" i="1"/>
  <c r="X25" i="1"/>
  <c r="Z25" i="1"/>
  <c r="AA25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4" i="1"/>
  <c r="W4" i="1"/>
  <c r="X4" i="1"/>
  <c r="Z4" i="1"/>
  <c r="AA4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W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AA3" i="1"/>
  <c r="Z3" i="1"/>
  <c r="Y17" i="1" l="1"/>
  <c r="U17" i="1" s="1"/>
  <c r="Y25" i="1"/>
  <c r="U25" i="1" s="1"/>
  <c r="Y7" i="1"/>
  <c r="U7" i="1" s="1"/>
  <c r="Y10" i="1"/>
  <c r="U10" i="1" s="1"/>
  <c r="Y64" i="1"/>
  <c r="U64" i="1" s="1"/>
  <c r="Y27" i="1"/>
  <c r="U27" i="1" s="1"/>
  <c r="Y21" i="1"/>
  <c r="U21" i="1" s="1"/>
  <c r="Y14" i="1"/>
  <c r="U14" i="1" s="1"/>
  <c r="Y26" i="1"/>
  <c r="U26" i="1" s="1"/>
  <c r="Y22" i="1"/>
  <c r="U22" i="1" s="1"/>
  <c r="Y54" i="1"/>
  <c r="U54" i="1" s="1"/>
  <c r="Y30" i="1"/>
  <c r="U30" i="1" s="1"/>
  <c r="Y122" i="1"/>
  <c r="U122" i="1" s="1"/>
  <c r="Y98" i="1"/>
  <c r="U98" i="1" s="1"/>
  <c r="Y11" i="1"/>
  <c r="U11" i="1" s="1"/>
  <c r="Y56" i="1"/>
  <c r="U56" i="1" s="1"/>
  <c r="Y31" i="1"/>
  <c r="U31" i="1" s="1"/>
  <c r="Y8" i="1"/>
  <c r="U8" i="1" s="1"/>
  <c r="Y119" i="1"/>
  <c r="U119" i="1" s="1"/>
  <c r="Y111" i="1"/>
  <c r="U111" i="1" s="1"/>
  <c r="Y86" i="1"/>
  <c r="U86" i="1" s="1"/>
  <c r="Y51" i="1"/>
  <c r="U51" i="1" s="1"/>
  <c r="Y23" i="1"/>
  <c r="U23" i="1" s="1"/>
  <c r="Y19" i="1"/>
  <c r="U19" i="1" s="1"/>
  <c r="Y6" i="1"/>
  <c r="U6" i="1" s="1"/>
  <c r="Y113" i="1"/>
  <c r="U113" i="1" s="1"/>
  <c r="Y71" i="1"/>
  <c r="U71" i="1" s="1"/>
  <c r="Y67" i="1"/>
  <c r="U67" i="1" s="1"/>
  <c r="Y24" i="1"/>
  <c r="U24" i="1" s="1"/>
  <c r="Y78" i="1"/>
  <c r="U78" i="1" s="1"/>
  <c r="Y70" i="1"/>
  <c r="U70" i="1" s="1"/>
  <c r="Y66" i="1"/>
  <c r="U66" i="1" s="1"/>
  <c r="Y52" i="1"/>
  <c r="U52" i="1" s="1"/>
  <c r="Y15" i="1"/>
  <c r="U15" i="1" s="1"/>
  <c r="Y89" i="1"/>
  <c r="U89" i="1" s="1"/>
  <c r="Y81" i="1"/>
  <c r="U81" i="1" s="1"/>
  <c r="Y18" i="1"/>
  <c r="U18" i="1" s="1"/>
  <c r="Y9" i="1"/>
  <c r="U9" i="1" s="1"/>
  <c r="Y29" i="1"/>
  <c r="U29" i="1" s="1"/>
  <c r="Y20" i="1"/>
  <c r="U20" i="1" s="1"/>
  <c r="Y13" i="1"/>
  <c r="U13" i="1" s="1"/>
  <c r="Y130" i="1"/>
  <c r="U130" i="1" s="1"/>
  <c r="Y126" i="1"/>
  <c r="U126" i="1" s="1"/>
  <c r="Y65" i="1"/>
  <c r="U65" i="1" s="1"/>
  <c r="Y28" i="1"/>
  <c r="U28" i="1" s="1"/>
  <c r="Y12" i="1"/>
  <c r="U12" i="1" s="1"/>
  <c r="Y32" i="1"/>
  <c r="U32" i="1" s="1"/>
  <c r="Y16" i="1"/>
  <c r="U16" i="1" s="1"/>
  <c r="Y143" i="1"/>
  <c r="U143" i="1" s="1"/>
  <c r="Y96" i="1"/>
  <c r="U96" i="1" s="1"/>
  <c r="Y88" i="1"/>
  <c r="U88" i="1" s="1"/>
  <c r="Y80" i="1"/>
  <c r="U80" i="1" s="1"/>
  <c r="Y73" i="1"/>
  <c r="U73" i="1" s="1"/>
  <c r="Y69" i="1"/>
  <c r="U69" i="1" s="1"/>
  <c r="Y39" i="1"/>
  <c r="U39" i="1" s="1"/>
  <c r="Y72" i="1"/>
  <c r="U72" i="1" s="1"/>
  <c r="Y68" i="1"/>
  <c r="U68" i="1" s="1"/>
  <c r="Y146" i="1"/>
  <c r="U146" i="1" s="1"/>
  <c r="Y145" i="1"/>
  <c r="U145" i="1" s="1"/>
  <c r="Y128" i="1"/>
  <c r="U128" i="1" s="1"/>
  <c r="Y121" i="1"/>
  <c r="U121" i="1" s="1"/>
  <c r="Y114" i="1"/>
  <c r="U114" i="1" s="1"/>
  <c r="Y62" i="1"/>
  <c r="U62" i="1" s="1"/>
  <c r="Y55" i="1"/>
  <c r="U55" i="1" s="1"/>
  <c r="Y53" i="1"/>
  <c r="U53" i="1" s="1"/>
  <c r="Y50" i="1"/>
  <c r="U50" i="1" s="1"/>
  <c r="Y45" i="1"/>
  <c r="U45" i="1" s="1"/>
  <c r="Y40" i="1"/>
  <c r="U40" i="1" s="1"/>
  <c r="Y36" i="1"/>
  <c r="U36" i="1" s="1"/>
  <c r="Y33" i="1"/>
  <c r="U33" i="1" s="1"/>
  <c r="Y138" i="1"/>
  <c r="U138" i="1" s="1"/>
  <c r="Y135" i="1"/>
  <c r="U135" i="1" s="1"/>
  <c r="Y134" i="1"/>
  <c r="U134" i="1" s="1"/>
  <c r="Y131" i="1"/>
  <c r="U131" i="1" s="1"/>
  <c r="Y127" i="1"/>
  <c r="U127" i="1" s="1"/>
  <c r="Y117" i="1"/>
  <c r="U117" i="1" s="1"/>
  <c r="Y116" i="1"/>
  <c r="U116" i="1" s="1"/>
  <c r="Y106" i="1"/>
  <c r="U106" i="1" s="1"/>
  <c r="Y103" i="1"/>
  <c r="U103" i="1" s="1"/>
  <c r="Y102" i="1"/>
  <c r="U102" i="1" s="1"/>
  <c r="Y99" i="1"/>
  <c r="U99" i="1" s="1"/>
  <c r="Y95" i="1"/>
  <c r="U95" i="1" s="1"/>
  <c r="Y84" i="1"/>
  <c r="U84" i="1" s="1"/>
  <c r="Y83" i="1"/>
  <c r="U83" i="1" s="1"/>
  <c r="Y57" i="1"/>
  <c r="U57" i="1" s="1"/>
  <c r="Y49" i="1"/>
  <c r="U49" i="1" s="1"/>
  <c r="Y48" i="1"/>
  <c r="U48" i="1" s="1"/>
  <c r="Y44" i="1"/>
  <c r="U44" i="1" s="1"/>
  <c r="Y43" i="1"/>
  <c r="U43" i="1" s="1"/>
  <c r="Y37" i="1"/>
  <c r="U37" i="1" s="1"/>
  <c r="Y4" i="1"/>
  <c r="U4" i="1" s="1"/>
  <c r="Y140" i="1"/>
  <c r="U140" i="1" s="1"/>
  <c r="Y137" i="1"/>
  <c r="U137" i="1" s="1"/>
  <c r="Y136" i="1"/>
  <c r="U136" i="1" s="1"/>
  <c r="Y132" i="1"/>
  <c r="U132" i="1" s="1"/>
  <c r="Y129" i="1"/>
  <c r="U129" i="1" s="1"/>
  <c r="Y120" i="1"/>
  <c r="U120" i="1" s="1"/>
  <c r="Y118" i="1"/>
  <c r="U118" i="1" s="1"/>
  <c r="Y108" i="1"/>
  <c r="U108" i="1" s="1"/>
  <c r="Y105" i="1"/>
  <c r="U105" i="1" s="1"/>
  <c r="Y104" i="1"/>
  <c r="U104" i="1" s="1"/>
  <c r="Y100" i="1"/>
  <c r="U100" i="1" s="1"/>
  <c r="Y97" i="1"/>
  <c r="U97" i="1" s="1"/>
  <c r="Y87" i="1"/>
  <c r="U87" i="1" s="1"/>
  <c r="Y85" i="1"/>
  <c r="U85" i="1" s="1"/>
  <c r="Y82" i="1"/>
  <c r="U82" i="1" s="1"/>
  <c r="Y141" i="1"/>
  <c r="U141" i="1" s="1"/>
  <c r="Y133" i="1"/>
  <c r="U133" i="1" s="1"/>
  <c r="Y115" i="1"/>
  <c r="U115" i="1" s="1"/>
  <c r="Y101" i="1"/>
  <c r="U101" i="1" s="1"/>
  <c r="Y144" i="1"/>
  <c r="U144" i="1" s="1"/>
  <c r="Y142" i="1"/>
  <c r="U142" i="1" s="1"/>
  <c r="Y139" i="1"/>
  <c r="U139" i="1" s="1"/>
  <c r="Y125" i="1"/>
  <c r="U125" i="1" s="1"/>
  <c r="Y124" i="1"/>
  <c r="U124" i="1" s="1"/>
  <c r="Y112" i="1"/>
  <c r="U112" i="1" s="1"/>
  <c r="Y110" i="1"/>
  <c r="U110" i="1" s="1"/>
  <c r="Y107" i="1"/>
  <c r="U107" i="1" s="1"/>
  <c r="Y79" i="1"/>
  <c r="U79" i="1" s="1"/>
  <c r="Y77" i="1"/>
  <c r="U77" i="1" s="1"/>
  <c r="Y74" i="1"/>
  <c r="U74" i="1" s="1"/>
  <c r="Y60" i="1"/>
  <c r="U60" i="1" s="1"/>
  <c r="Y59" i="1"/>
  <c r="U59" i="1" s="1"/>
  <c r="Y47" i="1"/>
  <c r="U47" i="1" s="1"/>
  <c r="Y34" i="1"/>
  <c r="U34" i="1" s="1"/>
  <c r="Y123" i="1"/>
  <c r="U123" i="1" s="1"/>
  <c r="Y109" i="1"/>
  <c r="U109" i="1" s="1"/>
  <c r="Y90" i="1"/>
  <c r="U90" i="1" s="1"/>
  <c r="Y76" i="1"/>
  <c r="U76" i="1" s="1"/>
  <c r="Y75" i="1"/>
  <c r="U75" i="1" s="1"/>
  <c r="Y63" i="1"/>
  <c r="U63" i="1" s="1"/>
  <c r="Y61" i="1"/>
  <c r="U61" i="1" s="1"/>
  <c r="Y58" i="1"/>
  <c r="U58" i="1" s="1"/>
  <c r="Y41" i="1"/>
  <c r="U41" i="1" s="1"/>
  <c r="Y42" i="1"/>
  <c r="U42" i="1" s="1"/>
  <c r="Y38" i="1"/>
  <c r="U38" i="1" s="1"/>
  <c r="Y35" i="1"/>
  <c r="U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<sst xmlns="http://schemas.openxmlformats.org/spreadsheetml/2006/main" count="1560" uniqueCount="428">
  <si>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</si>
  <si>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</si>
  <si>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</si>
  <si>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</si>
  <si>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</si>
  <si>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</si>
  <si>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</si>
  <si>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</si>
  <si>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</si>
  <si>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</si>
  <si>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</si>
  <si>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</si>
  <si>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</si>
  <si>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</si>
  <si>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</si>
  <si>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</si>
  <si>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</si>
  <si>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</si>
  <si>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</si>
  <si>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</si>
  <si>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</si>
  <si>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</si>
  <si>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</si>
  <si>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</si>
  <si>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</si>
  <si>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</si>
  <si>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</si>
  <si>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</si>
  <si>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</si>
  <si>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</si>
  <si>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</si>
  <si>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</si>
  <si>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</si>
  <si>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</si>
  <si>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</si>
  <si>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</si>
  <si>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</si>
  <si>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</si>
  <si>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</si>
  <si>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</si>
  <si>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</si>
  <si>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</si>
  <si>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</si>
  <si>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</si>
  <si>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</si>
  <si>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</si>
  <si>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</si>
  <si>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</si>
  <si>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</si>
  <si>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</si>
  <si>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</si>
  <si>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</si>
  <si>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</si>
  <si>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</si>
  <si>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</si>
  <si>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</si>
  <si>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</si>
  <si>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</si>
  <si>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</si>
  <si>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</si>
  <si>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</si>
  <si>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</si>
  <si>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</si>
  <si>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</si>
  <si>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</si>
  <si>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</si>
  <si>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</si>
  <si>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</si>
  <si>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</si>
  <si>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</si>
  <si>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</si>
  <si>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</si>
  <si>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</si>
  <si>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</si>
  <si>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</si>
  <si>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</si>
  <si>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</si>
  <si>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</si>
  <si>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</si>
  <si>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</si>
  <si>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</si>
  <si>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</si>
  <si>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</si>
  <si>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</si>
  <si>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</si>
  <si>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</si>
  <si>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</si>
  <si>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</si>
  <si>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</si>
  <si>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</si>
  <si>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</si>
  <si>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</si>
  <si>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</si>
  <si>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</si>
  <si>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</si>
  <si>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</si>
  <si>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</si>
  <si>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</si>
  <si>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</si>
  <si>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</si>
  <si>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</si>
  <si>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</si>
  <si>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</si>
  <si>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</si>
  <si>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</si>
  <si>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</si>
  <si>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</si>
  <si>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</si>
  <si>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</si>
  <si>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</si>
  <si>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</si>
  <si>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</si>
  <si>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</si>
  <si>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</si>
  <si>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</si>
  <si>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</si>
  <si>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</si>
  <si>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</si>
  <si>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</si>
  <si>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</si>
  <si>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</si>
  <si>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</si>
  <si>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</si>
  <si>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</si>
  <si>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</si>
  <si>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</si>
  <si>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</si>
  <si>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</si>
  <si>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</si>
  <si>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</si>
  <si>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</si>
  <si>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</si>
  <si>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</si>
  <si>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</si>
  <si>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</si>
  <si>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</si>
  <si>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</si>
  <si>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</si>
  <si>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</si>
  <si>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</si>
  <si>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</si>
  <si>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</si>
  <si>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</si>
  <si>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</si>
  <si>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</si>
  <si>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</si>
  <si>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</si>
  <si>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</si>
  <si>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</si>
  <si>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</si>
  <si>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</si>
  <si>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</si>
  <si>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</si>
  <si>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</si>
  <si>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</si>
  <si>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</si>
  <si>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</si>
  <si>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</si>
  <si>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</si>
  <si>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</si>
  <si>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</si>
  <si>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</si>
  <si>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</si>
  <si>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</si>
  <si>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</si>
  <si>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</si>
  <si>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</si>
  <si>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</si>
  <si>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</si>
  <si>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</si>
  <si>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</si>
  <si>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</si>
  <si>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</si>
  <si>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</si>
  <si>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</si>
  <si>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</si>
  <si>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</si>
  <si>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</si>
  <si>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</si>
  <si>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</si>
  <si>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</si>
  <si>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</si>
  <si>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</si>
  <si>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</si>
  <si>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</si>
  <si>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</si>
  <si>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</si>
  <si>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</si>
  <si>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</si>
  <si>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</si>
  <si>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</si>
  <si>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</si>
  <si>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</si>
  <si>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</si>
  <si>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</si>
  <si>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</si>
  <si>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</si>
  <si>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</si>
  <si>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</si>
  <si>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</si>
  <si>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</si>
  <si>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</si>
  <si>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</si>
  <si>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</si>
  <si>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</si>
  <si>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</si>
  <si>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</si>
  <si>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</si>
  <si>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</si>
  <si>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</si>
  <si>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</si>
  <si>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</si>
  <si>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</si>
  <si>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</si>
  <si>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</si>
  <si>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</si>
  <si>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</si>
  <si>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</si>
  <si>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</si>
  <si>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</si>
  <si>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</si>
  <si>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</si>
  <si>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</si>
  <si>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</si>
  <si>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</si>
  <si>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</si>
  <si>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</si>
  <si>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</si>
  <si>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</si>
  <si>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</si>
  <si>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</si>
  <si>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</si>
  <si>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</si>
  <si>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</si>
  <si>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</si>
  <si>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</si>
  <si>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</si>
  <si>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</si>
  <si>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</si>
  <si>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</si>
  <si>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</si>
  <si>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</si>
  <si>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</si>
  <si>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</si>
  <si>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</si>
  <si>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</si>
  <si>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</si>
  <si>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</si>
  <si>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</si>
  <si>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</si>
  <si>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</si>
  <si>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</si>
  <si>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</si>
  <si>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</si>
  <si>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</si>
  <si>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</si>
  <si>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</si>
  <si>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</si>
  <si>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</si>
  <si>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</si>
  <si>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</si>
  <si>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</si>
  <si>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</si>
  <si>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</si>
  <si>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</si>
  <si>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</si>
  <si>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</si>
  <si>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</si>
  <si>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</si>
  <si>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</si>
  <si>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</si>
  <si>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</si>
  <si>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</si>
  <si>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</si>
  <si>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</si>
  <si>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</si>
  <si>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</si>
  <si>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</si>
  <si>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</si>
  <si>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</si>
  <si>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</si>
  <si>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</si>
  <si>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</si>
  <si>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</si>
  <si>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</si>
  <si>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</si>
  <si>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</si>
  <si>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</si>
  <si>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</si>
  <si>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</si>
  <si>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</si>
  <si>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</si>
  <si>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</si>
  <si>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</si>
  <si>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</si>
  <si>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</si>
  <si>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</si>
  <si>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</si>
  <si>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</si>
  <si>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</si>
  <si>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</si>
  <si>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</si>
  <si>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</si>
  <si>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</si>
  <si>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</si>
  <si>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</si>
  <si>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</si>
  <si>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</si>
  <si>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</si>
  <si>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</si>
  <si>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</si>
  <si>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</si>
  <si>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</si>
  <si>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</si>
  <si>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</si>
  <si>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</si>
  <si>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</si>
  <si>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</si>
  <si>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</si>
  <si>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</si>
  <si>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</si>
  <si>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</si>
  <si>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</si>
  <si>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</si>
  <si>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</si>
  <si>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</si>
  <si>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</si>
  <si>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</si>
  <si>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</si>
  <si>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</si>
  <si>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</si>
  <si>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</si>
  <si>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</si>
  <si>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</si>
  <si>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</si>
  <si>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</si>
  <si>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</si>
  <si>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</si>
  <si>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</si>
  <si>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</si>
  <si>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</si>
  <si>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</si>
  <si>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</si>
  <si>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</si>
  <si>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</si>
  <si>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</si>
  <si>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</si>
  <si>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</si>
  <si>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</si>
  <si>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</si>
  <si>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</si>
  <si>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</si>
  <si>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</si>
  <si>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</si>
  <si>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</si>
  <si>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</si>
  <si>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</si>
  <si>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</si>
  <si>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</si>
  <si>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</si>
  <si>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</si>
  <si>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</si>
  <si>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</si>
  <si>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</si>
  <si>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</si>
  <si>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</si>
  <si>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</si>
  <si>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</si>
  <si>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</si>
  <si>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</si>
  <si>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</si>
  <si>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</si>
  <si>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</si>
  <si>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</si>
  <si>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</si>
  <si>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</si>
  <si>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</si>
  <si>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</si>
  <si>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</si>
  <si>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</si>
  <si>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</si>
  <si>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</si>
  <si>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</si>
  <si>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</si>
  <si>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</si>
  <si>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</si>
  <si>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</si>
  <si>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</si>
  <si>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</si>
  <si>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</si>
  <si>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</si>
  <si>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</si>
  <si>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</si>
  <si>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</si>
  <si>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</si>
  <si>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</si>
  <si>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</si>
  <si>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</si>
  <si>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</si>
  <si>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</si>
  <si>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</si>
  <si>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</si>
  <si>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</si>
  <si>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</si>
  <si>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</si>
  <si>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</si>
  <si>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</si>
  <si>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</si>
  <si>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</si>
  <si>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</si>
  <si>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</si>
  <si>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</si>
  <si>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</si>
  <si>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</si>
  <si>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</si>
  <si>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</si>
  <si>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TMC Entered Failed State</t>
  </si>
  <si>
    <t>Poor GPS signal caused navigation issues as train approached DUS</t>
  </si>
  <si>
    <t>Ticket Needed</t>
  </si>
  <si>
    <t>Premature downgrade, DUS Signal 20S</t>
  </si>
  <si>
    <t>Closed</t>
  </si>
  <si>
    <t>Premature downgrade at signal EC1981RH 191-1T 1N</t>
  </si>
  <si>
    <t>Poor GPS signal prevented track selection</t>
  </si>
  <si>
    <t>TMC Entered Failed State because Departure Test was canceled (3 times)</t>
  </si>
  <si>
    <t>Premature signal downgrade EC2174RH (CP 78TH AVENUE) Signal 2N</t>
  </si>
  <si>
    <t>Emergency Braking Event, spent remainder of trip in ATC</t>
  </si>
  <si>
    <t>Train didn't fully stop at Station, onboard flashed prompts. Train was probably cut out to avoid confusion.</t>
  </si>
  <si>
    <t>Train was not soft cut out at end of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</si>
</sst>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139" zoomScale="85" zoomScaleNormal="85" workbookViewId="0">
      <selection activeCell="R154" sqref="R15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 t="shared" ref="K3:K34" si="0">IF(ISEVEN(B3),(B3-1)&amp;"/"&amp;B3,B3&amp;"/"&amp;(B3+1))</f>
        <v>4019/4020</v>
      </c>
      <c r="L3" s="61" t="str">
        <f>VLOOKUP(A3,'Trips&amp;Operators'!$C$1:$E$9999,3,FALSE)</f>
        <v>CHANDLER</v>
      </c>
      <c r="M3" s="12">
        <f t="shared" ref="M3:M34" si="1">I3-F3</f>
        <v>2.9571759259852115E-2</v>
      </c>
      <c r="N3" s="13">
        <f>$M3*24*60</f>
        <v>42.583333334187046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5" t="str">
        <f>IF(Y3&lt;23,"Y","N")</f>
        <v>N</v>
      </c>
      <c r="V3" s="75"/>
      <c r="W3" s="75">
        <f>RIGHT(D3,LEN(D3)-4)/10000</f>
        <v>7.5399999999999995E-2</v>
      </c>
      <c r="X3" s="75">
        <f>RIGHT(H3,LEN(H3)-4)/10000</f>
        <v>23.331199999999999</v>
      </c>
      <c r="Y3" s="75">
        <f>ABS(X3-W3)</f>
        <v>23.255800000000001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 t="shared" si="0"/>
        <v>4011/4012</v>
      </c>
      <c r="L4" s="61" t="str">
        <f>VLOOKUP(A4,'Trips&amp;Operators'!$C$1:$E$9999,3,FALSE)</f>
        <v>CHANDLER</v>
      </c>
      <c r="M4" s="12">
        <f t="shared" si="1"/>
        <v>2.7268518519122154E-2</v>
      </c>
      <c r="N4" s="13">
        <f>$M4*24*60</f>
        <v>39.266666667535901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6.88E-2</v>
      </c>
      <c r="Y4" s="75">
        <f>ABS(X4-W4)</f>
        <v>23.198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 t="shared" si="0"/>
        <v>4023/4024</v>
      </c>
      <c r="L5" s="61" t="str">
        <f>VLOOKUP(A5,'Trips&amp;Operators'!$C$1:$E$9999,3,FALSE)</f>
        <v>STARKS</v>
      </c>
      <c r="M5" s="12" t="e">
        <f t="shared" si="1"/>
        <v>#VALUE!</v>
      </c>
      <c r="N5" s="13"/>
      <c r="O5" s="13"/>
      <c r="P5" s="13">
        <v>0.1</v>
      </c>
      <c r="Q5" s="62" t="s">
        <v>420</v>
      </c>
      <c r="R5" s="62" t="s">
        <v>423</v>
      </c>
      <c r="T5" s="75"/>
      <c r="U5" s="75"/>
      <c r="V5" s="75">
        <f t="shared" ref="V5:V6" si="2">VALUE(LEFT(A5,3))-VALUE(LEFT(A4,3))</f>
        <v>1</v>
      </c>
      <c r="W5" s="75"/>
      <c r="X5" s="75"/>
      <c r="Y5" s="75"/>
      <c r="Z5" s="76"/>
      <c r="AA5" s="76"/>
    </row>
    <row r="6" spans="1:89" s="2" customFormat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42500.222372685188</v>
      </c>
      <c r="J6" s="61">
        <v>5</v>
      </c>
      <c r="K6" s="61" t="str">
        <f t="shared" si="0"/>
        <v>4007/4008</v>
      </c>
      <c r="L6" s="61" t="str">
        <f>VLOOKUP(A6,'Trips&amp;Operators'!$C$1:$E$9999,3,FALSE)</f>
        <v>STARKS</v>
      </c>
      <c r="M6" s="12">
        <f t="shared" si="1"/>
        <v>3.0983796299551614E-2</v>
      </c>
      <c r="N6" s="13">
        <f t="shared" ref="N6:N40" si="3">$M6*24*60</f>
        <v>44.616666671354324</v>
      </c>
      <c r="O6" s="13"/>
      <c r="P6" s="13"/>
      <c r="Q6" s="62"/>
      <c r="R6" s="62" t="s">
        <v>427</v>
      </c>
      <c r="T6" s="75" t="str">
        <f t="shared" ref="T6:T37" si="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05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ref="U6:U37" si="5">IF(Y6&lt;23,"Y","N")</f>
        <v>N</v>
      </c>
      <c r="V6" s="75">
        <f t="shared" si="2"/>
        <v>1</v>
      </c>
      <c r="W6" s="75">
        <f t="shared" ref="W6:W37" si="6">RIGHT(D6,LEN(D6)-4)/10000</f>
        <v>23.267900000000001</v>
      </c>
      <c r="X6" s="75">
        <f t="shared" ref="X6:X22" si="7">RIGHT(H6,LEN(H6)-4)/10000</f>
        <v>1.32E-2</v>
      </c>
      <c r="Y6" s="75">
        <f t="shared" ref="Y6:Y37" si="8">ABS(X6-W6)</f>
        <v>23.2547</v>
      </c>
      <c r="Z6" s="76">
        <f>VLOOKUP(A6,Enforcements!$C$3:$J$26,8,0)</f>
        <v>58118</v>
      </c>
      <c r="AA6" s="76" t="str">
        <f>VLOOKUP(A6,Enforcements!$C$3:$J$26,3,0)</f>
        <v>GRADE CROSSING</v>
      </c>
    </row>
    <row r="7" spans="1:89" s="2" customFormat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NEWELL</v>
      </c>
      <c r="M7" s="12">
        <f t="shared" si="1"/>
        <v>3.2546296301006805E-2</v>
      </c>
      <c r="N7" s="13">
        <f t="shared" si="3"/>
        <v>46.866666673449799</v>
      </c>
      <c r="O7" s="13"/>
      <c r="P7" s="13"/>
      <c r="Q7" s="62"/>
      <c r="R7" s="62"/>
      <c r="T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5"/>
        <v>N</v>
      </c>
      <c r="V7" s="75">
        <f t="shared" ref="V7:V45" si="9">VALUE(LEFT(A7,3))-VALUE(LEFT(A6,3))</f>
        <v>1</v>
      </c>
      <c r="W7" s="75">
        <f t="shared" si="6"/>
        <v>7.6100000000000001E-2</v>
      </c>
      <c r="X7" s="75">
        <f t="shared" si="7"/>
        <v>23.328800000000001</v>
      </c>
      <c r="Y7" s="75">
        <f t="shared" si="8"/>
        <v>23.252700000000001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 t="shared" si="0"/>
        <v>4031/4032</v>
      </c>
      <c r="L8" s="61" t="str">
        <f>VLOOKUP(A8,'Trips&amp;Operators'!$C$1:$E$9999,3,FALSE)</f>
        <v>NEWELL</v>
      </c>
      <c r="M8" s="12">
        <f t="shared" si="1"/>
        <v>3.1550925923511386E-2</v>
      </c>
      <c r="N8" s="13">
        <f t="shared" si="3"/>
        <v>45.433333329856396</v>
      </c>
      <c r="O8" s="13"/>
      <c r="P8" s="13"/>
      <c r="Q8" s="62"/>
      <c r="R8" s="62"/>
      <c r="T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5" t="str">
        <f t="shared" si="5"/>
        <v>N</v>
      </c>
      <c r="V8" s="75">
        <f t="shared" si="9"/>
        <v>1</v>
      </c>
      <c r="W8" s="75">
        <f t="shared" si="6"/>
        <v>23.264600000000002</v>
      </c>
      <c r="X8" s="75">
        <f t="shared" si="7"/>
        <v>0.18579999999999999</v>
      </c>
      <c r="Y8" s="75">
        <f t="shared" si="8"/>
        <v>23.078800000000001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 t="shared" si="0"/>
        <v>4043/4044</v>
      </c>
      <c r="L9" s="61" t="str">
        <f>VLOOKUP(A9,'Trips&amp;Operators'!$C$1:$E$9999,3,FALSE)</f>
        <v>YORK</v>
      </c>
      <c r="M9" s="12">
        <f t="shared" si="1"/>
        <v>3.4270833333721384E-2</v>
      </c>
      <c r="N9" s="13">
        <f t="shared" si="3"/>
        <v>49.350000000558794</v>
      </c>
      <c r="O9" s="13"/>
      <c r="P9" s="13"/>
      <c r="Q9" s="62"/>
      <c r="R9" s="62"/>
      <c r="T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5" t="str">
        <f t="shared" si="5"/>
        <v>N</v>
      </c>
      <c r="V9" s="75">
        <f t="shared" si="9"/>
        <v>1</v>
      </c>
      <c r="W9" s="75">
        <f t="shared" si="6"/>
        <v>4.4699999999999997E-2</v>
      </c>
      <c r="X9" s="75">
        <f t="shared" si="7"/>
        <v>23.329699999999999</v>
      </c>
      <c r="Y9" s="75">
        <f t="shared" si="8"/>
        <v>23.285</v>
      </c>
      <c r="Z9" s="76">
        <f>VLOOKUP(A9,Enforcements!$C$3:$J$26,8,0)</f>
        <v>233491</v>
      </c>
      <c r="AA9" s="76" t="str">
        <f>VLOOKUP(A9,Enforcements!$C$3:$J$26,3,0)</f>
        <v>TRACK WARRANT AUTHORITY</v>
      </c>
    </row>
    <row r="10" spans="1:89" s="2" customFormat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 t="shared" si="0"/>
        <v>4043/4044</v>
      </c>
      <c r="L10" s="61" t="str">
        <f>VLOOKUP(A10,'Trips&amp;Operators'!$C$1:$E$9999,3,FALSE)</f>
        <v>YORK</v>
      </c>
      <c r="M10" s="12">
        <f t="shared" si="1"/>
        <v>3.4502314811106771E-2</v>
      </c>
      <c r="N10" s="13">
        <f t="shared" si="3"/>
        <v>49.683333327993751</v>
      </c>
      <c r="O10" s="13"/>
      <c r="P10" s="13"/>
      <c r="Q10" s="62"/>
      <c r="R10" s="62"/>
      <c r="T1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5" t="str">
        <f t="shared" si="5"/>
        <v>N</v>
      </c>
      <c r="V10" s="75">
        <f t="shared" si="9"/>
        <v>1</v>
      </c>
      <c r="W10" s="75">
        <f t="shared" si="6"/>
        <v>23.3002</v>
      </c>
      <c r="X10" s="75">
        <f t="shared" si="7"/>
        <v>1.4999999999999999E-2</v>
      </c>
      <c r="Y10" s="75">
        <f t="shared" si="8"/>
        <v>23.2852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ACKERMAN</v>
      </c>
      <c r="M11" s="12">
        <f t="shared" si="1"/>
        <v>2.6956018518831115E-2</v>
      </c>
      <c r="N11" s="13">
        <f t="shared" si="3"/>
        <v>38.816666667116806</v>
      </c>
      <c r="O11" s="13"/>
      <c r="P11" s="13"/>
      <c r="Q11" s="62"/>
      <c r="R11" s="62"/>
      <c r="T1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5" t="str">
        <f t="shared" si="5"/>
        <v>N</v>
      </c>
      <c r="V11" s="75">
        <f t="shared" si="9"/>
        <v>1</v>
      </c>
      <c r="W11" s="75">
        <f t="shared" si="6"/>
        <v>4.4400000000000002E-2</v>
      </c>
      <c r="X11" s="75">
        <f t="shared" si="7"/>
        <v>23.328600000000002</v>
      </c>
      <c r="Y11" s="75">
        <f t="shared" si="8"/>
        <v>23.284200000000002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 t="shared" si="0"/>
        <v>4009/4010</v>
      </c>
      <c r="L12" s="61" t="str">
        <f>VLOOKUP(A12,'Trips&amp;Operators'!$C$1:$E$9999,3,FALSE)</f>
        <v>ACKERMAN</v>
      </c>
      <c r="M12" s="12">
        <f t="shared" si="1"/>
        <v>3.219907407037681E-2</v>
      </c>
      <c r="N12" s="13">
        <f t="shared" si="3"/>
        <v>46.366666661342606</v>
      </c>
      <c r="O12" s="13"/>
      <c r="P12" s="13"/>
      <c r="Q12" s="62"/>
      <c r="R12" s="62"/>
      <c r="T1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5" t="str">
        <f t="shared" si="5"/>
        <v>N</v>
      </c>
      <c r="V12" s="75">
        <f t="shared" si="9"/>
        <v>1</v>
      </c>
      <c r="W12" s="75">
        <f t="shared" si="6"/>
        <v>23.2971</v>
      </c>
      <c r="X12" s="75">
        <f t="shared" si="7"/>
        <v>1.29E-2</v>
      </c>
      <c r="Y12" s="75">
        <f t="shared" si="8"/>
        <v>23.284200000000002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 t="shared" si="0"/>
        <v>4019/4020</v>
      </c>
      <c r="L13" s="61" t="str">
        <f>VLOOKUP(A13,'Trips&amp;Operators'!$C$1:$E$9999,3,FALSE)</f>
        <v>CANFIELD</v>
      </c>
      <c r="M13" s="12">
        <f t="shared" si="1"/>
        <v>2.5972222225391306E-2</v>
      </c>
      <c r="N13" s="13">
        <f t="shared" si="3"/>
        <v>37.400000004563481</v>
      </c>
      <c r="O13" s="13"/>
      <c r="P13" s="13"/>
      <c r="Q13" s="62"/>
      <c r="R13" s="62"/>
      <c r="T1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5" t="str">
        <f t="shared" si="5"/>
        <v>N</v>
      </c>
      <c r="V13" s="75">
        <f t="shared" si="9"/>
        <v>1</v>
      </c>
      <c r="W13" s="75">
        <f t="shared" si="6"/>
        <v>7.4399999999999994E-2</v>
      </c>
      <c r="X13" s="75">
        <f t="shared" si="7"/>
        <v>23.329699999999999</v>
      </c>
      <c r="Y13" s="75">
        <f t="shared" si="8"/>
        <v>23.255299999999998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 t="shared" si="0"/>
        <v>4019/4020</v>
      </c>
      <c r="L14" s="61" t="str">
        <f>VLOOKUP(A14,'Trips&amp;Operators'!$C$1:$E$9999,3,FALSE)</f>
        <v>CANFIELD</v>
      </c>
      <c r="M14" s="12">
        <f t="shared" si="1"/>
        <v>2.9687499998544808E-2</v>
      </c>
      <c r="N14" s="13">
        <f t="shared" si="3"/>
        <v>42.749999997904524</v>
      </c>
      <c r="O14" s="13"/>
      <c r="P14" s="13"/>
      <c r="Q14" s="62"/>
      <c r="R14" s="62"/>
      <c r="T1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5" t="str">
        <f t="shared" si="5"/>
        <v>N</v>
      </c>
      <c r="V14" s="75">
        <f t="shared" si="9"/>
        <v>1</v>
      </c>
      <c r="W14" s="75">
        <f t="shared" si="6"/>
        <v>23.299299999999999</v>
      </c>
      <c r="X14" s="75">
        <f t="shared" si="7"/>
        <v>1.52E-2</v>
      </c>
      <c r="Y14" s="75">
        <f t="shared" si="8"/>
        <v>23.284099999999999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 t="shared" si="0"/>
        <v>4011/4012</v>
      </c>
      <c r="L15" s="61" t="str">
        <f>VLOOKUP(A15,'Trips&amp;Operators'!$C$1:$E$9999,3,FALSE)</f>
        <v>CHANDLER</v>
      </c>
      <c r="M15" s="12">
        <f t="shared" si="1"/>
        <v>3.2708333332266193E-2</v>
      </c>
      <c r="N15" s="13">
        <f t="shared" si="3"/>
        <v>47.099999998463318</v>
      </c>
      <c r="O15" s="13"/>
      <c r="P15" s="13"/>
      <c r="Q15" s="62"/>
      <c r="R15" s="62"/>
      <c r="T1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5" t="str">
        <f t="shared" si="5"/>
        <v>N</v>
      </c>
      <c r="V15" s="75">
        <f t="shared" si="9"/>
        <v>1</v>
      </c>
      <c r="W15" s="75">
        <f t="shared" si="6"/>
        <v>4.4900000000000002E-2</v>
      </c>
      <c r="X15" s="75">
        <f t="shared" si="7"/>
        <v>23.328199999999999</v>
      </c>
      <c r="Y15" s="75">
        <f t="shared" si="8"/>
        <v>23.283300000000001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 t="shared" si="0"/>
        <v>4011/4012</v>
      </c>
      <c r="L16" s="61" t="str">
        <f>VLOOKUP(A16,'Trips&amp;Operators'!$C$1:$E$9999,3,FALSE)</f>
        <v>CHANDLER</v>
      </c>
      <c r="M16" s="12">
        <f t="shared" si="1"/>
        <v>3.1493055554165039E-2</v>
      </c>
      <c r="N16" s="13">
        <f t="shared" si="3"/>
        <v>45.349999997997656</v>
      </c>
      <c r="O16" s="13"/>
      <c r="P16" s="13"/>
      <c r="Q16" s="62"/>
      <c r="R16" s="62"/>
      <c r="T1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5" t="str">
        <f t="shared" si="5"/>
        <v>N</v>
      </c>
      <c r="V16" s="75">
        <f t="shared" si="9"/>
        <v>1</v>
      </c>
      <c r="W16" s="75">
        <f t="shared" si="6"/>
        <v>23.296299999999999</v>
      </c>
      <c r="X16" s="75">
        <f t="shared" si="7"/>
        <v>3.85E-2</v>
      </c>
      <c r="Y16" s="75">
        <f t="shared" si="8"/>
        <v>23.2578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 t="shared" si="0"/>
        <v>4023/4024</v>
      </c>
      <c r="L17" s="61" t="str">
        <f>VLOOKUP(A17,'Trips&amp;Operators'!$C$1:$E$9999,3,FALSE)</f>
        <v>SPECTOR</v>
      </c>
      <c r="M17" s="12">
        <f t="shared" si="1"/>
        <v>2.8472222220443655E-2</v>
      </c>
      <c r="N17" s="13">
        <f t="shared" si="3"/>
        <v>40.999999997438863</v>
      </c>
      <c r="O17" s="13"/>
      <c r="P17" s="13"/>
      <c r="Q17" s="62"/>
      <c r="R17" s="62"/>
      <c r="T1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5" t="str">
        <f t="shared" si="5"/>
        <v>N</v>
      </c>
      <c r="V17" s="75">
        <f t="shared" si="9"/>
        <v>1</v>
      </c>
      <c r="W17" s="75">
        <f t="shared" si="6"/>
        <v>7.9000000000000001E-2</v>
      </c>
      <c r="X17" s="75">
        <f t="shared" si="7"/>
        <v>23.331900000000001</v>
      </c>
      <c r="Y17" s="75">
        <f t="shared" si="8"/>
        <v>23.2529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SPECTOR</v>
      </c>
      <c r="M18" s="12">
        <f t="shared" si="1"/>
        <v>3.0011574068339542E-2</v>
      </c>
      <c r="N18" s="13">
        <f t="shared" si="3"/>
        <v>43.21666665840894</v>
      </c>
      <c r="O18" s="13"/>
      <c r="P18" s="13"/>
      <c r="Q18" s="62"/>
      <c r="R18" s="62"/>
      <c r="T1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5" t="str">
        <f t="shared" si="5"/>
        <v>N</v>
      </c>
      <c r="V18" s="75">
        <f t="shared" si="9"/>
        <v>1</v>
      </c>
      <c r="W18" s="75">
        <f t="shared" si="6"/>
        <v>23.299399999999999</v>
      </c>
      <c r="X18" s="75">
        <f t="shared" si="7"/>
        <v>1.32E-2</v>
      </c>
      <c r="Y18" s="75">
        <f t="shared" si="8"/>
        <v>23.286199999999997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 t="shared" si="0"/>
        <v>4007/4008</v>
      </c>
      <c r="L19" s="61" t="str">
        <f>VLOOKUP(A19,'Trips&amp;Operators'!$C$1:$E$9999,3,FALSE)</f>
        <v>STARKS</v>
      </c>
      <c r="M19" s="12">
        <f t="shared" si="1"/>
        <v>2.9108796297805384E-2</v>
      </c>
      <c r="N19" s="13">
        <f t="shared" si="3"/>
        <v>41.916666668839753</v>
      </c>
      <c r="O19" s="13"/>
      <c r="P19" s="13"/>
      <c r="Q19" s="62"/>
      <c r="R19" s="62"/>
      <c r="T1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5"/>
        <v>N</v>
      </c>
      <c r="V19" s="75">
        <f t="shared" si="9"/>
        <v>1</v>
      </c>
      <c r="W19" s="75">
        <f t="shared" si="6"/>
        <v>5.2400000000000002E-2</v>
      </c>
      <c r="X19" s="75">
        <f t="shared" si="7"/>
        <v>23.3249</v>
      </c>
      <c r="Y19" s="75">
        <f t="shared" si="8"/>
        <v>23.272500000000001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 t="shared" si="0"/>
        <v>4007/4008</v>
      </c>
      <c r="L20" s="61" t="str">
        <f>VLOOKUP(A20,'Trips&amp;Operators'!$C$1:$E$9999,3,FALSE)</f>
        <v>STARKS</v>
      </c>
      <c r="M20" s="12">
        <f t="shared" si="1"/>
        <v>2.8854166666860692E-2</v>
      </c>
      <c r="N20" s="13">
        <f t="shared" si="3"/>
        <v>41.550000000279397</v>
      </c>
      <c r="O20" s="13"/>
      <c r="P20" s="13"/>
      <c r="Q20" s="62"/>
      <c r="R20" s="62"/>
      <c r="T2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5"/>
        <v>N</v>
      </c>
      <c r="V20" s="75">
        <f t="shared" si="9"/>
        <v>1</v>
      </c>
      <c r="W20" s="75">
        <f t="shared" si="6"/>
        <v>23.291499999999999</v>
      </c>
      <c r="X20" s="75">
        <f t="shared" si="7"/>
        <v>1.32E-2</v>
      </c>
      <c r="Y20" s="75">
        <f t="shared" si="8"/>
        <v>23.278299999999998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 t="shared" si="0"/>
        <v>4015/4016</v>
      </c>
      <c r="L21" s="61" t="str">
        <f>VLOOKUP(A21,'Trips&amp;Operators'!$C$1:$E$9999,3,FALSE)</f>
        <v>NEWELL</v>
      </c>
      <c r="M21" s="12">
        <f t="shared" si="1"/>
        <v>2.7523148150066845E-2</v>
      </c>
      <c r="N21" s="13">
        <f t="shared" si="3"/>
        <v>39.633333336096257</v>
      </c>
      <c r="O21" s="13"/>
      <c r="P21" s="13"/>
      <c r="Q21" s="62"/>
      <c r="R21" s="62"/>
      <c r="T2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5" t="str">
        <f t="shared" si="5"/>
        <v>N</v>
      </c>
      <c r="V21" s="75">
        <f t="shared" si="9"/>
        <v>1</v>
      </c>
      <c r="W21" s="75">
        <f t="shared" si="6"/>
        <v>0.14749999999999999</v>
      </c>
      <c r="X21" s="75">
        <f t="shared" si="7"/>
        <v>23.334199999999999</v>
      </c>
      <c r="Y21" s="75">
        <f t="shared" si="8"/>
        <v>23.186699999999998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 t="shared" si="0"/>
        <v>4015/4016</v>
      </c>
      <c r="L22" s="61" t="str">
        <f>VLOOKUP(A22,'Trips&amp;Operators'!$C$1:$E$9999,3,FALSE)</f>
        <v>NEWELL</v>
      </c>
      <c r="M22" s="12">
        <f t="shared" si="1"/>
        <v>3.2303240746841766E-2</v>
      </c>
      <c r="N22" s="13">
        <f t="shared" si="3"/>
        <v>46.516666675452143</v>
      </c>
      <c r="O22" s="13"/>
      <c r="P22" s="13"/>
      <c r="Q22" s="62"/>
      <c r="R22" s="62"/>
      <c r="T2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5" t="str">
        <f t="shared" si="5"/>
        <v>N</v>
      </c>
      <c r="V22" s="75">
        <f t="shared" si="9"/>
        <v>1</v>
      </c>
      <c r="W22" s="75">
        <f t="shared" si="6"/>
        <v>23.299800000000001</v>
      </c>
      <c r="X22" s="75">
        <f t="shared" si="7"/>
        <v>1.6E-2</v>
      </c>
      <c r="Y22" s="75">
        <f t="shared" si="8"/>
        <v>23.283800000000003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 t="shared" si="0"/>
        <v>4043/4044</v>
      </c>
      <c r="L23" s="61" t="str">
        <f>VLOOKUP(A23,'Trips&amp;Operators'!$C$1:$E$9999,3,FALSE)</f>
        <v>YORK</v>
      </c>
      <c r="M23" s="12">
        <f t="shared" si="1"/>
        <v>2.9270833336340729E-2</v>
      </c>
      <c r="N23" s="13">
        <f t="shared" si="3"/>
        <v>42.15000000433065</v>
      </c>
      <c r="O23" s="13"/>
      <c r="P23" s="13"/>
      <c r="Q23" s="62"/>
      <c r="R23" s="62"/>
      <c r="T2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5" t="str">
        <f t="shared" si="5"/>
        <v>N</v>
      </c>
      <c r="V23" s="75">
        <f t="shared" si="9"/>
        <v>1</v>
      </c>
      <c r="W23" s="75">
        <f t="shared" si="6"/>
        <v>4.7100000000000003E-2</v>
      </c>
      <c r="X23" s="75">
        <v>23.3</v>
      </c>
      <c r="Y23" s="75">
        <f t="shared" si="8"/>
        <v>23.2529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 t="shared" si="0"/>
        <v>4043/4044</v>
      </c>
      <c r="L24" s="61" t="str">
        <f>VLOOKUP(A24,'Trips&amp;Operators'!$C$1:$E$9999,3,FALSE)</f>
        <v>YORK</v>
      </c>
      <c r="M24" s="12">
        <f t="shared" si="1"/>
        <v>2.9432870367600117E-2</v>
      </c>
      <c r="N24" s="13">
        <f t="shared" si="3"/>
        <v>42.383333329344168</v>
      </c>
      <c r="O24" s="13"/>
      <c r="P24" s="13"/>
      <c r="Q24" s="62"/>
      <c r="R24" s="62"/>
      <c r="T2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5"/>
        <v>N</v>
      </c>
      <c r="V24" s="75">
        <f t="shared" si="9"/>
        <v>1</v>
      </c>
      <c r="W24" s="75">
        <f t="shared" si="6"/>
        <v>23.297699999999999</v>
      </c>
      <c r="X24" s="75">
        <f t="shared" ref="X24:X68" si="10">RIGHT(H24,LEN(H24)-4)/10000</f>
        <v>1.49E-2</v>
      </c>
      <c r="Y24" s="75">
        <f t="shared" si="8"/>
        <v>23.282799999999998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ACKERMAN</v>
      </c>
      <c r="M25" s="12">
        <f t="shared" si="1"/>
        <v>2.6666666664823424E-2</v>
      </c>
      <c r="N25" s="13">
        <f t="shared" si="3"/>
        <v>38.399999997345731</v>
      </c>
      <c r="O25" s="13"/>
      <c r="P25" s="13"/>
      <c r="Q25" s="62"/>
      <c r="R25" s="62"/>
      <c r="T2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5" s="75" t="str">
        <f t="shared" si="5"/>
        <v>N</v>
      </c>
      <c r="V25" s="75">
        <f t="shared" si="9"/>
        <v>1</v>
      </c>
      <c r="W25" s="75">
        <f t="shared" si="6"/>
        <v>4.4400000000000002E-2</v>
      </c>
      <c r="X25" s="75">
        <f t="shared" si="10"/>
        <v>23.330400000000001</v>
      </c>
      <c r="Y25" s="75">
        <f t="shared" si="8"/>
        <v>23.286000000000001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 t="shared" si="0"/>
        <v>4009/4010</v>
      </c>
      <c r="L26" s="61" t="str">
        <f>VLOOKUP(A26,'Trips&amp;Operators'!$C$1:$E$9999,3,FALSE)</f>
        <v>ACKERMAN</v>
      </c>
      <c r="M26" s="12">
        <f t="shared" si="1"/>
        <v>3.0300925922347233E-2</v>
      </c>
      <c r="N26" s="13">
        <f t="shared" si="3"/>
        <v>43.633333328180015</v>
      </c>
      <c r="O26" s="13"/>
      <c r="P26" s="13"/>
      <c r="Q26" s="62"/>
      <c r="R26" s="62"/>
      <c r="T2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6" s="75" t="str">
        <f t="shared" si="5"/>
        <v>N</v>
      </c>
      <c r="V26" s="75">
        <f t="shared" si="9"/>
        <v>1</v>
      </c>
      <c r="W26" s="75">
        <f t="shared" si="6"/>
        <v>23.2987</v>
      </c>
      <c r="X26" s="75">
        <f t="shared" si="10"/>
        <v>1.34E-2</v>
      </c>
      <c r="Y26" s="75">
        <f t="shared" si="8"/>
        <v>23.285299999999999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 t="shared" si="0"/>
        <v>4019/4020</v>
      </c>
      <c r="L27" s="61" t="str">
        <f>VLOOKUP(A27,'Trips&amp;Operators'!$C$1:$E$9999,3,FALSE)</f>
        <v>CANFIELD</v>
      </c>
      <c r="M27" s="12">
        <f t="shared" si="1"/>
        <v>2.6180555556493346E-2</v>
      </c>
      <c r="N27" s="13">
        <f t="shared" si="3"/>
        <v>37.700000001350418</v>
      </c>
      <c r="O27" s="13"/>
      <c r="P27" s="13"/>
      <c r="Q27" s="62"/>
      <c r="R27" s="62"/>
      <c r="T2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5" t="str">
        <f t="shared" si="5"/>
        <v>N</v>
      </c>
      <c r="V27" s="75">
        <f t="shared" si="9"/>
        <v>1</v>
      </c>
      <c r="W27" s="75">
        <f t="shared" si="6"/>
        <v>4.3999999999999997E-2</v>
      </c>
      <c r="X27" s="75">
        <f t="shared" si="10"/>
        <v>23.330300000000001</v>
      </c>
      <c r="Y27" s="75">
        <f t="shared" si="8"/>
        <v>23.286300000000001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 t="shared" si="0"/>
        <v>4019/4020</v>
      </c>
      <c r="L28" s="61" t="str">
        <f>VLOOKUP(A28,'Trips&amp;Operators'!$C$1:$E$9999,3,FALSE)</f>
        <v>CANFIELD</v>
      </c>
      <c r="M28" s="12">
        <f t="shared" si="1"/>
        <v>2.5706018517666962E-2</v>
      </c>
      <c r="N28" s="13">
        <f t="shared" si="3"/>
        <v>37.016666665440425</v>
      </c>
      <c r="O28" s="13"/>
      <c r="P28" s="13"/>
      <c r="Q28" s="62"/>
      <c r="R28" s="62"/>
      <c r="T2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5" t="str">
        <f t="shared" si="5"/>
        <v>N</v>
      </c>
      <c r="V28" s="75">
        <f t="shared" si="9"/>
        <v>1</v>
      </c>
      <c r="W28" s="75">
        <f t="shared" si="6"/>
        <v>23.297999999999998</v>
      </c>
      <c r="X28" s="75">
        <f t="shared" si="10"/>
        <v>1.38E-2</v>
      </c>
      <c r="Y28" s="75">
        <f t="shared" si="8"/>
        <v>23.284199999999998</v>
      </c>
      <c r="Z28" s="76">
        <f>VLOOKUP(A28,Enforcements!$C$3:$J$26,8,0)</f>
        <v>229055</v>
      </c>
      <c r="AA28" s="76" t="str">
        <f>VLOOKUP(A28,Enforcements!$C$3:$J$26,3,0)</f>
        <v>PERMANENT SPEED RESTRICTION</v>
      </c>
    </row>
    <row r="29" spans="1:27" s="2" customFormat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CHANDLER</v>
      </c>
      <c r="M29" s="12">
        <f t="shared" si="1"/>
        <v>2.4293981477967463E-2</v>
      </c>
      <c r="N29" s="13">
        <f t="shared" si="3"/>
        <v>34.983333328273147</v>
      </c>
      <c r="O29" s="13"/>
      <c r="P29" s="13"/>
      <c r="Q29" s="62"/>
      <c r="R29" s="62"/>
      <c r="T2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 t="shared" si="5"/>
        <v>N</v>
      </c>
      <c r="V29" s="75">
        <f t="shared" si="9"/>
        <v>1</v>
      </c>
      <c r="W29" s="75">
        <f t="shared" si="6"/>
        <v>5.0900000000000001E-2</v>
      </c>
      <c r="X29" s="75">
        <f t="shared" si="10"/>
        <v>23.330400000000001</v>
      </c>
      <c r="Y29" s="75">
        <f t="shared" si="8"/>
        <v>23.279500000000002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CHANDLER</v>
      </c>
      <c r="M30" s="12">
        <f t="shared" si="1"/>
        <v>2.9710648144828156E-2</v>
      </c>
      <c r="N30" s="13">
        <f t="shared" si="3"/>
        <v>42.783333328552544</v>
      </c>
      <c r="O30" s="13"/>
      <c r="P30" s="13"/>
      <c r="Q30" s="62"/>
      <c r="R30" s="62"/>
      <c r="T3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 t="shared" si="5"/>
        <v>N</v>
      </c>
      <c r="V30" s="75">
        <f t="shared" si="9"/>
        <v>1</v>
      </c>
      <c r="W30" s="75">
        <f t="shared" si="6"/>
        <v>23.298100000000002</v>
      </c>
      <c r="X30" s="75">
        <f t="shared" si="10"/>
        <v>1.47E-2</v>
      </c>
      <c r="Y30" s="75">
        <f t="shared" si="8"/>
        <v>23.2834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SPECTOR</v>
      </c>
      <c r="M31" s="12">
        <f t="shared" si="1"/>
        <v>2.8252314812561963E-2</v>
      </c>
      <c r="N31" s="13">
        <f t="shared" si="3"/>
        <v>40.683333330089226</v>
      </c>
      <c r="O31" s="13"/>
      <c r="P31" s="13"/>
      <c r="Q31" s="62"/>
      <c r="R31" s="62"/>
      <c r="T3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5"/>
        <v>N</v>
      </c>
      <c r="V31" s="75">
        <f t="shared" si="9"/>
        <v>1</v>
      </c>
      <c r="W31" s="75">
        <f t="shared" si="6"/>
        <v>4.5999999999999999E-2</v>
      </c>
      <c r="X31" s="75">
        <f t="shared" si="10"/>
        <v>23.331600000000002</v>
      </c>
      <c r="Y31" s="75">
        <f t="shared" si="8"/>
        <v>23.285600000000002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 t="shared" si="0"/>
        <v>4023/4024</v>
      </c>
      <c r="L32" s="61" t="str">
        <f>VLOOKUP(A32,'Trips&amp;Operators'!$C$1:$E$9999,3,FALSE)</f>
        <v>SPECTOR</v>
      </c>
      <c r="M32" s="12">
        <f t="shared" si="1"/>
        <v>3.5289351850224193E-2</v>
      </c>
      <c r="N32" s="13">
        <f t="shared" si="3"/>
        <v>50.816666664322838</v>
      </c>
      <c r="O32" s="13"/>
      <c r="P32" s="13"/>
      <c r="Q32" s="62"/>
      <c r="R32" s="62"/>
      <c r="T3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5"/>
        <v>N</v>
      </c>
      <c r="V32" s="75">
        <f t="shared" si="9"/>
        <v>1</v>
      </c>
      <c r="W32" s="75">
        <f t="shared" si="6"/>
        <v>23.299600000000002</v>
      </c>
      <c r="X32" s="75">
        <f t="shared" si="10"/>
        <v>1.3899999999999999E-2</v>
      </c>
      <c r="Y32" s="75">
        <f t="shared" si="8"/>
        <v>23.285700000000002</v>
      </c>
      <c r="Z32" s="76">
        <f>VLOOKUP(A32,Enforcements!$C$3:$J$26,8,0)</f>
        <v>5439</v>
      </c>
      <c r="AA32" s="76" t="str">
        <f>VLOOKUP(A32,Enforcements!$C$3:$J$26,3,0)</f>
        <v>PERMANENT SPEED RESTRICTION</v>
      </c>
    </row>
    <row r="33" spans="1:27" s="2" customFormat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 t="shared" si="0"/>
        <v>4007/4008</v>
      </c>
      <c r="L33" s="61" t="str">
        <f>VLOOKUP(A33,'Trips&amp;Operators'!$C$1:$E$9999,3,FALSE)</f>
        <v>STARKS</v>
      </c>
      <c r="M33" s="12">
        <f t="shared" si="1"/>
        <v>2.7268518519122154E-2</v>
      </c>
      <c r="N33" s="13">
        <f t="shared" si="3"/>
        <v>39.266666667535901</v>
      </c>
      <c r="O33" s="13"/>
      <c r="P33" s="13"/>
      <c r="Q33" s="62"/>
      <c r="R33" s="62"/>
      <c r="T3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5"/>
        <v>N</v>
      </c>
      <c r="V33" s="75">
        <f t="shared" si="9"/>
        <v>1</v>
      </c>
      <c r="W33" s="75">
        <f t="shared" si="6"/>
        <v>4.3299999999999998E-2</v>
      </c>
      <c r="X33" s="75">
        <f t="shared" si="10"/>
        <v>23.333600000000001</v>
      </c>
      <c r="Y33" s="75">
        <f t="shared" si="8"/>
        <v>23.290300000000002</v>
      </c>
      <c r="Z33" s="76">
        <f>VLOOKUP(A33,Enforcements!$C$3:$J$26,8,0)</f>
        <v>230436</v>
      </c>
      <c r="AA33" s="76" t="str">
        <f>VLOOKUP(A33,Enforcements!$C$3:$J$26,3,0)</f>
        <v>PERMANENT SPEED RESTRICTION</v>
      </c>
    </row>
    <row r="34" spans="1:27" s="2" customFormat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 t="shared" si="0"/>
        <v>4007/4008</v>
      </c>
      <c r="L34" s="61" t="str">
        <f>VLOOKUP(A34,'Trips&amp;Operators'!$C$1:$E$9999,3,FALSE)</f>
        <v>STARKS</v>
      </c>
      <c r="M34" s="12">
        <f t="shared" si="1"/>
        <v>2.7673611111822538E-2</v>
      </c>
      <c r="N34" s="13">
        <f t="shared" si="3"/>
        <v>39.850000001024455</v>
      </c>
      <c r="O34" s="13"/>
      <c r="P34" s="13"/>
      <c r="Q34" s="62"/>
      <c r="R34" s="62"/>
      <c r="T3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5"/>
        <v>N</v>
      </c>
      <c r="V34" s="75">
        <f t="shared" si="9"/>
        <v>1</v>
      </c>
      <c r="W34" s="75">
        <f t="shared" si="6"/>
        <v>23.302499999999998</v>
      </c>
      <c r="X34" s="75">
        <f t="shared" si="10"/>
        <v>1.38E-2</v>
      </c>
      <c r="Y34" s="75">
        <f t="shared" si="8"/>
        <v>23.288699999999999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 t="shared" ref="K35:K66" si="11">IF(ISEVEN(B35),(B35-1)&amp;"/"&amp;B35,B35&amp;"/"&amp;(B35+1))</f>
        <v>4015/4016</v>
      </c>
      <c r="L35" s="61" t="str">
        <f>VLOOKUP(A35,'Trips&amp;Operators'!$C$1:$E$9999,3,FALSE)</f>
        <v>NEWELL</v>
      </c>
      <c r="M35" s="12">
        <f t="shared" ref="M35:M66" si="12">I35-F35</f>
        <v>2.849537037400296E-2</v>
      </c>
      <c r="N35" s="13">
        <f t="shared" si="3"/>
        <v>41.033333338564262</v>
      </c>
      <c r="O35" s="13"/>
      <c r="P35" s="13"/>
      <c r="Q35" s="62"/>
      <c r="R35" s="62"/>
      <c r="T3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5" t="str">
        <f t="shared" si="5"/>
        <v>N</v>
      </c>
      <c r="V35" s="75">
        <f t="shared" si="9"/>
        <v>1</v>
      </c>
      <c r="W35" s="75">
        <f t="shared" si="6"/>
        <v>4.5999999999999999E-2</v>
      </c>
      <c r="X35" s="75">
        <f t="shared" si="10"/>
        <v>23.329899999999999</v>
      </c>
      <c r="Y35" s="75">
        <f t="shared" si="8"/>
        <v>23.283899999999999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 t="shared" si="11"/>
        <v>4015/4016</v>
      </c>
      <c r="L36" s="61" t="str">
        <f>VLOOKUP(A36,'Trips&amp;Operators'!$C$1:$E$9999,3,FALSE)</f>
        <v>NEWELL</v>
      </c>
      <c r="M36" s="12">
        <f t="shared" si="12"/>
        <v>3.5949074073869269E-2</v>
      </c>
      <c r="N36" s="13">
        <f t="shared" si="3"/>
        <v>51.766666666371748</v>
      </c>
      <c r="O36" s="13"/>
      <c r="P36" s="13"/>
      <c r="Q36" s="62"/>
      <c r="R36" s="62"/>
      <c r="T3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5" t="str">
        <f t="shared" si="5"/>
        <v>N</v>
      </c>
      <c r="V36" s="75">
        <f t="shared" si="9"/>
        <v>1</v>
      </c>
      <c r="W36" s="75">
        <f t="shared" si="6"/>
        <v>23.297999999999998</v>
      </c>
      <c r="X36" s="75">
        <f t="shared" si="10"/>
        <v>1.61E-2</v>
      </c>
      <c r="Y36" s="75">
        <f t="shared" si="8"/>
        <v>23.281899999999997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 t="shared" si="11"/>
        <v>4043/4044</v>
      </c>
      <c r="L37" s="61" t="str">
        <f>VLOOKUP(A37,'Trips&amp;Operators'!$C$1:$E$9999,3,FALSE)</f>
        <v>YORK</v>
      </c>
      <c r="M37" s="12">
        <f t="shared" si="12"/>
        <v>2.9664351852261461E-2</v>
      </c>
      <c r="N37" s="13">
        <f t="shared" si="3"/>
        <v>42.716666667256504</v>
      </c>
      <c r="O37" s="13"/>
      <c r="P37" s="13"/>
      <c r="Q37" s="62"/>
      <c r="R37" s="62"/>
      <c r="T3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5"/>
        <v>N</v>
      </c>
      <c r="V37" s="75">
        <f t="shared" si="9"/>
        <v>1</v>
      </c>
      <c r="W37" s="75">
        <f t="shared" si="6"/>
        <v>4.5699999999999998E-2</v>
      </c>
      <c r="X37" s="75">
        <f t="shared" si="10"/>
        <v>23.331</v>
      </c>
      <c r="Y37" s="75">
        <f t="shared" si="8"/>
        <v>23.285299999999999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 t="shared" si="11"/>
        <v>4043/4044</v>
      </c>
      <c r="L38" s="61" t="str">
        <f>VLOOKUP(A38,'Trips&amp;Operators'!$C$1:$E$9999,3,FALSE)</f>
        <v>YORK</v>
      </c>
      <c r="M38" s="12">
        <f t="shared" si="12"/>
        <v>3.4409722218697425E-2</v>
      </c>
      <c r="N38" s="13">
        <f t="shared" si="3"/>
        <v>49.549999994924292</v>
      </c>
      <c r="O38" s="13"/>
      <c r="P38" s="13"/>
      <c r="Q38" s="62"/>
      <c r="R38" s="62"/>
      <c r="T38" s="75" t="str">
        <f t="shared" ref="T38:T69" si="13"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ref="U38:U69" si="14">IF(Y38&lt;23,"Y","N")</f>
        <v>N</v>
      </c>
      <c r="V38" s="75">
        <f t="shared" si="9"/>
        <v>1</v>
      </c>
      <c r="W38" s="75">
        <f t="shared" ref="W38:W69" si="15">RIGHT(D38,LEN(D38)-4)/10000</f>
        <v>23.299800000000001</v>
      </c>
      <c r="X38" s="75">
        <f t="shared" si="10"/>
        <v>1.54E-2</v>
      </c>
      <c r="Y38" s="75">
        <f t="shared" ref="Y38:Y69" si="16">ABS(X38-W38)</f>
        <v>23.284400000000002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 t="shared" si="11"/>
        <v>4009/4010</v>
      </c>
      <c r="L39" s="61" t="str">
        <f>VLOOKUP(A39,'Trips&amp;Operators'!$C$1:$E$9999,3,FALSE)</f>
        <v>ACKERMAN</v>
      </c>
      <c r="M39" s="12">
        <f t="shared" si="12"/>
        <v>2.9166666667151731E-2</v>
      </c>
      <c r="N39" s="13">
        <f t="shared" si="3"/>
        <v>42.000000000698492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5" t="str">
        <f t="shared" si="14"/>
        <v>N</v>
      </c>
      <c r="V39" s="75">
        <f t="shared" si="9"/>
        <v>1</v>
      </c>
      <c r="W39" s="75">
        <f t="shared" si="15"/>
        <v>4.4600000000000001E-2</v>
      </c>
      <c r="X39" s="75">
        <f t="shared" si="10"/>
        <v>23.328199999999999</v>
      </c>
      <c r="Y39" s="75">
        <f t="shared" si="16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 t="shared" si="11"/>
        <v>4009/4010</v>
      </c>
      <c r="L40" s="61" t="str">
        <f>VLOOKUP(A40,'Trips&amp;Operators'!$C$1:$E$9999,3,FALSE)</f>
        <v>ACKERMAN</v>
      </c>
      <c r="M40" s="12">
        <f t="shared" si="12"/>
        <v>3.0185185183654539E-2</v>
      </c>
      <c r="N40" s="13">
        <f t="shared" si="3"/>
        <v>43.466666664462537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5" t="str">
        <f t="shared" si="14"/>
        <v>N</v>
      </c>
      <c r="V40" s="75">
        <f t="shared" si="9"/>
        <v>1</v>
      </c>
      <c r="W40" s="75">
        <f t="shared" si="15"/>
        <v>23.2973</v>
      </c>
      <c r="X40" s="75">
        <f t="shared" si="10"/>
        <v>1.34E-2</v>
      </c>
      <c r="Y40" s="75">
        <f t="shared" si="16"/>
        <v>23.283899999999999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 t="shared" si="11"/>
        <v>4019/4020</v>
      </c>
      <c r="L41" s="61" t="str">
        <f>VLOOKUP(A41,'Trips&amp;Operators'!$C$1:$E$9999,3,FALSE)</f>
        <v>CANFIELD</v>
      </c>
      <c r="M41" s="12">
        <f t="shared" si="12"/>
        <v>3.0127314814308193E-2</v>
      </c>
      <c r="N41" s="13"/>
      <c r="O41" s="13"/>
      <c r="P41" s="13">
        <v>43</v>
      </c>
      <c r="Q41" s="62" t="s">
        <v>418</v>
      </c>
      <c r="R41" s="62" t="s">
        <v>424</v>
      </c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1" s="75" t="str">
        <f t="shared" si="14"/>
        <v>Y</v>
      </c>
      <c r="V41" s="75">
        <f t="shared" si="9"/>
        <v>1</v>
      </c>
      <c r="W41" s="75">
        <f t="shared" si="15"/>
        <v>4.7300000000000002E-2</v>
      </c>
      <c r="X41" s="75">
        <f t="shared" si="10"/>
        <v>22.011900000000001</v>
      </c>
      <c r="Y41" s="75">
        <f t="shared" si="16"/>
        <v>21.964600000000001</v>
      </c>
      <c r="Z41" s="76">
        <f>VLOOKUP(A41,Enforcements!$C$3:$J$26,8,0)</f>
        <v>217106</v>
      </c>
      <c r="AA41" s="76" t="str">
        <f>VLOOKUP(A41,Enforcements!$C$3:$J$26,3,0)</f>
        <v>SIGNAL</v>
      </c>
    </row>
    <row r="42" spans="1:27" s="2" customFormat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 t="shared" si="11"/>
        <v>4019/4020</v>
      </c>
      <c r="L42" s="61" t="str">
        <f>VLOOKUP(A42,'Trips&amp;Operators'!$C$1:$E$9999,3,FALSE)</f>
        <v>CANFIELD</v>
      </c>
      <c r="M42" s="12">
        <f t="shared" si="12"/>
        <v>2.9120370367309079E-2</v>
      </c>
      <c r="N42" s="13">
        <f t="shared" ref="N42:N58" si="17">$M42*24*60</f>
        <v>41.933333328925073</v>
      </c>
      <c r="O42" s="13"/>
      <c r="P42" s="13"/>
      <c r="Q42" s="62"/>
      <c r="R42" s="62"/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2" s="75" t="str">
        <f t="shared" si="14"/>
        <v>N</v>
      </c>
      <c r="V42" s="75">
        <f t="shared" si="9"/>
        <v>1</v>
      </c>
      <c r="W42" s="75">
        <f t="shared" si="15"/>
        <v>23.2987</v>
      </c>
      <c r="X42" s="75">
        <f t="shared" si="10"/>
        <v>1.3899999999999999E-2</v>
      </c>
      <c r="Y42" s="75">
        <f t="shared" si="16"/>
        <v>23.284800000000001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 t="shared" si="11"/>
        <v>4011/4012</v>
      </c>
      <c r="L43" s="61" t="str">
        <f>VLOOKUP(A43,'Trips&amp;Operators'!$C$1:$E$9999,3,FALSE)</f>
        <v>CHANDLER</v>
      </c>
      <c r="M43" s="12">
        <f t="shared" si="12"/>
        <v>3.0428240737819578E-2</v>
      </c>
      <c r="N43" s="13">
        <f t="shared" si="17"/>
        <v>43.816666662460193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 t="shared" si="14"/>
        <v>N</v>
      </c>
      <c r="V43" s="75">
        <f t="shared" si="9"/>
        <v>1</v>
      </c>
      <c r="W43" s="75">
        <f t="shared" si="15"/>
        <v>4.53E-2</v>
      </c>
      <c r="X43" s="75">
        <f t="shared" si="10"/>
        <v>23.3293</v>
      </c>
      <c r="Y43" s="75">
        <f t="shared" si="16"/>
        <v>23.283999999999999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 t="shared" si="11"/>
        <v>4011/4012</v>
      </c>
      <c r="L44" s="61" t="str">
        <f>VLOOKUP(A44,'Trips&amp;Operators'!$C$1:$E$9999,3,FALSE)</f>
        <v>CHANDLER</v>
      </c>
      <c r="M44" s="12">
        <f t="shared" si="12"/>
        <v>3.0231481483497191E-2</v>
      </c>
      <c r="N44" s="13">
        <f t="shared" si="17"/>
        <v>43.533333336235955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 t="shared" si="14"/>
        <v>N</v>
      </c>
      <c r="V44" s="75">
        <f t="shared" si="9"/>
        <v>1</v>
      </c>
      <c r="W44" s="75">
        <f t="shared" si="15"/>
        <v>23.297799999999999</v>
      </c>
      <c r="X44" s="75">
        <f t="shared" si="10"/>
        <v>2.1399999999999999E-2</v>
      </c>
      <c r="Y44" s="75">
        <f t="shared" si="16"/>
        <v>23.276399999999999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SPECTOR</v>
      </c>
      <c r="M45" s="12">
        <f t="shared" si="12"/>
        <v>2.5868055556202307E-2</v>
      </c>
      <c r="N45" s="13">
        <f t="shared" si="17"/>
        <v>37.250000000931323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5" s="75" t="str">
        <f t="shared" si="14"/>
        <v>N</v>
      </c>
      <c r="V45" s="75">
        <f t="shared" si="9"/>
        <v>1</v>
      </c>
      <c r="W45" s="75">
        <f t="shared" si="15"/>
        <v>4.0899999999999999E-2</v>
      </c>
      <c r="X45" s="75">
        <f t="shared" si="10"/>
        <v>23.3323</v>
      </c>
      <c r="Y45" s="75">
        <f t="shared" si="16"/>
        <v>23.291399999999999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 t="shared" si="11"/>
        <v>4023/4024</v>
      </c>
      <c r="L46" s="61" t="str">
        <f>VLOOKUP(A46,'Trips&amp;Operators'!$C$1:$E$9999,3,FALSE)</f>
        <v>SPECTOR</v>
      </c>
      <c r="M46" s="12">
        <f t="shared" si="12"/>
        <v>2.5023148147738539E-2</v>
      </c>
      <c r="N46" s="13">
        <f t="shared" si="17"/>
        <v>36.033333332743496</v>
      </c>
      <c r="O46" s="13"/>
      <c r="P46" s="13"/>
      <c r="Q46" s="62"/>
      <c r="R46" s="62"/>
      <c r="T46" s="75" t="e">
        <f t="shared" si="13"/>
        <v>#VALUE!</v>
      </c>
      <c r="U46" s="75" t="e">
        <f t="shared" si="14"/>
        <v>#VALUE!</v>
      </c>
      <c r="V46" s="75">
        <f t="shared" ref="V46:V48" si="18">VALUE(LEFT(A46,3))-VALUE(LEFT(A45,3))</f>
        <v>1</v>
      </c>
      <c r="W46" s="75" t="e">
        <f t="shared" si="15"/>
        <v>#VALUE!</v>
      </c>
      <c r="X46" s="75">
        <f t="shared" si="10"/>
        <v>2.4138888888999998E-4</v>
      </c>
      <c r="Y46" s="75" t="e">
        <f t="shared" si="16"/>
        <v>#VALUE!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 t="shared" si="11"/>
        <v>4007/4008</v>
      </c>
      <c r="L47" s="61" t="str">
        <f>VLOOKUP(A47,'Trips&amp;Operators'!$C$1:$E$9999,3,FALSE)</f>
        <v>STARKS</v>
      </c>
      <c r="M47" s="12">
        <f t="shared" si="12"/>
        <v>2.7083333334303461E-2</v>
      </c>
      <c r="N47" s="13">
        <f t="shared" si="17"/>
        <v>39.000000001396984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4.3799999999999999E-2</v>
      </c>
      <c r="X47" s="75">
        <f t="shared" si="10"/>
        <v>23.334099999999999</v>
      </c>
      <c r="Y47" s="75">
        <f t="shared" si="16"/>
        <v>23.290299999999998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 t="shared" si="11"/>
        <v>4007/4008</v>
      </c>
      <c r="L48" s="61" t="str">
        <f>VLOOKUP(A48,'Trips&amp;Operators'!$C$1:$E$9999,3,FALSE)</f>
        <v>STARKS</v>
      </c>
      <c r="M48" s="12">
        <f t="shared" si="12"/>
        <v>2.7870370373420883E-2</v>
      </c>
      <c r="N48" s="13">
        <f t="shared" si="17"/>
        <v>40.133333337726071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23.302099999999999</v>
      </c>
      <c r="X48" s="75">
        <f t="shared" si="10"/>
        <v>1.38E-2</v>
      </c>
      <c r="Y48" s="75">
        <f t="shared" si="16"/>
        <v>23.2883</v>
      </c>
      <c r="Z48" s="76">
        <f>VLOOKUP(A48,Enforcements!$C$3:$J$26,8,0)</f>
        <v>229055</v>
      </c>
      <c r="AA48" s="76" t="str">
        <f>VLOOKUP(A48,Enforcements!$C$3:$J$26,3,0)</f>
        <v>PERMANENT SPEED RESTRICTION</v>
      </c>
    </row>
    <row r="49" spans="1:27" s="2" customFormat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 t="shared" si="11"/>
        <v>4015/4016</v>
      </c>
      <c r="L49" s="61" t="str">
        <f>VLOOKUP(A49,'Trips&amp;Operators'!$C$1:$E$9999,3,FALSE)</f>
        <v>NEWELL</v>
      </c>
      <c r="M49" s="12">
        <f t="shared" si="12"/>
        <v>3.1215277776937E-2</v>
      </c>
      <c r="N49" s="13">
        <f t="shared" si="17"/>
        <v>44.949999998789281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9" s="75" t="str">
        <f t="shared" si="14"/>
        <v>N</v>
      </c>
      <c r="V49" s="75">
        <f t="shared" ref="V49:V90" si="19">VALUE(LEFT(A49,3))-VALUE(LEFT(A48,3))</f>
        <v>1</v>
      </c>
      <c r="W49" s="75">
        <f t="shared" si="15"/>
        <v>4.4600000000000001E-2</v>
      </c>
      <c r="X49" s="75">
        <f t="shared" si="10"/>
        <v>23.3323</v>
      </c>
      <c r="Y49" s="75">
        <f t="shared" si="16"/>
        <v>23.287700000000001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 t="shared" si="11"/>
        <v>4015/4016</v>
      </c>
      <c r="L50" s="61" t="str">
        <f>VLOOKUP(A50,'Trips&amp;Operators'!$C$1:$E$9999,3,FALSE)</f>
        <v>NEWELL</v>
      </c>
      <c r="M50" s="12">
        <f t="shared" si="12"/>
        <v>2.6076388887304347E-2</v>
      </c>
      <c r="N50" s="13">
        <f t="shared" si="17"/>
        <v>37.54999999771826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0" s="75" t="str">
        <f t="shared" si="14"/>
        <v>N</v>
      </c>
      <c r="V50" s="75">
        <f t="shared" si="19"/>
        <v>1</v>
      </c>
      <c r="W50" s="75">
        <f t="shared" si="15"/>
        <v>23.299399999999999</v>
      </c>
      <c r="X50" s="75">
        <f t="shared" si="10"/>
        <v>1.43E-2</v>
      </c>
      <c r="Y50" s="75">
        <f t="shared" si="16"/>
        <v>23.2851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 t="shared" si="11"/>
        <v>4043/4044</v>
      </c>
      <c r="L51" s="61" t="str">
        <f>VLOOKUP(A51,'Trips&amp;Operators'!$C$1:$E$9999,3,FALSE)</f>
        <v>YORK</v>
      </c>
      <c r="M51" s="12">
        <f t="shared" si="12"/>
        <v>2.7627314811979886E-2</v>
      </c>
      <c r="N51" s="13">
        <f t="shared" si="17"/>
        <v>39.783333329251036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14"/>
        <v>N</v>
      </c>
      <c r="V51" s="75">
        <f t="shared" si="19"/>
        <v>1</v>
      </c>
      <c r="W51" s="75">
        <f t="shared" si="15"/>
        <v>4.5999999999999999E-2</v>
      </c>
      <c r="X51" s="75">
        <f t="shared" si="10"/>
        <v>23.330100000000002</v>
      </c>
      <c r="Y51" s="75">
        <f t="shared" si="16"/>
        <v>23.284100000000002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 t="shared" si="11"/>
        <v>4043/4044</v>
      </c>
      <c r="L52" s="61" t="str">
        <f>VLOOKUP(A52,'Trips&amp;Operators'!$C$1:$E$9999,3,FALSE)</f>
        <v>YORK</v>
      </c>
      <c r="M52" s="12">
        <f t="shared" si="12"/>
        <v>3.309027777868323E-2</v>
      </c>
      <c r="N52" s="13">
        <f t="shared" si="17"/>
        <v>47.650000001303852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14"/>
        <v>N</v>
      </c>
      <c r="V52" s="75">
        <f t="shared" si="19"/>
        <v>1</v>
      </c>
      <c r="W52" s="75">
        <f t="shared" si="15"/>
        <v>23.298999999999999</v>
      </c>
      <c r="X52" s="75">
        <f t="shared" si="10"/>
        <v>1.43E-2</v>
      </c>
      <c r="Y52" s="75">
        <f t="shared" si="16"/>
        <v>23.284700000000001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 t="shared" si="11"/>
        <v>4009/4010</v>
      </c>
      <c r="L53" s="61" t="str">
        <f>VLOOKUP(A53,'Trips&amp;Operators'!$C$1:$E$9999,3,FALSE)</f>
        <v>ACKERMAN</v>
      </c>
      <c r="M53" s="12">
        <f t="shared" si="12"/>
        <v>2.9293981482624076E-2</v>
      </c>
      <c r="N53" s="13">
        <f t="shared" si="17"/>
        <v>42.18333333497867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3" s="75" t="str">
        <f t="shared" si="14"/>
        <v>N</v>
      </c>
      <c r="V53" s="75">
        <f t="shared" si="19"/>
        <v>1</v>
      </c>
      <c r="W53" s="75">
        <f t="shared" si="15"/>
        <v>4.3799999999999999E-2</v>
      </c>
      <c r="X53" s="75">
        <f t="shared" si="10"/>
        <v>23.331499999999998</v>
      </c>
      <c r="Y53" s="75">
        <f t="shared" si="16"/>
        <v>23.287699999999997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 t="shared" si="11"/>
        <v>4009/4010</v>
      </c>
      <c r="L54" s="61" t="str">
        <f>VLOOKUP(A54,'Trips&amp;Operators'!$C$1:$E$9999,3,FALSE)</f>
        <v>ACKERMAN</v>
      </c>
      <c r="M54" s="12">
        <f t="shared" si="12"/>
        <v>3.1666666662204079E-2</v>
      </c>
      <c r="N54" s="13">
        <f t="shared" si="17"/>
        <v>45.599999993573874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4" s="75" t="str">
        <f t="shared" si="14"/>
        <v>N</v>
      </c>
      <c r="V54" s="75">
        <f t="shared" si="19"/>
        <v>1</v>
      </c>
      <c r="W54" s="75">
        <f t="shared" si="15"/>
        <v>23.297599999999999</v>
      </c>
      <c r="X54" s="75">
        <f t="shared" si="10"/>
        <v>1.5800000000000002E-2</v>
      </c>
      <c r="Y54" s="75">
        <f t="shared" si="16"/>
        <v>23.2818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 t="shared" si="11"/>
        <v>4019/4020</v>
      </c>
      <c r="L55" s="61" t="str">
        <f>VLOOKUP(A55,'Trips&amp;Operators'!$C$1:$E$9999,3,FALSE)</f>
        <v>RIVERA</v>
      </c>
      <c r="M55" s="12">
        <f t="shared" si="12"/>
        <v>2.9270833329064772E-2</v>
      </c>
      <c r="N55" s="13">
        <f t="shared" si="17"/>
        <v>42.149999993853271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5" t="str">
        <f t="shared" si="14"/>
        <v>N</v>
      </c>
      <c r="V55" s="75">
        <f t="shared" si="19"/>
        <v>1</v>
      </c>
      <c r="W55" s="75">
        <f t="shared" si="15"/>
        <v>4.6199999999999998E-2</v>
      </c>
      <c r="X55" s="75">
        <f t="shared" si="10"/>
        <v>23.3276</v>
      </c>
      <c r="Y55" s="75">
        <f t="shared" si="16"/>
        <v>23.281400000000001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 t="shared" si="11"/>
        <v>4019/4020</v>
      </c>
      <c r="L56" s="61" t="str">
        <f>VLOOKUP(A56,'Trips&amp;Operators'!$C$1:$E$9999,3,FALSE)</f>
        <v>RIVERA</v>
      </c>
      <c r="M56" s="12">
        <f t="shared" si="12"/>
        <v>2.7777777781011537E-2</v>
      </c>
      <c r="N56" s="13">
        <f t="shared" si="17"/>
        <v>40.000000004656613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5" t="str">
        <f t="shared" si="14"/>
        <v>N</v>
      </c>
      <c r="V56" s="75">
        <f t="shared" si="19"/>
        <v>1</v>
      </c>
      <c r="W56" s="75">
        <f t="shared" si="15"/>
        <v>23.297499999999999</v>
      </c>
      <c r="X56" s="75">
        <f t="shared" si="10"/>
        <v>1.38E-2</v>
      </c>
      <c r="Y56" s="75">
        <f t="shared" si="16"/>
        <v>23.2837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 t="shared" si="11"/>
        <v>4011/4012</v>
      </c>
      <c r="L57" s="61" t="str">
        <f>VLOOKUP(A57,'Trips&amp;Operators'!$C$1:$E$9999,3,FALSE)</f>
        <v>CANFIELD</v>
      </c>
      <c r="M57" s="12">
        <f t="shared" si="12"/>
        <v>2.5509259256068617E-2</v>
      </c>
      <c r="N57" s="13">
        <f t="shared" si="17"/>
        <v>36.733333328738809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 t="shared" si="14"/>
        <v>N</v>
      </c>
      <c r="V57" s="75">
        <f t="shared" si="19"/>
        <v>1</v>
      </c>
      <c r="W57" s="75">
        <f t="shared" si="15"/>
        <v>4.9700000000000001E-2</v>
      </c>
      <c r="X57" s="75">
        <f t="shared" si="10"/>
        <v>23.331</v>
      </c>
      <c r="Y57" s="75">
        <f t="shared" si="16"/>
        <v>23.281299999999998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 t="shared" si="11"/>
        <v>4011/4012</v>
      </c>
      <c r="L58" s="61" t="str">
        <f>VLOOKUP(A58,'Trips&amp;Operators'!$C$1:$E$9999,3,FALSE)</f>
        <v>CANFIELD</v>
      </c>
      <c r="M58" s="12">
        <f t="shared" si="12"/>
        <v>3.142361110803904E-2</v>
      </c>
      <c r="N58" s="13">
        <f t="shared" si="17"/>
        <v>45.249999995576218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 t="shared" si="14"/>
        <v>N</v>
      </c>
      <c r="V58" s="75">
        <f t="shared" si="19"/>
        <v>1</v>
      </c>
      <c r="W58" s="75">
        <f t="shared" si="15"/>
        <v>23.2989</v>
      </c>
      <c r="X58" s="75">
        <f t="shared" si="10"/>
        <v>6.2100000000000002E-2</v>
      </c>
      <c r="Y58" s="75">
        <f t="shared" si="16"/>
        <v>23.236799999999999</v>
      </c>
      <c r="Z58" s="76">
        <f>VLOOKUP(A58,Enforcements!$C$3:$J$26,8,0)</f>
        <v>30562</v>
      </c>
      <c r="AA58" s="76" t="str">
        <f>VLOOKUP(A58,Enforcements!$C$3:$J$26,3,0)</f>
        <v>PERMANENT SPEED RESTRICTION</v>
      </c>
    </row>
    <row r="59" spans="1:27" s="2" customFormat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STORY</v>
      </c>
      <c r="M59" s="12">
        <f t="shared" si="12"/>
        <v>1.1817129627161194E-2</v>
      </c>
      <c r="N59" s="13"/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9" s="75" t="str">
        <f t="shared" si="14"/>
        <v>Y</v>
      </c>
      <c r="V59" s="75">
        <f t="shared" si="19"/>
        <v>1</v>
      </c>
      <c r="W59" s="75">
        <f t="shared" si="15"/>
        <v>12.827400000000001</v>
      </c>
      <c r="X59" s="75">
        <f t="shared" si="10"/>
        <v>23.331099999999999</v>
      </c>
      <c r="Y59" s="75">
        <f t="shared" si="16"/>
        <v>10.503699999999998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 t="shared" si="11"/>
        <v>4023/4024</v>
      </c>
      <c r="L60" s="61" t="str">
        <f>VLOOKUP(A60,'Trips&amp;Operators'!$C$1:$E$9999,3,FALSE)</f>
        <v>STORY</v>
      </c>
      <c r="M60" s="12">
        <f t="shared" si="12"/>
        <v>1.7372685178997926E-2</v>
      </c>
      <c r="N60" s="13"/>
      <c r="O60" s="13"/>
      <c r="P60" s="13">
        <f>24*60*(M59+M60)</f>
        <v>42.033333320869133</v>
      </c>
      <c r="Q60" s="62" t="s">
        <v>418</v>
      </c>
      <c r="R60" s="62" t="s">
        <v>425</v>
      </c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75" t="str">
        <f t="shared" si="14"/>
        <v>Y</v>
      </c>
      <c r="V60" s="75">
        <f t="shared" si="19"/>
        <v>0</v>
      </c>
      <c r="W60" s="75">
        <f t="shared" si="15"/>
        <v>4.6600000000000003E-2</v>
      </c>
      <c r="X60" s="75">
        <f t="shared" si="10"/>
        <v>10.287800000000001</v>
      </c>
      <c r="Y60" s="75">
        <f t="shared" si="16"/>
        <v>10.241200000000001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 t="shared" si="11"/>
        <v>4023/4024</v>
      </c>
      <c r="L61" s="61" t="str">
        <f>VLOOKUP(A61,'Trips&amp;Operators'!$C$1:$E$9999,3,FALSE)</f>
        <v>STORY</v>
      </c>
      <c r="M61" s="12">
        <f t="shared" si="12"/>
        <v>2.8564814820128959E-2</v>
      </c>
      <c r="N61" s="13">
        <f>$M61*24*60</f>
        <v>41.1333333409857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75" t="str">
        <f t="shared" si="14"/>
        <v>N</v>
      </c>
      <c r="V61" s="75">
        <f t="shared" si="19"/>
        <v>1</v>
      </c>
      <c r="W61" s="75">
        <f t="shared" si="15"/>
        <v>23.298400000000001</v>
      </c>
      <c r="X61" s="75">
        <f t="shared" si="10"/>
        <v>1.4999999999999999E-2</v>
      </c>
      <c r="Y61" s="75">
        <f t="shared" si="16"/>
        <v>23.2834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 t="shared" si="11"/>
        <v>4007/4008</v>
      </c>
      <c r="L62" s="61" t="str">
        <f>VLOOKUP(A62,'Trips&amp;Operators'!$C$1:$E$9999,3,FALSE)</f>
        <v>SPECTOR</v>
      </c>
      <c r="M62" s="12">
        <f t="shared" si="12"/>
        <v>1.2129629627452232E-2</v>
      </c>
      <c r="N62" s="13"/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5" t="str">
        <f t="shared" si="14"/>
        <v>Y</v>
      </c>
      <c r="V62" s="75">
        <f t="shared" si="19"/>
        <v>1</v>
      </c>
      <c r="W62" s="75">
        <f t="shared" si="15"/>
        <v>4.4900000000000002E-2</v>
      </c>
      <c r="X62" s="75">
        <f t="shared" si="10"/>
        <v>6.4710000000000001</v>
      </c>
      <c r="Y62" s="75">
        <f t="shared" si="16"/>
        <v>6.4260999999999999</v>
      </c>
      <c r="Z62" s="76">
        <f>VLOOKUP(A62,Enforcements!$C$3:$J$26,8,0)</f>
        <v>81738</v>
      </c>
      <c r="AA62" s="76" t="str">
        <f>VLOOKUP(A62,Enforcements!$C$3:$J$26,3,0)</f>
        <v>SIGNAL</v>
      </c>
    </row>
    <row r="63" spans="1:27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 t="shared" si="11"/>
        <v>4007/4008</v>
      </c>
      <c r="L63" s="61" t="str">
        <f>VLOOKUP(A63,'Trips&amp;Operators'!$C$1:$E$9999,3,FALSE)</f>
        <v>SPECTOR</v>
      </c>
      <c r="M63" s="12">
        <f t="shared" si="12"/>
        <v>1.5081018515047617E-2</v>
      </c>
      <c r="N63" s="13"/>
      <c r="O63" s="13"/>
      <c r="P63" s="13">
        <f>24*60*(M62+M63)</f>
        <v>39.183333325199783</v>
      </c>
      <c r="Q63" s="62" t="s">
        <v>420</v>
      </c>
      <c r="R63" s="62" t="s">
        <v>426</v>
      </c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5" t="str">
        <f t="shared" si="14"/>
        <v>Y</v>
      </c>
      <c r="V63" s="75">
        <f t="shared" si="19"/>
        <v>0</v>
      </c>
      <c r="W63" s="75">
        <f t="shared" si="15"/>
        <v>8.6374999999999993</v>
      </c>
      <c r="X63" s="75">
        <f t="shared" si="10"/>
        <v>23.331700000000001</v>
      </c>
      <c r="Y63" s="75">
        <f t="shared" si="16"/>
        <v>14.694200000000002</v>
      </c>
      <c r="Z63" s="76">
        <f>VLOOKUP(A63,Enforcements!$C$3:$J$26,8,0)</f>
        <v>81738</v>
      </c>
      <c r="AA63" s="76" t="str">
        <f>VLOOKUP(A63,Enforcements!$C$3:$J$26,3,0)</f>
        <v>SIGNAL</v>
      </c>
    </row>
    <row r="64" spans="1:27" s="2" customFormat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 t="shared" si="11"/>
        <v>4007/4008</v>
      </c>
      <c r="L64" s="61" t="str">
        <f>VLOOKUP(A64,'Trips&amp;Operators'!$C$1:$E$9999,3,FALSE)</f>
        <v>SPECTOR</v>
      </c>
      <c r="M64" s="12">
        <f t="shared" si="12"/>
        <v>2.6851851856918074E-2</v>
      </c>
      <c r="N64" s="13">
        <f t="shared" ref="N64:N72" si="20">$M64*24*60</f>
        <v>38.666666673962027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4"/>
        <v>N</v>
      </c>
      <c r="V64" s="75">
        <f t="shared" si="19"/>
        <v>1</v>
      </c>
      <c r="W64" s="75">
        <f t="shared" si="15"/>
        <v>23.299800000000001</v>
      </c>
      <c r="X64" s="75">
        <f t="shared" si="10"/>
        <v>1.4500000000000001E-2</v>
      </c>
      <c r="Y64" s="75">
        <f t="shared" si="16"/>
        <v>23.285299999999999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 t="shared" si="11"/>
        <v>4015/4016</v>
      </c>
      <c r="L65" s="61" t="str">
        <f>VLOOKUP(A65,'Trips&amp;Operators'!$C$1:$E$9999,3,FALSE)</f>
        <v>ADANE</v>
      </c>
      <c r="M65" s="12">
        <f t="shared" si="12"/>
        <v>2.6273148148902692E-2</v>
      </c>
      <c r="N65" s="13">
        <f t="shared" si="20"/>
        <v>37.833333334419876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5" s="75" t="str">
        <f t="shared" si="14"/>
        <v>N</v>
      </c>
      <c r="V65" s="75">
        <f t="shared" si="19"/>
        <v>1</v>
      </c>
      <c r="W65" s="75">
        <f t="shared" si="15"/>
        <v>4.6600000000000003E-2</v>
      </c>
      <c r="X65" s="75">
        <f t="shared" si="10"/>
        <v>23.331099999999999</v>
      </c>
      <c r="Y65" s="75">
        <f t="shared" si="16"/>
        <v>23.284499999999998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 t="shared" si="11"/>
        <v>4015/4016</v>
      </c>
      <c r="L66" s="61" t="str">
        <f>VLOOKUP(A66,'Trips&amp;Operators'!$C$1:$E$9999,3,FALSE)</f>
        <v>ADANE</v>
      </c>
      <c r="M66" s="12">
        <f t="shared" si="12"/>
        <v>2.700231481139781E-2</v>
      </c>
      <c r="N66" s="13">
        <f t="shared" si="20"/>
        <v>38.883333328412846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6" s="75" t="str">
        <f t="shared" si="14"/>
        <v>N</v>
      </c>
      <c r="V66" s="75">
        <f t="shared" si="19"/>
        <v>1</v>
      </c>
      <c r="W66" s="75">
        <f t="shared" si="15"/>
        <v>23.2986</v>
      </c>
      <c r="X66" s="75">
        <f t="shared" si="10"/>
        <v>1.4500000000000001E-2</v>
      </c>
      <c r="Y66" s="75">
        <f t="shared" si="16"/>
        <v>23.284099999999999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 t="shared" ref="K67:K98" si="21">IF(ISEVEN(B67),(B67-1)&amp;"/"&amp;B67,B67&amp;"/"&amp;(B67+1))</f>
        <v>4043/4044</v>
      </c>
      <c r="L67" s="61" t="str">
        <f>VLOOKUP(A67,'Trips&amp;Operators'!$C$1:$E$9999,3,FALSE)</f>
        <v>COOLAHAN</v>
      </c>
      <c r="M67" s="12">
        <f t="shared" ref="M67:M90" si="22">I67-F67</f>
        <v>2.8958333328773733E-2</v>
      </c>
      <c r="N67" s="13">
        <f t="shared" si="20"/>
        <v>41.699999993434176</v>
      </c>
      <c r="O67" s="13"/>
      <c r="P67" s="13"/>
      <c r="Q67" s="62"/>
      <c r="R67" s="62"/>
      <c r="T6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5" t="str">
        <f t="shared" si="14"/>
        <v>N</v>
      </c>
      <c r="V67" s="75">
        <f t="shared" si="19"/>
        <v>1</v>
      </c>
      <c r="W67" s="75">
        <f t="shared" si="15"/>
        <v>4.5699999999999998E-2</v>
      </c>
      <c r="X67" s="75">
        <f t="shared" si="10"/>
        <v>23.331900000000001</v>
      </c>
      <c r="Y67" s="75">
        <f t="shared" si="16"/>
        <v>23.286200000000001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 t="shared" si="21"/>
        <v>4043/4044</v>
      </c>
      <c r="L68" s="61" t="str">
        <f>VLOOKUP(A68,'Trips&amp;Operators'!$C$1:$E$9999,3,FALSE)</f>
        <v>COOLAHAN</v>
      </c>
      <c r="M68" s="12">
        <f t="shared" si="22"/>
        <v>3.2488425931660458E-2</v>
      </c>
      <c r="N68" s="13">
        <f t="shared" si="20"/>
        <v>46.78333334159106</v>
      </c>
      <c r="O68" s="13"/>
      <c r="P68" s="13"/>
      <c r="Q68" s="62"/>
      <c r="R68" s="62"/>
      <c r="T6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5" t="str">
        <f t="shared" si="14"/>
        <v>N</v>
      </c>
      <c r="V68" s="75">
        <f t="shared" si="19"/>
        <v>1</v>
      </c>
      <c r="W68" s="75">
        <f t="shared" si="15"/>
        <v>23.3017</v>
      </c>
      <c r="X68" s="75">
        <f t="shared" si="10"/>
        <v>1.32E-2</v>
      </c>
      <c r="Y68" s="75">
        <f t="shared" si="16"/>
        <v>23.288499999999999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 t="shared" si="21"/>
        <v>4009/4010</v>
      </c>
      <c r="L69" s="61" t="str">
        <f>VLOOKUP(A69,'Trips&amp;Operators'!$C$1:$E$9999,3,FALSE)</f>
        <v>REBOLETTI</v>
      </c>
      <c r="M69" s="12">
        <f t="shared" si="22"/>
        <v>2.7280092595901806E-2</v>
      </c>
      <c r="N69" s="13">
        <f t="shared" si="20"/>
        <v>39.283333338098601</v>
      </c>
      <c r="O69" s="13"/>
      <c r="P69" s="13"/>
      <c r="Q69" s="62"/>
      <c r="R69" s="62"/>
      <c r="T6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9" s="75" t="str">
        <f t="shared" si="14"/>
        <v>N</v>
      </c>
      <c r="V69" s="75">
        <f t="shared" si="19"/>
        <v>1</v>
      </c>
      <c r="W69" s="75">
        <f t="shared" si="15"/>
        <v>4.4900000000000002E-2</v>
      </c>
      <c r="X69" s="75">
        <v>23.3491</v>
      </c>
      <c r="Y69" s="75">
        <f t="shared" si="16"/>
        <v>23.304200000000002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 t="shared" si="21"/>
        <v>4009/4010</v>
      </c>
      <c r="L70" s="61" t="str">
        <f>VLOOKUP(A70,'Trips&amp;Operators'!$C$1:$E$9999,3,FALSE)</f>
        <v>REBOLETTI</v>
      </c>
      <c r="M70" s="12">
        <f t="shared" si="22"/>
        <v>3.0763888884393964E-2</v>
      </c>
      <c r="N70" s="13">
        <f t="shared" si="20"/>
        <v>44.299999993527308</v>
      </c>
      <c r="O70" s="13"/>
      <c r="P70" s="13"/>
      <c r="Q70" s="62"/>
      <c r="R70" s="62"/>
      <c r="T70" s="75" t="str">
        <f t="shared" ref="T70:T90" si="23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0" s="75" t="str">
        <f t="shared" ref="U70:U90" si="24">IF(Y70&lt;23,"Y","N")</f>
        <v>N</v>
      </c>
      <c r="V70" s="75">
        <f t="shared" si="19"/>
        <v>1</v>
      </c>
      <c r="W70" s="75">
        <f t="shared" ref="W70:W90" si="25">RIGHT(D70,LEN(D70)-4)/10000</f>
        <v>23.2957</v>
      </c>
      <c r="X70" s="75">
        <f t="shared" ref="X70:X85" si="26">RIGHT(H70,LEN(H70)-4)/10000</f>
        <v>1.6E-2</v>
      </c>
      <c r="Y70" s="75">
        <f t="shared" ref="Y70:Y90" si="27">ABS(X70-W70)</f>
        <v>23.279700000000002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 t="shared" si="21"/>
        <v>4019/4020</v>
      </c>
      <c r="L71" s="61" t="str">
        <f>VLOOKUP(A71,'Trips&amp;Operators'!$C$1:$E$9999,3,FALSE)</f>
        <v>RIVERA</v>
      </c>
      <c r="M71" s="12">
        <f t="shared" si="22"/>
        <v>2.8946759259270038E-2</v>
      </c>
      <c r="N71" s="13">
        <f t="shared" si="20"/>
        <v>41.683333333348855</v>
      </c>
      <c r="O71" s="13"/>
      <c r="P71" s="13"/>
      <c r="Q71" s="62"/>
      <c r="R71" s="62"/>
      <c r="T7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5" t="str">
        <f t="shared" si="24"/>
        <v>N</v>
      </c>
      <c r="V71" s="75">
        <f t="shared" si="19"/>
        <v>1</v>
      </c>
      <c r="W71" s="75">
        <f t="shared" si="25"/>
        <v>4.4699999999999997E-2</v>
      </c>
      <c r="X71" s="75">
        <f t="shared" si="26"/>
        <v>23.333100000000002</v>
      </c>
      <c r="Y71" s="75">
        <f t="shared" si="27"/>
        <v>23.288400000000003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 t="shared" si="21"/>
        <v>4019/4020</v>
      </c>
      <c r="L72" s="61" t="str">
        <f>VLOOKUP(A72,'Trips&amp;Operators'!$C$1:$E$9999,3,FALSE)</f>
        <v>RIVERA</v>
      </c>
      <c r="M72" s="12">
        <f t="shared" si="22"/>
        <v>2.9074074074742384E-2</v>
      </c>
      <c r="N72" s="13">
        <f t="shared" si="20"/>
        <v>41.866666667629033</v>
      </c>
      <c r="O72" s="13"/>
      <c r="P72" s="13"/>
      <c r="Q72" s="62"/>
      <c r="R72" s="62"/>
      <c r="T7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5" t="str">
        <f t="shared" si="24"/>
        <v>N</v>
      </c>
      <c r="V72" s="75">
        <f t="shared" si="19"/>
        <v>1</v>
      </c>
      <c r="W72" s="75">
        <f t="shared" si="25"/>
        <v>23.302099999999999</v>
      </c>
      <c r="X72" s="75">
        <f t="shared" si="26"/>
        <v>1.6E-2</v>
      </c>
      <c r="Y72" s="75">
        <f t="shared" si="27"/>
        <v>23.286100000000001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 t="shared" si="21"/>
        <v>4011/4012</v>
      </c>
      <c r="L73" s="61" t="str">
        <f>VLOOKUP(A73,'Trips&amp;Operators'!$C$1:$E$9999,3,FALSE)</f>
        <v>YOUNG</v>
      </c>
      <c r="M73" s="12">
        <f t="shared" si="22"/>
        <v>2.2314814814308193E-2</v>
      </c>
      <c r="N73" s="13"/>
      <c r="O73" s="13"/>
      <c r="P73" s="13">
        <f>$M73*24*60</f>
        <v>32.133333332603797</v>
      </c>
      <c r="Q73" s="62" t="s">
        <v>420</v>
      </c>
      <c r="R73" s="62" t="s">
        <v>422</v>
      </c>
      <c r="T7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5" t="str">
        <f t="shared" si="24"/>
        <v>Y</v>
      </c>
      <c r="V73" s="75">
        <f t="shared" si="19"/>
        <v>1</v>
      </c>
      <c r="W73" s="75">
        <f t="shared" si="25"/>
        <v>1.9134</v>
      </c>
      <c r="X73" s="75">
        <f t="shared" si="26"/>
        <v>23.329699999999999</v>
      </c>
      <c r="Y73" s="75">
        <f t="shared" si="27"/>
        <v>21.4163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 t="shared" si="21"/>
        <v>4011/4012</v>
      </c>
      <c r="L74" s="61" t="str">
        <f>VLOOKUP(A74,'Trips&amp;Operators'!$C$1:$E$9999,3,FALSE)</f>
        <v>YOUNG</v>
      </c>
      <c r="M74" s="12">
        <f t="shared" si="22"/>
        <v>3.457175925723277E-2</v>
      </c>
      <c r="N74" s="13">
        <f t="shared" ref="N74:N86" si="28">$M74*24*60</f>
        <v>49.783333330415189</v>
      </c>
      <c r="O74" s="13"/>
      <c r="P74" s="13"/>
      <c r="Q74" s="62"/>
      <c r="R74" s="62"/>
      <c r="T7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5" t="str">
        <f t="shared" si="24"/>
        <v>N</v>
      </c>
      <c r="V74" s="75">
        <f t="shared" si="19"/>
        <v>1</v>
      </c>
      <c r="W74" s="75">
        <f t="shared" si="25"/>
        <v>23.298200000000001</v>
      </c>
      <c r="X74" s="75">
        <f t="shared" si="26"/>
        <v>0.04</v>
      </c>
      <c r="Y74" s="75">
        <f t="shared" si="27"/>
        <v>23.258200000000002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 t="shared" si="21"/>
        <v>4023/4024</v>
      </c>
      <c r="L75" s="61" t="str">
        <f>VLOOKUP(A75,'Trips&amp;Operators'!$C$1:$E$9999,3,FALSE)</f>
        <v>STORY</v>
      </c>
      <c r="M75" s="12">
        <f t="shared" si="22"/>
        <v>3.0497685183945578E-2</v>
      </c>
      <c r="N75" s="13">
        <f t="shared" si="28"/>
        <v>43.916666664881632</v>
      </c>
      <c r="O75" s="13"/>
      <c r="P75" s="13"/>
      <c r="Q75" s="62"/>
      <c r="R75" s="62"/>
      <c r="T7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5" t="str">
        <f t="shared" si="24"/>
        <v>N</v>
      </c>
      <c r="V75" s="75">
        <f t="shared" si="19"/>
        <v>1</v>
      </c>
      <c r="W75" s="75">
        <f t="shared" si="25"/>
        <v>4.5999999999999999E-2</v>
      </c>
      <c r="X75" s="75">
        <f t="shared" si="26"/>
        <v>23.331399999999999</v>
      </c>
      <c r="Y75" s="75">
        <f t="shared" si="27"/>
        <v>23.285399999999999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 t="shared" si="21"/>
        <v>4023/4024</v>
      </c>
      <c r="L76" s="61" t="str">
        <f>VLOOKUP(A76,'Trips&amp;Operators'!$C$1:$E$9999,3,FALSE)</f>
        <v>STORY</v>
      </c>
      <c r="M76" s="12">
        <f t="shared" si="22"/>
        <v>3.4583333334012423E-2</v>
      </c>
      <c r="N76" s="13">
        <f t="shared" si="28"/>
        <v>49.800000000977889</v>
      </c>
      <c r="O76" s="13"/>
      <c r="P76" s="13"/>
      <c r="Q76" s="62"/>
      <c r="R76" s="62"/>
      <c r="T7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5" t="str">
        <f t="shared" si="24"/>
        <v>N</v>
      </c>
      <c r="V76" s="75">
        <f t="shared" si="19"/>
        <v>1</v>
      </c>
      <c r="W76" s="75">
        <f t="shared" si="25"/>
        <v>23.299600000000002</v>
      </c>
      <c r="X76" s="75">
        <f t="shared" si="26"/>
        <v>1.4999999999999999E-2</v>
      </c>
      <c r="Y76" s="75">
        <f t="shared" si="27"/>
        <v>23.284600000000001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 t="shared" si="21"/>
        <v>4007/4008</v>
      </c>
      <c r="L77" s="61" t="str">
        <f>VLOOKUP(A77,'Trips&amp;Operators'!$C$1:$E$9999,3,FALSE)</f>
        <v>JACKSON</v>
      </c>
      <c r="M77" s="12">
        <f t="shared" si="22"/>
        <v>2.8275462966121268E-2</v>
      </c>
      <c r="N77" s="13">
        <f t="shared" si="28"/>
        <v>40.716666671214625</v>
      </c>
      <c r="O77" s="13"/>
      <c r="P77" s="13"/>
      <c r="Q77" s="62"/>
      <c r="R77" s="62"/>
      <c r="T7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4"/>
        <v>N</v>
      </c>
      <c r="V77" s="75">
        <f t="shared" si="19"/>
        <v>1</v>
      </c>
      <c r="W77" s="75">
        <f t="shared" si="25"/>
        <v>4.6600000000000003E-2</v>
      </c>
      <c r="X77" s="75">
        <f t="shared" si="26"/>
        <v>23.328900000000001</v>
      </c>
      <c r="Y77" s="75">
        <f t="shared" si="27"/>
        <v>23.282299999999999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 t="shared" si="21"/>
        <v>4007/4008</v>
      </c>
      <c r="L78" s="61" t="str">
        <f>VLOOKUP(A78,'Trips&amp;Operators'!$C$1:$E$9999,3,FALSE)</f>
        <v>JACKSON</v>
      </c>
      <c r="M78" s="12">
        <f t="shared" si="22"/>
        <v>3.2824074070958886E-2</v>
      </c>
      <c r="N78" s="13">
        <f t="shared" si="28"/>
        <v>47.266666662180796</v>
      </c>
      <c r="O78" s="13"/>
      <c r="P78" s="13"/>
      <c r="Q78" s="62"/>
      <c r="R78" s="62"/>
      <c r="T7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4"/>
        <v>N</v>
      </c>
      <c r="V78" s="75">
        <f t="shared" si="19"/>
        <v>1</v>
      </c>
      <c r="W78" s="75">
        <f t="shared" si="25"/>
        <v>23.2971</v>
      </c>
      <c r="X78" s="75">
        <f t="shared" si="26"/>
        <v>1.6899999999999998E-2</v>
      </c>
      <c r="Y78" s="75">
        <f t="shared" si="27"/>
        <v>23.280200000000001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 t="shared" si="21"/>
        <v>4015/4016</v>
      </c>
      <c r="L79" s="61" t="str">
        <f>VLOOKUP(A79,'Trips&amp;Operators'!$C$1:$E$9999,3,FALSE)</f>
        <v>ADANE</v>
      </c>
      <c r="M79" s="12">
        <f t="shared" si="22"/>
        <v>2.6388888894871343E-2</v>
      </c>
      <c r="N79" s="13">
        <f t="shared" si="28"/>
        <v>38.000000008614734</v>
      </c>
      <c r="O79" s="13"/>
      <c r="P79" s="13"/>
      <c r="Q79" s="62"/>
      <c r="R79" s="62"/>
      <c r="T7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5" t="str">
        <f t="shared" si="24"/>
        <v>N</v>
      </c>
      <c r="V79" s="75">
        <f t="shared" si="19"/>
        <v>1</v>
      </c>
      <c r="W79" s="75">
        <f t="shared" si="25"/>
        <v>4.5699999999999998E-2</v>
      </c>
      <c r="X79" s="75">
        <f t="shared" si="26"/>
        <v>23.3323</v>
      </c>
      <c r="Y79" s="75">
        <f t="shared" si="27"/>
        <v>23.2866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ADANE</v>
      </c>
      <c r="M80" s="12">
        <f t="shared" si="22"/>
        <v>2.662037037225673E-2</v>
      </c>
      <c r="N80" s="13">
        <f t="shared" si="28"/>
        <v>38.333333336049691</v>
      </c>
      <c r="O80" s="13"/>
      <c r="P80" s="13"/>
      <c r="Q80" s="62"/>
      <c r="R80" s="62"/>
      <c r="T8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5" t="str">
        <f t="shared" si="24"/>
        <v>N</v>
      </c>
      <c r="V80" s="75">
        <f t="shared" si="19"/>
        <v>1</v>
      </c>
      <c r="W80" s="75">
        <f t="shared" si="25"/>
        <v>23.3019</v>
      </c>
      <c r="X80" s="75">
        <f t="shared" si="26"/>
        <v>1.41E-2</v>
      </c>
      <c r="Y80" s="75">
        <f t="shared" si="27"/>
        <v>23.287800000000001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 t="shared" si="21"/>
        <v>4043/4044</v>
      </c>
      <c r="L81" s="61" t="str">
        <f>VLOOKUP(A81,'Trips&amp;Operators'!$C$1:$E$9999,3,FALSE)</f>
        <v>COOLAHAN</v>
      </c>
      <c r="M81" s="12">
        <f t="shared" si="22"/>
        <v>2.8530092597065959E-2</v>
      </c>
      <c r="N81" s="13">
        <f t="shared" si="28"/>
        <v>41.083333339774981</v>
      </c>
      <c r="O81" s="13"/>
      <c r="P81" s="13"/>
      <c r="Q81" s="62"/>
      <c r="R81" s="62"/>
      <c r="T8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5" t="str">
        <f t="shared" si="24"/>
        <v>N</v>
      </c>
      <c r="V81" s="75">
        <f t="shared" si="19"/>
        <v>1</v>
      </c>
      <c r="W81" s="75">
        <f t="shared" si="25"/>
        <v>4.3099999999999999E-2</v>
      </c>
      <c r="X81" s="75">
        <f t="shared" si="26"/>
        <v>23.330500000000001</v>
      </c>
      <c r="Y81" s="75">
        <f t="shared" si="27"/>
        <v>23.287400000000002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 t="shared" si="21"/>
        <v>4043/4044</v>
      </c>
      <c r="L82" s="61" t="str">
        <f>VLOOKUP(A82,'Trips&amp;Operators'!$C$1:$E$9999,3,FALSE)</f>
        <v>COOLAHAN</v>
      </c>
      <c r="M82" s="12">
        <f t="shared" si="22"/>
        <v>3.2060185178124812E-2</v>
      </c>
      <c r="N82" s="13">
        <f t="shared" si="28"/>
        <v>46.166666656499729</v>
      </c>
      <c r="O82" s="13"/>
      <c r="P82" s="13"/>
      <c r="Q82" s="62"/>
      <c r="R82" s="62"/>
      <c r="T8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5" t="str">
        <f t="shared" si="24"/>
        <v>N</v>
      </c>
      <c r="V82" s="75">
        <f t="shared" si="19"/>
        <v>1</v>
      </c>
      <c r="W82" s="75">
        <f t="shared" si="25"/>
        <v>23.298999999999999</v>
      </c>
      <c r="X82" s="75">
        <f t="shared" si="26"/>
        <v>1.54E-2</v>
      </c>
      <c r="Y82" s="75">
        <f t="shared" si="27"/>
        <v>23.2836</v>
      </c>
      <c r="Z82" s="76">
        <f>VLOOKUP(A82,Enforcements!$C$3:$J$26,8,0)</f>
        <v>4677</v>
      </c>
      <c r="AA82" s="76" t="str">
        <f>VLOOKUP(A82,Enforcements!$C$3:$J$26,3,0)</f>
        <v>PERMANENT SPEED RESTRICTION</v>
      </c>
    </row>
    <row r="83" spans="1:27" s="2" customFormat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 t="shared" si="21"/>
        <v>4009/4010</v>
      </c>
      <c r="L83" s="61" t="str">
        <f>VLOOKUP(A83,'Trips&amp;Operators'!$C$1:$E$9999,3,FALSE)</f>
        <v>REBOLETTI</v>
      </c>
      <c r="M83" s="12">
        <f t="shared" si="22"/>
        <v>2.923611111327773E-2</v>
      </c>
      <c r="N83" s="13">
        <f t="shared" si="28"/>
        <v>42.100000003119931</v>
      </c>
      <c r="O83" s="13"/>
      <c r="P83" s="13"/>
      <c r="Q83" s="62"/>
      <c r="R83" s="62"/>
      <c r="T8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3" s="75" t="str">
        <f t="shared" si="24"/>
        <v>N</v>
      </c>
      <c r="V83" s="75">
        <f t="shared" si="19"/>
        <v>1</v>
      </c>
      <c r="W83" s="75">
        <f t="shared" si="25"/>
        <v>4.6399999999999997E-2</v>
      </c>
      <c r="X83" s="75">
        <f t="shared" si="26"/>
        <v>23.332100000000001</v>
      </c>
      <c r="Y83" s="75">
        <f t="shared" si="27"/>
        <v>23.285700000000002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 t="shared" si="21"/>
        <v>4009/4010</v>
      </c>
      <c r="L84" s="61" t="str">
        <f>VLOOKUP(A84,'Trips&amp;Operators'!$C$1:$E$9999,3,FALSE)</f>
        <v>REBOLETTI</v>
      </c>
      <c r="M84" s="12">
        <f t="shared" si="22"/>
        <v>3.030092592962319E-2</v>
      </c>
      <c r="N84" s="13">
        <f t="shared" si="28"/>
        <v>43.633333338657394</v>
      </c>
      <c r="O84" s="13"/>
      <c r="P84" s="13"/>
      <c r="Q84" s="62"/>
      <c r="R84" s="62"/>
      <c r="T8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5" t="str">
        <f t="shared" si="24"/>
        <v>N</v>
      </c>
      <c r="V84" s="75">
        <f t="shared" si="19"/>
        <v>1</v>
      </c>
      <c r="W84" s="75">
        <f t="shared" si="25"/>
        <v>23.299399999999999</v>
      </c>
      <c r="X84" s="75">
        <f t="shared" si="26"/>
        <v>1.4999999999999999E-2</v>
      </c>
      <c r="Y84" s="75">
        <f t="shared" si="27"/>
        <v>23.284399999999998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 t="shared" si="21"/>
        <v>4019/4020</v>
      </c>
      <c r="L85" s="61" t="str">
        <f>VLOOKUP(A85,'Trips&amp;Operators'!$C$1:$E$9999,3,FALSE)</f>
        <v>RIVERA</v>
      </c>
      <c r="M85" s="12">
        <f t="shared" si="22"/>
        <v>2.7986111112113576E-2</v>
      </c>
      <c r="N85" s="13">
        <f t="shared" si="28"/>
        <v>40.30000000144355</v>
      </c>
      <c r="O85" s="13"/>
      <c r="P85" s="13"/>
      <c r="Q85" s="62"/>
      <c r="R85" s="62"/>
      <c r="T8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5" t="str">
        <f t="shared" si="24"/>
        <v>N</v>
      </c>
      <c r="V85" s="75">
        <f t="shared" si="19"/>
        <v>1</v>
      </c>
      <c r="W85" s="75">
        <f t="shared" si="25"/>
        <v>4.4400000000000002E-2</v>
      </c>
      <c r="X85" s="75">
        <f t="shared" si="26"/>
        <v>23.330500000000001</v>
      </c>
      <c r="Y85" s="75">
        <f t="shared" si="27"/>
        <v>23.286100000000001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 t="shared" si="21"/>
        <v>4019/4020</v>
      </c>
      <c r="L86" s="61" t="str">
        <f>VLOOKUP(A86,'Trips&amp;Operators'!$C$1:$E$9999,3,FALSE)</f>
        <v>RIVERA</v>
      </c>
      <c r="M86" s="12">
        <f t="shared" si="22"/>
        <v>3.0694444445543922E-2</v>
      </c>
      <c r="N86" s="13">
        <f t="shared" si="28"/>
        <v>44.200000001583248</v>
      </c>
      <c r="O86" s="13"/>
      <c r="P86" s="13"/>
      <c r="Q86" s="62"/>
      <c r="R86" s="62"/>
      <c r="T8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5" t="str">
        <f t="shared" si="24"/>
        <v>N</v>
      </c>
      <c r="V86" s="75">
        <f t="shared" si="19"/>
        <v>1</v>
      </c>
      <c r="W86" s="75">
        <f t="shared" si="25"/>
        <v>23.299399999999999</v>
      </c>
      <c r="X86" s="75">
        <v>0.19420000000000001</v>
      </c>
      <c r="Y86" s="75">
        <f t="shared" si="27"/>
        <v>23.1052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 t="shared" si="21"/>
        <v>4011/4012</v>
      </c>
      <c r="L87" s="61" t="str">
        <f>VLOOKUP(A87,'Trips&amp;Operators'!$C$1:$E$9999,3,FALSE)</f>
        <v>YOUNG</v>
      </c>
      <c r="M87" s="12">
        <f t="shared" si="22"/>
        <v>2.5023148147738539E-2</v>
      </c>
      <c r="N87" s="13"/>
      <c r="O87" s="13"/>
      <c r="P87" s="13">
        <f>$M87*24*60</f>
        <v>36.033333332743496</v>
      </c>
      <c r="Q87" s="62" t="s">
        <v>420</v>
      </c>
      <c r="R87" s="62" t="s">
        <v>421</v>
      </c>
      <c r="T8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5" t="str">
        <f t="shared" si="24"/>
        <v>Y</v>
      </c>
      <c r="V87" s="75">
        <f t="shared" si="19"/>
        <v>1</v>
      </c>
      <c r="W87" s="75">
        <f t="shared" si="25"/>
        <v>5.5100000000000003E-2</v>
      </c>
      <c r="X87" s="75">
        <f>RIGHT(H87,LEN(H87)-4)/10000</f>
        <v>19.9876</v>
      </c>
      <c r="Y87" s="75">
        <f t="shared" si="27"/>
        <v>19.932500000000001</v>
      </c>
      <c r="Z87" s="76">
        <f>VLOOKUP(A87,Enforcements!$C$3:$J$26,8,0)</f>
        <v>198242</v>
      </c>
      <c r="AA87" s="76" t="str">
        <f>VLOOKUP(A87,Enforcements!$C$3:$J$26,3,0)</f>
        <v>SIGNAL</v>
      </c>
    </row>
    <row r="88" spans="1:27" s="2" customFormat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 t="shared" si="21"/>
        <v>4011/4012</v>
      </c>
      <c r="L88" s="61" t="str">
        <f>VLOOKUP(A88,'Trips&amp;Operators'!$C$1:$E$9999,3,FALSE)</f>
        <v>YOUNG</v>
      </c>
      <c r="M88" s="12">
        <f t="shared" si="22"/>
        <v>3.1053240745677613E-2</v>
      </c>
      <c r="N88" s="13">
        <f>$M88*24*60</f>
        <v>44.716666673775762</v>
      </c>
      <c r="O88" s="13"/>
      <c r="P88" s="13"/>
      <c r="Q88" s="62"/>
      <c r="R88" s="62"/>
      <c r="T8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5" t="str">
        <f t="shared" si="24"/>
        <v>N</v>
      </c>
      <c r="V88" s="75">
        <f t="shared" si="19"/>
        <v>1</v>
      </c>
      <c r="W88" s="75">
        <f t="shared" si="25"/>
        <v>23.300999999999998</v>
      </c>
      <c r="X88" s="75">
        <f>RIGHT(H88,LEN(H88)-4)/10000</f>
        <v>3.9100000000000003E-2</v>
      </c>
      <c r="Y88" s="75">
        <f t="shared" si="27"/>
        <v>23.261899999999997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 t="shared" si="21"/>
        <v>4023/4024</v>
      </c>
      <c r="L89" s="61" t="str">
        <f>VLOOKUP(A89,'Trips&amp;Operators'!$C$1:$E$9999,3,FALSE)</f>
        <v>STORY</v>
      </c>
      <c r="M89" s="12">
        <f t="shared" si="22"/>
        <v>3.2187500000873115E-2</v>
      </c>
      <c r="N89" s="13">
        <f>$M89*24*60</f>
        <v>46.350000001257285</v>
      </c>
      <c r="O89" s="13"/>
      <c r="P89" s="13"/>
      <c r="Q89" s="62"/>
      <c r="R89" s="62"/>
      <c r="T8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5" t="str">
        <f t="shared" si="24"/>
        <v>N</v>
      </c>
      <c r="V89" s="75">
        <f t="shared" si="19"/>
        <v>1</v>
      </c>
      <c r="W89" s="75">
        <f t="shared" si="25"/>
        <v>4.5999999999999999E-2</v>
      </c>
      <c r="X89" s="75">
        <f>RIGHT(H89,LEN(H89)-4)/10000</f>
        <v>23.328399999999998</v>
      </c>
      <c r="Y89" s="75">
        <f t="shared" si="27"/>
        <v>23.282399999999999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 t="shared" si="21"/>
        <v>4023/4024</v>
      </c>
      <c r="L90" s="61" t="str">
        <f>VLOOKUP(A90,'Trips&amp;Operators'!$C$1:$E$9999,3,FALSE)</f>
        <v>STORY</v>
      </c>
      <c r="M90" s="12">
        <f t="shared" si="22"/>
        <v>3.4131944441469386E-2</v>
      </c>
      <c r="N90" s="13">
        <f>$M90*24*60</f>
        <v>49.149999995715916</v>
      </c>
      <c r="O90" s="13"/>
      <c r="P90" s="13"/>
      <c r="Q90" s="62"/>
      <c r="R90" s="62"/>
      <c r="T9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5" t="str">
        <f t="shared" si="24"/>
        <v>N</v>
      </c>
      <c r="V90" s="75">
        <f t="shared" si="19"/>
        <v>1</v>
      </c>
      <c r="W90" s="75">
        <f t="shared" si="25"/>
        <v>23.297699999999999</v>
      </c>
      <c r="X90" s="75">
        <f>RIGHT(H90,LEN(H90)-4)/10000</f>
        <v>1.47E-2</v>
      </c>
      <c r="Y90" s="75">
        <f t="shared" si="27"/>
        <v>23.282999999999998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 t="shared" si="21"/>
        <v>4007/4008</v>
      </c>
      <c r="L91" s="61" t="str">
        <f>VLOOKUP(A91,'Trips&amp;Operators'!$C$1:$E$9999,3,FALSE)</f>
        <v>JACKSON</v>
      </c>
      <c r="M91" s="12">
        <f t="shared" ref="M91:M92" si="29">I91-F91</f>
        <v>2.8437500004656613E-2</v>
      </c>
      <c r="N91" s="13">
        <f t="shared" ref="N91" si="30">$M91*24*60</f>
        <v>40.950000006705523</v>
      </c>
      <c r="O91" s="13"/>
      <c r="P91" s="13"/>
      <c r="Q91" s="62"/>
      <c r="R91" s="62"/>
      <c r="T91" s="75" t="str">
        <f t="shared" ref="T91:T94" si="3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ref="U91:U94" si="32">IF(Y91&lt;23,"Y","N")</f>
        <v>N</v>
      </c>
      <c r="V91" s="75">
        <f t="shared" ref="V91:V94" si="33">VALUE(LEFT(A91,3))-VALUE(LEFT(A90,3))</f>
        <v>1</v>
      </c>
      <c r="W91" s="75">
        <f t="shared" ref="W91:W94" si="34">RIGHT(D91,LEN(D91)-4)/10000</f>
        <v>4.8000000000000001E-2</v>
      </c>
      <c r="X91" s="75">
        <f t="shared" ref="X91:X94" si="35">RIGHT(H91,LEN(H91)-4)/10000</f>
        <v>23.3293</v>
      </c>
      <c r="Y91" s="75">
        <f t="shared" ref="Y91:Y94" si="36">ABS(X91-W91)</f>
        <v>23.281300000000002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 t="shared" si="21"/>
        <v>4007/4008</v>
      </c>
      <c r="L92" s="61" t="str">
        <f>VLOOKUP(A92,'Trips&amp;Operators'!$C$1:$E$9999,3,FALSE)</f>
        <v>JACKSON</v>
      </c>
      <c r="M92" s="12">
        <f t="shared" si="29"/>
        <v>1.5868055561440997E-2</v>
      </c>
      <c r="N92" s="13"/>
      <c r="O92" s="13"/>
      <c r="P92" s="13">
        <v>23</v>
      </c>
      <c r="Q92" s="62" t="s">
        <v>420</v>
      </c>
      <c r="R92" s="62" t="s">
        <v>416</v>
      </c>
      <c r="T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32"/>
        <v>Y</v>
      </c>
      <c r="V92" s="75">
        <f t="shared" si="33"/>
        <v>1</v>
      </c>
      <c r="W92" s="75">
        <f t="shared" si="34"/>
        <v>23.298500000000001</v>
      </c>
      <c r="X92" s="75">
        <f t="shared" si="35"/>
        <v>12.7964</v>
      </c>
      <c r="Y92" s="75">
        <f t="shared" si="36"/>
        <v>10.5021</v>
      </c>
      <c r="Z92" s="76">
        <f>VLOOKUP(A92,Enforcements!$C$3:$J$26,8,0)</f>
        <v>68497</v>
      </c>
      <c r="AA92" s="76" t="str">
        <f>VLOOKUP(A92,Enforcements!$C$3:$J$26,3,0)</f>
        <v>EQUIPMENT RESTRICTION</v>
      </c>
    </row>
    <row r="93" spans="1:27" s="2" customFormat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 t="shared" si="21"/>
        <v>4015/4016</v>
      </c>
      <c r="L93" s="61" t="str">
        <f>VLOOKUP(A93,'Trips&amp;Operators'!$C$1:$E$9999,3,FALSE)</f>
        <v>ADANE</v>
      </c>
      <c r="M93" s="12">
        <f t="shared" ref="M93:M124" si="37">I93-F93</f>
        <v>2.7465277780720498E-2</v>
      </c>
      <c r="N93" s="13">
        <f t="shared" ref="N93:N131" si="38">$M93*24*60</f>
        <v>39.550000004237518</v>
      </c>
      <c r="O93" s="13"/>
      <c r="P93" s="13"/>
      <c r="Q93" s="62"/>
      <c r="R93" s="62"/>
      <c r="T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32"/>
        <v>N</v>
      </c>
      <c r="V93" s="75">
        <f t="shared" si="33"/>
        <v>1</v>
      </c>
      <c r="W93" s="75">
        <f t="shared" si="34"/>
        <v>4.3999999999999997E-2</v>
      </c>
      <c r="X93" s="75">
        <f t="shared" si="35"/>
        <v>23.333400000000001</v>
      </c>
      <c r="Y93" s="75">
        <f t="shared" si="36"/>
        <v>23.289400000000001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 t="shared" si="21"/>
        <v>4015/4016</v>
      </c>
      <c r="L94" s="61" t="str">
        <f>VLOOKUP(A94,'Trips&amp;Operators'!$C$1:$E$9999,3,FALSE)</f>
        <v>ADANE</v>
      </c>
      <c r="M94" s="12">
        <f t="shared" si="37"/>
        <v>2.9131944444088731E-2</v>
      </c>
      <c r="N94" s="13">
        <f t="shared" si="38"/>
        <v>41.949999999487773</v>
      </c>
      <c r="O94" s="13"/>
      <c r="P94" s="13"/>
      <c r="Q94" s="62"/>
      <c r="R94" s="62"/>
      <c r="T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32"/>
        <v>N</v>
      </c>
      <c r="V94" s="75">
        <f t="shared" si="33"/>
        <v>1</v>
      </c>
      <c r="W94" s="75">
        <f t="shared" si="34"/>
        <v>23.3001</v>
      </c>
      <c r="X94" s="75">
        <f t="shared" si="35"/>
        <v>1.5599999999999999E-2</v>
      </c>
      <c r="Y94" s="75">
        <f t="shared" si="36"/>
        <v>23.284500000000001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 t="shared" si="21"/>
        <v>4043/4044</v>
      </c>
      <c r="L95" s="61" t="str">
        <f>VLOOKUP(A95,'Trips&amp;Operators'!$C$1:$E$9999,3,FALSE)</f>
        <v>COOLAHAN</v>
      </c>
      <c r="M95" s="12">
        <f t="shared" si="37"/>
        <v>2.9328703698411118E-2</v>
      </c>
      <c r="N95" s="13">
        <f t="shared" si="38"/>
        <v>42.23333332571201</v>
      </c>
      <c r="O95" s="13"/>
      <c r="P95" s="13"/>
      <c r="Q95" s="62"/>
      <c r="R95" s="62"/>
      <c r="T95" s="75" t="str">
        <f t="shared" ref="T95:T126" si="39"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5" t="str">
        <f t="shared" ref="U95:U126" si="40">IF(Y95&lt;23,"Y","N")</f>
        <v>N</v>
      </c>
      <c r="V95" s="75">
        <f t="shared" ref="V95:V126" si="41">VALUE(LEFT(A95,3))-VALUE(LEFT(A94,3))</f>
        <v>1</v>
      </c>
      <c r="W95" s="75">
        <f t="shared" ref="W95:W126" si="42">RIGHT(D95,LEN(D95)-4)/10000</f>
        <v>4.6699999999999998E-2</v>
      </c>
      <c r="X95" s="75">
        <f t="shared" ref="X95:X126" si="43">RIGHT(H95,LEN(H95)-4)/10000</f>
        <v>23.3325</v>
      </c>
      <c r="Y95" s="75">
        <f t="shared" ref="Y95:Y126" si="44">ABS(X95-W95)</f>
        <v>23.285799999999998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 t="shared" si="21"/>
        <v>4043/4044</v>
      </c>
      <c r="L96" s="61" t="str">
        <f>VLOOKUP(A96,'Trips&amp;Operators'!$C$1:$E$9999,3,FALSE)</f>
        <v>COOLAHAN</v>
      </c>
      <c r="M96" s="12">
        <f t="shared" si="37"/>
        <v>3.2500000001164153E-2</v>
      </c>
      <c r="N96" s="13">
        <f t="shared" si="38"/>
        <v>46.800000001676381</v>
      </c>
      <c r="O96" s="13"/>
      <c r="P96" s="13"/>
      <c r="Q96" s="62"/>
      <c r="R96" s="62"/>
      <c r="T9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5" t="str">
        <f t="shared" si="40"/>
        <v>N</v>
      </c>
      <c r="V96" s="75">
        <f t="shared" si="41"/>
        <v>1</v>
      </c>
      <c r="W96" s="75">
        <f t="shared" si="42"/>
        <v>23.299299999999999</v>
      </c>
      <c r="X96" s="75">
        <f t="shared" si="43"/>
        <v>1.49E-2</v>
      </c>
      <c r="Y96" s="75">
        <f t="shared" si="44"/>
        <v>23.284399999999998</v>
      </c>
      <c r="Z96" s="76">
        <f>VLOOKUP(A96,Enforcements!$C$3:$J$26,8,0)</f>
        <v>10694</v>
      </c>
      <c r="AA96" s="76" t="str">
        <f>VLOOKUP(A96,Enforcements!$C$3:$J$26,3,0)</f>
        <v>PERMANENT SPEED RESTRICTION</v>
      </c>
    </row>
    <row r="97" spans="1:27" s="2" customFormat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 t="shared" si="21"/>
        <v>4009/4010</v>
      </c>
      <c r="L97" s="61" t="str">
        <f>VLOOKUP(A97,'Trips&amp;Operators'!$C$1:$E$9999,3,FALSE)</f>
        <v>REBOLETTI</v>
      </c>
      <c r="M97" s="12">
        <f t="shared" si="37"/>
        <v>3.1030092592118308E-2</v>
      </c>
      <c r="N97" s="13">
        <f t="shared" si="38"/>
        <v>44.683333332650363</v>
      </c>
      <c r="O97" s="13"/>
      <c r="P97" s="13"/>
      <c r="Q97" s="62"/>
      <c r="R97" s="62"/>
      <c r="T9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5" t="str">
        <f t="shared" si="40"/>
        <v>N</v>
      </c>
      <c r="V97" s="75">
        <f t="shared" si="41"/>
        <v>1</v>
      </c>
      <c r="W97" s="75">
        <f t="shared" si="42"/>
        <v>4.4900000000000002E-2</v>
      </c>
      <c r="X97" s="75">
        <f t="shared" si="43"/>
        <v>23.328399999999998</v>
      </c>
      <c r="Y97" s="75">
        <f t="shared" si="44"/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 t="shared" si="21"/>
        <v>4009/4010</v>
      </c>
      <c r="L98" s="61" t="str">
        <f>VLOOKUP(A98,'Trips&amp;Operators'!$C$1:$E$9999,3,FALSE)</f>
        <v>REBOLETTI</v>
      </c>
      <c r="M98" s="12">
        <f t="shared" si="37"/>
        <v>3.1909722216369119E-2</v>
      </c>
      <c r="N98" s="13">
        <f t="shared" si="38"/>
        <v>45.949999991571531</v>
      </c>
      <c r="O98" s="13"/>
      <c r="P98" s="13"/>
      <c r="Q98" s="62"/>
      <c r="R98" s="62"/>
      <c r="T9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5" t="str">
        <f t="shared" si="40"/>
        <v>N</v>
      </c>
      <c r="V98" s="75">
        <f t="shared" si="41"/>
        <v>1</v>
      </c>
      <c r="W98" s="75">
        <f t="shared" si="42"/>
        <v>23.2959</v>
      </c>
      <c r="X98" s="75">
        <f t="shared" si="43"/>
        <v>1.5800000000000002E-2</v>
      </c>
      <c r="Y98" s="75">
        <f t="shared" si="44"/>
        <v>23.280100000000001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 t="shared" ref="K99:K130" si="45">IF(ISEVEN(B99),(B99-1)&amp;"/"&amp;B99,B99&amp;"/"&amp;(B99+1))</f>
        <v>4019/4020</v>
      </c>
      <c r="L99" s="61" t="str">
        <f>VLOOKUP(A99,'Trips&amp;Operators'!$C$1:$E$9999,3,FALSE)</f>
        <v>RIVERA</v>
      </c>
      <c r="M99" s="12">
        <f t="shared" si="37"/>
        <v>2.884259259008104E-2</v>
      </c>
      <c r="N99" s="13">
        <f t="shared" si="38"/>
        <v>41.533333329716697</v>
      </c>
      <c r="O99" s="13"/>
      <c r="P99" s="13"/>
      <c r="Q99" s="62"/>
      <c r="R99" s="62"/>
      <c r="T9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5" t="str">
        <f t="shared" si="40"/>
        <v>N</v>
      </c>
      <c r="V99" s="75">
        <f t="shared" si="41"/>
        <v>1</v>
      </c>
      <c r="W99" s="75">
        <f t="shared" si="42"/>
        <v>4.4200000000000003E-2</v>
      </c>
      <c r="X99" s="75">
        <f t="shared" si="43"/>
        <v>23.331</v>
      </c>
      <c r="Y99" s="75">
        <f t="shared" si="44"/>
        <v>23.286799999999999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 t="shared" si="45"/>
        <v>4019/4020</v>
      </c>
      <c r="L100" s="61" t="str">
        <f>VLOOKUP(A100,'Trips&amp;Operators'!$C$1:$E$9999,3,FALSE)</f>
        <v>RIVERA</v>
      </c>
      <c r="M100" s="12">
        <f t="shared" si="37"/>
        <v>2.8159722227428574E-2</v>
      </c>
      <c r="N100" s="13">
        <f t="shared" si="38"/>
        <v>40.550000007497147</v>
      </c>
      <c r="O100" s="13"/>
      <c r="P100" s="13"/>
      <c r="Q100" s="62"/>
      <c r="R100" s="62"/>
      <c r="T10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5" t="str">
        <f t="shared" si="40"/>
        <v>N</v>
      </c>
      <c r="V100" s="75">
        <f t="shared" si="41"/>
        <v>1</v>
      </c>
      <c r="W100" s="75">
        <f t="shared" si="42"/>
        <v>23.299299999999999</v>
      </c>
      <c r="X100" s="75">
        <f t="shared" si="43"/>
        <v>1.4500000000000001E-2</v>
      </c>
      <c r="Y100" s="75">
        <f t="shared" si="44"/>
        <v>23.284799999999997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 t="shared" si="45"/>
        <v>4011/4012</v>
      </c>
      <c r="L101" s="61" t="str">
        <f>VLOOKUP(A101,'Trips&amp;Operators'!$C$1:$E$9999,3,FALSE)</f>
        <v>YOUNG</v>
      </c>
      <c r="M101" s="12">
        <f t="shared" si="37"/>
        <v>3.0486111114441883E-2</v>
      </c>
      <c r="N101" s="13">
        <f t="shared" si="38"/>
        <v>43.900000004796311</v>
      </c>
      <c r="O101" s="13"/>
      <c r="P101" s="13"/>
      <c r="Q101" s="62"/>
      <c r="R101" s="62"/>
      <c r="T10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5" t="str">
        <f t="shared" si="40"/>
        <v>N</v>
      </c>
      <c r="V101" s="75">
        <f t="shared" si="41"/>
        <v>1</v>
      </c>
      <c r="W101" s="75">
        <f t="shared" si="42"/>
        <v>5.3699999999999998E-2</v>
      </c>
      <c r="X101" s="75">
        <f t="shared" si="43"/>
        <v>23.323799999999999</v>
      </c>
      <c r="Y101" s="75">
        <f t="shared" si="44"/>
        <v>23.270099999999999</v>
      </c>
      <c r="Z101" s="76">
        <f>VLOOKUP(A101,Enforcements!$C$3:$J$26,8,0)</f>
        <v>0</v>
      </c>
      <c r="AA101" s="76" t="str">
        <f>VLOOKUP(A101,Enforcements!$C$3:$J$26,3,0)</f>
        <v>PERMANENT SPEED RESTRICTION</v>
      </c>
    </row>
    <row r="102" spans="1:27" s="2" customFormat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 t="shared" si="45"/>
        <v>4011/4012</v>
      </c>
      <c r="L102" s="61" t="str">
        <f>VLOOKUP(A102,'Trips&amp;Operators'!$C$1:$E$9999,3,FALSE)</f>
        <v>YOUNG</v>
      </c>
      <c r="M102" s="12">
        <f t="shared" si="37"/>
        <v>3.4120370371965691E-2</v>
      </c>
      <c r="N102" s="13">
        <f t="shared" si="38"/>
        <v>49.133333335630596</v>
      </c>
      <c r="O102" s="13"/>
      <c r="P102" s="13"/>
      <c r="Q102" s="62"/>
      <c r="R102" s="62"/>
      <c r="T10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5" t="str">
        <f t="shared" si="40"/>
        <v>N</v>
      </c>
      <c r="V102" s="75">
        <f t="shared" si="41"/>
        <v>1</v>
      </c>
      <c r="W102" s="75">
        <f t="shared" si="42"/>
        <v>23.296700000000001</v>
      </c>
      <c r="X102" s="75">
        <f t="shared" si="43"/>
        <v>4.1500000000000002E-2</v>
      </c>
      <c r="Y102" s="75">
        <f t="shared" si="44"/>
        <v>23.255200000000002</v>
      </c>
      <c r="Z102" s="76">
        <f>VLOOKUP(A102,Enforcements!$C$3:$J$26,8,0)</f>
        <v>69363</v>
      </c>
      <c r="AA102" s="76" t="str">
        <f>VLOOKUP(A102,Enforcements!$C$3:$J$26,3,0)</f>
        <v>SWITCH UNKNOWN</v>
      </c>
    </row>
    <row r="103" spans="1:27" s="2" customFormat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 t="shared" si="45"/>
        <v>4023/4024</v>
      </c>
      <c r="L103" s="61" t="str">
        <f>VLOOKUP(A103,'Trips&amp;Operators'!$C$1:$E$9999,3,FALSE)</f>
        <v>STORY</v>
      </c>
      <c r="M103" s="12">
        <f t="shared" si="37"/>
        <v>3.0023148152395152E-2</v>
      </c>
      <c r="N103" s="13">
        <f t="shared" si="38"/>
        <v>43.233333339449018</v>
      </c>
      <c r="O103" s="13"/>
      <c r="P103" s="13"/>
      <c r="Q103" s="62"/>
      <c r="R103" s="62"/>
      <c r="T10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5" t="str">
        <f t="shared" si="40"/>
        <v>N</v>
      </c>
      <c r="V103" s="75">
        <f t="shared" si="41"/>
        <v>1</v>
      </c>
      <c r="W103" s="75">
        <f t="shared" si="42"/>
        <v>4.5699999999999998E-2</v>
      </c>
      <c r="X103" s="75">
        <f t="shared" si="43"/>
        <v>23.3217</v>
      </c>
      <c r="Y103" s="75">
        <f t="shared" si="44"/>
        <v>23.276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 t="shared" si="45"/>
        <v>4023/4024</v>
      </c>
      <c r="L104" s="61" t="str">
        <f>VLOOKUP(A104,'Trips&amp;Operators'!$C$1:$E$9999,3,FALSE)</f>
        <v>STORY</v>
      </c>
      <c r="M104" s="12">
        <f t="shared" si="37"/>
        <v>3.6539351851388346E-2</v>
      </c>
      <c r="N104" s="13">
        <f t="shared" si="38"/>
        <v>52.616666665999219</v>
      </c>
      <c r="O104" s="13"/>
      <c r="P104" s="13"/>
      <c r="Q104" s="62"/>
      <c r="R104" s="62"/>
      <c r="T10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5" t="str">
        <f t="shared" si="40"/>
        <v>N</v>
      </c>
      <c r="V104" s="75">
        <f t="shared" si="41"/>
        <v>1</v>
      </c>
      <c r="W104" s="75">
        <f t="shared" si="42"/>
        <v>23.290199999999999</v>
      </c>
      <c r="X104" s="75">
        <f t="shared" si="43"/>
        <v>1.3599999999999999E-2</v>
      </c>
      <c r="Y104" s="75">
        <f t="shared" si="44"/>
        <v>23.276599999999998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 t="shared" si="45"/>
        <v>4015/4016</v>
      </c>
      <c r="L105" s="61" t="str">
        <f>VLOOKUP(A105,'Trips&amp;Operators'!$C$1:$E$9999,3,FALSE)</f>
        <v>ADANE</v>
      </c>
      <c r="M105" s="12">
        <f t="shared" si="37"/>
        <v>2.8865740743640345E-2</v>
      </c>
      <c r="N105" s="13">
        <f t="shared" si="38"/>
        <v>41.566666670842096</v>
      </c>
      <c r="O105" s="13"/>
      <c r="P105" s="13"/>
      <c r="Q105" s="62"/>
      <c r="R105" s="62"/>
      <c r="T10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5" s="75" t="str">
        <f t="shared" si="40"/>
        <v>N</v>
      </c>
      <c r="V105" s="75">
        <f t="shared" si="41"/>
        <v>3</v>
      </c>
      <c r="W105" s="75">
        <f t="shared" si="42"/>
        <v>4.5499999999999999E-2</v>
      </c>
      <c r="X105" s="75">
        <f t="shared" si="43"/>
        <v>23.334199999999999</v>
      </c>
      <c r="Y105" s="75">
        <f t="shared" si="44"/>
        <v>23.288699999999999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 t="shared" si="45"/>
        <v>4015/4016</v>
      </c>
      <c r="L106" s="61" t="str">
        <f>VLOOKUP(A106,'Trips&amp;Operators'!$C$1:$E$9999,3,FALSE)</f>
        <v>ADANE</v>
      </c>
      <c r="M106" s="12">
        <f t="shared" si="37"/>
        <v>3.2060185185400769E-2</v>
      </c>
      <c r="N106" s="13">
        <f t="shared" si="38"/>
        <v>46.166666666977108</v>
      </c>
      <c r="O106" s="13"/>
      <c r="P106" s="13"/>
      <c r="Q106" s="62"/>
      <c r="R106" s="62"/>
      <c r="T10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6" s="75" t="str">
        <f t="shared" si="40"/>
        <v>N</v>
      </c>
      <c r="V106" s="75">
        <f t="shared" si="41"/>
        <v>1</v>
      </c>
      <c r="W106" s="75">
        <f t="shared" si="42"/>
        <v>23.303599999999999</v>
      </c>
      <c r="X106" s="75">
        <f t="shared" si="43"/>
        <v>1.43E-2</v>
      </c>
      <c r="Y106" s="75">
        <f t="shared" si="44"/>
        <v>23.289300000000001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 t="shared" si="45"/>
        <v>4043/4044</v>
      </c>
      <c r="L107" s="61" t="str">
        <f>VLOOKUP(A107,'Trips&amp;Operators'!$C$1:$E$9999,3,FALSE)</f>
        <v>COOLAHAN</v>
      </c>
      <c r="M107" s="12">
        <f t="shared" si="37"/>
        <v>3.0243055553000886E-2</v>
      </c>
      <c r="N107" s="13">
        <f t="shared" si="38"/>
        <v>43.549999996321276</v>
      </c>
      <c r="O107" s="13"/>
      <c r="P107" s="13"/>
      <c r="Q107" s="62"/>
      <c r="R107" s="62"/>
      <c r="T10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40"/>
        <v>N</v>
      </c>
      <c r="V107" s="75">
        <f t="shared" si="41"/>
        <v>1</v>
      </c>
      <c r="W107" s="75">
        <f t="shared" si="42"/>
        <v>4.53E-2</v>
      </c>
      <c r="X107" s="75">
        <f t="shared" si="43"/>
        <v>23.327000000000002</v>
      </c>
      <c r="Y107" s="75">
        <f t="shared" si="44"/>
        <v>23.281700000000001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 t="shared" si="45"/>
        <v>4043/4044</v>
      </c>
      <c r="L108" s="61" t="str">
        <f>VLOOKUP(A108,'Trips&amp;Operators'!$C$1:$E$9999,3,FALSE)</f>
        <v>COOLAHAN</v>
      </c>
      <c r="M108" s="12">
        <f t="shared" si="37"/>
        <v>3.2048611108621117E-2</v>
      </c>
      <c r="N108" s="13">
        <f t="shared" si="38"/>
        <v>46.149999996414408</v>
      </c>
      <c r="O108" s="13"/>
      <c r="P108" s="13"/>
      <c r="Q108" s="62"/>
      <c r="R108" s="62"/>
      <c r="T10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40"/>
        <v>N</v>
      </c>
      <c r="V108" s="75">
        <f t="shared" si="41"/>
        <v>1</v>
      </c>
      <c r="W108" s="75">
        <f t="shared" si="42"/>
        <v>23.2959</v>
      </c>
      <c r="X108" s="75">
        <f t="shared" si="43"/>
        <v>1.5599999999999999E-2</v>
      </c>
      <c r="Y108" s="75">
        <f t="shared" si="44"/>
        <v>23.2803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 t="shared" si="45"/>
        <v>4009/4010</v>
      </c>
      <c r="L109" s="61" t="str">
        <f>VLOOKUP(A109,'Trips&amp;Operators'!$C$1:$E$9999,3,FALSE)</f>
        <v>REBOLETTI</v>
      </c>
      <c r="M109" s="12">
        <f t="shared" si="37"/>
        <v>2.8437499997380655E-2</v>
      </c>
      <c r="N109" s="13">
        <f t="shared" si="38"/>
        <v>40.949999996228144</v>
      </c>
      <c r="O109" s="13"/>
      <c r="P109" s="13"/>
      <c r="Q109" s="62"/>
      <c r="R109" s="62"/>
      <c r="T10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5" t="str">
        <f t="shared" si="40"/>
        <v>N</v>
      </c>
      <c r="V109" s="75">
        <f t="shared" si="41"/>
        <v>1</v>
      </c>
      <c r="W109" s="75">
        <f t="shared" si="42"/>
        <v>4.5699999999999998E-2</v>
      </c>
      <c r="X109" s="75">
        <f t="shared" si="43"/>
        <v>23.328499999999998</v>
      </c>
      <c r="Y109" s="75">
        <f t="shared" si="44"/>
        <v>23.282799999999998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 t="shared" si="45"/>
        <v>4009/4010</v>
      </c>
      <c r="L110" s="61" t="str">
        <f>VLOOKUP(A110,'Trips&amp;Operators'!$C$1:$E$9999,3,FALSE)</f>
        <v>REBOLETTI</v>
      </c>
      <c r="M110" s="12">
        <f t="shared" si="37"/>
        <v>2.8379629635310266E-2</v>
      </c>
      <c r="N110" s="13">
        <f t="shared" si="38"/>
        <v>40.866666674846783</v>
      </c>
      <c r="O110" s="13"/>
      <c r="P110" s="13"/>
      <c r="Q110" s="62"/>
      <c r="R110" s="62"/>
      <c r="T11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5" t="str">
        <f t="shared" si="40"/>
        <v>N</v>
      </c>
      <c r="V110" s="75">
        <f t="shared" si="41"/>
        <v>1</v>
      </c>
      <c r="W110" s="75">
        <f t="shared" si="42"/>
        <v>23.297599999999999</v>
      </c>
      <c r="X110" s="75">
        <f t="shared" si="43"/>
        <v>1.67E-2</v>
      </c>
      <c r="Y110" s="75">
        <f t="shared" si="44"/>
        <v>23.280899999999999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 t="shared" si="45"/>
        <v>4019/4020</v>
      </c>
      <c r="L111" s="61" t="str">
        <f>VLOOKUP(A111,'Trips&amp;Operators'!$C$1:$E$9999,3,FALSE)</f>
        <v>LEVERE</v>
      </c>
      <c r="M111" s="12">
        <f t="shared" si="37"/>
        <v>2.658564814919373E-2</v>
      </c>
      <c r="N111" s="13">
        <f t="shared" si="38"/>
        <v>38.283333334838971</v>
      </c>
      <c r="O111" s="13"/>
      <c r="P111" s="13"/>
      <c r="Q111" s="62"/>
      <c r="R111" s="62"/>
      <c r="T11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1" s="75" t="str">
        <f t="shared" si="40"/>
        <v>N</v>
      </c>
      <c r="V111" s="75">
        <f t="shared" si="41"/>
        <v>1</v>
      </c>
      <c r="W111" s="75">
        <f t="shared" si="42"/>
        <v>4.5999999999999999E-2</v>
      </c>
      <c r="X111" s="75">
        <f t="shared" si="43"/>
        <v>23.3264</v>
      </c>
      <c r="Y111" s="75">
        <f t="shared" si="44"/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 t="shared" si="45"/>
        <v>4019/4020</v>
      </c>
      <c r="L112" s="61" t="str">
        <f>VLOOKUP(A112,'Trips&amp;Operators'!$C$1:$E$9999,3,FALSE)</f>
        <v>LEVERE</v>
      </c>
      <c r="M112" s="12">
        <f t="shared" si="37"/>
        <v>3.3773148148611654E-2</v>
      </c>
      <c r="N112" s="13">
        <f t="shared" si="38"/>
        <v>48.633333334000781</v>
      </c>
      <c r="O112" s="13"/>
      <c r="P112" s="13"/>
      <c r="Q112" s="62"/>
      <c r="R112" s="62"/>
      <c r="T11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5" t="str">
        <f t="shared" si="40"/>
        <v>N</v>
      </c>
      <c r="V112" s="75">
        <f t="shared" si="41"/>
        <v>1</v>
      </c>
      <c r="W112" s="75">
        <f t="shared" si="42"/>
        <v>23.294599999999999</v>
      </c>
      <c r="X112" s="75">
        <f t="shared" si="43"/>
        <v>1.5800000000000002E-2</v>
      </c>
      <c r="Y112" s="75">
        <f t="shared" si="44"/>
        <v>23.2788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 t="shared" si="45"/>
        <v>4011/4012</v>
      </c>
      <c r="L113" s="61" t="str">
        <f>VLOOKUP(A113,'Trips&amp;Operators'!$C$1:$E$9999,3,FALSE)</f>
        <v>YOUNG</v>
      </c>
      <c r="M113" s="12">
        <f t="shared" si="37"/>
        <v>2.6481481480004732E-2</v>
      </c>
      <c r="N113" s="13">
        <f t="shared" si="38"/>
        <v>38.133333331206813</v>
      </c>
      <c r="O113" s="13"/>
      <c r="P113" s="13"/>
      <c r="Q113" s="62"/>
      <c r="R113" s="62"/>
      <c r="T11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 t="shared" si="40"/>
        <v>N</v>
      </c>
      <c r="V113" s="75">
        <f t="shared" si="41"/>
        <v>1</v>
      </c>
      <c r="W113" s="75">
        <f t="shared" si="42"/>
        <v>5.57E-2</v>
      </c>
      <c r="X113" s="75">
        <f t="shared" si="43"/>
        <v>23.3308</v>
      </c>
      <c r="Y113" s="75">
        <f t="shared" si="44"/>
        <v>23.275099999999998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 t="shared" si="45"/>
        <v>4011/4012</v>
      </c>
      <c r="L114" s="61" t="str">
        <f>VLOOKUP(A114,'Trips&amp;Operators'!$C$1:$E$9999,3,FALSE)</f>
        <v>YOUNG</v>
      </c>
      <c r="M114" s="12">
        <f t="shared" si="37"/>
        <v>3.7303240736946464E-2</v>
      </c>
      <c r="N114" s="13">
        <f t="shared" si="38"/>
        <v>53.716666661202908</v>
      </c>
      <c r="O114" s="13"/>
      <c r="P114" s="13"/>
      <c r="Q114" s="62"/>
      <c r="R114" s="62"/>
      <c r="T11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 t="shared" si="40"/>
        <v>N</v>
      </c>
      <c r="V114" s="75">
        <f t="shared" si="41"/>
        <v>1</v>
      </c>
      <c r="W114" s="75">
        <f t="shared" si="42"/>
        <v>23.2989</v>
      </c>
      <c r="X114" s="75">
        <f t="shared" si="43"/>
        <v>3.8899999999999997E-2</v>
      </c>
      <c r="Y114" s="75">
        <f t="shared" si="44"/>
        <v>23.259999999999998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 t="shared" si="45"/>
        <v>4023/4024</v>
      </c>
      <c r="L115" s="61" t="str">
        <f>VLOOKUP(A115,'Trips&amp;Operators'!$C$1:$E$9999,3,FALSE)</f>
        <v>STRICKLAND</v>
      </c>
      <c r="M115" s="12">
        <f t="shared" si="37"/>
        <v>2.8749999997671694E-2</v>
      </c>
      <c r="N115" s="13">
        <f t="shared" si="38"/>
        <v>41.399999996647239</v>
      </c>
      <c r="O115" s="13"/>
      <c r="P115" s="13"/>
      <c r="Q115" s="62"/>
      <c r="R115" s="62"/>
      <c r="T11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5" t="str">
        <f t="shared" si="40"/>
        <v>N</v>
      </c>
      <c r="V115" s="75">
        <f t="shared" si="41"/>
        <v>1</v>
      </c>
      <c r="W115" s="75">
        <f t="shared" si="42"/>
        <v>4.2000000000000003E-2</v>
      </c>
      <c r="X115" s="75">
        <f t="shared" si="43"/>
        <v>23.328800000000001</v>
      </c>
      <c r="Y115" s="75">
        <f t="shared" si="44"/>
        <v>23.286799999999999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 t="shared" si="45"/>
        <v>4023/4024</v>
      </c>
      <c r="L116" s="61" t="str">
        <f>VLOOKUP(A116,'Trips&amp;Operators'!$C$1:$E$9999,3,FALSE)</f>
        <v>STRICKLAND</v>
      </c>
      <c r="M116" s="12">
        <f t="shared" si="37"/>
        <v>3.1099537038244307E-2</v>
      </c>
      <c r="N116" s="13">
        <f t="shared" si="38"/>
        <v>44.783333335071802</v>
      </c>
      <c r="O116" s="13"/>
      <c r="P116" s="13"/>
      <c r="Q116" s="62"/>
      <c r="R116" s="62"/>
      <c r="T11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5" t="str">
        <f t="shared" si="40"/>
        <v>N</v>
      </c>
      <c r="V116" s="75">
        <f t="shared" si="41"/>
        <v>1</v>
      </c>
      <c r="W116" s="75">
        <f t="shared" si="42"/>
        <v>23.298400000000001</v>
      </c>
      <c r="X116" s="75">
        <f t="shared" si="43"/>
        <v>1.47E-2</v>
      </c>
      <c r="Y116" s="75">
        <f t="shared" si="44"/>
        <v>23.2837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 t="shared" si="45"/>
        <v>4007/4008</v>
      </c>
      <c r="L117" s="61" t="str">
        <f>VLOOKUP(A117,'Trips&amp;Operators'!$C$1:$E$9999,3,FALSE)</f>
        <v>JACKSON</v>
      </c>
      <c r="M117" s="12">
        <f t="shared" si="37"/>
        <v>3.2592592593573499E-2</v>
      </c>
      <c r="N117" s="13">
        <f t="shared" si="38"/>
        <v>46.933333334745839</v>
      </c>
      <c r="O117" s="13"/>
      <c r="P117" s="13"/>
      <c r="Q117" s="62"/>
      <c r="R117" s="62"/>
      <c r="T11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5" t="str">
        <f t="shared" si="40"/>
        <v>N</v>
      </c>
      <c r="V117" s="75">
        <f t="shared" si="41"/>
        <v>1</v>
      </c>
      <c r="W117" s="75">
        <f t="shared" si="42"/>
        <v>4.5499999999999999E-2</v>
      </c>
      <c r="X117" s="75">
        <f t="shared" si="43"/>
        <v>23.330400000000001</v>
      </c>
      <c r="Y117" s="75">
        <f t="shared" si="44"/>
        <v>23.2849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 t="shared" si="45"/>
        <v>4007/4008</v>
      </c>
      <c r="L118" s="61" t="str">
        <f>VLOOKUP(A118,'Trips&amp;Operators'!$C$1:$E$9999,3,FALSE)</f>
        <v>JACKSON</v>
      </c>
      <c r="M118" s="12">
        <f t="shared" si="37"/>
        <v>2.8877314813144039E-2</v>
      </c>
      <c r="N118" s="13">
        <f t="shared" si="38"/>
        <v>41.583333330927417</v>
      </c>
      <c r="O118" s="13"/>
      <c r="P118" s="13"/>
      <c r="Q118" s="62"/>
      <c r="R118" s="62"/>
      <c r="T11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5" t="str">
        <f t="shared" si="40"/>
        <v>N</v>
      </c>
      <c r="V118" s="75">
        <f t="shared" si="41"/>
        <v>1</v>
      </c>
      <c r="W118" s="75">
        <f t="shared" si="42"/>
        <v>23.298100000000002</v>
      </c>
      <c r="X118" s="75">
        <f t="shared" si="43"/>
        <v>1.67E-2</v>
      </c>
      <c r="Y118" s="75">
        <f t="shared" si="44"/>
        <v>23.281400000000001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 t="shared" si="45"/>
        <v>4015/4016</v>
      </c>
      <c r="L119" s="61" t="str">
        <f>VLOOKUP(A119,'Trips&amp;Operators'!$C$1:$E$9999,3,FALSE)</f>
        <v>BRUDER</v>
      </c>
      <c r="M119" s="12">
        <f t="shared" si="37"/>
        <v>2.9340277782466728E-2</v>
      </c>
      <c r="N119" s="13">
        <f t="shared" si="38"/>
        <v>42.250000006752089</v>
      </c>
      <c r="O119" s="13"/>
      <c r="P119" s="13"/>
      <c r="Q119" s="62"/>
      <c r="R119" s="62"/>
      <c r="T11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5" t="str">
        <f t="shared" si="40"/>
        <v>N</v>
      </c>
      <c r="V119" s="75">
        <f t="shared" si="41"/>
        <v>1</v>
      </c>
      <c r="W119" s="75">
        <f t="shared" si="42"/>
        <v>4.4900000000000002E-2</v>
      </c>
      <c r="X119" s="75">
        <f t="shared" si="43"/>
        <v>23.328600000000002</v>
      </c>
      <c r="Y119" s="75">
        <f t="shared" si="44"/>
        <v>23.283700000000003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 t="shared" si="45"/>
        <v>4015/4016</v>
      </c>
      <c r="L120" s="61" t="str">
        <f>VLOOKUP(A120,'Trips&amp;Operators'!$C$1:$E$9999,3,FALSE)</f>
        <v>BRUDER</v>
      </c>
      <c r="M120" s="12">
        <f t="shared" si="37"/>
        <v>3.3923611110367347E-2</v>
      </c>
      <c r="N120" s="13">
        <f t="shared" si="38"/>
        <v>48.849999998928979</v>
      </c>
      <c r="O120" s="13"/>
      <c r="P120" s="13"/>
      <c r="Q120" s="62"/>
      <c r="R120" s="62"/>
      <c r="T12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5" t="str">
        <f t="shared" si="40"/>
        <v>N</v>
      </c>
      <c r="V120" s="75">
        <f t="shared" si="41"/>
        <v>1</v>
      </c>
      <c r="W120" s="75">
        <f t="shared" si="42"/>
        <v>23.297699999999999</v>
      </c>
      <c r="X120" s="75">
        <f t="shared" si="43"/>
        <v>1.47E-2</v>
      </c>
      <c r="Y120" s="75">
        <f t="shared" si="44"/>
        <v>23.282999999999998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 t="shared" si="45"/>
        <v>4043/4044</v>
      </c>
      <c r="L121" s="61" t="str">
        <f>VLOOKUP(A121,'Trips&amp;Operators'!$C$1:$E$9999,3,FALSE)</f>
        <v>BARTLETT</v>
      </c>
      <c r="M121" s="12">
        <f t="shared" si="37"/>
        <v>2.6087962964083999E-2</v>
      </c>
      <c r="N121" s="13">
        <f t="shared" si="38"/>
        <v>37.566666668280959</v>
      </c>
      <c r="O121" s="13"/>
      <c r="P121" s="13"/>
      <c r="Q121" s="62"/>
      <c r="R121" s="62"/>
      <c r="T12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40"/>
        <v>N</v>
      </c>
      <c r="V121" s="75">
        <f t="shared" si="41"/>
        <v>1</v>
      </c>
      <c r="W121" s="75">
        <f t="shared" si="42"/>
        <v>4.2200000000000001E-2</v>
      </c>
      <c r="X121" s="75">
        <f t="shared" si="43"/>
        <v>23.331199999999999</v>
      </c>
      <c r="Y121" s="75">
        <f t="shared" si="44"/>
        <v>23.288999999999998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 t="shared" si="45"/>
        <v>4043/4044</v>
      </c>
      <c r="L122" s="61" t="str">
        <f>VLOOKUP(A122,'Trips&amp;Operators'!$C$1:$E$9999,3,FALSE)</f>
        <v>BARTLETT</v>
      </c>
      <c r="M122" s="12">
        <f t="shared" si="37"/>
        <v>2.9571759259852115E-2</v>
      </c>
      <c r="N122" s="13">
        <f t="shared" si="38"/>
        <v>42.583333334187046</v>
      </c>
      <c r="O122" s="13"/>
      <c r="P122" s="13"/>
      <c r="Q122" s="62"/>
      <c r="R122" s="62"/>
      <c r="T12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40"/>
        <v>N</v>
      </c>
      <c r="V122" s="75">
        <f t="shared" si="41"/>
        <v>1</v>
      </c>
      <c r="W122" s="75">
        <f t="shared" si="42"/>
        <v>23.299399999999999</v>
      </c>
      <c r="X122" s="75">
        <f t="shared" si="43"/>
        <v>1.5800000000000002E-2</v>
      </c>
      <c r="Y122" s="75">
        <f t="shared" si="44"/>
        <v>23.2836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 t="shared" si="45"/>
        <v>4019/4020</v>
      </c>
      <c r="L123" s="61" t="str">
        <f>VLOOKUP(A123,'Trips&amp;Operators'!$C$1:$E$9999,3,FALSE)</f>
        <v>LEVERE</v>
      </c>
      <c r="M123" s="12">
        <f t="shared" si="37"/>
        <v>2.9409722228592727E-2</v>
      </c>
      <c r="N123" s="13">
        <f t="shared" si="38"/>
        <v>42.350000009173527</v>
      </c>
      <c r="O123" s="13"/>
      <c r="P123" s="13"/>
      <c r="Q123" s="62"/>
      <c r="R123" s="62"/>
      <c r="T12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3" s="75" t="str">
        <f t="shared" si="40"/>
        <v>N</v>
      </c>
      <c r="V123" s="75">
        <f t="shared" si="41"/>
        <v>1</v>
      </c>
      <c r="W123" s="75">
        <f t="shared" si="42"/>
        <v>4.6399999999999997E-2</v>
      </c>
      <c r="X123" s="75">
        <f t="shared" si="43"/>
        <v>23.328499999999998</v>
      </c>
      <c r="Y123" s="75">
        <f t="shared" si="44"/>
        <v>23.2821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 t="shared" si="45"/>
        <v>4019/4020</v>
      </c>
      <c r="L124" s="61" t="str">
        <f>VLOOKUP(A124,'Trips&amp;Operators'!$C$1:$E$9999,3,FALSE)</f>
        <v>LEVERE</v>
      </c>
      <c r="M124" s="12">
        <f t="shared" si="37"/>
        <v>3.407407407212304E-2</v>
      </c>
      <c r="N124" s="13">
        <f t="shared" si="38"/>
        <v>49.066666663857177</v>
      </c>
      <c r="O124" s="13"/>
      <c r="P124" s="13"/>
      <c r="Q124" s="62"/>
      <c r="R124" s="62"/>
      <c r="T12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4" s="75" t="str">
        <f t="shared" si="40"/>
        <v>N</v>
      </c>
      <c r="V124" s="75">
        <f t="shared" si="41"/>
        <v>1</v>
      </c>
      <c r="W124" s="75">
        <f t="shared" si="42"/>
        <v>23.295999999999999</v>
      </c>
      <c r="X124" s="75">
        <f t="shared" si="43"/>
        <v>1.6299999999999999E-2</v>
      </c>
      <c r="Y124" s="75">
        <f t="shared" si="44"/>
        <v>23.279699999999998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 t="shared" si="45"/>
        <v>4023/4024</v>
      </c>
      <c r="L125" s="61" t="str">
        <f>VLOOKUP(A125,'Trips&amp;Operators'!$C$1:$E$9999,3,FALSE)</f>
        <v>STRICKLAND</v>
      </c>
      <c r="M125" s="12">
        <f t="shared" ref="M125:M146" si="46">I125-F125</f>
        <v>2.5393518517375924E-2</v>
      </c>
      <c r="N125" s="13">
        <f t="shared" si="38"/>
        <v>36.56666666502133</v>
      </c>
      <c r="O125" s="13"/>
      <c r="P125" s="13"/>
      <c r="Q125" s="62"/>
      <c r="R125" s="62"/>
      <c r="T12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5" t="str">
        <f t="shared" si="40"/>
        <v>N</v>
      </c>
      <c r="V125" s="75">
        <f t="shared" si="41"/>
        <v>1</v>
      </c>
      <c r="W125" s="75">
        <f t="shared" si="42"/>
        <v>4.5699999999999998E-2</v>
      </c>
      <c r="X125" s="75">
        <f t="shared" si="43"/>
        <v>23.329499999999999</v>
      </c>
      <c r="Y125" s="75">
        <f t="shared" si="44"/>
        <v>23.283799999999999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 t="shared" si="45"/>
        <v>4023/4024</v>
      </c>
      <c r="L126" s="61" t="str">
        <f>VLOOKUP(A126,'Trips&amp;Operators'!$C$1:$E$9999,3,FALSE)</f>
        <v>STRICKLAND</v>
      </c>
      <c r="M126" s="12">
        <f t="shared" si="46"/>
        <v>2.8541666666569654E-2</v>
      </c>
      <c r="N126" s="13">
        <f t="shared" si="38"/>
        <v>41.099999999860302</v>
      </c>
      <c r="O126" s="13"/>
      <c r="P126" s="13"/>
      <c r="Q126" s="62"/>
      <c r="R126" s="62"/>
      <c r="T12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5" t="str">
        <f t="shared" si="40"/>
        <v>N</v>
      </c>
      <c r="V126" s="75">
        <f t="shared" si="41"/>
        <v>1</v>
      </c>
      <c r="W126" s="75">
        <f t="shared" si="42"/>
        <v>23.296800000000001</v>
      </c>
      <c r="X126" s="75">
        <f t="shared" si="43"/>
        <v>1.41E-2</v>
      </c>
      <c r="Y126" s="75">
        <f t="shared" si="44"/>
        <v>23.282700000000002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 t="shared" si="45"/>
        <v>4015/4016</v>
      </c>
      <c r="L127" s="61" t="str">
        <f>VLOOKUP(A127,'Trips&amp;Operators'!$C$1:$E$9999,3,FALSE)</f>
        <v>BRUDER</v>
      </c>
      <c r="M127" s="12">
        <f t="shared" si="46"/>
        <v>3.085648147680331E-2</v>
      </c>
      <c r="N127" s="13">
        <f t="shared" si="38"/>
        <v>44.433333326596767</v>
      </c>
      <c r="O127" s="13"/>
      <c r="P127" s="13"/>
      <c r="Q127" s="62"/>
      <c r="R127" s="62"/>
      <c r="T127" s="75" t="str">
        <f t="shared" ref="T127:T146" si="47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5" t="str">
        <f t="shared" ref="U127:U146" si="48">IF(Y127&lt;23,"Y","N")</f>
        <v>N</v>
      </c>
      <c r="V127" s="75">
        <f t="shared" ref="V127:V146" si="49">VALUE(LEFT(A127,3))-VALUE(LEFT(A126,3))</f>
        <v>1</v>
      </c>
      <c r="W127" s="75">
        <f t="shared" ref="W127:W146" si="50">RIGHT(D127,LEN(D127)-4)/10000</f>
        <v>4.5499999999999999E-2</v>
      </c>
      <c r="X127" s="75">
        <f t="shared" ref="X127:X146" si="51">RIGHT(H127,LEN(H127)-4)/10000</f>
        <v>23.330400000000001</v>
      </c>
      <c r="Y127" s="75">
        <f t="shared" ref="Y127:Y146" si="52">ABS(X127-W127)</f>
        <v>23.2849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 t="shared" si="45"/>
        <v>4015/4016</v>
      </c>
      <c r="L128" s="61" t="str">
        <f>VLOOKUP(A128,'Trips&amp;Operators'!$C$1:$E$9999,3,FALSE)</f>
        <v>BRUDER</v>
      </c>
      <c r="M128" s="12">
        <f t="shared" si="46"/>
        <v>3.6770833336049691E-2</v>
      </c>
      <c r="N128" s="13">
        <f t="shared" si="38"/>
        <v>52.950000003911555</v>
      </c>
      <c r="O128" s="13"/>
      <c r="P128" s="13"/>
      <c r="Q128" s="62"/>
      <c r="R128" s="62"/>
      <c r="T12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5" t="str">
        <f t="shared" si="48"/>
        <v>N</v>
      </c>
      <c r="V128" s="75">
        <f t="shared" si="49"/>
        <v>1</v>
      </c>
      <c r="W128" s="75">
        <f t="shared" si="50"/>
        <v>23.3</v>
      </c>
      <c r="X128" s="75">
        <f t="shared" si="51"/>
        <v>1.41E-2</v>
      </c>
      <c r="Y128" s="75">
        <f t="shared" si="52"/>
        <v>23.285900000000002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 t="shared" si="45"/>
        <v>4043/4044</v>
      </c>
      <c r="L129" s="61" t="str">
        <f>VLOOKUP(A129,'Trips&amp;Operators'!$C$1:$E$9999,3,FALSE)</f>
        <v>BARTLETT</v>
      </c>
      <c r="M129" s="12">
        <f t="shared" si="46"/>
        <v>3.7893518514465541E-2</v>
      </c>
      <c r="N129" s="13">
        <f t="shared" si="38"/>
        <v>54.566666660830379</v>
      </c>
      <c r="O129" s="13"/>
      <c r="P129" s="13"/>
      <c r="Q129" s="62"/>
      <c r="R129" s="62"/>
      <c r="T12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48"/>
        <v>N</v>
      </c>
      <c r="V129" s="75">
        <f t="shared" si="49"/>
        <v>1</v>
      </c>
      <c r="W129" s="75">
        <f t="shared" si="50"/>
        <v>4.3999999999999997E-2</v>
      </c>
      <c r="X129" s="75">
        <f t="shared" si="51"/>
        <v>23.331399999999999</v>
      </c>
      <c r="Y129" s="75">
        <f t="shared" si="52"/>
        <v>23.287399999999998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 t="shared" si="45"/>
        <v>4043/4044</v>
      </c>
      <c r="L130" s="61" t="str">
        <f>VLOOKUP(A130,'Trips&amp;Operators'!$C$1:$E$9999,3,FALSE)</f>
        <v>BARTLETT</v>
      </c>
      <c r="M130" s="12">
        <f t="shared" si="46"/>
        <v>2.9143518520868383E-2</v>
      </c>
      <c r="N130" s="13">
        <f t="shared" si="38"/>
        <v>41.966666670050472</v>
      </c>
      <c r="O130" s="13"/>
      <c r="P130" s="13"/>
      <c r="Q130" s="62"/>
      <c r="R130" s="62"/>
      <c r="T13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48"/>
        <v>N</v>
      </c>
      <c r="V130" s="75">
        <f t="shared" si="49"/>
        <v>1</v>
      </c>
      <c r="W130" s="75">
        <f t="shared" si="50"/>
        <v>23.3002</v>
      </c>
      <c r="X130" s="75">
        <f t="shared" si="51"/>
        <v>1.47E-2</v>
      </c>
      <c r="Y130" s="75">
        <f t="shared" si="52"/>
        <v>23.285499999999999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 t="shared" ref="K131:K146" si="53"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 t="shared" si="46"/>
        <v>3.6365740743349306E-2</v>
      </c>
      <c r="N131" s="13">
        <f t="shared" si="38"/>
        <v>52.366666670423001</v>
      </c>
      <c r="O131" s="13"/>
      <c r="P131" s="13"/>
      <c r="Q131" s="62"/>
      <c r="R131" s="62"/>
      <c r="T13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1" s="75" t="str">
        <f t="shared" si="48"/>
        <v>N</v>
      </c>
      <c r="V131" s="75">
        <f t="shared" si="49"/>
        <v>1</v>
      </c>
      <c r="W131" s="75">
        <f t="shared" si="50"/>
        <v>4.8599999999999997E-2</v>
      </c>
      <c r="X131" s="75">
        <f t="shared" si="51"/>
        <v>23.328499999999998</v>
      </c>
      <c r="Y131" s="75">
        <f t="shared" si="52"/>
        <v>23.279899999999998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 t="shared" si="53"/>
        <v>4019/4020</v>
      </c>
      <c r="L132" s="61" t="str">
        <f>VLOOKUP(A132,'Trips&amp;Operators'!$C$1:$E$9999,3,FALSE)</f>
        <v>LEVERE</v>
      </c>
      <c r="M132" s="12">
        <f t="shared" si="46"/>
        <v>3.1157407407590654E-2</v>
      </c>
      <c r="N132" s="13"/>
      <c r="O132" s="13"/>
      <c r="P132" s="13">
        <v>45</v>
      </c>
      <c r="Q132" s="62" t="s">
        <v>420</v>
      </c>
      <c r="R132" s="62" t="s">
        <v>419</v>
      </c>
      <c r="T13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5" t="str">
        <f t="shared" si="48"/>
        <v>Y</v>
      </c>
      <c r="V132" s="75">
        <f t="shared" si="49"/>
        <v>1</v>
      </c>
      <c r="W132" s="75">
        <f t="shared" si="50"/>
        <v>23.295999999999999</v>
      </c>
      <c r="X132" s="75">
        <f t="shared" si="51"/>
        <v>0.48930000000000001</v>
      </c>
      <c r="Y132" s="75">
        <f t="shared" si="52"/>
        <v>22.806699999999999</v>
      </c>
      <c r="Z132" s="76">
        <f>VLOOKUP(A132,Enforcements!$C$3:$J$26,8,0)</f>
        <v>4677</v>
      </c>
      <c r="AA132" s="76" t="str">
        <f>VLOOKUP(A132,Enforcements!$C$3:$J$26,3,0)</f>
        <v>SIGNAL</v>
      </c>
    </row>
    <row r="133" spans="1:27" s="2" customFormat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 t="shared" si="53"/>
        <v>4023/4024</v>
      </c>
      <c r="L133" s="61" t="str">
        <f>VLOOKUP(A133,'Trips&amp;Operators'!$C$1:$E$9999,3,FALSE)</f>
        <v>STRICKLAND</v>
      </c>
      <c r="M133" s="12">
        <f t="shared" si="46"/>
        <v>3.0370370368473232E-2</v>
      </c>
      <c r="N133" s="13">
        <f t="shared" ref="N133:N145" si="54">$M133*24*60</f>
        <v>43.733333330601454</v>
      </c>
      <c r="O133" s="13"/>
      <c r="P133" s="13"/>
      <c r="Q133" s="62"/>
      <c r="R133" s="62"/>
      <c r="T13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5" t="str">
        <f t="shared" si="48"/>
        <v>N</v>
      </c>
      <c r="V133" s="75">
        <f t="shared" si="49"/>
        <v>1</v>
      </c>
      <c r="W133" s="75">
        <f t="shared" si="50"/>
        <v>4.4900000000000002E-2</v>
      </c>
      <c r="X133" s="75">
        <f t="shared" si="51"/>
        <v>23.327000000000002</v>
      </c>
      <c r="Y133" s="75">
        <f t="shared" si="52"/>
        <v>23.282100000000003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 t="shared" si="53"/>
        <v>4023/4024</v>
      </c>
      <c r="L134" s="61" t="str">
        <f>VLOOKUP(A134,'Trips&amp;Operators'!$C$1:$E$9999,3,FALSE)</f>
        <v>STRICKLAND</v>
      </c>
      <c r="M134" s="12">
        <f t="shared" si="46"/>
        <v>3.1180555561149959E-2</v>
      </c>
      <c r="N134" s="13">
        <f t="shared" si="54"/>
        <v>44.90000000805594</v>
      </c>
      <c r="O134" s="13"/>
      <c r="P134" s="13"/>
      <c r="Q134" s="62"/>
      <c r="R134" s="62"/>
      <c r="T13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5" t="str">
        <f t="shared" si="48"/>
        <v>N</v>
      </c>
      <c r="V134" s="75">
        <f t="shared" si="49"/>
        <v>1</v>
      </c>
      <c r="W134" s="75">
        <f t="shared" si="50"/>
        <v>23.297699999999999</v>
      </c>
      <c r="X134" s="75">
        <f t="shared" si="51"/>
        <v>1.5800000000000002E-2</v>
      </c>
      <c r="Y134" s="75">
        <f t="shared" si="52"/>
        <v>23.2819</v>
      </c>
      <c r="Z134" s="76">
        <f>VLOOKUP(A134,Enforcements!$C$3:$J$26,8,0)</f>
        <v>86386</v>
      </c>
      <c r="AA134" s="76" t="str">
        <f>VLOOKUP(A134,Enforcements!$C$3:$J$26,3,0)</f>
        <v>GRADE CROSSING</v>
      </c>
    </row>
    <row r="135" spans="1:27" s="2" customFormat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 t="shared" si="53"/>
        <v>4015/4016</v>
      </c>
      <c r="L135" s="61" t="str">
        <f>VLOOKUP(A135,'Trips&amp;Operators'!$C$1:$E$9999,3,FALSE)</f>
        <v>BRUDER</v>
      </c>
      <c r="M135" s="12">
        <f t="shared" si="46"/>
        <v>4.0775462963210884E-2</v>
      </c>
      <c r="N135" s="13">
        <f t="shared" si="54"/>
        <v>58.716666667023674</v>
      </c>
      <c r="O135" s="13"/>
      <c r="P135" s="13"/>
      <c r="Q135" s="62"/>
      <c r="R135" s="62"/>
      <c r="T13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48"/>
        <v>N</v>
      </c>
      <c r="V135" s="75">
        <f t="shared" si="49"/>
        <v>1</v>
      </c>
      <c r="W135" s="75">
        <f t="shared" si="50"/>
        <v>4.5699999999999998E-2</v>
      </c>
      <c r="X135" s="75">
        <f t="shared" si="51"/>
        <v>23.331</v>
      </c>
      <c r="Y135" s="75">
        <f t="shared" si="52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 t="shared" si="53"/>
        <v>4015/4016</v>
      </c>
      <c r="L136" s="61" t="str">
        <f>VLOOKUP(A136,'Trips&amp;Operators'!$C$1:$E$9999,3,FALSE)</f>
        <v>BRUDER</v>
      </c>
      <c r="M136" s="12">
        <f t="shared" si="46"/>
        <v>3.6388888889632653E-2</v>
      </c>
      <c r="N136" s="13">
        <f t="shared" si="54"/>
        <v>52.400000001071021</v>
      </c>
      <c r="O136" s="13"/>
      <c r="P136" s="13"/>
      <c r="Q136" s="62"/>
      <c r="R136" s="62"/>
      <c r="T13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48"/>
        <v>N</v>
      </c>
      <c r="V136" s="75">
        <f t="shared" si="49"/>
        <v>1</v>
      </c>
      <c r="W136" s="75">
        <f t="shared" si="50"/>
        <v>23.298500000000001</v>
      </c>
      <c r="X136" s="75">
        <f t="shared" si="51"/>
        <v>1.34E-2</v>
      </c>
      <c r="Y136" s="75">
        <f t="shared" si="52"/>
        <v>23.2851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 t="shared" si="53"/>
        <v>4043/4044</v>
      </c>
      <c r="L137" s="61" t="str">
        <f>VLOOKUP(A137,'Trips&amp;Operators'!$C$1:$E$9999,3,FALSE)</f>
        <v>BARTLETT</v>
      </c>
      <c r="M137" s="12">
        <f t="shared" si="46"/>
        <v>3.9548611115606036E-2</v>
      </c>
      <c r="N137" s="13">
        <f t="shared" si="54"/>
        <v>56.950000006472692</v>
      </c>
      <c r="O137" s="13"/>
      <c r="P137" s="13"/>
      <c r="Q137" s="62"/>
      <c r="R137" s="62"/>
      <c r="T137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48"/>
        <v>N</v>
      </c>
      <c r="V137" s="75">
        <f t="shared" si="49"/>
        <v>1</v>
      </c>
      <c r="W137" s="75">
        <f t="shared" si="50"/>
        <v>4.5100000000000001E-2</v>
      </c>
      <c r="X137" s="75">
        <f t="shared" si="51"/>
        <v>23.331700000000001</v>
      </c>
      <c r="Y137" s="75">
        <f t="shared" si="52"/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 t="shared" si="53"/>
        <v>4043/4044</v>
      </c>
      <c r="L138" s="61" t="str">
        <f>VLOOKUP(A138,'Trips&amp;Operators'!$C$1:$E$9999,3,FALSE)</f>
        <v>BARTLETT</v>
      </c>
      <c r="M138" s="12">
        <f t="shared" si="46"/>
        <v>3.3171296301588882E-2</v>
      </c>
      <c r="N138" s="13">
        <f t="shared" si="54"/>
        <v>47.76666667428799</v>
      </c>
      <c r="O138" s="13"/>
      <c r="P138" s="13"/>
      <c r="Q138" s="62"/>
      <c r="R138" s="62"/>
      <c r="T13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48"/>
        <v>N</v>
      </c>
      <c r="V138" s="75">
        <f t="shared" si="49"/>
        <v>1</v>
      </c>
      <c r="W138" s="75">
        <f t="shared" si="50"/>
        <v>23.299800000000001</v>
      </c>
      <c r="X138" s="75">
        <f t="shared" si="51"/>
        <v>1.5800000000000002E-2</v>
      </c>
      <c r="Y138" s="75">
        <f t="shared" si="52"/>
        <v>23.284000000000002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 t="shared" si="53"/>
        <v>4019/4020</v>
      </c>
      <c r="L139" s="61" t="str">
        <f>VLOOKUP(A139,'Trips&amp;Operators'!$C$1:$E$9999,3,FALSE)</f>
        <v>LEVERE</v>
      </c>
      <c r="M139" s="12">
        <f t="shared" si="46"/>
        <v>3.6585648143955041E-2</v>
      </c>
      <c r="N139" s="13">
        <f t="shared" si="54"/>
        <v>52.683333327295259</v>
      </c>
      <c r="O139" s="13"/>
      <c r="P139" s="13"/>
      <c r="Q139" s="62"/>
      <c r="R139" s="62"/>
      <c r="T13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9" s="75" t="str">
        <f t="shared" si="48"/>
        <v>N</v>
      </c>
      <c r="V139" s="75">
        <f t="shared" si="49"/>
        <v>1</v>
      </c>
      <c r="W139" s="75">
        <f t="shared" si="50"/>
        <v>4.4699999999999997E-2</v>
      </c>
      <c r="X139" s="75">
        <f t="shared" si="51"/>
        <v>23.3278</v>
      </c>
      <c r="Y139" s="75">
        <f t="shared" si="52"/>
        <v>23.283100000000001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 t="shared" si="53"/>
        <v>4019/4020</v>
      </c>
      <c r="L140" s="61" t="str">
        <f>VLOOKUP(A140,'Trips&amp;Operators'!$C$1:$E$9999,3,FALSE)</f>
        <v>LEVERE</v>
      </c>
      <c r="M140" s="12">
        <f t="shared" si="46"/>
        <v>3.6516203697829042E-2</v>
      </c>
      <c r="N140" s="13">
        <f t="shared" si="54"/>
        <v>52.58333332487382</v>
      </c>
      <c r="O140" s="13"/>
      <c r="P140" s="13"/>
      <c r="Q140" s="62"/>
      <c r="R140" s="62"/>
      <c r="T14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0" s="75" t="str">
        <f t="shared" si="48"/>
        <v>N</v>
      </c>
      <c r="V140" s="75">
        <f t="shared" si="49"/>
        <v>1</v>
      </c>
      <c r="W140" s="75">
        <f t="shared" si="50"/>
        <v>23.295500000000001</v>
      </c>
      <c r="X140" s="75">
        <f t="shared" si="51"/>
        <v>2.07E-2</v>
      </c>
      <c r="Y140" s="75">
        <f t="shared" si="52"/>
        <v>23.274799999999999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 t="shared" si="53"/>
        <v>4023/4024</v>
      </c>
      <c r="L141" s="61" t="str">
        <f>VLOOKUP(A141,'Trips&amp;Operators'!$C$1:$E$9999,3,FALSE)</f>
        <v>STRICKLAND</v>
      </c>
      <c r="M141" s="12">
        <f t="shared" si="46"/>
        <v>2.8032407404680271E-2</v>
      </c>
      <c r="N141" s="13">
        <f t="shared" si="54"/>
        <v>40.36666666273959</v>
      </c>
      <c r="O141" s="13"/>
      <c r="P141" s="13"/>
      <c r="Q141" s="62"/>
      <c r="R141" s="62"/>
      <c r="T14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1" s="75" t="str">
        <f t="shared" si="48"/>
        <v>N</v>
      </c>
      <c r="V141" s="75">
        <f t="shared" si="49"/>
        <v>1</v>
      </c>
      <c r="W141" s="75">
        <f t="shared" si="50"/>
        <v>4.6600000000000003E-2</v>
      </c>
      <c r="X141" s="75">
        <f t="shared" si="51"/>
        <v>23.33</v>
      </c>
      <c r="Y141" s="75">
        <f t="shared" si="52"/>
        <v>23.283399999999997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 t="shared" si="53"/>
        <v>4023/4024</v>
      </c>
      <c r="L142" s="61" t="str">
        <f>VLOOKUP(A142,'Trips&amp;Operators'!$C$1:$E$9999,3,FALSE)</f>
        <v>STRICKLAND</v>
      </c>
      <c r="M142" s="12">
        <f t="shared" si="46"/>
        <v>2.7013888888177462E-2</v>
      </c>
      <c r="N142" s="13">
        <f t="shared" si="54"/>
        <v>38.899999998975545</v>
      </c>
      <c r="O142" s="13"/>
      <c r="P142" s="13"/>
      <c r="Q142" s="62"/>
      <c r="R142" s="62"/>
      <c r="T14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2" s="75" t="str">
        <f t="shared" si="48"/>
        <v>N</v>
      </c>
      <c r="V142" s="75">
        <f t="shared" si="49"/>
        <v>1</v>
      </c>
      <c r="W142" s="75">
        <f t="shared" si="50"/>
        <v>23.298100000000002</v>
      </c>
      <c r="X142" s="75">
        <f t="shared" si="51"/>
        <v>1.4999999999999999E-2</v>
      </c>
      <c r="Y142" s="75">
        <f t="shared" si="52"/>
        <v>23.283100000000001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 t="shared" si="53"/>
        <v>4015/4016</v>
      </c>
      <c r="L143" s="61" t="str">
        <f>VLOOKUP(A143,'Trips&amp;Operators'!$C$1:$E$9999,3,FALSE)</f>
        <v>BRUDER</v>
      </c>
      <c r="M143" s="12">
        <f t="shared" si="46"/>
        <v>3.5046296296059154E-2</v>
      </c>
      <c r="N143" s="13">
        <f t="shared" si="54"/>
        <v>50.466666666325182</v>
      </c>
      <c r="O143" s="13"/>
      <c r="P143" s="13"/>
      <c r="Q143" s="62"/>
      <c r="R143" s="62"/>
      <c r="T14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48"/>
        <v>N</v>
      </c>
      <c r="V143" s="75">
        <f t="shared" si="49"/>
        <v>1</v>
      </c>
      <c r="W143" s="75">
        <f t="shared" si="50"/>
        <v>4.3299999999999998E-2</v>
      </c>
      <c r="X143" s="75">
        <f t="shared" si="51"/>
        <v>23.331900000000001</v>
      </c>
      <c r="Y143" s="75">
        <f t="shared" si="52"/>
        <v>23.288600000000002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 t="shared" si="53"/>
        <v>4015/4016</v>
      </c>
      <c r="L144" s="61" t="str">
        <f>VLOOKUP(A144,'Trips&amp;Operators'!$C$1:$E$9999,3,FALSE)</f>
        <v>BRUDER</v>
      </c>
      <c r="M144" s="12">
        <f t="shared" si="46"/>
        <v>3.4004629633272998E-2</v>
      </c>
      <c r="N144" s="13">
        <f t="shared" si="54"/>
        <v>48.966666671913117</v>
      </c>
      <c r="O144" s="13"/>
      <c r="P144" s="13"/>
      <c r="Q144" s="62"/>
      <c r="R144" s="62"/>
      <c r="T14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48"/>
        <v>N</v>
      </c>
      <c r="V144" s="75">
        <f t="shared" si="49"/>
        <v>1</v>
      </c>
      <c r="W144" s="75">
        <f t="shared" si="50"/>
        <v>23.299099999999999</v>
      </c>
      <c r="X144" s="75">
        <f t="shared" si="51"/>
        <v>1.7600000000000001E-2</v>
      </c>
      <c r="Y144" s="75">
        <f t="shared" si="52"/>
        <v>23.281499999999998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 t="shared" si="53"/>
        <v>4043/4044</v>
      </c>
      <c r="L145" s="61" t="str">
        <f>VLOOKUP(A145,'Trips&amp;Operators'!$C$1:$E$9999,3,FALSE)</f>
        <v>BARTLETT</v>
      </c>
      <c r="M145" s="12">
        <f t="shared" si="46"/>
        <v>3.684027778217569E-2</v>
      </c>
      <c r="N145" s="13">
        <f t="shared" si="54"/>
        <v>53.050000006332994</v>
      </c>
      <c r="O145" s="13"/>
      <c r="P145" s="13"/>
      <c r="Q145" s="62"/>
      <c r="R145" s="62"/>
      <c r="T14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48"/>
        <v>N</v>
      </c>
      <c r="V145" s="75">
        <f t="shared" si="49"/>
        <v>1</v>
      </c>
      <c r="W145" s="75">
        <f t="shared" si="50"/>
        <v>4.6399999999999997E-2</v>
      </c>
      <c r="X145" s="75">
        <f t="shared" si="51"/>
        <v>23.328800000000001</v>
      </c>
      <c r="Y145" s="75">
        <f t="shared" si="52"/>
        <v>23.282400000000003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 t="shared" si="53"/>
        <v>4043/4044</v>
      </c>
      <c r="L146" s="61" t="str">
        <f>VLOOKUP(A146,'Trips&amp;Operators'!$C$1:$E$9999,3,FALSE)</f>
        <v>BARTLETT</v>
      </c>
      <c r="M146" s="12">
        <f t="shared" si="46"/>
        <v>2.8171296296932269E-2</v>
      </c>
      <c r="N146" s="13"/>
      <c r="O146" s="13"/>
      <c r="P146" s="13">
        <v>41</v>
      </c>
      <c r="Q146" s="62" t="s">
        <v>418</v>
      </c>
      <c r="R146" s="62" t="s">
        <v>417</v>
      </c>
      <c r="T14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si="48"/>
        <v>Y</v>
      </c>
      <c r="V146" s="75">
        <f t="shared" si="49"/>
        <v>1</v>
      </c>
      <c r="W146" s="75">
        <f t="shared" si="50"/>
        <v>23.297799999999999</v>
      </c>
      <c r="X146" s="75">
        <f t="shared" si="51"/>
        <v>0.3705</v>
      </c>
      <c r="Y146" s="75">
        <f t="shared" si="52"/>
        <v>22.927299999999999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42499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43.794862155538205</v>
      </c>
      <c r="N151" s="6">
        <f>MIN(N3:N146)</f>
        <v>34.983333328273147</v>
      </c>
      <c r="O151" s="7">
        <f>MAX(N3:N146)</f>
        <v>58.716666667023674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43.142253521112664</v>
      </c>
      <c r="N154" s="6">
        <f>MIN(N3:O146)</f>
        <v>34.983333328273147</v>
      </c>
      <c r="O154" s="7">
        <f>MAX(N3:O146)</f>
        <v>58.716666667023674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/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47:P147 A3:R146">
    <cfRule type="expression" dxfId="7" priority="34">
      <formula>$P3&gt;0</formula>
    </cfRule>
    <cfRule type="expression" dxfId="6" priority="35">
      <formula>$O3&gt;0</formula>
    </cfRule>
  </conditionalFormatting>
  <conditionalFormatting sqref="Q147:R147">
    <cfRule type="expression" dxfId="5" priority="76">
      <formula>$P147&gt;0</formula>
    </cfRule>
    <cfRule type="expression" dxfId="4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Normal="100" workbookViewId="0">
      <selection activeCell="N57" sqref="N5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/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/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117</v>
      </c>
      <c r="N6" s="21"/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/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/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117</v>
      </c>
      <c r="N20" s="21"/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/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117</v>
      </c>
      <c r="N22" s="21"/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/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/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/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12</v>
      </c>
    </row>
    <row r="67" spans="1:14" ht="15.75" thickBot="1" x14ac:dyDescent="0.3">
      <c r="K67" s="16" t="s">
        <v>27</v>
      </c>
      <c r="L67" s="54"/>
      <c r="M67" s="15">
        <f>COUNTA(M3:M63)-M66</f>
        <v>49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2" priority="5" operator="equal">
      <formula>"Y"</formula>
    </cfRule>
  </conditionalFormatting>
  <conditionalFormatting sqref="B63:N65 B3:N26 B27:L28 N27:N28 B46:L62 N46:N62 M27:M62">
    <cfRule type="expression" dxfId="1" priority="4">
      <formula>$M3="Y"</formula>
    </cfRule>
  </conditionalFormatting>
  <conditionalFormatting sqref="B29:L45 N29:N45">
    <cfRule type="expression" dxfId="0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2016-05-11T15:13:15Z</dcterms:modified>
</cp:coreProperties>
</file>